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drawings/drawing1.xml" ContentType="application/vnd.openxmlformats-officedocument.drawing+xml"/>
  <Override PartName="/xl/drawings/drawing2.xml" ContentType="application/vnd.openxmlformats-officedocument.drawing+xml"/>
  <Override PartName="/xl/comments3.xml" ContentType="application/vnd.openxmlformats-officedocument.spreadsheetml.comments+xml"/>
  <Override PartName="/xl/threadedComments/threadedComment3.xml" ContentType="application/vnd.ms-excel.threadedcomments+xml"/>
  <Override PartName="/xl/drawings/drawing3.xml" ContentType="application/vnd.openxmlformats-officedocument.drawing+xml"/>
  <Override PartName="/xl/comments4.xml" ContentType="application/vnd.openxmlformats-officedocument.spreadsheetml.comments+xml"/>
  <Override PartName="/xl/drawings/drawing4.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defaultThemeVersion="166925"/>
  <mc:AlternateContent xmlns:mc="http://schemas.openxmlformats.org/markup-compatibility/2006">
    <mc:Choice Requires="x15">
      <x15ac:absPath xmlns:x15ac="http://schemas.microsoft.com/office/spreadsheetml/2010/11/ac" url="/Users/martinshkreli/code/models/"/>
    </mc:Choice>
  </mc:AlternateContent>
  <xr:revisionPtr revIDLastSave="0" documentId="13_ncr:1_{5141B280-8499-0C43-B92D-3838D7FF3587}" xr6:coauthVersionLast="47" xr6:coauthVersionMax="47" xr10:uidLastSave="{00000000-0000-0000-0000-000000000000}"/>
  <bookViews>
    <workbookView xWindow="4160" yWindow="4420" windowWidth="24080" windowHeight="16800" activeTab="1" xr2:uid="{68C6A242-C5F6-F84B-9F15-939E82734559}"/>
  </bookViews>
  <sheets>
    <sheet name="Main" sheetId="1" r:id="rId1"/>
    <sheet name="Companies" sheetId="3" r:id="rId2"/>
    <sheet name="Investors" sheetId="2" r:id="rId3"/>
    <sheet name="EO Avoid List" sheetId="17" r:id="rId4"/>
    <sheet name="Glossary" sheetId="4" r:id="rId5"/>
    <sheet name="Diffusion" sheetId="26" r:id="rId6"/>
    <sheet name="Papers" sheetId="6" r:id="rId7"/>
    <sheet name="arXiv" sheetId="29" r:id="rId8"/>
    <sheet name="Top Papers" sheetId="16" r:id="rId9"/>
    <sheet name="LLM Vendors" sheetId="19" r:id="rId10"/>
    <sheet name="Autoregressive" sheetId="18" r:id="rId11"/>
    <sheet name="Audio Papers" sheetId="24" r:id="rId12"/>
    <sheet name="TTS Companies" sheetId="25" r:id="rId13"/>
    <sheet name="Audio" sheetId="15" r:id="rId14"/>
    <sheet name="Images" sheetId="28" r:id="rId15"/>
    <sheet name="CUDA" sheetId="27" r:id="rId16"/>
    <sheet name="ASR" sheetId="20" r:id="rId17"/>
    <sheet name="Repos" sheetId="14" r:id="rId18"/>
    <sheet name="People" sheetId="7" r:id="rId19"/>
    <sheet name="Neural Networks" sheetId="21" r:id="rId20"/>
    <sheet name="Transformer" sheetId="5" r:id="rId21"/>
    <sheet name="PyTorch" sheetId="22" r:id="rId22"/>
    <sheet name="DeepMind" sheetId="10" r:id="rId23"/>
    <sheet name="OpenAI" sheetId="9" r:id="rId24"/>
    <sheet name="Meta" sheetId="11" r:id="rId25"/>
    <sheet name="Games" sheetId="23" r:id="rId26"/>
    <sheet name="Education" sheetId="13" r:id="rId27"/>
  </sheets>
  <externalReferences>
    <externalReference r:id="rId28"/>
  </externalReferences>
  <definedNames>
    <definedName name="_xlnm._FilterDatabase" localSheetId="1" hidden="1">Companies!$A$2:$AG$376</definedName>
    <definedName name="CAD">[1]FX!$C$7</definedName>
    <definedName name="EUR">[1]FX!$C$4</definedName>
    <definedName name="HKD">[1]FX!$C$2</definedName>
    <definedName name="JPY">[1]FX!$C$6</definedName>
    <definedName name="RMB">[1]FX!$C$3</definedName>
    <definedName name="SEK">[1]FX!$C$5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48" i="9" l="1"/>
  <c r="B47" i="9"/>
  <c r="C49" i="9"/>
  <c r="C47" i="9"/>
  <c r="C38" i="9"/>
  <c r="C39" i="9" s="1"/>
  <c r="C42" i="9" s="1"/>
  <c r="C21" i="9"/>
  <c r="C24" i="9" s="1"/>
  <c r="C25" i="9" s="1"/>
  <c r="G28" i="3"/>
  <c r="G39" i="3"/>
  <c r="G40" i="3"/>
  <c r="AL40" i="3"/>
  <c r="A1171" i="29"/>
  <c r="A1170" i="29"/>
  <c r="A1169" i="29"/>
  <c r="A1168" i="29"/>
  <c r="A1167" i="29"/>
  <c r="A1166" i="29"/>
  <c r="A1165" i="29"/>
  <c r="A1164" i="29"/>
  <c r="A1163" i="29"/>
  <c r="A1162" i="29"/>
  <c r="A1161" i="29"/>
  <c r="A1160" i="29"/>
  <c r="A1159" i="29"/>
  <c r="A1158" i="29"/>
  <c r="A1157" i="29"/>
  <c r="A1156" i="29"/>
  <c r="A1155" i="29"/>
  <c r="A1154" i="29"/>
  <c r="A1153" i="29"/>
  <c r="A1152" i="29"/>
  <c r="A1151" i="29"/>
  <c r="A1150" i="29"/>
  <c r="A1149" i="29"/>
  <c r="A1148" i="29"/>
  <c r="A1106" i="29"/>
  <c r="A1105" i="29"/>
  <c r="A1104" i="29"/>
  <c r="A1103" i="29"/>
  <c r="A1102" i="29"/>
  <c r="A1101" i="29"/>
  <c r="A1100" i="29"/>
  <c r="A1099" i="29"/>
  <c r="A1098" i="29"/>
  <c r="A1097" i="29"/>
  <c r="A1096" i="29"/>
  <c r="A1095" i="29"/>
  <c r="A1094" i="29"/>
  <c r="A1093" i="29"/>
  <c r="A1092" i="29"/>
  <c r="A1091" i="29"/>
  <c r="A1311" i="29"/>
  <c r="A1310" i="29"/>
  <c r="A1309" i="29"/>
  <c r="A1308" i="29"/>
  <c r="A1307" i="29"/>
  <c r="A1306" i="29"/>
  <c r="A1305" i="29"/>
  <c r="A1304" i="29"/>
  <c r="A1303" i="29"/>
  <c r="A1302" i="29"/>
  <c r="A1301" i="29"/>
  <c r="A1300" i="29"/>
  <c r="A1299" i="29"/>
  <c r="A1298" i="29"/>
  <c r="A1297" i="29"/>
  <c r="A1296" i="29"/>
  <c r="A1295" i="29"/>
  <c r="A1294" i="29"/>
  <c r="A1293" i="29"/>
  <c r="A1292" i="29"/>
  <c r="A1291" i="29"/>
  <c r="A1290" i="29"/>
  <c r="A1289" i="29"/>
  <c r="A1288" i="29"/>
  <c r="A1287" i="29"/>
  <c r="A1286" i="29"/>
  <c r="AL3" i="3"/>
  <c r="G2894" i="2"/>
  <c r="F2894" i="2"/>
  <c r="F2898" i="2"/>
  <c r="F3536" i="2"/>
  <c r="F3183" i="2"/>
  <c r="F3187" i="2"/>
  <c r="F4293" i="2"/>
  <c r="F4368" i="2"/>
  <c r="F4367" i="2"/>
  <c r="F1349" i="2"/>
  <c r="G1884" i="2"/>
  <c r="F4365" i="2"/>
  <c r="F4364" i="2"/>
  <c r="F4363" i="2"/>
  <c r="N1" i="2" l="1"/>
  <c r="G477" i="3"/>
  <c r="G10" i="3"/>
  <c r="AL10" i="3"/>
  <c r="K9" i="28"/>
  <c r="L9" i="28" s="1"/>
  <c r="G3242" i="2"/>
  <c r="G339" i="3"/>
  <c r="G189" i="3" l="1"/>
  <c r="G831" i="2"/>
  <c r="F52" i="2"/>
  <c r="F107" i="2"/>
  <c r="G1907" i="2"/>
  <c r="G785" i="2"/>
  <c r="G2803" i="2"/>
  <c r="G1108" i="2"/>
  <c r="G2915" i="2"/>
  <c r="F2916" i="2"/>
  <c r="G304" i="3"/>
  <c r="G8" i="28"/>
  <c r="L112" i="7"/>
  <c r="C26" i="9" l="1"/>
  <c r="B7" i="9"/>
  <c r="B8" i="9" s="1"/>
  <c r="B9" i="9" s="1"/>
  <c r="B10" i="9" s="1"/>
  <c r="B11" i="9" s="1"/>
  <c r="B12" i="9" s="1"/>
  <c r="B13" i="9" s="1"/>
  <c r="B14" i="9" s="1"/>
  <c r="B15" i="9" s="1"/>
  <c r="B16" i="9" s="1"/>
  <c r="C30" i="9" l="1"/>
  <c r="C34" i="9" s="1"/>
  <c r="C35" i="9" s="1"/>
  <c r="C43" i="9" s="1"/>
  <c r="C44" i="9" s="1"/>
  <c r="C46" i="9" s="1"/>
  <c r="C53" i="9" s="1"/>
  <c r="G195" i="2"/>
  <c r="F195" i="2"/>
  <c r="G908" i="2"/>
  <c r="G1345" i="2"/>
  <c r="G3564" i="2"/>
  <c r="G61" i="3"/>
  <c r="G629" i="2"/>
  <c r="G654" i="2"/>
  <c r="G367" i="2"/>
  <c r="G3568" i="2"/>
  <c r="G3574" i="2"/>
  <c r="G3578" i="2"/>
  <c r="G3582" i="2"/>
  <c r="F3613" i="2"/>
  <c r="G1026" i="2"/>
  <c r="AM30" i="3"/>
  <c r="G123" i="3"/>
  <c r="AL337" i="3"/>
  <c r="AL323" i="3"/>
  <c r="AL322" i="3"/>
  <c r="AL207" i="3"/>
  <c r="AL206" i="3"/>
  <c r="AL205" i="3"/>
  <c r="AL204" i="3"/>
  <c r="AL203" i="3"/>
  <c r="AL202" i="3"/>
  <c r="AL201" i="3"/>
  <c r="AL200" i="3"/>
  <c r="AL199" i="3"/>
  <c r="AL198" i="3"/>
  <c r="AL197" i="3"/>
  <c r="AL196" i="3"/>
  <c r="AL195" i="3"/>
  <c r="AL194" i="3"/>
  <c r="AL193" i="3"/>
  <c r="AL192" i="3"/>
  <c r="AL191" i="3"/>
  <c r="AL190" i="3"/>
  <c r="AL182" i="3"/>
  <c r="AL188" i="3"/>
  <c r="AL185" i="3"/>
  <c r="AL187" i="3"/>
  <c r="AL186" i="3"/>
  <c r="AL184" i="3"/>
  <c r="AL180" i="3"/>
  <c r="AL179" i="3"/>
  <c r="AL178" i="3"/>
  <c r="AL172" i="3"/>
  <c r="AL171" i="3"/>
  <c r="AL170" i="3"/>
  <c r="AL169" i="3"/>
  <c r="AL168" i="3"/>
  <c r="AL167" i="3"/>
  <c r="AL165" i="3"/>
  <c r="AL164" i="3"/>
  <c r="AL163" i="3"/>
  <c r="AL162" i="3"/>
  <c r="AL161" i="3"/>
  <c r="AL160" i="3"/>
  <c r="AL159" i="3"/>
  <c r="AL158" i="3"/>
  <c r="AL157" i="3"/>
  <c r="AL156" i="3"/>
  <c r="AL155" i="3"/>
  <c r="AL154" i="3"/>
  <c r="AL153" i="3"/>
  <c r="AL152" i="3"/>
  <c r="AL150" i="3"/>
  <c r="AL149" i="3"/>
  <c r="AL145" i="3"/>
  <c r="AL144" i="3"/>
  <c r="AL143" i="3"/>
  <c r="AL142" i="3"/>
  <c r="AL141" i="3"/>
  <c r="AL140" i="3"/>
  <c r="AL139" i="3"/>
  <c r="AL138" i="3"/>
  <c r="AL137" i="3"/>
  <c r="AL136" i="3"/>
  <c r="AL135" i="3"/>
  <c r="AL134" i="3"/>
  <c r="AL133" i="3"/>
  <c r="AL132" i="3"/>
  <c r="AL131" i="3"/>
  <c r="AL25" i="3"/>
  <c r="AL126" i="3"/>
  <c r="AL125" i="3"/>
  <c r="AL124" i="3"/>
  <c r="AL121" i="3"/>
  <c r="AL120" i="3"/>
  <c r="AL119" i="3"/>
  <c r="AL112" i="3"/>
  <c r="AL110" i="3"/>
  <c r="AL109" i="3"/>
  <c r="AL107" i="3"/>
  <c r="AL106" i="3"/>
  <c r="AL105" i="3"/>
  <c r="AL99" i="3"/>
  <c r="AL97" i="3"/>
  <c r="AL94" i="3"/>
  <c r="AL93" i="3"/>
  <c r="AL37" i="3"/>
  <c r="AL92" i="3"/>
  <c r="AL91" i="3"/>
  <c r="AL90" i="3"/>
  <c r="AL89" i="3"/>
  <c r="AL88" i="3"/>
  <c r="AL87" i="3"/>
  <c r="AL86" i="3"/>
  <c r="AL85" i="3"/>
  <c r="AL84" i="3"/>
  <c r="AL83" i="3"/>
  <c r="AL82" i="3"/>
  <c r="AL81" i="3"/>
  <c r="AL79" i="3"/>
  <c r="AL76" i="3"/>
  <c r="AL75" i="3"/>
  <c r="AL74" i="3"/>
  <c r="AL28" i="3"/>
  <c r="AL73" i="3"/>
  <c r="AL72" i="3"/>
  <c r="AL71" i="3"/>
  <c r="AL70" i="3"/>
  <c r="AL69" i="3"/>
  <c r="AL68" i="3"/>
  <c r="AL67" i="3"/>
  <c r="AL66" i="3"/>
  <c r="AL65" i="3"/>
  <c r="AL64" i="3"/>
  <c r="AL62" i="3"/>
  <c r="AL60" i="3"/>
  <c r="AL59" i="3"/>
  <c r="AL58" i="3"/>
  <c r="AL57" i="3"/>
  <c r="AL56" i="3"/>
  <c r="AL55" i="3"/>
  <c r="AL54" i="3"/>
  <c r="AL53" i="3"/>
  <c r="AL52" i="3"/>
  <c r="AL48" i="3"/>
  <c r="AL47" i="3"/>
  <c r="AL46" i="3"/>
  <c r="AL387" i="3"/>
  <c r="AL45" i="3"/>
  <c r="AL44" i="3"/>
  <c r="AL43" i="3"/>
  <c r="AL42" i="3"/>
  <c r="AL41" i="3"/>
  <c r="AL38" i="3"/>
  <c r="AL36" i="3"/>
  <c r="AL35" i="3"/>
  <c r="AL34" i="3"/>
  <c r="AL32" i="3"/>
  <c r="AL31" i="3"/>
  <c r="AL30" i="3"/>
  <c r="AL29" i="3"/>
  <c r="AL27" i="3"/>
  <c r="AL24" i="3"/>
  <c r="AL23" i="3"/>
  <c r="AL22" i="3"/>
  <c r="AL21" i="3"/>
  <c r="AL20" i="3"/>
  <c r="AL19" i="3"/>
  <c r="AL18" i="3"/>
  <c r="AL17" i="3"/>
  <c r="AL16" i="3"/>
  <c r="AL15" i="3"/>
  <c r="AL14" i="3"/>
  <c r="AL11" i="3"/>
  <c r="AL12" i="3"/>
  <c r="AL13" i="3"/>
  <c r="AL7" i="3"/>
  <c r="AL8" i="3"/>
  <c r="AL4" i="3"/>
  <c r="AL6" i="3"/>
  <c r="AL5" i="3"/>
  <c r="F3175" i="2"/>
  <c r="F4316" i="2"/>
  <c r="F4315" i="2"/>
  <c r="F4314" i="2"/>
  <c r="F2079" i="2"/>
  <c r="F3174" i="2"/>
  <c r="G63" i="3"/>
  <c r="F4312" i="2"/>
  <c r="F4311" i="2"/>
  <c r="F331" i="2"/>
  <c r="F3570" i="2"/>
  <c r="F3568" i="2" s="1"/>
  <c r="G302" i="2"/>
  <c r="F329" i="2"/>
  <c r="G3" i="2"/>
  <c r="F21" i="2"/>
  <c r="G427" i="3"/>
  <c r="C57" i="9" l="1"/>
  <c r="C58" i="9" s="1"/>
  <c r="C59" i="9" s="1"/>
  <c r="C60" i="9" s="1"/>
  <c r="J10" i="25"/>
  <c r="P8" i="25"/>
  <c r="O8" i="25"/>
  <c r="P23" i="25"/>
  <c r="P22" i="25"/>
  <c r="O23" i="25"/>
  <c r="O22" i="25"/>
  <c r="C61" i="9" l="1"/>
  <c r="C62" i="9" s="1"/>
  <c r="C63" i="9" s="1"/>
  <c r="C64" i="9" s="1"/>
  <c r="C65" i="9" s="1"/>
  <c r="C66" i="9" s="1"/>
  <c r="C67" i="9" s="1"/>
  <c r="C68" i="9" s="1"/>
  <c r="C69" i="9" s="1"/>
  <c r="C70" i="9" s="1"/>
  <c r="C71" i="9" s="1"/>
  <c r="P7" i="25"/>
  <c r="O7" i="25"/>
  <c r="P6" i="25"/>
  <c r="O6" i="25"/>
  <c r="F3543" i="2" l="1"/>
  <c r="G3543" i="2"/>
  <c r="G3586" i="2"/>
  <c r="F3342" i="2"/>
  <c r="P16" i="25"/>
  <c r="J30" i="25"/>
  <c r="O16" i="25"/>
  <c r="P3" i="25"/>
  <c r="O3" i="25"/>
  <c r="J31" i="25"/>
  <c r="I58" i="25" l="1"/>
  <c r="I40" i="25"/>
  <c r="I21" i="25"/>
  <c r="I20" i="25"/>
  <c r="I13" i="25"/>
  <c r="I10" i="25"/>
  <c r="I15" i="25"/>
  <c r="I14" i="25"/>
  <c r="I11" i="25"/>
  <c r="I18" i="25"/>
  <c r="I19" i="25"/>
  <c r="I12" i="25"/>
  <c r="I9" i="25"/>
  <c r="I7" i="25"/>
  <c r="I8" i="25"/>
  <c r="I6" i="25"/>
  <c r="I5" i="25"/>
  <c r="G4" i="25"/>
  <c r="I4" i="25" s="1"/>
  <c r="I3" i="25"/>
  <c r="G111" i="3" l="1"/>
  <c r="G59" i="3"/>
  <c r="G60" i="3"/>
  <c r="G1657" i="2"/>
  <c r="G238" i="2"/>
  <c r="G2531" i="2"/>
  <c r="F639" i="2"/>
  <c r="G1543" i="2"/>
  <c r="F1543" i="2"/>
  <c r="G62" i="3"/>
  <c r="G52" i="3"/>
  <c r="G1965" i="2"/>
  <c r="F1969" i="2"/>
  <c r="F4304" i="2"/>
  <c r="F3584" i="2"/>
  <c r="F2303" i="2"/>
  <c r="G2423" i="2"/>
  <c r="G2260" i="2"/>
  <c r="F2262" i="2"/>
  <c r="G2027" i="2"/>
  <c r="F2029" i="2"/>
  <c r="F2633" i="2"/>
  <c r="G1337" i="2"/>
  <c r="F1340" i="2"/>
  <c r="G64" i="3"/>
  <c r="F613" i="2"/>
  <c r="G1159" i="2"/>
  <c r="F1159" i="2"/>
  <c r="G1601" i="2"/>
  <c r="F1601" i="2"/>
  <c r="G1079" i="2"/>
  <c r="F1079" i="2"/>
  <c r="G41" i="3"/>
  <c r="G68" i="3"/>
  <c r="G36" i="3"/>
  <c r="G35" i="3"/>
  <c r="G20" i="3"/>
  <c r="G1437" i="2"/>
  <c r="F1440" i="2"/>
  <c r="F1437" i="2" s="1"/>
  <c r="F1814" i="2"/>
  <c r="F365" i="2"/>
  <c r="G181" i="2"/>
  <c r="G31" i="3"/>
  <c r="G30" i="3"/>
  <c r="G426" i="2"/>
  <c r="G29" i="3"/>
  <c r="G27" i="3"/>
  <c r="F1488" i="2"/>
  <c r="F4302" i="2"/>
  <c r="F54" i="2"/>
  <c r="F4301" i="2"/>
  <c r="F599" i="2"/>
  <c r="F379" i="2"/>
  <c r="F1262" i="2"/>
  <c r="F1347" i="2"/>
  <c r="G24" i="3"/>
  <c r="G23" i="3"/>
  <c r="G22" i="3"/>
  <c r="G21" i="3"/>
  <c r="F20" i="2"/>
  <c r="F154" i="2"/>
  <c r="G16" i="3"/>
  <c r="G14" i="3"/>
  <c r="G12" i="3"/>
  <c r="F1198" i="2"/>
  <c r="F1193" i="2" s="1"/>
  <c r="F1487" i="2"/>
  <c r="F108" i="2"/>
  <c r="F3594" i="2"/>
  <c r="F578" i="2"/>
  <c r="F179" i="2"/>
  <c r="F53" i="2"/>
  <c r="F270" i="2"/>
  <c r="F4296" i="2"/>
  <c r="F911" i="2"/>
  <c r="F192" i="2"/>
  <c r="F3566" i="2"/>
  <c r="F3564" i="2" s="1"/>
  <c r="F1077" i="2"/>
  <c r="F733" i="2"/>
  <c r="F4290" i="2"/>
  <c r="F961" i="2"/>
  <c r="F441" i="2"/>
  <c r="F364" i="2"/>
  <c r="F4273" i="2"/>
  <c r="F611" i="2"/>
  <c r="F143" i="2"/>
  <c r="F153" i="2"/>
  <c r="F4284" i="2"/>
  <c r="F722" i="2"/>
  <c r="G569" i="2"/>
  <c r="F577" i="2"/>
  <c r="F178" i="2"/>
  <c r="E178" i="2"/>
  <c r="F1281" i="2"/>
  <c r="F269" i="2"/>
  <c r="F910" i="2"/>
  <c r="F908" i="2" s="1"/>
  <c r="F191" i="2"/>
  <c r="F532" i="2"/>
  <c r="F1076" i="2"/>
  <c r="F732" i="2"/>
  <c r="F960" i="2"/>
  <c r="F327" i="2"/>
  <c r="F363" i="2"/>
  <c r="F1611" i="2"/>
  <c r="G580" i="2"/>
  <c r="K583" i="2"/>
  <c r="G1484" i="2"/>
  <c r="F1486" i="2"/>
  <c r="F106" i="2"/>
  <c r="F4281" i="2"/>
  <c r="G715" i="2"/>
  <c r="F721" i="2"/>
  <c r="G23" i="2"/>
  <c r="G1209" i="2"/>
  <c r="F1215" i="2"/>
  <c r="G1278" i="2"/>
  <c r="F1280" i="2"/>
  <c r="F582" i="2"/>
  <c r="F4277" i="2"/>
  <c r="G528" i="2"/>
  <c r="F531" i="2"/>
  <c r="F4275" i="2"/>
  <c r="G728" i="2"/>
  <c r="F731" i="2"/>
  <c r="F440" i="2"/>
  <c r="F378" i="2"/>
  <c r="F4271" i="2"/>
  <c r="G779" i="2"/>
  <c r="F783" i="2"/>
  <c r="F779" i="2" s="1"/>
  <c r="E783" i="2"/>
  <c r="G1084" i="2"/>
  <c r="F1086" i="2"/>
  <c r="F1084" i="2" s="1"/>
  <c r="G1880" i="2"/>
  <c r="F1882" i="2"/>
  <c r="F1880" i="2" s="1"/>
  <c r="G110" i="2"/>
  <c r="F141" i="2"/>
  <c r="F1484" i="2" l="1"/>
  <c r="F1278" i="2"/>
  <c r="G305" i="3"/>
  <c r="F2397" i="2"/>
  <c r="F4266" i="2"/>
  <c r="G345" i="3"/>
  <c r="G306" i="3"/>
  <c r="F858" i="2"/>
  <c r="F810" i="2"/>
  <c r="F1599" i="2"/>
  <c r="G422" i="3"/>
  <c r="G252" i="3"/>
  <c r="F4260" i="2"/>
  <c r="F4258" i="2"/>
  <c r="F3576" i="2"/>
  <c r="G1065" i="2"/>
  <c r="G298" i="3"/>
  <c r="G300" i="3"/>
  <c r="F4256" i="2"/>
  <c r="F4254" i="2"/>
  <c r="F4255" i="2"/>
  <c r="F4115" i="2"/>
  <c r="G641" i="2"/>
  <c r="F651" i="2"/>
  <c r="F4253" i="2"/>
  <c r="F1634" i="2"/>
  <c r="F2810" i="2"/>
  <c r="G2943" i="2"/>
  <c r="G2810" i="2"/>
  <c r="G355" i="3"/>
  <c r="G221" i="3"/>
  <c r="F3410" i="2"/>
  <c r="G3410" i="2"/>
  <c r="F4250" i="2"/>
  <c r="G1456" i="2"/>
  <c r="F4248" i="2"/>
  <c r="G3169" i="2"/>
  <c r="F3173" i="2"/>
  <c r="F3597" i="2"/>
  <c r="F4246" i="2"/>
  <c r="F4245" i="2"/>
  <c r="F4244" i="2"/>
  <c r="F4243" i="2"/>
  <c r="G292" i="3"/>
  <c r="F2016" i="2"/>
  <c r="F2324" i="2"/>
  <c r="G329" i="3"/>
  <c r="N43" i="7"/>
  <c r="N1" i="7"/>
  <c r="L117" i="7"/>
  <c r="F3492" i="2"/>
  <c r="G2039" i="2"/>
  <c r="F194" i="3"/>
  <c r="G194" i="3" s="1"/>
  <c r="G195" i="3"/>
  <c r="G196" i="3"/>
  <c r="G337" i="3" l="1"/>
  <c r="G323" i="3"/>
  <c r="G322" i="3"/>
  <c r="G15" i="3"/>
  <c r="D45" i="7" l="1"/>
  <c r="D119" i="7"/>
  <c r="L82" i="7"/>
  <c r="D64" i="7"/>
  <c r="D62" i="7"/>
  <c r="D77" i="7"/>
  <c r="D103" i="7"/>
  <c r="L105" i="7"/>
  <c r="L113" i="7"/>
  <c r="L122" i="7"/>
  <c r="L134" i="7"/>
  <c r="L111" i="7"/>
  <c r="L12" i="7"/>
  <c r="L128" i="7"/>
  <c r="L119" i="7"/>
  <c r="L118" i="7"/>
  <c r="L92" i="7"/>
  <c r="L115" i="7"/>
  <c r="L114" i="7"/>
  <c r="L91" i="7"/>
  <c r="L103" i="7"/>
  <c r="L130" i="7"/>
  <c r="L97" i="7"/>
  <c r="L125" i="7"/>
  <c r="L77" i="7"/>
  <c r="L133" i="7"/>
  <c r="L33" i="7"/>
  <c r="L25" i="7"/>
  <c r="L24" i="7"/>
  <c r="L23" i="7"/>
  <c r="L21" i="7"/>
  <c r="L19" i="7"/>
  <c r="L18" i="7"/>
  <c r="L15" i="7"/>
  <c r="L11" i="7"/>
  <c r="L10" i="7"/>
  <c r="L9" i="7"/>
  <c r="L8" i="7"/>
  <c r="L7" i="7"/>
  <c r="L6" i="7"/>
  <c r="L4" i="7"/>
  <c r="L3" i="7"/>
  <c r="D30" i="7"/>
  <c r="D69" i="7"/>
  <c r="F702" i="2"/>
  <c r="F2776" i="2"/>
  <c r="F2949" i="2"/>
  <c r="G261" i="3"/>
  <c r="G2770" i="2"/>
  <c r="G1447" i="2"/>
  <c r="G463" i="3"/>
  <c r="G2235" i="2"/>
  <c r="G2239" i="2"/>
  <c r="G1637" i="2"/>
  <c r="G1641" i="2"/>
  <c r="G2128" i="2"/>
  <c r="G1848" i="2"/>
  <c r="G1526" i="2"/>
  <c r="F1526" i="2"/>
  <c r="G1296" i="2"/>
  <c r="F1296" i="2"/>
  <c r="G1408" i="2"/>
  <c r="F1408" i="2"/>
  <c r="G2935" i="2"/>
  <c r="F2935" i="2"/>
  <c r="G2766" i="2"/>
  <c r="G2639" i="2"/>
  <c r="F2639" i="2"/>
  <c r="G3458" i="2"/>
  <c r="F3458" i="2"/>
  <c r="G1217" i="2"/>
  <c r="F1217" i="2"/>
  <c r="G2003" i="2"/>
  <c r="F2003" i="2"/>
  <c r="G2271" i="2"/>
  <c r="G2561" i="2"/>
  <c r="G1692" i="2"/>
  <c r="G3265" i="2"/>
  <c r="G287" i="3"/>
  <c r="G2107" i="2"/>
  <c r="G446" i="3"/>
  <c r="G426" i="3"/>
  <c r="G3330" i="2"/>
  <c r="F3330" i="2"/>
  <c r="G226" i="3"/>
  <c r="F2399" i="2"/>
  <c r="G211" i="3"/>
  <c r="F987" i="2"/>
  <c r="F615" i="2"/>
  <c r="F700" i="2"/>
  <c r="F1956" i="2"/>
  <c r="F857" i="2"/>
  <c r="G213" i="3"/>
  <c r="F856" i="2"/>
  <c r="F1955" i="2"/>
  <c r="F699" i="2"/>
  <c r="F959" i="2"/>
  <c r="G2016" i="2"/>
  <c r="G3211" i="2"/>
  <c r="G2789" i="2"/>
  <c r="G3442" i="2"/>
  <c r="G1552" i="2"/>
  <c r="G2798" i="2"/>
  <c r="G3505" i="2"/>
  <c r="G3013" i="2"/>
  <c r="G2939" i="2"/>
  <c r="G3397" i="2"/>
  <c r="F3397" i="2"/>
  <c r="G3371" i="2"/>
  <c r="G3556" i="2"/>
  <c r="G210" i="3"/>
  <c r="G1990" i="2"/>
  <c r="G1896" i="2"/>
  <c r="G1319" i="2"/>
  <c r="G2662" i="2"/>
  <c r="G2206" i="2"/>
  <c r="F2206" i="2"/>
  <c r="G1360" i="2"/>
  <c r="G3438" i="2"/>
  <c r="G3446" i="2"/>
  <c r="G3085" i="2"/>
  <c r="G3193" i="2"/>
  <c r="G2830" i="2"/>
  <c r="G2244" i="2"/>
  <c r="G2748" i="2"/>
  <c r="G2977" i="2"/>
  <c r="G2652" i="2"/>
  <c r="G2570" i="2"/>
  <c r="G2574" i="2"/>
  <c r="G3381" i="2"/>
  <c r="G3342" i="2"/>
  <c r="G214" i="3"/>
  <c r="G3058" i="2"/>
  <c r="G3355" i="2"/>
  <c r="G2216" i="2"/>
  <c r="F2216" i="2"/>
  <c r="G2710" i="2"/>
  <c r="F2710" i="2"/>
  <c r="G3252" i="2"/>
  <c r="G3519" i="2"/>
  <c r="F3519" i="2"/>
  <c r="F3214" i="2"/>
  <c r="F3211" i="2" s="1"/>
  <c r="F3374" i="2"/>
  <c r="F3371" i="2" s="1"/>
  <c r="F3558" i="2"/>
  <c r="F3556" i="2" s="1"/>
  <c r="G1684" i="2"/>
  <c r="F1684" i="2"/>
  <c r="G1431" i="2"/>
  <c r="G3462" i="2"/>
  <c r="F3462" i="2"/>
  <c r="G3509" i="2"/>
  <c r="F3513" i="2"/>
  <c r="F424" i="2"/>
  <c r="F4216" i="2"/>
  <c r="G2091" i="2"/>
  <c r="G1002" i="2"/>
  <c r="G3073" i="2"/>
  <c r="F3073" i="2"/>
  <c r="G1272" i="2"/>
  <c r="G2310" i="2"/>
  <c r="F2310" i="2"/>
  <c r="G3492" i="2"/>
  <c r="G3376" i="2"/>
  <c r="G3183" i="2"/>
  <c r="G2614" i="2"/>
  <c r="G2960" i="2"/>
  <c r="G2686" i="2"/>
  <c r="F2686" i="2"/>
  <c r="G3165" i="2"/>
  <c r="F3165" i="2"/>
  <c r="G3009" i="2"/>
  <c r="F3009" i="2"/>
  <c r="G3111" i="2"/>
  <c r="F3111" i="2"/>
  <c r="G2969" i="2"/>
  <c r="F268" i="2"/>
  <c r="G224" i="3"/>
  <c r="G235" i="3"/>
  <c r="G182" i="3"/>
  <c r="G212" i="3"/>
  <c r="G177" i="3"/>
  <c r="F3033" i="2"/>
  <c r="F2196" i="2"/>
  <c r="G223" i="3"/>
  <c r="G1829" i="2"/>
  <c r="G225" i="3"/>
  <c r="F2587" i="2"/>
  <c r="G222" i="3"/>
  <c r="F4187" i="2" l="1"/>
  <c r="F495" i="2"/>
  <c r="G1948" i="2"/>
  <c r="F1953" i="2"/>
  <c r="F1948" i="2" s="1"/>
  <c r="F494" i="2"/>
  <c r="F3059" i="2"/>
  <c r="F3058" i="2" s="1"/>
  <c r="F2940" i="2"/>
  <c r="F2939" i="2" s="1"/>
  <c r="F3014" i="2"/>
  <c r="F3013" i="2" s="1"/>
  <c r="F772" i="2"/>
  <c r="F3507" i="2"/>
  <c r="F2801" i="2"/>
  <c r="F2798" i="2" s="1"/>
  <c r="F2534" i="2"/>
  <c r="F2531" i="2" s="1"/>
  <c r="F1674" i="2"/>
  <c r="G220" i="3"/>
  <c r="F4070" i="2"/>
  <c r="F3506" i="2"/>
  <c r="F1396" i="2"/>
  <c r="F3379" i="2"/>
  <c r="F3376" i="2" s="1"/>
  <c r="F1419" i="2"/>
  <c r="F1412" i="2" s="1"/>
  <c r="F2116" i="2"/>
  <c r="F299" i="2"/>
  <c r="F3444" i="2"/>
  <c r="F3442" i="2" s="1"/>
  <c r="G219" i="3"/>
  <c r="F1859" i="2"/>
  <c r="F560" i="2"/>
  <c r="F2963" i="2"/>
  <c r="G148" i="3"/>
  <c r="F2791" i="2"/>
  <c r="F2789" i="2" s="1"/>
  <c r="F4037" i="2"/>
  <c r="F2971" i="2"/>
  <c r="F2962" i="2"/>
  <c r="F3593" i="2"/>
  <c r="F558" i="2"/>
  <c r="F2970" i="2"/>
  <c r="F2961" i="2"/>
  <c r="G2413" i="2"/>
  <c r="F2413" i="2"/>
  <c r="F3535" i="2"/>
  <c r="F4185" i="2"/>
  <c r="F3478" i="2"/>
  <c r="F4184" i="2"/>
  <c r="G147" i="3"/>
  <c r="G3189" i="2"/>
  <c r="F3189" i="2"/>
  <c r="G3157" i="2"/>
  <c r="F3477" i="2"/>
  <c r="G255" i="3"/>
  <c r="F468" i="2"/>
  <c r="F2562" i="2"/>
  <c r="F2561" i="2" s="1"/>
  <c r="F1393" i="2"/>
  <c r="B17" i="9"/>
  <c r="B18" i="9" s="1"/>
  <c r="B19" i="9" s="1"/>
  <c r="B20" i="9" s="1"/>
  <c r="G2973" i="2"/>
  <c r="G130" i="3"/>
  <c r="F3405" i="2"/>
  <c r="F2451" i="2"/>
  <c r="G2451" i="2"/>
  <c r="G122" i="3"/>
  <c r="G1917" i="2"/>
  <c r="F1919" i="2"/>
  <c r="F1917" i="2" s="1"/>
  <c r="G3081" i="2"/>
  <c r="G3269" i="2"/>
  <c r="G2744" i="2"/>
  <c r="F2746" i="2"/>
  <c r="F2744" i="2" s="1"/>
  <c r="F1104" i="2"/>
  <c r="B21" i="9" l="1"/>
  <c r="F3505" i="2"/>
  <c r="F2960" i="2"/>
  <c r="F2969" i="2"/>
  <c r="G118" i="3"/>
  <c r="G98" i="3"/>
  <c r="F1718" i="2"/>
  <c r="F2431" i="2"/>
  <c r="G1351" i="2"/>
  <c r="F1355" i="2"/>
  <c r="F925" i="2"/>
  <c r="F913" i="2" s="1"/>
  <c r="F1946" i="2"/>
  <c r="G80" i="3"/>
  <c r="G114" i="3"/>
  <c r="F2272" i="2"/>
  <c r="F2271" i="2" s="1"/>
  <c r="G117" i="3"/>
  <c r="F968" i="2"/>
  <c r="F1164" i="2"/>
  <c r="F1200" i="2"/>
  <c r="F1704" i="2"/>
  <c r="F1720" i="2"/>
  <c r="F1726" i="2"/>
  <c r="F488" i="2"/>
  <c r="F472" i="2" s="1"/>
  <c r="F1188" i="2"/>
  <c r="G115" i="3"/>
  <c r="G33" i="3"/>
  <c r="G167" i="3"/>
  <c r="G191" i="3"/>
  <c r="G159" i="3"/>
  <c r="G176" i="3"/>
  <c r="G88" i="3"/>
  <c r="G83" i="3"/>
  <c r="G76" i="3"/>
  <c r="G387" i="3"/>
  <c r="G72" i="3"/>
  <c r="G78" i="3"/>
  <c r="G70" i="3"/>
  <c r="G57" i="3"/>
  <c r="G94" i="3"/>
  <c r="G89" i="3"/>
  <c r="G87" i="3"/>
  <c r="G85" i="3"/>
  <c r="G56" i="3"/>
  <c r="G53" i="3"/>
  <c r="G91" i="3"/>
  <c r="G86" i="3"/>
  <c r="G74" i="3"/>
  <c r="G71" i="3"/>
  <c r="G75" i="3"/>
  <c r="G77" i="3"/>
  <c r="G66" i="3"/>
  <c r="G116" i="3"/>
  <c r="G67" i="3"/>
  <c r="G81" i="3"/>
  <c r="G82" i="3"/>
  <c r="G84" i="3"/>
  <c r="G73" i="3"/>
  <c r="G58" i="3"/>
  <c r="G105" i="3"/>
  <c r="F4050" i="2"/>
  <c r="F4049" i="2"/>
  <c r="F4048" i="2"/>
  <c r="F4047" i="2"/>
  <c r="F4046" i="2"/>
  <c r="F4045" i="2"/>
  <c r="F1046" i="2"/>
  <c r="F100" i="2"/>
  <c r="F3940" i="2"/>
  <c r="F99" i="2"/>
  <c r="F2616" i="2"/>
  <c r="F466" i="2"/>
  <c r="F3856" i="2"/>
  <c r="F3855" i="2"/>
  <c r="F3854" i="2"/>
  <c r="F465" i="2"/>
  <c r="F3853" i="2"/>
  <c r="F2615" i="2"/>
  <c r="F3852" i="2"/>
  <c r="F422" i="2"/>
  <c r="F1375" i="2"/>
  <c r="G44" i="3"/>
  <c r="G34" i="3"/>
  <c r="G138" i="3"/>
  <c r="G42" i="3"/>
  <c r="G45" i="3"/>
  <c r="G43" i="3"/>
  <c r="G48" i="3"/>
  <c r="G49" i="3"/>
  <c r="G50" i="3"/>
  <c r="F3271" i="2"/>
  <c r="F3269" i="2" s="1"/>
  <c r="F1985" i="2"/>
  <c r="F3979" i="2"/>
  <c r="G273" i="2"/>
  <c r="F295" i="2"/>
  <c r="F2768" i="2"/>
  <c r="F1523" i="2"/>
  <c r="F293" i="2"/>
  <c r="F2767" i="2"/>
  <c r="F2245" i="2"/>
  <c r="F2244" i="2" s="1"/>
  <c r="F1497" i="2"/>
  <c r="B22" i="9" l="1"/>
  <c r="B23" i="9" s="1"/>
  <c r="B24" i="9" s="1"/>
  <c r="B25" i="9" s="1"/>
  <c r="B26" i="9" s="1"/>
  <c r="B27" i="9" s="1"/>
  <c r="B28" i="9" s="1"/>
  <c r="B29" i="9" s="1"/>
  <c r="F2766" i="2"/>
  <c r="F2614" i="2"/>
  <c r="G172" i="3"/>
  <c r="G163" i="3"/>
  <c r="G192" i="3"/>
  <c r="G165" i="3"/>
  <c r="G175" i="3"/>
  <c r="G46" i="3"/>
  <c r="G155" i="3"/>
  <c r="G188" i="3"/>
  <c r="G169" i="3"/>
  <c r="G180" i="3"/>
  <c r="G162" i="3"/>
  <c r="G168" i="3"/>
  <c r="G199" i="3"/>
  <c r="G160" i="3"/>
  <c r="G156" i="3"/>
  <c r="G174" i="3"/>
  <c r="G173" i="3"/>
  <c r="G166" i="3"/>
  <c r="G187" i="3"/>
  <c r="G161" i="3"/>
  <c r="G164" i="3"/>
  <c r="G193" i="3"/>
  <c r="G96" i="3"/>
  <c r="G154" i="3"/>
  <c r="G153" i="3"/>
  <c r="G150" i="3"/>
  <c r="G151" i="3"/>
  <c r="G143" i="3"/>
  <c r="G152" i="3"/>
  <c r="G110" i="3"/>
  <c r="G140" i="3"/>
  <c r="G145" i="3"/>
  <c r="G144" i="3"/>
  <c r="G149" i="3"/>
  <c r="G141" i="3"/>
  <c r="G146" i="3"/>
  <c r="G142" i="3"/>
  <c r="G37" i="3"/>
  <c r="G132" i="3"/>
  <c r="G171" i="3"/>
  <c r="G134" i="3"/>
  <c r="G128" i="3"/>
  <c r="G137" i="3"/>
  <c r="B30" i="9" l="1"/>
  <c r="G126" i="3"/>
  <c r="G25" i="3"/>
  <c r="G127" i="3"/>
  <c r="G135" i="3"/>
  <c r="G131" i="3"/>
  <c r="G139" i="3"/>
  <c r="G136" i="3"/>
  <c r="G124" i="3"/>
  <c r="G121" i="3"/>
  <c r="G125" i="3"/>
  <c r="G120" i="3"/>
  <c r="G119" i="3"/>
  <c r="G103" i="3"/>
  <c r="G113" i="3"/>
  <c r="G109" i="3"/>
  <c r="G106" i="3"/>
  <c r="G107" i="3"/>
  <c r="G97" i="3"/>
  <c r="G99" i="3"/>
  <c r="G102" i="3"/>
  <c r="G92" i="3"/>
  <c r="G104" i="3"/>
  <c r="G101" i="3"/>
  <c r="G100" i="3"/>
  <c r="G95" i="3"/>
  <c r="G1221" i="2"/>
  <c r="G3005" i="2"/>
  <c r="G1876" i="2"/>
  <c r="F1876" i="2"/>
  <c r="G3474" i="2"/>
  <c r="G1810" i="2"/>
  <c r="F563" i="2"/>
  <c r="G2965" i="2"/>
  <c r="B31" i="9" l="1"/>
  <c r="F95" i="2"/>
  <c r="F1540" i="2"/>
  <c r="F1535" i="2" s="1"/>
  <c r="F2144" i="2"/>
  <c r="F2141" i="2" s="1"/>
  <c r="F1898" i="2"/>
  <c r="F1896" i="2" s="1"/>
  <c r="F1672" i="2"/>
  <c r="F2672" i="2"/>
  <c r="F3476" i="2"/>
  <c r="F3474" i="2" s="1"/>
  <c r="F1671" i="2"/>
  <c r="F420" i="2"/>
  <c r="F2076" i="2"/>
  <c r="F264" i="2"/>
  <c r="F1238" i="2"/>
  <c r="F418" i="2"/>
  <c r="F263" i="2"/>
  <c r="G1283" i="2"/>
  <c r="F1286" i="2"/>
  <c r="F377" i="2"/>
  <c r="F417" i="2"/>
  <c r="G1760" i="2"/>
  <c r="F1760" i="2"/>
  <c r="G1790" i="2"/>
  <c r="F1790" i="2"/>
  <c r="G3148" i="2"/>
  <c r="F3148" i="2"/>
  <c r="G2390" i="2"/>
  <c r="G3022" i="2"/>
  <c r="G1720" i="2"/>
  <c r="G2566" i="2"/>
  <c r="G2050" i="2"/>
  <c r="G674" i="2"/>
  <c r="F674" i="2"/>
  <c r="G1240" i="2"/>
  <c r="G2825" i="2"/>
  <c r="F1786" i="2"/>
  <c r="F4063" i="2"/>
  <c r="F2828" i="2"/>
  <c r="F1214" i="2"/>
  <c r="F1209" i="2" s="1"/>
  <c r="F1785" i="2"/>
  <c r="F2827" i="2"/>
  <c r="F2568" i="2"/>
  <c r="F2566" i="2" s="1"/>
  <c r="F2826" i="2"/>
  <c r="F2052" i="2"/>
  <c r="F2050" i="2" s="1"/>
  <c r="G1132" i="2"/>
  <c r="F1132" i="2"/>
  <c r="F874" i="2"/>
  <c r="F2693" i="2"/>
  <c r="F2690" i="2" s="1"/>
  <c r="G968" i="2"/>
  <c r="G2267" i="2"/>
  <c r="G2202" i="2"/>
  <c r="G3062" i="2"/>
  <c r="G1704" i="2"/>
  <c r="G3289" i="2"/>
  <c r="G2230" i="2"/>
  <c r="G2516" i="2"/>
  <c r="G2527" i="2"/>
  <c r="F953" i="2"/>
  <c r="F376" i="2"/>
  <c r="G1836" i="2"/>
  <c r="F1024" i="2"/>
  <c r="F1841" i="2"/>
  <c r="F1237" i="2"/>
  <c r="F1023" i="2"/>
  <c r="F952" i="2"/>
  <c r="F1840" i="2"/>
  <c r="F1838" i="2"/>
  <c r="F2529" i="2"/>
  <c r="F2518" i="2"/>
  <c r="F2232" i="2"/>
  <c r="F1837" i="2"/>
  <c r="F2528" i="2"/>
  <c r="F2517" i="2"/>
  <c r="G2375" i="2"/>
  <c r="F1020" i="2"/>
  <c r="F375" i="2"/>
  <c r="F2231" i="2"/>
  <c r="F3031" i="2"/>
  <c r="F3026" i="2" s="1"/>
  <c r="F809" i="2"/>
  <c r="F4066" i="2"/>
  <c r="F3291" i="2"/>
  <c r="G3033" i="2"/>
  <c r="G2366" i="2"/>
  <c r="F2366" i="2"/>
  <c r="G2146" i="2"/>
  <c r="F2862" i="2"/>
  <c r="F2860" i="2" s="1"/>
  <c r="E2862" i="2"/>
  <c r="G2860" i="2"/>
  <c r="F3290" i="2"/>
  <c r="G1994" i="2"/>
  <c r="F91" i="2"/>
  <c r="F290" i="2"/>
  <c r="F2148" i="2"/>
  <c r="F2146" i="2" s="1"/>
  <c r="F806" i="2"/>
  <c r="G1861" i="2"/>
  <c r="F1861" i="2"/>
  <c r="G2226" i="2"/>
  <c r="G1164" i="2"/>
  <c r="G1530" i="2"/>
  <c r="G991" i="2"/>
  <c r="G1613" i="2"/>
  <c r="G1443" i="2"/>
  <c r="G934" i="2"/>
  <c r="F934" i="2"/>
  <c r="G2151" i="2"/>
  <c r="F2151" i="2"/>
  <c r="G2678" i="2"/>
  <c r="F2680" i="2"/>
  <c r="F2678" i="2" s="1"/>
  <c r="F3834" i="2"/>
  <c r="F1292" i="2"/>
  <c r="F3747" i="2"/>
  <c r="F3746" i="2"/>
  <c r="F2295" i="2"/>
  <c r="F3745" i="2"/>
  <c r="F3744" i="2"/>
  <c r="F3743" i="2"/>
  <c r="F3742" i="2"/>
  <c r="F3741" i="2"/>
  <c r="F3740" i="2"/>
  <c r="F3739" i="2"/>
  <c r="F2010" i="2"/>
  <c r="F3575" i="2"/>
  <c r="F3574" i="2" s="1"/>
  <c r="G1617" i="2"/>
  <c r="G1928" i="2"/>
  <c r="G1324" i="2"/>
  <c r="G862" i="2"/>
  <c r="F862" i="2"/>
  <c r="G886" i="2"/>
  <c r="F928" i="2"/>
  <c r="G535" i="2"/>
  <c r="B32" i="9" l="1"/>
  <c r="B33" i="9" s="1"/>
  <c r="B34" i="9" s="1"/>
  <c r="F1836" i="2"/>
  <c r="F1225" i="2"/>
  <c r="F2825" i="2"/>
  <c r="F3289" i="2"/>
  <c r="F2527" i="2"/>
  <c r="F2516" i="2"/>
  <c r="F2230" i="2"/>
  <c r="G2537" i="2"/>
  <c r="G1774" i="2"/>
  <c r="G1377" i="2"/>
  <c r="F1377" i="2"/>
  <c r="G938" i="2"/>
  <c r="G963" i="2"/>
  <c r="G972" i="2"/>
  <c r="G3450" i="2"/>
  <c r="G2951" i="2"/>
  <c r="F2951" i="2"/>
  <c r="G2729" i="2"/>
  <c r="G2598" i="2"/>
  <c r="G2555" i="2"/>
  <c r="G2931" i="2"/>
  <c r="G2956" i="2"/>
  <c r="G1088" i="2"/>
  <c r="G3089" i="2"/>
  <c r="G1764" i="2"/>
  <c r="F1764" i="2"/>
  <c r="G3367" i="2"/>
  <c r="G2007" i="2"/>
  <c r="G3047" i="2"/>
  <c r="F3047" i="2"/>
  <c r="G3043" i="2"/>
  <c r="F3043" i="2"/>
  <c r="G2582" i="2"/>
  <c r="G3418" i="2"/>
  <c r="F3418" i="2"/>
  <c r="F3361" i="2"/>
  <c r="F3359" i="2" s="1"/>
  <c r="L3360" i="2"/>
  <c r="G3359" i="2"/>
  <c r="G3301" i="2"/>
  <c r="G2545" i="2"/>
  <c r="F2545" i="2"/>
  <c r="G2362" i="2"/>
  <c r="G1938" i="2"/>
  <c r="G3018" i="2"/>
  <c r="G2370" i="2"/>
  <c r="G2502" i="2"/>
  <c r="G3497" i="2"/>
  <c r="G1472" i="2"/>
  <c r="G3552" i="2"/>
  <c r="F3552" i="2"/>
  <c r="G3528" i="2"/>
  <c r="G2282" i="2"/>
  <c r="F2282" i="2"/>
  <c r="G2840" i="2"/>
  <c r="G2137" i="2"/>
  <c r="F2137" i="2"/>
  <c r="G2133" i="2"/>
  <c r="F2133" i="2"/>
  <c r="G2604" i="2"/>
  <c r="F2604" i="2"/>
  <c r="G2405" i="2"/>
  <c r="F2405" i="2"/>
  <c r="G3107" i="2"/>
  <c r="G2815" i="2"/>
  <c r="G490" i="2"/>
  <c r="G2725" i="2"/>
  <c r="F2725" i="2"/>
  <c r="F2997" i="2"/>
  <c r="G2997" i="2"/>
  <c r="G2993" i="2"/>
  <c r="F2993" i="2"/>
  <c r="G2989" i="2"/>
  <c r="G2578" i="2"/>
  <c r="F2578" i="2"/>
  <c r="G3466" i="2"/>
  <c r="F3466" i="2"/>
  <c r="G2820" i="2"/>
  <c r="G2380" i="2"/>
  <c r="F2380" i="2"/>
  <c r="G2845" i="2"/>
  <c r="G3144" i="2"/>
  <c r="F3144" i="2"/>
  <c r="G2981" i="2"/>
  <c r="F2981" i="2"/>
  <c r="G2850" i="2"/>
  <c r="F2850" i="2"/>
  <c r="F3242" i="2"/>
  <c r="G3097" i="2"/>
  <c r="G3216" i="2"/>
  <c r="F3216" i="2"/>
  <c r="G2482" i="2"/>
  <c r="F2482" i="2"/>
  <c r="G2592" i="2"/>
  <c r="G2463" i="2"/>
  <c r="F2463" i="2"/>
  <c r="G2645" i="2"/>
  <c r="G3233" i="2"/>
  <c r="F3233" i="2"/>
  <c r="G1503" i="2"/>
  <c r="G1200" i="2"/>
  <c r="G1999" i="2"/>
  <c r="F1999" i="2"/>
  <c r="G1942" i="2"/>
  <c r="G2155" i="2"/>
  <c r="G1497" i="2"/>
  <c r="G1934" i="2"/>
  <c r="F1934" i="2"/>
  <c r="G3548" i="2"/>
  <c r="F3548" i="2"/>
  <c r="G1059" i="2"/>
  <c r="G1288" i="2"/>
  <c r="G2696" i="2"/>
  <c r="G3389" i="2"/>
  <c r="G2446" i="2"/>
  <c r="G3247" i="2"/>
  <c r="G3363" i="2"/>
  <c r="G3026" i="2"/>
  <c r="G3121" i="2"/>
  <c r="G3115" i="2"/>
  <c r="G2985" i="2"/>
  <c r="G997" i="2"/>
  <c r="G3277" i="2"/>
  <c r="F3277" i="2"/>
  <c r="G3470" i="2"/>
  <c r="F3470" i="2"/>
  <c r="G2733" i="2"/>
  <c r="G2618" i="2"/>
  <c r="F2618" i="2"/>
  <c r="G2512" i="2"/>
  <c r="G2220" i="2"/>
  <c r="G2631" i="2"/>
  <c r="G2356" i="2"/>
  <c r="G1329" i="2"/>
  <c r="G3532" i="2"/>
  <c r="G724" i="2"/>
  <c r="F724" i="2"/>
  <c r="G3203" i="2"/>
  <c r="F3203" i="2"/>
  <c r="G3067" i="2"/>
  <c r="F3067" i="2"/>
  <c r="G2428" i="2"/>
  <c r="G3281" i="2"/>
  <c r="G3134" i="2"/>
  <c r="F3134" i="2"/>
  <c r="G3161" i="2"/>
  <c r="F3161" i="2"/>
  <c r="G3238" i="2"/>
  <c r="G2324" i="2"/>
  <c r="G2399" i="2"/>
  <c r="G1921" i="2"/>
  <c r="G2878" i="2"/>
  <c r="F2878" i="2"/>
  <c r="G2785" i="2"/>
  <c r="F2785" i="2"/>
  <c r="G3405" i="2"/>
  <c r="G3338" i="2"/>
  <c r="F3338" i="2"/>
  <c r="G3347" i="2"/>
  <c r="F3347" i="2"/>
  <c r="G3393" i="2"/>
  <c r="F3393" i="2"/>
  <c r="G1700" i="2"/>
  <c r="G2301" i="2"/>
  <c r="G2690" i="2"/>
  <c r="G3256" i="2"/>
  <c r="G1688" i="2"/>
  <c r="F1688" i="2"/>
  <c r="G3039" i="2"/>
  <c r="G3093" i="2"/>
  <c r="F3093" i="2"/>
  <c r="G2835" i="2"/>
  <c r="F2835" i="2"/>
  <c r="G3077" i="2"/>
  <c r="F3077" i="2"/>
  <c r="G3538" i="2"/>
  <c r="G1778" i="2"/>
  <c r="G3139" i="2"/>
  <c r="G3334" i="2"/>
  <c r="F3334" i="2"/>
  <c r="F3385" i="2"/>
  <c r="G3385" i="2"/>
  <c r="G2609" i="2"/>
  <c r="F2609" i="2"/>
  <c r="G3480" i="2"/>
  <c r="F3480" i="2"/>
  <c r="G3484" i="2"/>
  <c r="F3484" i="2"/>
  <c r="G3454" i="2"/>
  <c r="F3454" i="2"/>
  <c r="G3488" i="2"/>
  <c r="F3488" i="2"/>
  <c r="G3273" i="2"/>
  <c r="F3273" i="2"/>
  <c r="G1478" i="2"/>
  <c r="G3051" i="2"/>
  <c r="G2855" i="2"/>
  <c r="F2855" i="2"/>
  <c r="G2759" i="2"/>
  <c r="F2658" i="2"/>
  <c r="F2657" i="2" s="1"/>
  <c r="G2657" i="2"/>
  <c r="G3293" i="2"/>
  <c r="G1712" i="2"/>
  <c r="G3319" i="2"/>
  <c r="G3297" i="2"/>
  <c r="G3422" i="2"/>
  <c r="G3426" i="2"/>
  <c r="G3430" i="2"/>
  <c r="G1071" i="2"/>
  <c r="G3401" i="2"/>
  <c r="G2082" i="2"/>
  <c r="F2084" i="2"/>
  <c r="F2082" i="2" s="1"/>
  <c r="F1843" i="2"/>
  <c r="G1726" i="2"/>
  <c r="G3229" i="2"/>
  <c r="G2287" i="2"/>
  <c r="F2287" i="2"/>
  <c r="G3560" i="2"/>
  <c r="F3562" i="2"/>
  <c r="F3560" i="2" s="1"/>
  <c r="F2188" i="2"/>
  <c r="G3310" i="2"/>
  <c r="F2276" i="2"/>
  <c r="F3064" i="2"/>
  <c r="F2420" i="2"/>
  <c r="G2188" i="2"/>
  <c r="G2865" i="2"/>
  <c r="F2865" i="2"/>
  <c r="F3063" i="2"/>
  <c r="G2417" i="2"/>
  <c r="F2419" i="2"/>
  <c r="G2276" i="2"/>
  <c r="F1618" i="2"/>
  <c r="F1617" i="2" s="1"/>
  <c r="E1618" i="2"/>
  <c r="F3765" i="2"/>
  <c r="E3765" i="2"/>
  <c r="G1645" i="2"/>
  <c r="F2418" i="2"/>
  <c r="E2418" i="2"/>
  <c r="F3764" i="2"/>
  <c r="E3764" i="2"/>
  <c r="F3763" i="2"/>
  <c r="E3763" i="2"/>
  <c r="F3762" i="2"/>
  <c r="E3762" i="2"/>
  <c r="G1244" i="2"/>
  <c r="F47" i="3"/>
  <c r="G47" i="3" s="1"/>
  <c r="E3675" i="2"/>
  <c r="E3674" i="2"/>
  <c r="E1133" i="2"/>
  <c r="D65" i="3"/>
  <c r="D1" i="3" s="1"/>
  <c r="F65" i="3"/>
  <c r="G65" i="3" s="1"/>
  <c r="F1223" i="2"/>
  <c r="F1221" i="2" s="1"/>
  <c r="F649" i="2"/>
  <c r="F3677" i="2"/>
  <c r="F1996" i="2"/>
  <c r="F3736" i="2"/>
  <c r="F2269" i="2"/>
  <c r="F2267" i="2" s="1"/>
  <c r="F2204" i="2"/>
  <c r="F2202" i="2" s="1"/>
  <c r="F3712" i="2"/>
  <c r="F3711" i="2"/>
  <c r="F3710" i="2"/>
  <c r="F3709" i="2"/>
  <c r="F3708" i="2"/>
  <c r="F3707" i="2"/>
  <c r="F3706" i="2"/>
  <c r="F3705" i="2"/>
  <c r="F3704" i="2"/>
  <c r="G2172" i="2"/>
  <c r="G3153" i="2"/>
  <c r="G2873" i="2"/>
  <c r="G1650" i="2"/>
  <c r="G2900" i="2"/>
  <c r="G2674" i="2"/>
  <c r="F3515" i="2"/>
  <c r="G3515" i="2"/>
  <c r="G3351" i="2"/>
  <c r="F3351" i="2"/>
  <c r="G1708" i="2"/>
  <c r="G2297" i="2"/>
  <c r="G1768" i="2"/>
  <c r="G1365" i="2"/>
  <c r="G1960" i="2"/>
  <c r="F1960" i="2"/>
  <c r="G1204" i="2"/>
  <c r="G1852" i="2"/>
  <c r="G3501" i="2"/>
  <c r="F3501" i="2"/>
  <c r="G2022" i="2"/>
  <c r="F2022" i="2"/>
  <c r="G1974" i="2"/>
  <c r="G1696" i="2"/>
  <c r="G1741" i="2"/>
  <c r="G2409" i="2"/>
  <c r="G2086" i="2"/>
  <c r="G2012" i="2"/>
  <c r="G1606" i="2"/>
  <c r="F2909" i="2"/>
  <c r="F2737" i="2"/>
  <c r="F2550" i="2"/>
  <c r="F2496" i="2"/>
  <c r="F2476" i="2"/>
  <c r="F2439" i="2"/>
  <c r="F2350" i="2"/>
  <c r="F2346" i="2"/>
  <c r="F1754" i="2"/>
  <c r="F1557" i="2"/>
  <c r="F1509" i="2"/>
  <c r="J472" i="2"/>
  <c r="J563" i="2"/>
  <c r="T51" i="3"/>
  <c r="G51" i="3" s="1"/>
  <c r="Z55" i="3"/>
  <c r="G55" i="3" s="1"/>
  <c r="F79" i="3"/>
  <c r="Q79" i="3"/>
  <c r="F112" i="3"/>
  <c r="F413" i="3"/>
  <c r="F9" i="2"/>
  <c r="F3" i="2" s="1"/>
  <c r="M23" i="2"/>
  <c r="N23" i="2"/>
  <c r="R23" i="2"/>
  <c r="F24" i="2"/>
  <c r="F28" i="2"/>
  <c r="P23" i="2" s="1"/>
  <c r="F32" i="2"/>
  <c r="O23" i="2" s="1"/>
  <c r="F42" i="2"/>
  <c r="F43" i="2"/>
  <c r="F44" i="2"/>
  <c r="F45" i="2"/>
  <c r="F48" i="2"/>
  <c r="G57" i="2"/>
  <c r="N57" i="2"/>
  <c r="Q57" i="2"/>
  <c r="F61" i="2"/>
  <c r="F63" i="2"/>
  <c r="P57" i="2" s="1"/>
  <c r="F72" i="2"/>
  <c r="F79" i="2"/>
  <c r="F82" i="2"/>
  <c r="R110" i="2"/>
  <c r="F116" i="2"/>
  <c r="F124" i="2"/>
  <c r="O110" i="2" s="1"/>
  <c r="F127" i="2"/>
  <c r="Q110" i="2" s="1"/>
  <c r="F132" i="2"/>
  <c r="F133" i="2"/>
  <c r="G156" i="2"/>
  <c r="O156" i="2"/>
  <c r="R156" i="2"/>
  <c r="F157" i="2"/>
  <c r="F161" i="2"/>
  <c r="G165" i="2"/>
  <c r="O165" i="2"/>
  <c r="R165" i="2"/>
  <c r="F166" i="2"/>
  <c r="P165" i="2" s="1"/>
  <c r="F170" i="2"/>
  <c r="G145" i="2"/>
  <c r="O145" i="2"/>
  <c r="R145" i="2"/>
  <c r="F146" i="2"/>
  <c r="F149" i="2"/>
  <c r="G172" i="2"/>
  <c r="O172" i="2"/>
  <c r="Q172" i="2"/>
  <c r="F173" i="2"/>
  <c r="O181" i="2"/>
  <c r="F182" i="2"/>
  <c r="F187" i="2"/>
  <c r="F188" i="2"/>
  <c r="F190" i="2"/>
  <c r="G199" i="2"/>
  <c r="F204" i="2"/>
  <c r="F213" i="2"/>
  <c r="F220" i="2"/>
  <c r="F221" i="2"/>
  <c r="F225" i="2"/>
  <c r="F228" i="2"/>
  <c r="F229" i="2"/>
  <c r="F234" i="2"/>
  <c r="G334" i="2"/>
  <c r="F335" i="2"/>
  <c r="F334" i="2" s="1"/>
  <c r="G338" i="2"/>
  <c r="F339" i="2"/>
  <c r="F341" i="2"/>
  <c r="F343" i="2"/>
  <c r="F359" i="2"/>
  <c r="F360" i="2"/>
  <c r="F361" i="2"/>
  <c r="G497" i="2"/>
  <c r="F500" i="2"/>
  <c r="F501" i="2"/>
  <c r="E502" i="2"/>
  <c r="F503" i="2"/>
  <c r="F505" i="2"/>
  <c r="E507" i="2"/>
  <c r="F507" i="2"/>
  <c r="G444" i="2"/>
  <c r="F449" i="2"/>
  <c r="F453" i="2"/>
  <c r="F462" i="2"/>
  <c r="F464" i="2"/>
  <c r="G509" i="2"/>
  <c r="F510" i="2"/>
  <c r="F511" i="2"/>
  <c r="G513" i="2"/>
  <c r="F514" i="2"/>
  <c r="F515" i="2"/>
  <c r="F279" i="2"/>
  <c r="F273" i="2" s="1"/>
  <c r="F240" i="2"/>
  <c r="F254" i="2"/>
  <c r="F256" i="2"/>
  <c r="F259" i="2"/>
  <c r="G384" i="2"/>
  <c r="F388" i="2"/>
  <c r="F399" i="2"/>
  <c r="L404" i="2"/>
  <c r="F408" i="2"/>
  <c r="F409" i="2"/>
  <c r="F412" i="2"/>
  <c r="G517" i="2"/>
  <c r="F518" i="2"/>
  <c r="F522" i="2"/>
  <c r="F523" i="2"/>
  <c r="F526" i="2"/>
  <c r="F318" i="2"/>
  <c r="F302" i="2" s="1"/>
  <c r="G540" i="2"/>
  <c r="F546" i="2"/>
  <c r="F557" i="2"/>
  <c r="G563" i="2"/>
  <c r="G472" i="2"/>
  <c r="G585" i="2"/>
  <c r="F587" i="2"/>
  <c r="F588" i="2"/>
  <c r="F589" i="2"/>
  <c r="F596" i="2"/>
  <c r="F597" i="2"/>
  <c r="G615" i="2"/>
  <c r="G602" i="2"/>
  <c r="F603" i="2"/>
  <c r="F604" i="2"/>
  <c r="F571" i="2"/>
  <c r="F575" i="2"/>
  <c r="G704" i="2"/>
  <c r="F708" i="2"/>
  <c r="F711" i="2"/>
  <c r="F713" i="2"/>
  <c r="F630" i="2"/>
  <c r="F635" i="2"/>
  <c r="G678" i="2"/>
  <c r="F682" i="2"/>
  <c r="F684" i="2"/>
  <c r="F687" i="2"/>
  <c r="F688" i="2"/>
  <c r="F689" i="2"/>
  <c r="F690" i="2"/>
  <c r="F691" i="2"/>
  <c r="G735" i="2"/>
  <c r="F736" i="2"/>
  <c r="F737" i="2"/>
  <c r="F738" i="2"/>
  <c r="F740" i="2"/>
  <c r="F741" i="2"/>
  <c r="G750" i="2"/>
  <c r="F753" i="2"/>
  <c r="F759" i="2"/>
  <c r="G772" i="2"/>
  <c r="G814" i="2"/>
  <c r="F815" i="2"/>
  <c r="F822" i="2"/>
  <c r="F824" i="2"/>
  <c r="G877" i="2"/>
  <c r="F878" i="2"/>
  <c r="F880" i="2"/>
  <c r="F881" i="2"/>
  <c r="G900" i="2"/>
  <c r="F903" i="2"/>
  <c r="F904" i="2"/>
  <c r="F656" i="2"/>
  <c r="F658" i="2"/>
  <c r="F659" i="2"/>
  <c r="F661" i="2"/>
  <c r="G866" i="2"/>
  <c r="F867" i="2"/>
  <c r="F868" i="2"/>
  <c r="G928" i="2"/>
  <c r="K831" i="2"/>
  <c r="F849" i="2"/>
  <c r="F854" i="2"/>
  <c r="G890" i="2"/>
  <c r="F892" i="2"/>
  <c r="F893" i="2"/>
  <c r="F894" i="2"/>
  <c r="F895" i="2"/>
  <c r="G913" i="2"/>
  <c r="F529" i="2"/>
  <c r="F528" i="2" s="1"/>
  <c r="F1034" i="2"/>
  <c r="F1035" i="2"/>
  <c r="F1043" i="2"/>
  <c r="G1049" i="2"/>
  <c r="F1050" i="2"/>
  <c r="F1051" i="2"/>
  <c r="F1052" i="2"/>
  <c r="G976" i="2"/>
  <c r="F978" i="2"/>
  <c r="F979" i="2"/>
  <c r="F980" i="2"/>
  <c r="F984" i="2"/>
  <c r="F985" i="2"/>
  <c r="F1112" i="2"/>
  <c r="F1113" i="2"/>
  <c r="F1115" i="2"/>
  <c r="E1116" i="2"/>
  <c r="F1116" i="2"/>
  <c r="G1136" i="2"/>
  <c r="F1137" i="2"/>
  <c r="F1138" i="2"/>
  <c r="F1148" i="2"/>
  <c r="F1152" i="2"/>
  <c r="F1154" i="2"/>
  <c r="F796" i="2"/>
  <c r="F798" i="2"/>
  <c r="F805" i="2"/>
  <c r="G1168" i="2"/>
  <c r="F1171" i="2"/>
  <c r="F1172" i="2"/>
  <c r="G1120" i="2"/>
  <c r="F1122" i="2"/>
  <c r="F1126" i="2"/>
  <c r="F1127" i="2"/>
  <c r="F430" i="2"/>
  <c r="F434" i="2"/>
  <c r="G1096" i="2"/>
  <c r="F1097" i="2"/>
  <c r="F1096" i="2" s="1"/>
  <c r="J1096" i="2" s="1"/>
  <c r="G1264" i="2"/>
  <c r="F1269" i="2"/>
  <c r="F1264" i="2" s="1"/>
  <c r="F370" i="2"/>
  <c r="F372" i="2"/>
  <c r="G1301" i="2"/>
  <c r="F1305" i="2"/>
  <c r="F1306" i="2"/>
  <c r="F1314" i="2"/>
  <c r="G1006" i="2"/>
  <c r="F1014" i="2"/>
  <c r="F1006" i="2" s="1"/>
  <c r="G942" i="2"/>
  <c r="F944" i="2"/>
  <c r="F946" i="2"/>
  <c r="F947" i="2"/>
  <c r="G956" i="2"/>
  <c r="F957" i="2"/>
  <c r="F956" i="2" s="1"/>
  <c r="F644" i="2"/>
  <c r="G1412" i="2"/>
  <c r="G1193" i="2"/>
  <c r="G1371" i="2"/>
  <c r="F1372" i="2"/>
  <c r="F1373" i="2"/>
  <c r="F1374" i="2"/>
  <c r="G1396" i="2"/>
  <c r="G1490" i="2"/>
  <c r="E1495" i="2"/>
  <c r="F1495" i="2"/>
  <c r="F1490" i="2" s="1"/>
  <c r="G1509" i="2"/>
  <c r="G1253" i="2"/>
  <c r="F1257" i="2"/>
  <c r="F1258" i="2"/>
  <c r="E1259" i="2"/>
  <c r="F1259" i="2" s="1"/>
  <c r="G1422" i="2"/>
  <c r="F1425" i="2"/>
  <c r="F1426" i="2"/>
  <c r="G1383" i="2"/>
  <c r="F1384" i="2"/>
  <c r="F1387" i="2"/>
  <c r="F1390" i="2"/>
  <c r="F1391" i="2"/>
  <c r="F1457" i="2"/>
  <c r="F1459" i="2"/>
  <c r="F1460" i="2"/>
  <c r="G1225" i="2"/>
  <c r="G1557" i="2"/>
  <c r="I1557" i="2"/>
  <c r="G1569" i="2"/>
  <c r="F1574" i="2"/>
  <c r="G1577" i="2"/>
  <c r="F1593" i="2"/>
  <c r="F1594" i="2"/>
  <c r="F1595" i="2"/>
  <c r="G1621" i="2"/>
  <c r="F1622" i="2"/>
  <c r="F1623" i="2"/>
  <c r="F1626" i="2"/>
  <c r="F1628" i="2"/>
  <c r="F1629" i="2"/>
  <c r="F1630" i="2"/>
  <c r="G1677" i="2"/>
  <c r="F1679" i="2"/>
  <c r="F1677" i="2" s="1"/>
  <c r="G1175" i="2"/>
  <c r="F1176" i="2"/>
  <c r="F1175" i="2" s="1"/>
  <c r="G1516" i="2"/>
  <c r="F1519" i="2"/>
  <c r="F1516" i="2" s="1"/>
  <c r="G1754" i="2"/>
  <c r="F1661" i="2"/>
  <c r="F1662" i="2"/>
  <c r="F1670" i="2"/>
  <c r="G1843" i="2"/>
  <c r="G1816" i="2"/>
  <c r="F1817" i="2"/>
  <c r="F1818" i="2"/>
  <c r="F1821" i="2"/>
  <c r="G1865" i="2"/>
  <c r="F1867" i="2"/>
  <c r="F1868" i="2"/>
  <c r="F1872" i="2"/>
  <c r="G1872" i="2"/>
  <c r="G1901" i="2"/>
  <c r="F1902" i="2"/>
  <c r="F1901" i="2" s="1"/>
  <c r="F1885" i="2"/>
  <c r="F1891" i="2"/>
  <c r="G1535" i="2"/>
  <c r="G1797" i="2"/>
  <c r="F1798" i="2"/>
  <c r="F1799" i="2"/>
  <c r="F1804" i="2"/>
  <c r="G2097" i="2"/>
  <c r="F2098" i="2"/>
  <c r="F2101" i="2"/>
  <c r="F2103" i="2"/>
  <c r="G2161" i="2"/>
  <c r="F2162" i="2"/>
  <c r="F2167" i="2"/>
  <c r="F2046" i="2"/>
  <c r="F2039" i="2" s="1"/>
  <c r="G2179" i="2"/>
  <c r="F2182" i="2"/>
  <c r="F2179" i="2" s="1"/>
  <c r="G2210" i="2"/>
  <c r="F2211" i="2"/>
  <c r="F2210" i="2" s="1"/>
  <c r="G2249" i="2"/>
  <c r="F2252" i="2"/>
  <c r="F2254" i="2"/>
  <c r="G2331" i="2"/>
  <c r="F2333" i="2"/>
  <c r="F2331" i="2" s="1"/>
  <c r="G2335" i="2"/>
  <c r="F2337" i="2"/>
  <c r="F2335" i="2" s="1"/>
  <c r="G2346" i="2"/>
  <c r="F1909" i="2"/>
  <c r="F1907" i="2" s="1"/>
  <c r="G2119" i="2"/>
  <c r="F2120" i="2"/>
  <c r="F2121" i="2"/>
  <c r="G1730" i="2"/>
  <c r="F1731" i="2"/>
  <c r="F1732" i="2"/>
  <c r="G2314" i="2"/>
  <c r="F2316" i="2"/>
  <c r="F2319" i="2"/>
  <c r="G2385" i="2"/>
  <c r="F2386" i="2"/>
  <c r="F2387" i="2"/>
  <c r="G2350" i="2"/>
  <c r="G2067" i="2"/>
  <c r="F2071" i="2"/>
  <c r="F2072" i="2"/>
  <c r="G2434" i="2"/>
  <c r="F2435" i="2"/>
  <c r="F2434" i="2" s="1"/>
  <c r="G2439" i="2"/>
  <c r="G2458" i="2"/>
  <c r="F2459" i="2"/>
  <c r="F2461" i="2"/>
  <c r="G2467" i="2"/>
  <c r="F2468" i="2"/>
  <c r="F2469" i="2"/>
  <c r="G2476" i="2"/>
  <c r="G1747" i="2"/>
  <c r="F1748" i="2"/>
  <c r="F1747" i="2" s="1"/>
  <c r="G2489" i="2"/>
  <c r="F2490" i="2"/>
  <c r="F2489" i="2" s="1"/>
  <c r="G2496" i="2"/>
  <c r="G2506" i="2"/>
  <c r="F2508" i="2"/>
  <c r="F2506" i="2" s="1"/>
  <c r="G2520" i="2"/>
  <c r="F2524" i="2"/>
  <c r="F2520" i="2" s="1"/>
  <c r="G2541" i="2"/>
  <c r="F2542" i="2"/>
  <c r="F2541" i="2" s="1"/>
  <c r="G2032" i="2"/>
  <c r="F2033" i="2"/>
  <c r="F2032" i="2" s="1"/>
  <c r="G2550" i="2"/>
  <c r="F2622" i="2"/>
  <c r="G2622" i="2"/>
  <c r="G1979" i="2"/>
  <c r="F1983" i="2"/>
  <c r="F1979" i="2" s="1"/>
  <c r="G2666" i="2"/>
  <c r="F2667" i="2"/>
  <c r="F2666" i="2" s="1"/>
  <c r="F2705" i="2"/>
  <c r="G2705" i="2"/>
  <c r="G2626" i="2"/>
  <c r="F2628" i="2"/>
  <c r="F2626" i="2" s="1"/>
  <c r="G2714" i="2"/>
  <c r="F2718" i="2"/>
  <c r="F2719" i="2"/>
  <c r="G2721" i="2"/>
  <c r="F2723" i="2"/>
  <c r="F2721" i="2" s="1"/>
  <c r="G2055" i="2"/>
  <c r="F2056" i="2"/>
  <c r="F2055" i="2" s="1"/>
  <c r="G2737" i="2"/>
  <c r="F2753" i="2"/>
  <c r="G2753" i="2"/>
  <c r="G2141" i="2"/>
  <c r="G2291" i="2"/>
  <c r="F2293" i="2"/>
  <c r="F2294" i="2"/>
  <c r="G2778" i="2"/>
  <c r="F2779" i="2"/>
  <c r="F2780" i="2"/>
  <c r="G2196" i="2"/>
  <c r="G2587" i="2"/>
  <c r="G2869" i="2"/>
  <c r="F2871" i="2"/>
  <c r="F2869" i="2" s="1"/>
  <c r="G2885" i="2"/>
  <c r="F2886" i="2"/>
  <c r="F2885" i="2" s="1"/>
  <c r="F2889" i="2"/>
  <c r="G2889" i="2"/>
  <c r="G2905" i="2"/>
  <c r="F2906" i="2"/>
  <c r="F2905" i="2" s="1"/>
  <c r="G2909" i="2"/>
  <c r="G2923" i="2"/>
  <c r="F2926" i="2"/>
  <c r="F2923" i="2" s="1"/>
  <c r="F2804" i="2"/>
  <c r="F2803" i="2" s="1"/>
  <c r="G3001" i="2"/>
  <c r="F3002" i="2"/>
  <c r="F3001" i="2" s="1"/>
  <c r="G2793" i="2"/>
  <c r="F2795" i="2"/>
  <c r="F2793" i="2" s="1"/>
  <c r="F3122" i="2"/>
  <c r="F3121" i="2" s="1"/>
  <c r="G3125" i="2"/>
  <c r="F3126" i="2"/>
  <c r="F3125" i="2" s="1"/>
  <c r="F1607" i="2"/>
  <c r="F1606" i="2" s="1"/>
  <c r="F3129" i="2"/>
  <c r="G3129" i="2"/>
  <c r="G3199" i="2"/>
  <c r="F3200" i="2"/>
  <c r="F3201" i="2"/>
  <c r="G3207" i="2"/>
  <c r="F3208" i="2"/>
  <c r="F3207" i="2" s="1"/>
  <c r="F3220" i="2"/>
  <c r="G3220" i="2"/>
  <c r="G3224" i="2"/>
  <c r="F3225" i="2"/>
  <c r="F3224" i="2" s="1"/>
  <c r="F3261" i="2"/>
  <c r="G3261" i="2"/>
  <c r="G3177" i="2"/>
  <c r="F3179" i="2"/>
  <c r="F3177" i="2" s="1"/>
  <c r="G3285" i="2"/>
  <c r="F3286" i="2"/>
  <c r="F3287" i="2"/>
  <c r="F3305" i="2"/>
  <c r="G3305" i="2"/>
  <c r="G3315" i="2"/>
  <c r="F3316" i="2"/>
  <c r="F3315" i="2" s="1"/>
  <c r="G3323" i="2"/>
  <c r="F3324" i="2"/>
  <c r="F3327" i="2"/>
  <c r="G3434" i="2"/>
  <c r="F3435" i="2"/>
  <c r="F3434" i="2" s="1"/>
  <c r="G3101" i="2"/>
  <c r="F3103" i="2"/>
  <c r="F3101" i="2" s="1"/>
  <c r="G3524" i="2"/>
  <c r="F3526" i="2"/>
  <c r="F3524" i="2" s="1"/>
  <c r="F1346" i="2"/>
  <c r="F1345" i="2" s="1"/>
  <c r="F2014" i="2"/>
  <c r="F2012" i="2" s="1"/>
  <c r="F2088" i="2"/>
  <c r="F2086" i="2" s="1"/>
  <c r="F2411" i="2"/>
  <c r="F2409" i="2" s="1"/>
  <c r="F1698" i="2"/>
  <c r="F1696" i="2" s="1"/>
  <c r="F1976" i="2"/>
  <c r="F1974" i="2" s="1"/>
  <c r="E1977" i="2"/>
  <c r="F1743" i="2"/>
  <c r="F1744" i="2"/>
  <c r="F3579" i="2"/>
  <c r="F3578" i="2" s="1"/>
  <c r="F3842" i="2"/>
  <c r="F3843" i="2"/>
  <c r="F3861" i="2"/>
  <c r="F3587" i="2"/>
  <c r="F3586" i="2" s="1"/>
  <c r="F3864" i="2"/>
  <c r="F3865" i="2"/>
  <c r="F3866" i="2"/>
  <c r="F3867" i="2"/>
  <c r="F3868" i="2"/>
  <c r="F3869" i="2"/>
  <c r="F3870" i="2"/>
  <c r="F3922" i="2"/>
  <c r="F3923" i="2"/>
  <c r="F3924" i="2"/>
  <c r="F3929" i="2"/>
  <c r="F1811" i="2"/>
  <c r="F1810" i="2" s="1"/>
  <c r="F3599" i="2"/>
  <c r="F2966" i="2"/>
  <c r="F2965" i="2" s="1"/>
  <c r="F3941" i="2"/>
  <c r="F1854" i="2"/>
  <c r="E1857" i="2"/>
  <c r="F1858" i="2"/>
  <c r="F3951" i="2"/>
  <c r="F3972" i="2"/>
  <c r="F3266" i="2"/>
  <c r="F3265" i="2" s="1"/>
  <c r="F3980" i="2"/>
  <c r="F3981" i="2"/>
  <c r="F3982" i="2"/>
  <c r="F3983" i="2"/>
  <c r="F3984" i="2"/>
  <c r="F3985" i="2"/>
  <c r="F3986" i="2"/>
  <c r="F1366" i="2"/>
  <c r="F1365" i="2" s="1"/>
  <c r="F1769" i="2"/>
  <c r="F1768" i="2" s="1"/>
  <c r="F3997" i="2"/>
  <c r="F3998" i="2"/>
  <c r="F3999" i="2"/>
  <c r="F4000" i="2"/>
  <c r="F4001" i="2"/>
  <c r="F4002" i="2"/>
  <c r="F4003" i="2"/>
  <c r="F4004" i="2"/>
  <c r="F4005" i="2"/>
  <c r="F4007" i="2"/>
  <c r="F1206" i="2"/>
  <c r="F1207" i="2"/>
  <c r="F3230" i="2"/>
  <c r="F3229" i="2" s="1"/>
  <c r="F4020" i="2"/>
  <c r="F4021" i="2"/>
  <c r="F4053" i="2"/>
  <c r="F2298" i="2"/>
  <c r="F2299" i="2"/>
  <c r="F1709" i="2"/>
  <c r="F1710" i="2"/>
  <c r="F4079" i="2"/>
  <c r="F4084" i="2"/>
  <c r="F4085" i="2"/>
  <c r="F4086" i="2"/>
  <c r="F4087" i="2"/>
  <c r="F4088" i="2"/>
  <c r="F4139" i="2"/>
  <c r="F4140" i="2"/>
  <c r="F4141" i="2"/>
  <c r="F4188" i="2"/>
  <c r="F4189" i="2"/>
  <c r="F4190" i="2"/>
  <c r="F4204" i="2"/>
  <c r="F4205" i="2"/>
  <c r="F4206" i="2"/>
  <c r="F4207" i="2"/>
  <c r="F2675" i="2"/>
  <c r="F2676" i="2"/>
  <c r="F2901" i="2"/>
  <c r="F2902" i="2"/>
  <c r="F2874" i="2"/>
  <c r="F2875" i="2"/>
  <c r="F3154" i="2"/>
  <c r="F3155" i="2"/>
  <c r="F2173" i="2"/>
  <c r="F2172" i="2" s="1"/>
  <c r="F3402" i="2"/>
  <c r="F3401" i="2" s="1"/>
  <c r="F3423" i="2"/>
  <c r="F3422" i="2" s="1"/>
  <c r="F3311" i="2"/>
  <c r="F3310" i="2" s="1"/>
  <c r="F3298" i="2"/>
  <c r="F3297" i="2" s="1"/>
  <c r="F3320" i="2"/>
  <c r="F3319" i="2" s="1"/>
  <c r="F3294" i="2"/>
  <c r="F3293" i="2" s="1"/>
  <c r="F3427" i="2"/>
  <c r="F3426" i="2" s="1"/>
  <c r="F1713" i="2"/>
  <c r="F1712" i="2" s="1"/>
  <c r="F2762" i="2"/>
  <c r="F2759" i="2" s="1"/>
  <c r="F3054" i="2"/>
  <c r="F3051" i="2" s="1"/>
  <c r="F1482" i="2"/>
  <c r="F1478" i="2" s="1" a="1"/>
  <c r="F1478" i="2" s="1"/>
  <c r="F3140" i="2"/>
  <c r="F3141" i="2"/>
  <c r="F3539" i="2"/>
  <c r="F3540" i="2"/>
  <c r="F1780" i="2"/>
  <c r="F1781" i="2"/>
  <c r="F1449" i="2"/>
  <c r="F1450" i="2"/>
  <c r="F3040" i="2"/>
  <c r="F3039" i="2" s="1"/>
  <c r="F3257" i="2"/>
  <c r="F3256" i="2" s="1"/>
  <c r="F4006" i="2"/>
  <c r="F1701" i="2"/>
  <c r="F1700" i="2" s="1"/>
  <c r="F2302" i="2"/>
  <c r="F2306" i="2"/>
  <c r="F1922" i="2"/>
  <c r="F1923" i="2"/>
  <c r="F2773" i="2"/>
  <c r="F2770" i="2" s="1"/>
  <c r="F3282" i="2"/>
  <c r="F3281" i="2" s="1"/>
  <c r="F3239" i="2"/>
  <c r="F3238" i="2" s="1"/>
  <c r="F2429" i="2"/>
  <c r="F2428" i="2" s="1"/>
  <c r="F3534" i="2"/>
  <c r="F3532" i="2" s="1"/>
  <c r="F1341" i="2"/>
  <c r="F1343" i="2"/>
  <c r="F2030" i="2"/>
  <c r="F2027" i="2" s="1"/>
  <c r="F2632" i="2"/>
  <c r="F2634" i="2"/>
  <c r="F2635" i="2"/>
  <c r="F2636" i="2"/>
  <c r="F2261" i="2"/>
  <c r="F2263" i="2"/>
  <c r="F2264" i="2"/>
  <c r="F2265" i="2"/>
  <c r="F2424" i="2"/>
  <c r="F2426" i="2"/>
  <c r="F3583" i="2"/>
  <c r="F3582" i="2" s="1"/>
  <c r="F3837" i="2"/>
  <c r="F3838" i="2"/>
  <c r="F1966" i="2"/>
  <c r="F1970" i="2"/>
  <c r="F3839" i="2"/>
  <c r="F2221" i="2"/>
  <c r="F2222" i="2"/>
  <c r="F2734" i="2"/>
  <c r="F2735" i="2"/>
  <c r="F2513" i="2"/>
  <c r="F2514" i="2"/>
  <c r="F1330" i="2"/>
  <c r="F1331" i="2"/>
  <c r="F3988" i="2"/>
  <c r="F3989" i="2"/>
  <c r="F3990" i="2"/>
  <c r="F3991" i="2"/>
  <c r="F3992" i="2"/>
  <c r="F4128" i="2"/>
  <c r="F4129" i="2"/>
  <c r="F4130" i="2"/>
  <c r="F4131" i="2"/>
  <c r="F4132" i="2"/>
  <c r="F4133" i="2"/>
  <c r="F4043" i="2"/>
  <c r="F4044" i="2"/>
  <c r="F999" i="2"/>
  <c r="F997" i="2" s="1"/>
  <c r="F2986" i="2"/>
  <c r="F2985" i="2" s="1"/>
  <c r="F3116" i="2"/>
  <c r="F3117" i="2"/>
  <c r="F3119" i="2"/>
  <c r="F4027" i="2"/>
  <c r="F3364" i="2"/>
  <c r="F3365" i="2"/>
  <c r="F3248" i="2"/>
  <c r="F3249" i="2"/>
  <c r="F4028" i="2"/>
  <c r="F2447" i="2"/>
  <c r="F2448" i="2"/>
  <c r="F3390" i="2"/>
  <c r="F3391" i="2"/>
  <c r="F3170" i="2"/>
  <c r="F3171" i="2"/>
  <c r="F3759" i="2"/>
  <c r="F4067" i="2"/>
  <c r="F2699" i="2"/>
  <c r="F2700" i="2"/>
  <c r="F1291" i="2"/>
  <c r="F1288" i="2" s="1"/>
  <c r="F1062" i="2"/>
  <c r="F1063" i="2"/>
  <c r="F3664" i="2"/>
  <c r="F3665" i="2"/>
  <c r="F581" i="2"/>
  <c r="F580" i="2" s="1"/>
  <c r="F2158" i="2"/>
  <c r="F2159" i="2"/>
  <c r="F1944" i="2"/>
  <c r="F1942" i="2" s="1"/>
  <c r="F1073" i="2"/>
  <c r="F1071" i="2" s="1"/>
  <c r="F1506" i="2"/>
  <c r="F1503" i="2" s="1"/>
  <c r="F2647" i="2"/>
  <c r="F2645" i="2" s="1"/>
  <c r="F2594" i="2"/>
  <c r="F2592" i="2" s="1"/>
  <c r="F3099" i="2"/>
  <c r="F3097" i="2" s="1"/>
  <c r="F1647" i="2"/>
  <c r="F1645" i="2" s="1"/>
  <c r="F2846" i="2"/>
  <c r="F2845" i="2" s="1"/>
  <c r="F2821" i="2"/>
  <c r="F2820" i="2" s="1"/>
  <c r="F2990" i="2"/>
  <c r="F2989" i="2" s="1"/>
  <c r="F2108" i="2"/>
  <c r="F2107" i="2" s="1"/>
  <c r="F3847" i="2"/>
  <c r="F3848" i="2"/>
  <c r="F3974" i="2"/>
  <c r="F3975" i="2"/>
  <c r="F3976" i="2"/>
  <c r="F3977" i="2"/>
  <c r="F3978" i="2"/>
  <c r="F4051" i="2"/>
  <c r="F4052" i="2"/>
  <c r="F3158" i="2"/>
  <c r="F3157" i="2" s="1"/>
  <c r="F3912" i="2"/>
  <c r="F2816" i="2"/>
  <c r="F2817" i="2"/>
  <c r="F3108" i="2"/>
  <c r="F3107" i="2" s="1"/>
  <c r="F3920" i="2"/>
  <c r="F3921" i="2"/>
  <c r="F3530" i="2"/>
  <c r="F3528" i="2" s="1"/>
  <c r="F4199" i="2"/>
  <c r="F2843" i="2"/>
  <c r="F2840" i="2" s="1"/>
  <c r="F2357" i="2"/>
  <c r="F2358" i="2"/>
  <c r="F2503" i="2"/>
  <c r="F2502" i="2" s="1"/>
  <c r="F2371" i="2"/>
  <c r="F2372" i="2"/>
  <c r="F3913" i="2"/>
  <c r="F3019" i="2"/>
  <c r="F3018" i="2" s="1"/>
  <c r="F3776" i="2"/>
  <c r="F3777" i="2"/>
  <c r="F3778" i="2"/>
  <c r="F1939" i="2"/>
  <c r="F1938" i="2" s="1"/>
  <c r="F3760" i="2"/>
  <c r="F3761" i="2"/>
  <c r="F3779" i="2"/>
  <c r="F3780" i="2"/>
  <c r="F3781" i="2"/>
  <c r="F2363" i="2"/>
  <c r="F2362" i="2" s="1"/>
  <c r="F3973" i="2"/>
  <c r="F1474" i="2"/>
  <c r="F1472" i="2" s="1"/>
  <c r="F4200" i="2"/>
  <c r="F4201" i="2"/>
  <c r="F4202" i="2"/>
  <c r="F4214" i="2"/>
  <c r="F4215" i="2"/>
  <c r="F4197" i="2"/>
  <c r="F4198" i="2"/>
  <c r="F491" i="2"/>
  <c r="F490" i="2" s="1"/>
  <c r="F4073" i="2"/>
  <c r="F4074" i="2"/>
  <c r="L3302" i="2"/>
  <c r="F3303" i="2"/>
  <c r="F3301" i="2" s="1"/>
  <c r="L2583" i="2"/>
  <c r="F2585" i="2"/>
  <c r="F2582" i="2" s="1"/>
  <c r="L4031" i="2"/>
  <c r="L3044" i="2"/>
  <c r="L3048" i="2"/>
  <c r="L4032" i="2"/>
  <c r="L2008" i="2"/>
  <c r="F2009" i="2"/>
  <c r="F2007" i="2" s="1"/>
  <c r="F3816" i="2"/>
  <c r="F3817" i="2"/>
  <c r="F3818" i="2"/>
  <c r="F2946" i="2"/>
  <c r="F2947" i="2"/>
  <c r="F4217" i="2"/>
  <c r="F4218" i="2"/>
  <c r="F4219" i="2"/>
  <c r="F4220" i="2"/>
  <c r="F3369" i="2"/>
  <c r="F3367" i="2" s="1"/>
  <c r="F2917" i="2"/>
  <c r="F2915" i="2" s="1"/>
  <c r="F3498" i="2"/>
  <c r="F3499" i="2"/>
  <c r="F3938" i="2"/>
  <c r="F3090" i="2"/>
  <c r="F3091" i="2"/>
  <c r="F3914" i="2"/>
  <c r="F3082" i="2"/>
  <c r="F3081" i="2" s="1"/>
  <c r="F2957" i="2"/>
  <c r="F2956" i="2" s="1"/>
  <c r="F3857" i="2"/>
  <c r="F2932" i="2"/>
  <c r="F2931" i="2" s="1"/>
  <c r="F2556" i="2"/>
  <c r="F2555" i="2" s="1"/>
  <c r="F2599" i="2"/>
  <c r="F2598" i="2" s="1"/>
  <c r="F3858" i="2"/>
  <c r="F2730" i="2"/>
  <c r="F2729" i="2" s="1"/>
  <c r="F3859" i="2"/>
  <c r="F3860" i="2"/>
  <c r="F3452" i="2"/>
  <c r="F3450" i="2" s="1"/>
  <c r="F4193" i="2"/>
  <c r="F4194" i="2"/>
  <c r="F4195" i="2"/>
  <c r="F4196" i="2"/>
  <c r="F973" i="2"/>
  <c r="F972" i="2" s="1"/>
  <c r="F3635" i="2"/>
  <c r="F716" i="2"/>
  <c r="F715" i="2" s="1"/>
  <c r="F3621" i="2"/>
  <c r="F3622" i="2"/>
  <c r="F3623" i="2"/>
  <c r="F964" i="2"/>
  <c r="F963" i="2" s="1"/>
  <c r="F1241" i="2"/>
  <c r="F1240" i="2" s="1"/>
  <c r="F939" i="2"/>
  <c r="F938" i="2" s="1"/>
  <c r="F3619" i="2"/>
  <c r="F536" i="2"/>
  <c r="F535" i="2" s="1"/>
  <c r="E538" i="2"/>
  <c r="F887" i="2"/>
  <c r="F886" i="2" s="1"/>
  <c r="F3641" i="2"/>
  <c r="F3642" i="2"/>
  <c r="F1325" i="2"/>
  <c r="F1326" i="2"/>
  <c r="F1327" i="2"/>
  <c r="F1932" i="2"/>
  <c r="F1928" i="2" s="1"/>
  <c r="F3657" i="2"/>
  <c r="F3658" i="2"/>
  <c r="F3659" i="2"/>
  <c r="F1444" i="2"/>
  <c r="F1443" i="2" s="1"/>
  <c r="F3660" i="2"/>
  <c r="F3661" i="2"/>
  <c r="F3662" i="2"/>
  <c r="F3652" i="2"/>
  <c r="F1614" i="2"/>
  <c r="E1615" i="2"/>
  <c r="F1615" i="2"/>
  <c r="F3653" i="2"/>
  <c r="F3719" i="2"/>
  <c r="F3720" i="2"/>
  <c r="F3721" i="2"/>
  <c r="F3722" i="2"/>
  <c r="F3723" i="2"/>
  <c r="F3724" i="2"/>
  <c r="F3725" i="2"/>
  <c r="F729" i="2"/>
  <c r="F728" i="2" s="1"/>
  <c r="F1531" i="2"/>
  <c r="F1533" i="2"/>
  <c r="F3692" i="2"/>
  <c r="F2227" i="2"/>
  <c r="F2226" i="2" s="1"/>
  <c r="F3880" i="2"/>
  <c r="F4056" i="2"/>
  <c r="F3645" i="2"/>
  <c r="F3646" i="2"/>
  <c r="F3647" i="2"/>
  <c r="F3648" i="2"/>
  <c r="F992" i="2"/>
  <c r="F994" i="2"/>
  <c r="F3649" i="2"/>
  <c r="F3650" i="2"/>
  <c r="F3651" i="2"/>
  <c r="F3629" i="2"/>
  <c r="F3630" i="2"/>
  <c r="F3631" i="2"/>
  <c r="F3632" i="2"/>
  <c r="F3773" i="2"/>
  <c r="F3774" i="2"/>
  <c r="F3775" i="2"/>
  <c r="F3023" i="2"/>
  <c r="F3024" i="2"/>
  <c r="F3006" i="2"/>
  <c r="F3007" i="2"/>
  <c r="F2974" i="2"/>
  <c r="F2975" i="2"/>
  <c r="F3946" i="2"/>
  <c r="F3947" i="2"/>
  <c r="F1274" i="2"/>
  <c r="F1272" i="2" s="1"/>
  <c r="F1090" i="2"/>
  <c r="F1088" i="2" s="1"/>
  <c r="E1093" i="2"/>
  <c r="F3656" i="2"/>
  <c r="F1003" i="2"/>
  <c r="F1002" i="2" s="1"/>
  <c r="F2539" i="2"/>
  <c r="F2537" i="2" s="1"/>
  <c r="F3811" i="2"/>
  <c r="F3812" i="2"/>
  <c r="F3813" i="2"/>
  <c r="F3814" i="2"/>
  <c r="F1067" i="2"/>
  <c r="F1065" i="2" s="1"/>
  <c r="F3655" i="2"/>
  <c r="F1432" i="2"/>
  <c r="F1433" i="2"/>
  <c r="F1434" i="2"/>
  <c r="F1653" i="2"/>
  <c r="F1650" i="2" s="1"/>
  <c r="F4192" i="2"/>
  <c r="F3253" i="2"/>
  <c r="F3252" i="2" s="1"/>
  <c r="F3926" i="2"/>
  <c r="F3927" i="2"/>
  <c r="F2376" i="2"/>
  <c r="F2375" i="2" s="1"/>
  <c r="F1995" i="2"/>
  <c r="F3970" i="2"/>
  <c r="F3971" i="2"/>
  <c r="F3356" i="2"/>
  <c r="F3355" i="2" s="1"/>
  <c r="F3382" i="2"/>
  <c r="F3383" i="2"/>
  <c r="F4142" i="2"/>
  <c r="F4143" i="2"/>
  <c r="F4144" i="2"/>
  <c r="F4145" i="2"/>
  <c r="F4146" i="2"/>
  <c r="F4147" i="2"/>
  <c r="F3968" i="2"/>
  <c r="F3969" i="2"/>
  <c r="F2575" i="2"/>
  <c r="F2574" i="2" s="1"/>
  <c r="F2571" i="2"/>
  <c r="F2570" i="2" s="1"/>
  <c r="F2653" i="2"/>
  <c r="F2652" i="2" s="1"/>
  <c r="F2978" i="2"/>
  <c r="F2977" i="2" s="1"/>
  <c r="F3962" i="2"/>
  <c r="F3963" i="2"/>
  <c r="F2749" i="2"/>
  <c r="F2751" i="2"/>
  <c r="F2831" i="2"/>
  <c r="F2830" i="2" s="1"/>
  <c r="F3993" i="2"/>
  <c r="F3194" i="2"/>
  <c r="F3195" i="2"/>
  <c r="F3196" i="2"/>
  <c r="F3197" i="2"/>
  <c r="F3086" i="2"/>
  <c r="F3085" i="2" s="1"/>
  <c r="F3447" i="2"/>
  <c r="F3448" i="2"/>
  <c r="F3439" i="2"/>
  <c r="F3440" i="2"/>
  <c r="F4057" i="2"/>
  <c r="F3510" i="2"/>
  <c r="F3511" i="2"/>
  <c r="F1361" i="2"/>
  <c r="F1360" i="2" s="1"/>
  <c r="I1362" i="2"/>
  <c r="I2207" i="2"/>
  <c r="F2663" i="2"/>
  <c r="F2662" i="2" s="1"/>
  <c r="F3840" i="2"/>
  <c r="F3841" i="2"/>
  <c r="K3618" i="2"/>
  <c r="K1284" i="2"/>
  <c r="F1285" i="2"/>
  <c r="F1283" i="2" s="1"/>
  <c r="F3755" i="2"/>
  <c r="K3755" i="2" s="1"/>
  <c r="F1245" i="2"/>
  <c r="F1246" i="2"/>
  <c r="K1246" i="2" s="1"/>
  <c r="K1247" i="2"/>
  <c r="K1248" i="2"/>
  <c r="F1352" i="2"/>
  <c r="F1353" i="2"/>
  <c r="K1353" i="2" s="1"/>
  <c r="K1354" i="2"/>
  <c r="E3670" i="2"/>
  <c r="E1321" i="2"/>
  <c r="E1322" i="2"/>
  <c r="F1322" i="2" s="1"/>
  <c r="F1319" i="2" s="1" a="1"/>
  <c r="F1319" i="2" s="1"/>
  <c r="E3671" i="2"/>
  <c r="E1991" i="2"/>
  <c r="F1992" i="2"/>
  <c r="F1990" i="2" s="1"/>
  <c r="E3672" i="2"/>
  <c r="E3654" i="2"/>
  <c r="F3654" i="2" s="1"/>
  <c r="F3917" i="2"/>
  <c r="F1553" i="2"/>
  <c r="F1554" i="2"/>
  <c r="F1693" i="2"/>
  <c r="F1694" i="2"/>
  <c r="F3733" i="2"/>
  <c r="F3734" i="2"/>
  <c r="F3590" i="2"/>
  <c r="F3748" i="2"/>
  <c r="F3749" i="2"/>
  <c r="F1775" i="2"/>
  <c r="F1774" i="2" s="1"/>
  <c r="F3687" i="2"/>
  <c r="F3688" i="2"/>
  <c r="F3835" i="2"/>
  <c r="F2129" i="2"/>
  <c r="F2128" i="2" s="1"/>
  <c r="F2236" i="2"/>
  <c r="F2235" i="2" s="1"/>
  <c r="F3716" i="2"/>
  <c r="F3717" i="2"/>
  <c r="F2240" i="2"/>
  <c r="F2239" i="2" s="1"/>
  <c r="E3617" i="2"/>
  <c r="E3637" i="2"/>
  <c r="F3637" i="2"/>
  <c r="F3808" i="2"/>
  <c r="F1830" i="2"/>
  <c r="F1829" i="2" s="1"/>
  <c r="F3809" i="2"/>
  <c r="F1638" i="2"/>
  <c r="F1637" i="2" s="1"/>
  <c r="F1642" i="2"/>
  <c r="F1641" i="2" s="1"/>
  <c r="F2092" i="2"/>
  <c r="F2091" i="2" s="1"/>
  <c r="F1849" i="2"/>
  <c r="F1848" i="2" s="1"/>
  <c r="F2395" i="2"/>
  <c r="F2390" i="2" s="1"/>
  <c r="F3432" i="2"/>
  <c r="F3430" i="2" s="1"/>
  <c r="F1884" i="2" l="1"/>
  <c r="F1857" i="2"/>
  <c r="M1" i="2"/>
  <c r="F785" i="2"/>
  <c r="F831" i="2"/>
  <c r="F1108" i="2"/>
  <c r="F629" i="2"/>
  <c r="F654" i="2"/>
  <c r="J654" i="2" s="1"/>
  <c r="F367" i="2"/>
  <c r="F1026" i="2"/>
  <c r="F2067" i="2"/>
  <c r="F2119" i="2"/>
  <c r="F1383" i="2"/>
  <c r="F1657" i="2"/>
  <c r="F238" i="2"/>
  <c r="J238" i="2" s="1"/>
  <c r="F1965" i="2"/>
  <c r="F2260" i="2"/>
  <c r="F1337" i="2"/>
  <c r="F602" i="2"/>
  <c r="F585" i="2"/>
  <c r="F338" i="2"/>
  <c r="J338" i="2" s="1"/>
  <c r="F181" i="2"/>
  <c r="F426" i="2"/>
  <c r="F23" i="2"/>
  <c r="F1253" i="2"/>
  <c r="F145" i="2"/>
  <c r="F1431" i="2"/>
  <c r="F110" i="2"/>
  <c r="J110" i="2" s="1"/>
  <c r="F57" i="2"/>
  <c r="J57" i="2" s="1"/>
  <c r="F704" i="2"/>
  <c r="F569" i="2"/>
  <c r="P172" i="2"/>
  <c r="F172" i="2"/>
  <c r="F199" i="2"/>
  <c r="J199" i="2" s="1"/>
  <c r="P145" i="2"/>
  <c r="F1621" i="2"/>
  <c r="F1136" i="2"/>
  <c r="F1569" i="2"/>
  <c r="F641" i="2"/>
  <c r="F1049" i="2"/>
  <c r="F1456" i="2"/>
  <c r="F3169" i="2"/>
  <c r="F1816" i="2"/>
  <c r="F678" i="2"/>
  <c r="F2943" i="2"/>
  <c r="F1447" i="2"/>
  <c r="F1692" i="2"/>
  <c r="F735" i="2"/>
  <c r="F384" i="2"/>
  <c r="J384" i="2" s="1"/>
  <c r="F976" i="2"/>
  <c r="K832" i="2"/>
  <c r="F1552" i="2"/>
  <c r="F3438" i="2"/>
  <c r="F3446" i="2"/>
  <c r="F3193" i="2"/>
  <c r="F2748" i="2"/>
  <c r="F3381" i="2"/>
  <c r="F3509" i="2"/>
  <c r="F540" i="2"/>
  <c r="J540" i="2" s="1"/>
  <c r="F814" i="2"/>
  <c r="J814" i="2" s="1"/>
  <c r="F750" i="2"/>
  <c r="F1852" i="2"/>
  <c r="F2696" i="2"/>
  <c r="F444" i="2"/>
  <c r="J444" i="2" s="1"/>
  <c r="F2973" i="2"/>
  <c r="F1797" i="2"/>
  <c r="F156" i="2"/>
  <c r="F2417" i="2"/>
  <c r="F1168" i="2"/>
  <c r="F1351" i="2"/>
  <c r="Q23" i="2"/>
  <c r="K1352" i="2"/>
  <c r="F1730" i="2"/>
  <c r="F1059" i="2"/>
  <c r="F991" i="2"/>
  <c r="G79" i="3"/>
  <c r="F1301" i="2"/>
  <c r="F509" i="2"/>
  <c r="F517" i="2"/>
  <c r="F1371" i="2"/>
  <c r="F497" i="2"/>
  <c r="G112" i="3"/>
  <c r="F3005" i="2"/>
  <c r="F1921" i="2"/>
  <c r="K1285" i="2"/>
  <c r="F1778" i="2"/>
  <c r="F3022" i="2"/>
  <c r="F866" i="2"/>
  <c r="F1204" i="2"/>
  <c r="F1120" i="2"/>
  <c r="K1245" i="2"/>
  <c r="F1244" i="2"/>
  <c r="F1865" i="2"/>
  <c r="F3062" i="2"/>
  <c r="F942" i="2"/>
  <c r="F1329" i="2"/>
  <c r="F1994" i="2"/>
  <c r="F1530" i="2"/>
  <c r="F1613" i="2"/>
  <c r="F2291" i="2"/>
  <c r="F1324" i="2"/>
  <c r="F877" i="2"/>
  <c r="F900" i="2"/>
  <c r="F890" i="2"/>
  <c r="F3089" i="2"/>
  <c r="F2370" i="2"/>
  <c r="F3497" i="2"/>
  <c r="F2815" i="2"/>
  <c r="F2155" i="2"/>
  <c r="F3389" i="2"/>
  <c r="F2446" i="2"/>
  <c r="F3247" i="2"/>
  <c r="F3363" i="2"/>
  <c r="F3115" i="2"/>
  <c r="F2733" i="2"/>
  <c r="F2512" i="2"/>
  <c r="F2220" i="2"/>
  <c r="F2423" i="2"/>
  <c r="F2631" i="2"/>
  <c r="F2356" i="2"/>
  <c r="F2301" i="2"/>
  <c r="F3538" i="2"/>
  <c r="F3139" i="2"/>
  <c r="F2314" i="2"/>
  <c r="F2249" i="2"/>
  <c r="F1422" i="2"/>
  <c r="F3153" i="2"/>
  <c r="F2873" i="2"/>
  <c r="F2900" i="2"/>
  <c r="F2674" i="2"/>
  <c r="F1708" i="2"/>
  <c r="F2297" i="2"/>
  <c r="F1741" i="2"/>
  <c r="F2385" i="2"/>
  <c r="F2714" i="2"/>
  <c r="F2458" i="2"/>
  <c r="F2778" i="2"/>
  <c r="F2467" i="2"/>
  <c r="F2097" i="2"/>
  <c r="F2161" i="2"/>
  <c r="F513" i="2"/>
  <c r="J1557" i="2"/>
  <c r="J956" i="2"/>
  <c r="J302" i="2"/>
  <c r="F165" i="2"/>
  <c r="J165" i="2" s="1"/>
  <c r="F3285" i="2"/>
  <c r="J273" i="2"/>
  <c r="F3323" i="2"/>
  <c r="F3199" i="2"/>
  <c r="O57" i="2"/>
  <c r="P156" i="2"/>
  <c r="P110" i="2"/>
  <c r="P181" i="2"/>
  <c r="B35" i="9" l="1"/>
  <c r="B36" i="9" s="1"/>
  <c r="B38" i="9" s="1"/>
  <c r="B39" i="9" s="1"/>
  <c r="B40" i="9" s="1"/>
  <c r="B41" i="9" l="1"/>
  <c r="B42" i="9" s="1"/>
  <c r="B43" i="9" s="1"/>
  <c r="B44" i="9" s="1"/>
  <c r="B45" i="9" l="1"/>
  <c r="B46" i="9" s="1"/>
  <c r="B49" i="9" s="1"/>
  <c r="B50" i="9" s="1"/>
  <c r="B51" i="9" s="1"/>
  <c r="B52" i="9" s="1"/>
  <c r="B53" i="9" s="1"/>
  <c r="B54" i="9" l="1"/>
  <c r="B55" i="9" s="1"/>
  <c r="B56" i="9" s="1"/>
  <c r="B57" i="9" s="1"/>
  <c r="B58" i="9" s="1"/>
  <c r="B59" i="9" s="1"/>
  <c r="B60" i="9" s="1"/>
  <c r="B61" i="9" l="1"/>
  <c r="B62" i="9" s="1"/>
  <c r="B63" i="9" s="1"/>
  <c r="B37" i="9" s="1"/>
  <c r="B64" i="9" s="1"/>
  <c r="B65" i="9" s="1"/>
  <c r="B66" i="9" s="1"/>
  <c r="B67" i="9" s="1"/>
  <c r="B68" i="9" s="1"/>
  <c r="B69" i="9" s="1"/>
  <c r="B71" i="9" l="1"/>
  <c r="B72" i="9" s="1"/>
  <c r="B73" i="9" s="1"/>
  <c r="B74" i="9" s="1"/>
  <c r="B75" i="9" s="1"/>
  <c r="B76" i="9" s="1"/>
  <c r="B77" i="9" s="1"/>
  <c r="B78" i="9" s="1"/>
  <c r="B79" i="9" s="1"/>
  <c r="B80" i="9" s="1"/>
  <c r="B81" i="9" s="1"/>
  <c r="B82" i="9" s="1"/>
  <c r="B83" i="9" s="1"/>
  <c r="B84" i="9" s="1"/>
  <c r="B85" i="9" s="1"/>
  <c r="B86" i="9" s="1"/>
  <c r="B87" i="9" s="1"/>
  <c r="B88" i="9" s="1"/>
  <c r="B89" i="9" s="1"/>
  <c r="B90" i="9" s="1"/>
  <c r="B91" i="9" s="1"/>
  <c r="B92" i="9" s="1"/>
  <c r="B93" i="9" s="1"/>
  <c r="B94" i="9" s="1"/>
  <c r="B95" i="9" s="1"/>
  <c r="B96" i="9" s="1"/>
  <c r="B97" i="9" s="1"/>
  <c r="B98" i="9" s="1"/>
  <c r="B70" i="9"/>
  <c r="B99" i="9"/>
  <c r="B100" i="9" l="1"/>
  <c r="B101" i="9" s="1"/>
  <c r="B102" i="9" s="1"/>
  <c r="B103" i="9" s="1"/>
  <c r="B104" i="9" l="1"/>
  <c r="B105" i="9" l="1"/>
  <c r="B106" i="9" s="1"/>
  <c r="B107" i="9" s="1"/>
  <c r="B108" i="9" s="1"/>
  <c r="B109" i="9" s="1"/>
  <c r="B110" i="9" s="1"/>
  <c r="B111" i="9" s="1"/>
  <c r="B112" i="9" s="1"/>
  <c r="B113" i="9" s="1"/>
  <c r="B114" i="9" s="1"/>
  <c r="B115" i="9" s="1"/>
  <c r="B116" i="9" s="1"/>
  <c r="B117" i="9" s="1"/>
  <c r="C72" i="9" l="1"/>
  <c r="C73" i="9" s="1"/>
  <c r="C74" i="9" s="1"/>
  <c r="C75" i="9" s="1"/>
  <c r="C76" i="9" s="1"/>
  <c r="C77" i="9" s="1"/>
  <c r="C78" i="9" s="1"/>
  <c r="C79" i="9" s="1"/>
  <c r="C80" i="9" s="1"/>
  <c r="C81" i="9" s="1"/>
  <c r="C82" i="9" s="1"/>
  <c r="C83"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tc={51C92E37-DC66-445F-B7C1-D928A98C02E8}</author>
    <author>tc={80A28482-ED17-42CA-81DC-B11526A2510F}</author>
    <author>tc={95B9BA71-F98F-47B9-9FF5-DCBB545C57FD}</author>
    <author>tc={B3A91AAE-D344-4DAE-9C26-07636C662E5A}</author>
    <author>tc={B20FE0A1-64FD-974B-9BE7-ABFDD63D6646}</author>
    <author>tc={69C5854F-5F53-45FD-9C2C-9AA83F4DCC04}</author>
    <author>tc={6821AE8A-BAF7-4CCD-9678-73378ECCA884}</author>
    <author>tc={5B718418-E3EC-41E7-9E32-CC14B770FD78}</author>
    <author>tc={A44B3A7C-A8A9-41D1-8BE0-7E2500CA5BFD}</author>
    <author>tc={613BD39E-F03E-463E-A54F-07982A0EA45E}</author>
    <author>tc={BA9245D9-6C01-4F87-8A15-EC4AE5802C30}</author>
    <author>tc={E29F7D1D-7AF5-4541-BD1A-8261973D4DE0}</author>
    <author>tc={919461BB-9FEF-4D66-8757-CD72F4F1D58F}</author>
    <author>tc={0D21896B-F22B-A845-A701-3B902FBB78C7}</author>
    <author>tc={76A183B3-66DA-4506-B94B-252442EF63C7}</author>
    <author>tc={83E4713B-E1CA-4261-8B8D-5A8CA0096F3C}</author>
    <author>tc={D88C9B5E-BF60-084A-9570-4043F212FF6E}</author>
    <author>tc={0194A46F-5F99-9E46-9EAD-33834CE23B16}</author>
    <author>tc={ADD1D653-0938-4BD0-AD14-DACCACA024A8}</author>
    <author>tc={537E8F40-4DC9-CE4D-858B-3E752C329843}</author>
    <author>tc={4844C0AE-1F12-4844-A7ED-7C6A898EC718}</author>
    <author>tc={C71BE2CF-85E9-8140-864A-695CC0C40F7C}</author>
    <author>tc={D653EC94-32EB-CC4F-8437-45786B7F8E67}</author>
    <author>tc={2DCBF5AE-D0DA-A34F-9A40-504D3C16EA24}</author>
    <author>tc={DC3C9334-BC74-254F-8CD8-E902D066E8ED}</author>
    <author>tc={2E608F2F-90E0-8444-ACBD-61FDA866A781}</author>
    <author>tc={F65168F1-5657-814B-A3B8-9D75C1D1B21E}</author>
    <author>tc={155EAEDA-F22A-5443-A55A-846AA7C93035}</author>
    <author>tc={92596AFE-6AAF-324C-AB10-7CE2A26F5F75}</author>
    <author>tc={ADEBDD3F-0378-E642-BB59-B9F3B8CA7869}</author>
  </authors>
  <commentList>
    <comment ref="G2" authorId="0" shapeId="0" xr:uid="{51C92E37-DC66-445F-B7C1-D928A98C02E8}">
      <text>
        <t>[Threaded comment]
Your version of Excel allows you to read this threaded comment; however, any edits to it will get removed if the file is opened in a newer version of Excel. Learn more: https://go.microsoft.com/fwlink/?linkid=870924
Comment:
    Total, pre-IPO</t>
      </text>
    </comment>
    <comment ref="T12" authorId="1" shapeId="0" xr:uid="{80A28482-ED17-42CA-81DC-B11526A2510F}">
      <text>
        <t>[Threaded comment]
Your version of Excel allows you to read this threaded comment; however, any edits to it will get removed if the file is opened in a newer version of Excel. Learn more: https://go.microsoft.com/fwlink/?linkid=870924
Comment:
    27B</t>
      </text>
    </comment>
    <comment ref="W12" authorId="2" shapeId="0" xr:uid="{95B9BA71-F98F-47B9-9FF5-DCBB545C57FD}">
      <text>
        <t>[Threaded comment]
Your version of Excel allows you to read this threaded comment; however, any edits to it will get removed if the file is opened in a newer version of Excel. Learn more: https://go.microsoft.com/fwlink/?linkid=870924
Comment:
    5.8B valuation</t>
      </text>
    </comment>
    <comment ref="Z12" authorId="3" shapeId="0" xr:uid="{B3A91AAE-D344-4DAE-9C26-07636C662E5A}">
      <text>
        <t>[Threaded comment]
Your version of Excel allows you to read this threaded comment; however, any edits to it will get removed if the file is opened in a newer version of Excel. Learn more: https://go.microsoft.com/fwlink/?linkid=870924
Comment:
    2.5B valuation</t>
      </text>
    </comment>
    <comment ref="J15" authorId="4" shapeId="0" xr:uid="{B20FE0A1-64FD-974B-9BE7-ABFDD63D6646}">
      <text>
        <t>[Threaded comment]
Your version of Excel allows you to read this threaded comment; however, any edits to it will get removed if the file is opened in a newer version of Excel. Learn more: https://go.microsoft.com/fwlink/?linkid=870924
Comment:
    Tom Built GPT-3</t>
      </text>
    </comment>
    <comment ref="T20" authorId="5" shapeId="0" xr:uid="{69C5854F-5F53-45FD-9C2C-9AA83F4DCC04}">
      <text>
        <t>[Threaded comment]
Your version of Excel allows you to read this threaded comment; however, any edits to it will get removed if the file is opened in a newer version of Excel. Learn more: https://go.microsoft.com/fwlink/?linkid=870924
Comment:
    1.1B valuation</t>
      </text>
    </comment>
    <comment ref="Q21" authorId="6" shapeId="0" xr:uid="{6821AE8A-BAF7-4CCD-9678-73378ECCA884}">
      <text>
        <t>[Threaded comment]
Your version of Excel allows you to read this threaded comment; however, any edits to it will get removed if the file is opened in a newer version of Excel. Learn more: https://go.microsoft.com/fwlink/?linkid=870924
Comment:
    5200m valuation</t>
      </text>
    </comment>
    <comment ref="T21" authorId="7" shapeId="0" xr:uid="{5B718418-E3EC-41E7-9E32-CC14B770FD78}">
      <text>
        <t>[Threaded comment]
Your version of Excel allows you to read this threaded comment; however, any edits to it will get removed if the file is opened in a newer version of Excel. Learn more: https://go.microsoft.com/fwlink/?linkid=870924
Comment:
    5000 valuation</t>
      </text>
    </comment>
    <comment ref="W21" authorId="8" shapeId="0" xr:uid="{A44B3A7C-A8A9-41D1-8BE0-7E2500CA5BFD}">
      <text>
        <t>[Threaded comment]
Your version of Excel allows you to read this threaded comment; however, any edits to it will get removed if the file is opened in a newer version of Excel. Learn more: https://go.microsoft.com/fwlink/?linkid=870924
Comment:
    2500m valuation</t>
      </text>
    </comment>
    <comment ref="T24" authorId="9" shapeId="0" xr:uid="{613BD39E-F03E-463E-A54F-07982A0EA45E}">
      <text>
        <t>[Threaded comment]
Your version of Excel allows you to read this threaded comment; however, any edits to it will get removed if the file is opened in a newer version of Excel. Learn more: https://go.microsoft.com/fwlink/?linkid=870924
Comment:
    685m valuation</t>
      </text>
    </comment>
    <comment ref="AE30" authorId="10" shapeId="0" xr:uid="{BA9245D9-6C01-4F87-8A15-EC4AE5802C30}">
      <text>
        <t>[Threaded comment]
Your version of Excel allows you to read this threaded comment; however, any edits to it will get removed if the file is opened in a newer version of Excel. Learn more: https://go.microsoft.com/fwlink/?linkid=870924
Comment:
    www.heypi.com</t>
      </text>
    </comment>
    <comment ref="AF30" authorId="11" shapeId="0" xr:uid="{E29F7D1D-7AF5-4541-BD1A-8261973D4DE0}">
      <text>
        <t>[Threaded comment]
Your version of Excel allows you to read this threaded comment; however, any edits to it will get removed if the file is opened in a newer version of Excel. Learn more: https://go.microsoft.com/fwlink/?linkid=870924
Comment:
    0.651907 for inflection.ai,
1.922m for heypi.com</t>
      </text>
    </comment>
    <comment ref="AG30" authorId="12" shapeId="0" xr:uid="{919461BB-9FEF-4D66-8757-CD72F4F1D58F}">
      <text>
        <t>[Threaded comment]
Your version of Excel allows you to read this threaded comment; however, any edits to it will get removed if the file is opened in a newer version of Excel. Learn more: https://go.microsoft.com/fwlink/?linkid=870924
Comment:
    2:22 for inflection.ai
6:31 for heypi.com</t>
      </text>
    </comment>
    <comment ref="AH30" authorId="13" shapeId="0" xr:uid="{0D21896B-F22B-A845-A701-3B902FBB78C7}">
      <text>
        <t>[Threaded comment]
Your version of Excel allows you to read this threaded comment; however, any edits to it will get removed if the file is opened in a newer version of Excel. Learn more: https://go.microsoft.com/fwlink/?linkid=870924
Comment:
    .151026 for inflection</t>
      </text>
    </comment>
    <comment ref="Q31" authorId="14" shapeId="0" xr:uid="{76A183B3-66DA-4506-B94B-252442EF63C7}">
      <text>
        <t>[Threaded comment]
Your version of Excel allows you to read this threaded comment; however, any edits to it will get removed if the file is opened in a newer version of Excel. Learn more: https://go.microsoft.com/fwlink/?linkid=870924
Comment:
    2.4B</t>
      </text>
    </comment>
    <comment ref="T31" authorId="15" shapeId="0" xr:uid="{83E4713B-E1CA-4261-8B8D-5A8CA0096F3C}">
      <text>
        <t>[Threaded comment]
Your version of Excel allows you to read this threaded comment; however, any edits to it will get removed if the file is opened in a newer version of Excel. Learn more: https://go.microsoft.com/fwlink/?linkid=870924
Comment:
    1.7B valuation</t>
      </text>
    </comment>
    <comment ref="Q33" authorId="16" shapeId="0" xr:uid="{D88C9B5E-BF60-084A-9570-4043F212FF6E}">
      <text>
        <t>[Threaded comment]
Your version of Excel allows you to read this threaded comment; however, any edits to it will get removed if the file is opened in a newer version of Excel. Learn more: https://go.microsoft.com/fwlink/?linkid=870924
Comment:
    1.8B valuation</t>
      </text>
    </comment>
    <comment ref="Q34" authorId="17" shapeId="0" xr:uid="{0194A46F-5F99-9E46-9EAD-33834CE23B16}">
      <text>
        <t>[Threaded comment]
Your version of Excel allows you to read this threaded comment; however, any edits to it will get removed if the file is opened in a newer version of Excel. Learn more: https://go.microsoft.com/fwlink/?linkid=870924
Comment:
    1.1B valuation</t>
      </text>
    </comment>
    <comment ref="Q35" authorId="18" shapeId="0" xr:uid="{ADD1D653-0938-4BD0-AD14-DACCACA024A8}">
      <text>
        <t>[Threaded comment]
Your version of Excel allows you to read this threaded comment; however, any edits to it will get removed if the file is opened in a newer version of Excel. Learn more: https://go.microsoft.com/fwlink/?linkid=870924
Comment:
    4.2B valuation</t>
      </text>
    </comment>
    <comment ref="Q40" authorId="19" shapeId="0" xr:uid="{537E8F40-4DC9-CE4D-858B-3E752C329843}">
      <text>
        <t>[Threaded comment]
Your version of Excel allows you to read this threaded comment; however, any edits to it will get removed if the file is opened in a newer version of Excel. Learn more: https://go.microsoft.com/fwlink/?linkid=870924
Comment:
    880m valuation</t>
      </text>
    </comment>
    <comment ref="T41" authorId="20" shapeId="0" xr:uid="{4844C0AE-1F12-4844-A7ED-7C6A898EC718}">
      <text>
        <t>[Threaded comment]
Your version of Excel allows you to read this threaded comment; however, any edits to it will get removed if the file is opened in a newer version of Excel. Learn more: https://go.microsoft.com/fwlink/?linkid=870924
Comment:
    1B valuation</t>
      </text>
    </comment>
    <comment ref="Q44" authorId="21" shapeId="0" xr:uid="{C71BE2CF-85E9-8140-864A-695CC0C40F7C}">
      <text>
        <t>[Threaded comment]
Your version of Excel allows you to read this threaded comment; however, any edits to it will get removed if the file is opened in a newer version of Excel. Learn more: https://go.microsoft.com/fwlink/?linkid=870924
Comment:
    830m valuation</t>
      </text>
    </comment>
    <comment ref="Q53" authorId="22" shapeId="0" xr:uid="{D653EC94-32EB-CC4F-8437-45786B7F8E67}">
      <text>
        <t>[Threaded comment]
Your version of Excel allows you to read this threaded comment; however, any edits to it will get removed if the file is opened in a newer version of Excel. Learn more: https://go.microsoft.com/fwlink/?linkid=870924
Comment:
    875m valuation</t>
      </text>
    </comment>
    <comment ref="Q63" authorId="23" shapeId="0" xr:uid="{2DCBF5AE-D0DA-A34F-9A40-504D3C16EA24}">
      <text>
        <t>[Threaded comment]
Your version of Excel allows you to read this threaded comment; however, any edits to it will get removed if the file is opened in a newer version of Excel. Learn more: https://go.microsoft.com/fwlink/?linkid=870924
Comment:
    940m pre-money</t>
      </text>
    </comment>
    <comment ref="Q83" authorId="24" shapeId="0" xr:uid="{DC3C9334-BC74-254F-8CD8-E902D066E8ED}">
      <text>
        <t>[Threaded comment]
Your version of Excel allows you to read this threaded comment; however, any edits to it will get removed if the file is opened in a newer version of Excel. Learn more: https://go.microsoft.com/fwlink/?linkid=870924
Comment:
    780m valuation</t>
      </text>
    </comment>
    <comment ref="T94" authorId="25" shapeId="0" xr:uid="{2E608F2F-90E0-8444-ACBD-61FDA866A781}">
      <text>
        <t>[Threaded comment]
Your version of Excel allows you to read this threaded comment; however, any edits to it will get removed if the file is opened in a newer version of Excel. Learn more: https://go.microsoft.com/fwlink/?linkid=870924
Comment:
    210m valuation</t>
      </text>
    </comment>
    <comment ref="R108" authorId="26" shapeId="0" xr:uid="{F65168F1-5657-814B-A3B8-9D75C1D1B21E}">
      <text>
        <t>[Threaded comment]
Your version of Excel allows you to read this threaded comment; however, any edits to it will get removed if the file is opened in a newer version of Excel. Learn more: https://go.microsoft.com/fwlink/?linkid=870924
Comment:
    65m pre-money</t>
      </text>
    </comment>
    <comment ref="Q138" authorId="27" shapeId="0" xr:uid="{155EAEDA-F22A-5443-A55A-846AA7C93035}">
      <text>
        <t>[Threaded comment]
Your version of Excel allows you to read this threaded comment; however, any edits to it will get removed if the file is opened in a newer version of Excel. Learn more: https://go.microsoft.com/fwlink/?linkid=870924
Comment:
    1.8B valuation</t>
      </text>
    </comment>
    <comment ref="T138" authorId="28" shapeId="0" xr:uid="{92596AFE-6AAF-324C-AB10-7CE2A26F5F75}">
      <text>
        <t>[Threaded comment]
Your version of Excel allows you to read this threaded comment; however, any edits to it will get removed if the file is opened in a newer version of Excel. Learn more: https://go.microsoft.com/fwlink/?linkid=870924
Comment:
    1.5B valuation</t>
      </text>
    </comment>
    <comment ref="D155" authorId="29" shapeId="0" xr:uid="{ADEBDD3F-0378-E642-BB59-B9F3B8CA7869}">
      <text>
        <t>[Threaded comment]
Your version of Excel allows you to read this threaded comment; however, any edits to it will get removed if the file is opened in a newer version of Excel. Learn more: https://go.microsoft.com/fwlink/?linkid=870924
Comment:
    https://techcrunch.com/2022/11/10/ai-powered-note-taking-app-mem-raises-23-5m-openai/</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tc={7A7C6198-3353-CD40-BB00-F8E9A98CCF06}</author>
    <author>tc={E6DDF9CC-FB36-C74C-965A-666BFAA0DE62}</author>
    <author>tc={305D004E-E51A-144D-BE51-991B59019DC4}</author>
    <author>tc={2693FE7F-F554-E548-8264-1036732DDEF4}</author>
    <author>tc={36903FD1-2927-8148-989B-855E86E2A333}</author>
  </authors>
  <commentList>
    <comment ref="J116" authorId="0" shapeId="0" xr:uid="{7A7C6198-3353-CD40-BB00-F8E9A98CCF06}">
      <text>
        <t>[Threaded comment]
Your version of Excel allows you to read this threaded comment; however, any edits to it will get removed if the file is opened in a newer version of Excel. Learn more: https://go.microsoft.com/fwlink/?linkid=870924
Comment:
    Was 22% IRR</t>
      </text>
    </comment>
    <comment ref="J117" authorId="1" shapeId="0" xr:uid="{E6DDF9CC-FB36-C74C-965A-666BFAA0DE62}">
      <text>
        <t>[Threaded comment]
Your version of Excel allows you to read this threaded comment; however, any edits to it will get removed if the file is opened in a newer version of Excel. Learn more: https://go.microsoft.com/fwlink/?linkid=870924
Comment:
    Was 23% IRR</t>
      </text>
    </comment>
    <comment ref="J118" authorId="2" shapeId="0" xr:uid="{305D004E-E51A-144D-BE51-991B59019DC4}">
      <text>
        <t>[Threaded comment]
Your version of Excel allows you to read this threaded comment; however, any edits to it will get removed if the file is opened in a newer version of Excel. Learn more: https://go.microsoft.com/fwlink/?linkid=870924
Comment:
    Was 39% IRR</t>
      </text>
    </comment>
    <comment ref="I831" authorId="3" shapeId="0" xr:uid="{2693FE7F-F554-E548-8264-1036732DDEF4}">
      <text>
        <t>[Threaded comment]
Your version of Excel allows you to read this threaded comment; however, any edits to it will get removed if the file is opened in a newer version of Excel. Learn more: https://go.microsoft.com/fwlink/?linkid=870924
Comment:
    Amplify Partners V, Amplify Select (6/13/22)</t>
      </text>
    </comment>
    <comment ref="I1096" authorId="4" shapeId="0" xr:uid="{36903FD1-2927-8148-989B-855E86E2A333}">
      <text>
        <t>[Threaded comment]
Your version of Excel allows you to read this threaded comment; however, any edits to it will get removed if the file is opened in a newer version of Excel. Learn more: https://go.microsoft.com/fwlink/?linkid=870924
Comment:
    Radical Ventures II (5/7/19)</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tc={26AE71E1-A6EA-1C4D-B190-C333B6B98FDF}</author>
    <author>tc={E0153790-2524-5940-9AF2-C45B6CF5AAB7}</author>
    <author>tc={9AB83EA6-509C-1447-9AAF-237532D68E8D}</author>
    <author>tc={CF95A801-D2A5-514C-AF80-680FECBFAA4A}</author>
    <author>tc={AA8070DE-A169-2247-BECD-3D5230FEC4D2}</author>
    <author>tc={4059B2DA-8F69-4F42-B0A0-055104F9E7FE}</author>
    <author>tc={28F2BD18-8190-944F-A71C-6603E4F1E39E}</author>
  </authors>
  <commentList>
    <comment ref="J3" authorId="0" shapeId="0" xr:uid="{26AE71E1-A6EA-1C4D-B190-C333B6B98FDF}">
      <text>
        <t>[Threaded comment]
Your version of Excel allows you to read this threaded comment; however, any edits to it will get removed if the file is opened in a newer version of Excel. Learn more: https://go.microsoft.com/fwlink/?linkid=870924
Comment:
    0.03 limited starter tier
Enterprise discounts all the way to 0.03</t>
      </text>
    </comment>
    <comment ref="O4" authorId="1" shapeId="0" xr:uid="{E0153790-2524-5940-9AF2-C45B6CF5AAB7}">
      <text>
        <t>[Threaded comment]
Your version of Excel allows you to read this threaded comment; however, any edits to it will get removed if the file is opened in a newer version of Excel. Learn more: https://go.microsoft.com/fwlink/?linkid=870924
Comment:
    Product not out yet, on waitlist</t>
      </text>
    </comment>
    <comment ref="O5" authorId="2" shapeId="0" xr:uid="{9AB83EA6-509C-1447-9AAF-237532D68E8D}">
      <text>
        <t>[Threaded comment]
Your version of Excel allows you to read this threaded comment; however, any edits to it will get removed if the file is opened in a newer version of Excel. Learn more: https://go.microsoft.com/fwlink/?linkid=870924
Comment:
    No self-service, must contact sales, 3000/12m chars</t>
      </text>
    </comment>
    <comment ref="J6" authorId="3" shapeId="0" xr:uid="{CF95A801-D2A5-514C-AF80-680FECBFAA4A}">
      <text>
        <t>[Threaded comment]
Your version of Excel allows you to read this threaded comment; however, any edits to it will get removed if the file is opened in a newer version of Excel. Learn more: https://go.microsoft.com/fwlink/?linkid=870924
Comment:
    https://play.ht/upgrade/
$999/mo tier, 0.225 drops to 0.10
Other tiers are from 0.25 and lower</t>
      </text>
    </comment>
    <comment ref="J8" authorId="4" shapeId="0" xr:uid="{AA8070DE-A169-2247-BECD-3D5230FEC4D2}">
      <text>
        <t>[Threaded comment]
Your version of Excel allows you to read this threaded comment; however, any edits to it will get removed if the file is opened in a newer version of Excel. Learn more: https://go.microsoft.com/fwlink/?linkid=870924
Comment:
    https://www.resemble.ai/pricing/</t>
      </text>
    </comment>
    <comment ref="O9" authorId="5" shapeId="0" xr:uid="{4059B2DA-8F69-4F42-B0A0-055104F9E7FE}">
      <text>
        <t>[Threaded comment]
Your version of Excel allows you to read this threaded comment; however, any edits to it will get removed if the file is opened in a newer version of Excel. Learn more: https://go.microsoft.com/fwlink/?linkid=870924
Comment:
    No self-service, must contact sales</t>
      </text>
    </comment>
    <comment ref="J18" authorId="6" shapeId="0" xr:uid="{28F2BD18-8190-944F-A71C-6603E4F1E39E}">
      <text>
        <t>[Threaded comment]
Your version of Excel allows you to read this threaded comment; however, any edits to it will get removed if the file is opened in a newer version of Excel. Learn more: https://go.microsoft.com/fwlink/?linkid=870924
Comment:
    0.0163 without scale</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Martin Shkreli</author>
  </authors>
  <commentList>
    <comment ref="G42" authorId="0" shapeId="0" xr:uid="{7C1BFE3B-E211-5D4F-A93A-F18F1887C896}">
      <text>
        <r>
          <rPr>
            <b/>
            <sz val="10"/>
            <color rgb="FF000000"/>
            <rFont val="Tahoma"/>
            <family val="2"/>
          </rPr>
          <t>Martin Shkreli:</t>
        </r>
        <r>
          <rPr>
            <sz val="10"/>
            <color rgb="FF000000"/>
            <rFont val="Tahoma"/>
            <family val="2"/>
          </rPr>
          <t xml:space="preserve">
</t>
        </r>
        <r>
          <rPr>
            <sz val="10"/>
            <color rgb="FF000000"/>
            <rFont val="Tahoma"/>
            <family val="2"/>
          </rPr>
          <t xml:space="preserve">complained about universe 6/11/17
</t>
        </r>
        <r>
          <rPr>
            <sz val="10"/>
            <color rgb="FF000000"/>
            <rFont val="Tahoma"/>
            <family val="2"/>
          </rPr>
          <t xml:space="preserve">https://blog.aqnichol.com/2017/06/11/why-im-remaking-openai-universe/
</t>
        </r>
        <r>
          <rPr>
            <sz val="10"/>
            <color rgb="FF000000"/>
            <rFont val="Tahoma"/>
            <family val="2"/>
          </rPr>
          <t xml:space="preserve">
</t>
        </r>
        <r>
          <rPr>
            <sz val="10"/>
            <color rgb="FF000000"/>
            <rFont val="Tahoma"/>
            <family val="2"/>
          </rPr>
          <t>1/30/20 seems to have left and come back</t>
        </r>
      </text>
    </comment>
  </commentList>
</comments>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<sst xmlns="http://schemas.openxmlformats.org/spreadsheetml/2006/main" count="35312" uniqueCount="15568">
  <si>
    <t>OpenAI</t>
  </si>
  <si>
    <t>N/A</t>
  </si>
  <si>
    <t>K2 Global</t>
  </si>
  <si>
    <t>Shield AI</t>
  </si>
  <si>
    <t>Seed</t>
  </si>
  <si>
    <t>Series A</t>
  </si>
  <si>
    <t>Founder Collective</t>
  </si>
  <si>
    <t>Series B</t>
  </si>
  <si>
    <t>Series D</t>
  </si>
  <si>
    <t>Series E</t>
  </si>
  <si>
    <t>Breyer Capital</t>
  </si>
  <si>
    <t>Disruptive</t>
  </si>
  <si>
    <t>Homebrew</t>
  </si>
  <si>
    <t>Riot Ventures</t>
  </si>
  <si>
    <t>Snowpoint</t>
  </si>
  <si>
    <t>Shift Technology</t>
  </si>
  <si>
    <t>HDS Capital</t>
  </si>
  <si>
    <t>Elaia</t>
  </si>
  <si>
    <t>Series C</t>
  </si>
  <si>
    <t>IRIS</t>
  </si>
  <si>
    <t>Advent International</t>
  </si>
  <si>
    <t>Alma Mundi Ventures</t>
  </si>
  <si>
    <t>Graphcore</t>
  </si>
  <si>
    <t>C4 Ventures</t>
  </si>
  <si>
    <t>Chrysalis</t>
  </si>
  <si>
    <t>Mayfair Equity Partners</t>
  </si>
  <si>
    <t>M&amp;G Investments</t>
  </si>
  <si>
    <t>Molten Ventures</t>
  </si>
  <si>
    <t>YTWO</t>
  </si>
  <si>
    <t>Light Years Beyond</t>
  </si>
  <si>
    <t>Wuyuan Capital</t>
  </si>
  <si>
    <t>Source Code Capital</t>
  </si>
  <si>
    <t>Meero</t>
  </si>
  <si>
    <t>Aglae Ventures</t>
  </si>
  <si>
    <t>Cascade (Ventures, Investment Fund)</t>
  </si>
  <si>
    <t>GR Capital</t>
  </si>
  <si>
    <t>Idinvest Partners</t>
  </si>
  <si>
    <t>White Star</t>
  </si>
  <si>
    <t>Avenir</t>
  </si>
  <si>
    <t>Skydio</t>
  </si>
  <si>
    <t>CAA Ventures</t>
  </si>
  <si>
    <t>Parcel B</t>
  </si>
  <si>
    <t>Levitate</t>
  </si>
  <si>
    <t>Axon</t>
  </si>
  <si>
    <t>Hercules Capital</t>
  </si>
  <si>
    <t>UP Partners</t>
  </si>
  <si>
    <t>Linse Capital</t>
  </si>
  <si>
    <t>ThoughtSpot</t>
  </si>
  <si>
    <t>HarbourVest Partners</t>
  </si>
  <si>
    <t>ServiceNow</t>
  </si>
  <si>
    <t>Decacorn Capital</t>
  </si>
  <si>
    <t>Future Fund</t>
  </si>
  <si>
    <t>Eightfold AI</t>
  </si>
  <si>
    <t>Series F</t>
  </si>
  <si>
    <t>Capital One Ventures</t>
  </si>
  <si>
    <t>Gong</t>
  </si>
  <si>
    <t>NextWorld Capital</t>
  </si>
  <si>
    <t>Builder.ai</t>
  </si>
  <si>
    <t>Deepcore</t>
  </si>
  <si>
    <t>IFC (International Finance Corporation)</t>
  </si>
  <si>
    <t>Revo Capital</t>
  </si>
  <si>
    <t>Blue Lion Global</t>
  </si>
  <si>
    <t>Jungle Ventures</t>
  </si>
  <si>
    <t>Qatar Investment Authority</t>
  </si>
  <si>
    <t>Vastai Technologies</t>
  </si>
  <si>
    <t>Sirius Capital</t>
  </si>
  <si>
    <t>Kuaishou</t>
  </si>
  <si>
    <t>China Internet Investment Fund</t>
  </si>
  <si>
    <t>China Science and Technology Innovation</t>
  </si>
  <si>
    <t>Glory Ventures</t>
  </si>
  <si>
    <t>Mouhua Science and Technology</t>
  </si>
  <si>
    <t>Murf.AI</t>
  </si>
  <si>
    <t>Matrix Partners (China, India)</t>
  </si>
  <si>
    <t>PICC</t>
  </si>
  <si>
    <t>Cerebras</t>
  </si>
  <si>
    <t>Benchmark</t>
  </si>
  <si>
    <t>Eclipse Ventures</t>
  </si>
  <si>
    <t>Vy Capital</t>
  </si>
  <si>
    <t>Empede Capital</t>
  </si>
  <si>
    <t>Alpha Wave Ventures</t>
  </si>
  <si>
    <t>Enflame</t>
  </si>
  <si>
    <t>China Equity</t>
  </si>
  <si>
    <t>RiverHead Capital</t>
  </si>
  <si>
    <t>Yunhe Partners</t>
  </si>
  <si>
    <t>Delta Capital</t>
  </si>
  <si>
    <t>Summitview</t>
  </si>
  <si>
    <t>CICC Alpha</t>
  </si>
  <si>
    <t>D-ID</t>
  </si>
  <si>
    <t>Pegasus Tech Ventures</t>
  </si>
  <si>
    <t>AI Alliance</t>
  </si>
  <si>
    <t>Hyundai Motor</t>
  </si>
  <si>
    <t>Omron Ventures</t>
  </si>
  <si>
    <t>AXA Venture Partners</t>
  </si>
  <si>
    <t>Maverick Ventures</t>
  </si>
  <si>
    <t>OIF Ventures</t>
  </si>
  <si>
    <t>Enlitic</t>
  </si>
  <si>
    <t>Alium Capital</t>
  </si>
  <si>
    <t>Capitol Health</t>
  </si>
  <si>
    <t>Marubeni</t>
  </si>
  <si>
    <t>Regal Funds</t>
  </si>
  <si>
    <t>The Jagen Group</t>
  </si>
  <si>
    <t>Thorney Investment</t>
  </si>
  <si>
    <t>Digital Reasoning</t>
  </si>
  <si>
    <t>SC Ventures</t>
  </si>
  <si>
    <t>Lemhi Ventures</t>
  </si>
  <si>
    <t>Partnership Fund for NYC</t>
  </si>
  <si>
    <t>Square Capital</t>
  </si>
  <si>
    <t>BNP Paribas</t>
  </si>
  <si>
    <t>Eigen Technologies</t>
  </si>
  <si>
    <t>Lakestar</t>
  </si>
  <si>
    <t>Rad AI</t>
  </si>
  <si>
    <t>Array Ventures</t>
  </si>
  <si>
    <t>Fifty Years</t>
  </si>
  <si>
    <t>GMO VenturePartners</t>
  </si>
  <si>
    <t>Harmonix Fund</t>
  </si>
  <si>
    <t>Precursor Ventures</t>
  </si>
  <si>
    <t>UP2398</t>
  </si>
  <si>
    <t>City Light Capital</t>
  </si>
  <si>
    <t>Kickstart</t>
  </si>
  <si>
    <t>OCV</t>
  </si>
  <si>
    <t>Santa Barbara Venture Partners</t>
  </si>
  <si>
    <t>Artis Ventures</t>
  </si>
  <si>
    <t>Lovo</t>
  </si>
  <si>
    <t>Primer Sazze Partners</t>
  </si>
  <si>
    <t>Kakao</t>
  </si>
  <si>
    <t>Goodwater Capital</t>
  </si>
  <si>
    <t>PKO Investments</t>
  </si>
  <si>
    <t>Hashed</t>
  </si>
  <si>
    <t>Workera</t>
  </si>
  <si>
    <t>Sozo Ventures</t>
  </si>
  <si>
    <t>Jump Capital</t>
  </si>
  <si>
    <t>WEKA</t>
  </si>
  <si>
    <t>CID Group</t>
  </si>
  <si>
    <t>Mellanox Capital</t>
  </si>
  <si>
    <t>Seagate Technology</t>
  </si>
  <si>
    <t>Western Digital Capital</t>
  </si>
  <si>
    <t>Ibex Investors</t>
  </si>
  <si>
    <t>Hitachi Ventures</t>
  </si>
  <si>
    <t>10D</t>
  </si>
  <si>
    <t>Gemini Israel Ventures</t>
  </si>
  <si>
    <t>Key 1 Capital</t>
  </si>
  <si>
    <t>Lumir Ventures</t>
  </si>
  <si>
    <t>MoreTech Ventures</t>
  </si>
  <si>
    <t>Generation</t>
  </si>
  <si>
    <t>Playment</t>
  </si>
  <si>
    <t>SAIF Partners</t>
  </si>
  <si>
    <t>Sparkland</t>
  </si>
  <si>
    <t>3</t>
  </si>
  <si>
    <t>PatSnap</t>
  </si>
  <si>
    <t>Global Brain Corporation</t>
  </si>
  <si>
    <t>7</t>
  </si>
  <si>
    <t>Summit Partners</t>
  </si>
  <si>
    <t>8</t>
  </si>
  <si>
    <t>Qualgro VC</t>
  </si>
  <si>
    <t>Dataiku</t>
  </si>
  <si>
    <t>Wilco</t>
  </si>
  <si>
    <t>Alven</t>
  </si>
  <si>
    <t>Stripes</t>
  </si>
  <si>
    <t>Dawn Capital</t>
  </si>
  <si>
    <t>Lightrock</t>
  </si>
  <si>
    <t>Eurazeo</t>
  </si>
  <si>
    <t>Pony.ai</t>
  </si>
  <si>
    <t>Polaris Capital Group</t>
  </si>
  <si>
    <t>Puhua Capital</t>
  </si>
  <si>
    <t>Silicon Valley Future Capital</t>
  </si>
  <si>
    <t>VMS Asset Management</t>
  </si>
  <si>
    <t>Legend Capital (including Legend Star)</t>
  </si>
  <si>
    <t>DCM Ventures</t>
  </si>
  <si>
    <t>Delong Capital</t>
  </si>
  <si>
    <t>Hongtai Capital</t>
  </si>
  <si>
    <t>Kunlun</t>
  </si>
  <si>
    <t>FAW Group</t>
  </si>
  <si>
    <t>5Y Capital</t>
  </si>
  <si>
    <t>Brunei Investment Agency</t>
  </si>
  <si>
    <t>ClearVue Partners</t>
  </si>
  <si>
    <t>Ontario Teachers'</t>
  </si>
  <si>
    <t>Dataminr</t>
  </si>
  <si>
    <t>General Advance</t>
  </si>
  <si>
    <t>Viceroy Ventures</t>
  </si>
  <si>
    <t>Deep Fork Capital</t>
  </si>
  <si>
    <t>SuRo Capital</t>
  </si>
  <si>
    <t>Wharton Equity Partners</t>
  </si>
  <si>
    <t>Richmond Global Ventures</t>
  </si>
  <si>
    <t>Venrock</t>
  </si>
  <si>
    <t>WorldQuant</t>
  </si>
  <si>
    <t>Blue Ivy Ventures</t>
  </si>
  <si>
    <t>Kite Ventures</t>
  </si>
  <si>
    <t>Planven Investiments</t>
  </si>
  <si>
    <t>Vulcan Capital</t>
  </si>
  <si>
    <t>ArrowMark Partners</t>
  </si>
  <si>
    <t>DNS Capital</t>
  </si>
  <si>
    <t>Eden Global</t>
  </si>
  <si>
    <t>AnyVision</t>
  </si>
  <si>
    <t>Eldridge</t>
  </si>
  <si>
    <t>Lurra Capital</t>
  </si>
  <si>
    <t>Reinvent Capital</t>
  </si>
  <si>
    <t>The Pritzker Organization</t>
  </si>
  <si>
    <t>Momenta</t>
  </si>
  <si>
    <t>Blue Lake Capital</t>
  </si>
  <si>
    <t>UnityVC</t>
  </si>
  <si>
    <t>China Merchants Group</t>
  </si>
  <si>
    <t>InnoVen Capital</t>
  </si>
  <si>
    <t>NIO Capital</t>
  </si>
  <si>
    <t>Pagoda</t>
  </si>
  <si>
    <t>IDG Capital</t>
  </si>
  <si>
    <t>Mercedes-Benz Group</t>
  </si>
  <si>
    <t>YF Capital</t>
  </si>
  <si>
    <t>SAIC Motor</t>
  </si>
  <si>
    <t>SambaNova Systems</t>
  </si>
  <si>
    <t>Redline Capital</t>
  </si>
  <si>
    <t>GIC (Singapore)</t>
  </si>
  <si>
    <t>4Paradigm</t>
  </si>
  <si>
    <t>Huyu Equity Investment Fund</t>
  </si>
  <si>
    <t>Agricultural Bank of China</t>
  </si>
  <si>
    <t>Bank of Communications</t>
  </si>
  <si>
    <t>China Poly Group</t>
  </si>
  <si>
    <t>CTBC Bank</t>
  </si>
  <si>
    <t>Three Gorges Capital</t>
  </si>
  <si>
    <t>Tusholdings</t>
  </si>
  <si>
    <t>Capikris Foundation</t>
  </si>
  <si>
    <t>Co-Stone Venture</t>
  </si>
  <si>
    <t>Lenovo</t>
  </si>
  <si>
    <t>China Development Bank</t>
  </si>
  <si>
    <t>China Jianyin</t>
  </si>
  <si>
    <t>China Securities</t>
  </si>
  <si>
    <t>FountainVest</t>
  </si>
  <si>
    <t>Haitong Securities</t>
  </si>
  <si>
    <t>Jinyi Capital</t>
  </si>
  <si>
    <t>Junci Investment</t>
  </si>
  <si>
    <t>Boyu</t>
  </si>
  <si>
    <t>HOPU</t>
  </si>
  <si>
    <t>Primavera Capital</t>
  </si>
  <si>
    <t>MEGVII</t>
  </si>
  <si>
    <t>CCB International</t>
  </si>
  <si>
    <t>Sinovation</t>
  </si>
  <si>
    <t>Foxteq</t>
  </si>
  <si>
    <t>China Reform Holdings</t>
  </si>
  <si>
    <t>Russia-China Investment Fund</t>
  </si>
  <si>
    <t>Sunshine Insurance Group</t>
  </si>
  <si>
    <t>Foxconn</t>
  </si>
  <si>
    <t>Cerebras Systems</t>
  </si>
  <si>
    <t>ADIA (Abu Dhabi Growth Fund)</t>
  </si>
  <si>
    <t>Alibaba (Ant)</t>
  </si>
  <si>
    <t>Bank of China Group Investment</t>
  </si>
  <si>
    <t>ICBC Asset Management</t>
  </si>
  <si>
    <t>UBTech Robotics</t>
  </si>
  <si>
    <t>Qiming Venture Partners</t>
  </si>
  <si>
    <t>CDH Investments</t>
  </si>
  <si>
    <t>CreditEase</t>
  </si>
  <si>
    <t>Green Pine Capital Partners</t>
  </si>
  <si>
    <t>Haier</t>
  </si>
  <si>
    <t>Minsheng Securities</t>
  </si>
  <si>
    <t>Telstra Ventures</t>
  </si>
  <si>
    <t>Nuro</t>
  </si>
  <si>
    <t>Chipotle</t>
  </si>
  <si>
    <t>Baillie Gifford</t>
  </si>
  <si>
    <t>Kroger</t>
  </si>
  <si>
    <t>Woven Capital</t>
  </si>
  <si>
    <t>OpenSpace</t>
  </si>
  <si>
    <t>AngelList Talent</t>
  </si>
  <si>
    <t>Fairhaven</t>
  </si>
  <si>
    <t>National Science Foundation</t>
  </si>
  <si>
    <t>Sterling.VC</t>
  </si>
  <si>
    <t>Goldcrest</t>
  </si>
  <si>
    <t>Suffolk Technologies</t>
  </si>
  <si>
    <t>WeWork Labs</t>
  </si>
  <si>
    <t>New World Development</t>
  </si>
  <si>
    <t>Zigg Capital</t>
  </si>
  <si>
    <t>Alpaca VC</t>
  </si>
  <si>
    <t>Fischer Homes</t>
  </si>
  <si>
    <t>GreenPoint Partners</t>
  </si>
  <si>
    <t>Harmonic Growth</t>
  </si>
  <si>
    <t>JLL Spark</t>
  </si>
  <si>
    <t>Navitas</t>
  </si>
  <si>
    <t>Nine Four Ventures</t>
  </si>
  <si>
    <t>Sino Group</t>
  </si>
  <si>
    <t>Taronga Ventures</t>
  </si>
  <si>
    <t>Datrics</t>
  </si>
  <si>
    <t>Pre-Seed</t>
  </si>
  <si>
    <t>QPDigital</t>
  </si>
  <si>
    <t>Altair Capital</t>
  </si>
  <si>
    <t>Ambi Robotics</t>
  </si>
  <si>
    <t>Pitney Bowes</t>
  </si>
  <si>
    <t>Pictory</t>
  </si>
  <si>
    <t>Voyager Capital</t>
  </si>
  <si>
    <t>FUSE</t>
  </si>
  <si>
    <t>Unsupervised</t>
  </si>
  <si>
    <t>Eniac Ventures</t>
  </si>
  <si>
    <t>NextGen Venture Partners</t>
  </si>
  <si>
    <t>Neural Magic</t>
  </si>
  <si>
    <t>Amdocs</t>
  </si>
  <si>
    <t>Ridgeline</t>
  </si>
  <si>
    <t>Almotive</t>
  </si>
  <si>
    <t>Tamares</t>
  </si>
  <si>
    <t>Inventure</t>
  </si>
  <si>
    <t>Lead Ventures</t>
  </si>
  <si>
    <t>Prime Ventures</t>
  </si>
  <si>
    <t>AI focused</t>
  </si>
  <si>
    <t>Botpress</t>
  </si>
  <si>
    <t>Hike Ventures</t>
  </si>
  <si>
    <t>overtime.vc</t>
  </si>
  <si>
    <t>Real Ventures</t>
  </si>
  <si>
    <t>Ava</t>
  </si>
  <si>
    <t>Boost VC</t>
  </si>
  <si>
    <t>Cantos</t>
  </si>
  <si>
    <t>Seraph Group</t>
  </si>
  <si>
    <t>Toms Shoes</t>
  </si>
  <si>
    <t>Day One</t>
  </si>
  <si>
    <t>FrenchFounders</t>
  </si>
  <si>
    <t>Ring Capital</t>
  </si>
  <si>
    <t>Primer</t>
  </si>
  <si>
    <t>Steadfast</t>
  </si>
  <si>
    <t>US Innovative Technology Fund</t>
  </si>
  <si>
    <t>Landing AI</t>
  </si>
  <si>
    <t>DRIVE Catalyst</t>
  </si>
  <si>
    <t>Taiwania Capital Management</t>
  </si>
  <si>
    <t>Walsin Lihwa</t>
  </si>
  <si>
    <t>McRock Capital</t>
  </si>
  <si>
    <t>AMP Robotics</t>
  </si>
  <si>
    <t>Blue Earth Capital</t>
  </si>
  <si>
    <t>Range Ventures</t>
  </si>
  <si>
    <t>Tao Capital Partners</t>
  </si>
  <si>
    <t>XN</t>
  </si>
  <si>
    <t>BV Investment Ventures</t>
  </si>
  <si>
    <t>Closed Loop Partners</t>
  </si>
  <si>
    <t>Congruent Ventures</t>
  </si>
  <si>
    <t>Prelude Ventures</t>
  </si>
  <si>
    <t>Sidewalk Infrastructure Partners</t>
  </si>
  <si>
    <t>Baidu Ventures</t>
  </si>
  <si>
    <t>BotChain</t>
  </si>
  <si>
    <t>Avalon Ventures</t>
  </si>
  <si>
    <t>Galaxy Digital</t>
  </si>
  <si>
    <t>Common Sense Machines</t>
  </si>
  <si>
    <t>Blindspot Ventures</t>
  </si>
  <si>
    <t>Omidyar Technology Ventures</t>
  </si>
  <si>
    <t>Toyota Ventures</t>
  </si>
  <si>
    <t>Twosense.ai</t>
  </si>
  <si>
    <t>Brand New Matter</t>
  </si>
  <si>
    <t>LogicBoost Labs</t>
  </si>
  <si>
    <t>Atypical Ventures</t>
  </si>
  <si>
    <t>Preface Ventures</t>
  </si>
  <si>
    <t>Retrocausal</t>
  </si>
  <si>
    <t>Atland Ventures</t>
  </si>
  <si>
    <t>Incubate Fund</t>
  </si>
  <si>
    <t>Argon Ventures</t>
  </si>
  <si>
    <t>Hypertherm Ventures</t>
  </si>
  <si>
    <t>Differential Ventures</t>
  </si>
  <si>
    <t>Sourceress</t>
  </si>
  <si>
    <t>10x Group</t>
  </si>
  <si>
    <t>Endure Capital</t>
  </si>
  <si>
    <t>Rogue Insight Capital</t>
  </si>
  <si>
    <t>Navina</t>
  </si>
  <si>
    <t>Grove Ventures</t>
  </si>
  <si>
    <t>Schusterman Foundation</t>
  </si>
  <si>
    <t>ALIVE Israel HealthTech Fund</t>
  </si>
  <si>
    <t>Noogata</t>
  </si>
  <si>
    <t>Inference</t>
  </si>
  <si>
    <t>Team8</t>
  </si>
  <si>
    <t>Allon Ventures</t>
  </si>
  <si>
    <t>Eight Roads Ventures</t>
  </si>
  <si>
    <t>Curai Health</t>
  </si>
  <si>
    <t>Civilization Ventures</t>
  </si>
  <si>
    <t>Morningside Venture</t>
  </si>
  <si>
    <t>Ada Health</t>
  </si>
  <si>
    <t>F4</t>
  </si>
  <si>
    <t>Inteligo</t>
  </si>
  <si>
    <t>Mutschler Ventures</t>
  </si>
  <si>
    <t>Cumberland VC</t>
  </si>
  <si>
    <t>June Fund</t>
  </si>
  <si>
    <t>Vitruvian Partners</t>
  </si>
  <si>
    <t>Red River West</t>
  </si>
  <si>
    <t>Farallon</t>
  </si>
  <si>
    <t>Bertelsmann</t>
  </si>
  <si>
    <t>Bayer</t>
  </si>
  <si>
    <t>Ada (CX)</t>
  </si>
  <si>
    <t>Two Small Fish</t>
  </si>
  <si>
    <t>Leaders Fund</t>
  </si>
  <si>
    <t>Ramen Ventures</t>
  </si>
  <si>
    <t>Burst Capital</t>
  </si>
  <si>
    <t>Giant Ventures</t>
  </si>
  <si>
    <t>Version One Ventures</t>
  </si>
  <si>
    <t>Rossum</t>
  </si>
  <si>
    <t>StartupYard</t>
  </si>
  <si>
    <t>Dig Ventures</t>
  </si>
  <si>
    <t>MITON</t>
  </si>
  <si>
    <t>Verissimo Ventures</t>
  </si>
  <si>
    <t>Uniphore</t>
  </si>
  <si>
    <t>Indian Angel Network</t>
  </si>
  <si>
    <t>YourNest Venture Capital</t>
  </si>
  <si>
    <t>IIFL Finance</t>
  </si>
  <si>
    <t>JC2 Ventures</t>
  </si>
  <si>
    <t>CXO Fund</t>
  </si>
  <si>
    <t>Patni Wealth Advisors</t>
  </si>
  <si>
    <t>Chiratae Ventures</t>
  </si>
  <si>
    <t>Iron Pillar</t>
  </si>
  <si>
    <t>National Grid Partners</t>
  </si>
  <si>
    <t>Serena</t>
  </si>
  <si>
    <t>Sistema Capital</t>
  </si>
  <si>
    <t>SiMa AI</t>
  </si>
  <si>
    <t>Adage Capital</t>
  </si>
  <si>
    <t>Alter Venture Partners</t>
  </si>
  <si>
    <t>After Venture Partners</t>
  </si>
  <si>
    <t>+ND Capital</t>
  </si>
  <si>
    <t>Synthesia</t>
  </si>
  <si>
    <t>LDV Capital</t>
  </si>
  <si>
    <t>MMC Ventures</t>
  </si>
  <si>
    <t>s16vc</t>
  </si>
  <si>
    <t>nVentures</t>
  </si>
  <si>
    <t>Kogniz</t>
  </si>
  <si>
    <t>The Entrepreneurs' Fund</t>
  </si>
  <si>
    <t>H. Barton Asset Management</t>
  </si>
  <si>
    <t>The Indy Fund</t>
  </si>
  <si>
    <t>VentureStudio</t>
  </si>
  <si>
    <t>Ulu Ventures</t>
  </si>
  <si>
    <t>CloudFactory</t>
  </si>
  <si>
    <t>Weatherford</t>
  </si>
  <si>
    <t>Paravision</t>
  </si>
  <si>
    <t>Cherubic Ventures</t>
  </si>
  <si>
    <t>Atomic</t>
  </si>
  <si>
    <t>HID Global</t>
  </si>
  <si>
    <t>Red Cell Partners</t>
  </si>
  <si>
    <t>Marlinspike Capital</t>
  </si>
  <si>
    <t>Perot Jain</t>
  </si>
  <si>
    <t>J2 Ventures</t>
  </si>
  <si>
    <t>Covariant</t>
  </si>
  <si>
    <t>Frees Fund</t>
  </si>
  <si>
    <t>Gates Frontier Fund</t>
  </si>
  <si>
    <t>Northgate Capital</t>
  </si>
  <si>
    <t>Yembo</t>
  </si>
  <si>
    <t>Imagen Capital Partners</t>
  </si>
  <si>
    <t>HireEZ</t>
  </si>
  <si>
    <t>Petuum</t>
  </si>
  <si>
    <t>Northern Light Venture Capital</t>
  </si>
  <si>
    <t>Oriza Ventures</t>
  </si>
  <si>
    <t>Advantech</t>
  </si>
  <si>
    <t>Zegami</t>
  </si>
  <si>
    <t>Future Planet Capital</t>
  </si>
  <si>
    <t>Oxford Investment Consultants (Oxford Science Enterprises, Oxford University Innovation)</t>
  </si>
  <si>
    <t>RT Capital Management</t>
  </si>
  <si>
    <t>Birdie</t>
  </si>
  <si>
    <t>Astella</t>
  </si>
  <si>
    <t>Endeavor Catalyst</t>
  </si>
  <si>
    <t>Fusion Fund</t>
  </si>
  <si>
    <t>Scale-Up Ventures</t>
  </si>
  <si>
    <t>Illuminate Ventures</t>
  </si>
  <si>
    <t>Upload Ventures</t>
  </si>
  <si>
    <t>AssemblyAI</t>
  </si>
  <si>
    <t>TechNexus</t>
  </si>
  <si>
    <t>Aisera</t>
  </si>
  <si>
    <t>First Round Capital</t>
  </si>
  <si>
    <t>Sherpalo Ventures</t>
  </si>
  <si>
    <t>True Ventures</t>
  </si>
  <si>
    <t>Webb Investment Network</t>
  </si>
  <si>
    <t>Thoma Bravo</t>
  </si>
  <si>
    <t>CLARA Analytics</t>
  </si>
  <si>
    <t>Aspen Capital Group</t>
  </si>
  <si>
    <t>Utilidata</t>
  </si>
  <si>
    <t>American Electric Power</t>
  </si>
  <si>
    <t>Braemar</t>
  </si>
  <si>
    <t>Keyframe</t>
  </si>
  <si>
    <t>MUUS</t>
  </si>
  <si>
    <t>Pieces</t>
  </si>
  <si>
    <t>Children's Health</t>
  </si>
  <si>
    <t>Concord Health Partners</t>
  </si>
  <si>
    <t>OSF Ventures</t>
  </si>
  <si>
    <t>Tabnine</t>
  </si>
  <si>
    <t>Hetz Ventures</t>
  </si>
  <si>
    <t>OurCrowd</t>
  </si>
  <si>
    <t>TPY Capital</t>
  </si>
  <si>
    <t>Dust</t>
  </si>
  <si>
    <t>Connect</t>
  </si>
  <si>
    <t>GG1</t>
  </si>
  <si>
    <t>Seedcamp</t>
  </si>
  <si>
    <t>Tiny Super Computer Investment Company</t>
  </si>
  <si>
    <t>XYZ Venture Capital</t>
  </si>
  <si>
    <t>Woebot Health</t>
  </si>
  <si>
    <t>Social Discovery Group</t>
  </si>
  <si>
    <t>Kicker Ventures</t>
  </si>
  <si>
    <t>What If Ventures</t>
  </si>
  <si>
    <t>Owl Ventures</t>
  </si>
  <si>
    <t>Jazz Venture Partners</t>
  </si>
  <si>
    <t>Resemble AI</t>
  </si>
  <si>
    <t>AET Fund</t>
  </si>
  <si>
    <t>Facet</t>
  </si>
  <si>
    <t>10X Capital</t>
  </si>
  <si>
    <t>Basis Set Ventures</t>
  </si>
  <si>
    <t>Slow Ventures</t>
  </si>
  <si>
    <t>Spacecadet Ventures</t>
  </si>
  <si>
    <t>Two Sigma Ventures</t>
  </si>
  <si>
    <t>DataRobot</t>
  </si>
  <si>
    <t>Accomplice</t>
  </si>
  <si>
    <t>Omega Venture Partners</t>
  </si>
  <si>
    <t>AllianceBernstein</t>
  </si>
  <si>
    <t>DFJ Growth</t>
  </si>
  <si>
    <t>EDBI</t>
  </si>
  <si>
    <t>Geodesic Capital</t>
  </si>
  <si>
    <t>GoldenArc Capital</t>
  </si>
  <si>
    <t>Meritech Capital</t>
  </si>
  <si>
    <t>World Innovation Lab</t>
  </si>
  <si>
    <t>Hewlett Packard Enterprise</t>
  </si>
  <si>
    <t>J-Ventures</t>
  </si>
  <si>
    <t>ClearBridge Investments</t>
  </si>
  <si>
    <t>Glynn Capital</t>
  </si>
  <si>
    <t>Oryx Ventures</t>
  </si>
  <si>
    <t>Series G</t>
  </si>
  <si>
    <t>Counterpoint Global</t>
  </si>
  <si>
    <t>HMC Capital</t>
  </si>
  <si>
    <t>Sutter Hill Ventures</t>
  </si>
  <si>
    <t>Altimeter</t>
  </si>
  <si>
    <t>Consensus</t>
  </si>
  <si>
    <t>Bettor Capital</t>
  </si>
  <si>
    <t>Chey Capital</t>
  </si>
  <si>
    <t>Laurence Innovation</t>
  </si>
  <si>
    <t>Permit Ventures</t>
  </si>
  <si>
    <t>Winklevoss Capital</t>
  </si>
  <si>
    <t>Draper Associates</t>
  </si>
  <si>
    <t>Paperspace</t>
  </si>
  <si>
    <t>Ludlow Ventures</t>
  </si>
  <si>
    <t>Rocketship.vc</t>
  </si>
  <si>
    <t>SineWave Ventures</t>
  </si>
  <si>
    <t>People.ai</t>
  </si>
  <si>
    <t>Aventures Capital</t>
  </si>
  <si>
    <t>408 Ventures</t>
  </si>
  <si>
    <t>CSC Upshot</t>
  </si>
  <si>
    <t>Garage Technology Ventures</t>
  </si>
  <si>
    <t>Fiddler AI</t>
  </si>
  <si>
    <t>Haystack</t>
  </si>
  <si>
    <t>Zillionize</t>
  </si>
  <si>
    <t>Mindrock Capital</t>
  </si>
  <si>
    <t>Frontline Ventures</t>
  </si>
  <si>
    <t>Maropost Ventures</t>
  </si>
  <si>
    <t>Sand Hill Angels</t>
  </si>
  <si>
    <t>Akkadian Ventures</t>
  </si>
  <si>
    <t>Artera</t>
  </si>
  <si>
    <t>Freestyle Capital</t>
  </si>
  <si>
    <t>Health Velocity Capital</t>
  </si>
  <si>
    <t>Jackson Square Ventures</t>
  </si>
  <si>
    <t>Martin Ventures</t>
  </si>
  <si>
    <t>Structure Capital</t>
  </si>
  <si>
    <t>Summation Health Ventures</t>
  </si>
  <si>
    <t>Lead Edge Capital</t>
  </si>
  <si>
    <t>Mimica Automation</t>
  </si>
  <si>
    <t>PolyAI</t>
  </si>
  <si>
    <t>Entrepreneur First</t>
  </si>
  <si>
    <t>Passion Capital</t>
  </si>
  <si>
    <t>Georgian</t>
  </si>
  <si>
    <t>Reka AI</t>
  </si>
  <si>
    <t>DST Global</t>
  </si>
  <si>
    <t>Hyro</t>
  </si>
  <si>
    <t>Cornell Tech</t>
  </si>
  <si>
    <t>Angel</t>
  </si>
  <si>
    <t>Dorm Room Fund</t>
  </si>
  <si>
    <t>Black Opal Ventures</t>
  </si>
  <si>
    <t>Hanaco Venture Capital</t>
  </si>
  <si>
    <t>K20 Fund</t>
  </si>
  <si>
    <t>Liberty Mutual Strategic Ventures</t>
  </si>
  <si>
    <t>Mindset Ventures</t>
  </si>
  <si>
    <t>Spero Ventures</t>
  </si>
  <si>
    <t>Macquarie Capital</t>
  </si>
  <si>
    <t>prezent.ai</t>
  </si>
  <si>
    <t>WestWave Capital</t>
  </si>
  <si>
    <t>Greycroft</t>
  </si>
  <si>
    <t>NinjaTech AI</t>
  </si>
  <si>
    <t>Candou Ventures</t>
  </si>
  <si>
    <t>SRI Ventures</t>
  </si>
  <si>
    <t>Ask-AI</t>
  </si>
  <si>
    <t>Alliance Global Partners</t>
  </si>
  <si>
    <t>Firsthand Technology Value Fund</t>
  </si>
  <si>
    <t>Gefen Capital</t>
  </si>
  <si>
    <t>GuideStar Ventures</t>
  </si>
  <si>
    <t>Interplay</t>
  </si>
  <si>
    <t>Web Summit Ventures</t>
  </si>
  <si>
    <t>State of Mind Ventures</t>
  </si>
  <si>
    <t>Capitol</t>
  </si>
  <si>
    <t>AirAngels</t>
  </si>
  <si>
    <t>Designer Fund</t>
  </si>
  <si>
    <t>Fuel Capital</t>
  </si>
  <si>
    <t>Nomad Capital</t>
  </si>
  <si>
    <t>Sanno Capital</t>
  </si>
  <si>
    <t>Tokyo Black</t>
  </si>
  <si>
    <t>One AI</t>
  </si>
  <si>
    <t>TechAviv Founder Partners</t>
  </si>
  <si>
    <t>Mana</t>
  </si>
  <si>
    <t>Flash Ventures</t>
  </si>
  <si>
    <t>Protex AI</t>
  </si>
  <si>
    <t>CircleRock</t>
  </si>
  <si>
    <t>Elkstone Capital Partners</t>
  </si>
  <si>
    <t>Flexport</t>
  </si>
  <si>
    <t>Playfair Capital</t>
  </si>
  <si>
    <t>SCOR Ventures</t>
  </si>
  <si>
    <t>Notion Capital</t>
  </si>
  <si>
    <t>Kubiya.ai</t>
  </si>
  <si>
    <t>Hyperwise</t>
  </si>
  <si>
    <t>Kognitos</t>
  </si>
  <si>
    <t>Wipro Ventures</t>
  </si>
  <si>
    <t>Clear Ventures</t>
  </si>
  <si>
    <t>Yoodli</t>
  </si>
  <si>
    <t>Allen Institute for AI</t>
  </si>
  <si>
    <t>J4.Ventures</t>
  </si>
  <si>
    <t>Observe.AI</t>
  </si>
  <si>
    <t>Liquid 2 Ventures</t>
  </si>
  <si>
    <t>MGV</t>
  </si>
  <si>
    <t>01 Advisors</t>
  </si>
  <si>
    <t>Next47</t>
  </si>
  <si>
    <t>NGP Capital</t>
  </si>
  <si>
    <t>Steadview Capital</t>
  </si>
  <si>
    <t>K Health</t>
  </si>
  <si>
    <t>Blackpine</t>
  </si>
  <si>
    <t>Elevance Health</t>
  </si>
  <si>
    <t>14W</t>
  </si>
  <si>
    <t>Bienville Capital</t>
  </si>
  <si>
    <t>BoxGroup</t>
  </si>
  <si>
    <t>Counterpart Advisors</t>
  </si>
  <si>
    <t>Kaiser Permanente</t>
  </si>
  <si>
    <t>LTS Investments</t>
  </si>
  <si>
    <t>Marcy Venture Partners</t>
  </si>
  <si>
    <t>Max Ventures</t>
  </si>
  <si>
    <t>Primary Ventures</t>
  </si>
  <si>
    <t>PICO Venture Partners</t>
  </si>
  <si>
    <t>Valor Equity Partners</t>
  </si>
  <si>
    <t>Play.ht</t>
  </si>
  <si>
    <t>500 Global</t>
  </si>
  <si>
    <t>Zoovu</t>
  </si>
  <si>
    <t>FTV Capital</t>
  </si>
  <si>
    <t>Supernormal</t>
  </si>
  <si>
    <t>Acequia Capital</t>
  </si>
  <si>
    <t>EQT Ventures</t>
  </si>
  <si>
    <t>byFounders</t>
  </si>
  <si>
    <t>Balderton Capital</t>
  </si>
  <si>
    <t>Elevation Capital</t>
  </si>
  <si>
    <t>Got It AI</t>
  </si>
  <si>
    <t>Relan Global</t>
  </si>
  <si>
    <t>Robin AI</t>
  </si>
  <si>
    <t>Forward Partners</t>
  </si>
  <si>
    <t>Episode 1</t>
  </si>
  <si>
    <t>CodiumAI</t>
  </si>
  <si>
    <t>Vine Ventures</t>
  </si>
  <si>
    <t>Percepta</t>
  </si>
  <si>
    <t>Rephrase AI</t>
  </si>
  <si>
    <t>Techstars</t>
  </si>
  <si>
    <t>Lavendar</t>
  </si>
  <si>
    <t>Signia Venture Partners</t>
  </si>
  <si>
    <t>LatticeFlow</t>
  </si>
  <si>
    <t>b2venture</t>
  </si>
  <si>
    <t>Voxel51</t>
  </si>
  <si>
    <t>Shasta Ventures</t>
  </si>
  <si>
    <t>Synthetaic</t>
  </si>
  <si>
    <t>Titletown Tech</t>
  </si>
  <si>
    <t>Lupa Systems</t>
  </si>
  <si>
    <t>Baseten</t>
  </si>
  <si>
    <t>South Park Commons</t>
  </si>
  <si>
    <t>Faros AI</t>
  </si>
  <si>
    <t>Fixie.ai</t>
  </si>
  <si>
    <t>Signalfire</t>
  </si>
  <si>
    <t>hOS</t>
  </si>
  <si>
    <t>IA Ventures</t>
  </si>
  <si>
    <t>Vectice</t>
  </si>
  <si>
    <t>Silicon Valley Bank (SVB Capital)</t>
  </si>
  <si>
    <t>Crosslink Capital</t>
  </si>
  <si>
    <t>Conjecture</t>
  </si>
  <si>
    <t>Plural Platform</t>
  </si>
  <si>
    <t>Bridgewise</t>
  </si>
  <si>
    <t>Mangrove VC / Capital Partners</t>
  </si>
  <si>
    <t>Synthesis AI</t>
  </si>
  <si>
    <t>468 Capital</t>
  </si>
  <si>
    <t>Ascertain</t>
  </si>
  <si>
    <t>Hume AI</t>
  </si>
  <si>
    <t>Aegis Ventures</t>
  </si>
  <si>
    <t>Northwell Holdings</t>
  </si>
  <si>
    <t>Zowie</t>
  </si>
  <si>
    <t>Pre Seed</t>
  </si>
  <si>
    <t>Inovo</t>
  </si>
  <si>
    <t>SuperAnnotate</t>
  </si>
  <si>
    <t>Fathom Capital</t>
  </si>
  <si>
    <t>Point Nine</t>
  </si>
  <si>
    <t>Runa Capital</t>
  </si>
  <si>
    <t>Encord</t>
  </si>
  <si>
    <t>Crane</t>
  </si>
  <si>
    <t>Tenyx</t>
  </si>
  <si>
    <t>StageOne Ventures</t>
  </si>
  <si>
    <t>Gan.ai</t>
  </si>
  <si>
    <t>Surge</t>
  </si>
  <si>
    <t>Xembly</t>
  </si>
  <si>
    <t>Ascend</t>
  </si>
  <si>
    <t>Harvey</t>
  </si>
  <si>
    <t>Conviction VC</t>
  </si>
  <si>
    <t>Neo Cybernetica</t>
  </si>
  <si>
    <t>B5 Capital</t>
  </si>
  <si>
    <t>Numbers Station</t>
  </si>
  <si>
    <t>Predibase</t>
  </si>
  <si>
    <t>Modular</t>
  </si>
  <si>
    <t>Factory</t>
  </si>
  <si>
    <t>Observe.ai</t>
  </si>
  <si>
    <t>Datagen Technologies</t>
  </si>
  <si>
    <t>Scale Venture Partners</t>
  </si>
  <si>
    <t>Daloopa</t>
  </si>
  <si>
    <t>Nexus Venture Partners</t>
  </si>
  <si>
    <t>Mem</t>
  </si>
  <si>
    <t>Firestreak</t>
  </si>
  <si>
    <t>Writesonic</t>
  </si>
  <si>
    <t>Soma Capital</t>
  </si>
  <si>
    <t>Inworld AI</t>
  </si>
  <si>
    <t>LG Technology Ventures (LG CNS)</t>
  </si>
  <si>
    <t>DarwinAI</t>
  </si>
  <si>
    <t>Obvious Ventures</t>
  </si>
  <si>
    <t>Mistral AI</t>
  </si>
  <si>
    <t>Headline</t>
  </si>
  <si>
    <t>GraphCore</t>
  </si>
  <si>
    <t>LocalGlobe (Latitude)</t>
  </si>
  <si>
    <t>Telmai</t>
  </si>
  <si>
    <t>Glasswing Ventures</t>
  </si>
  <si>
    <t>Bee Partners</t>
  </si>
  <si>
    <t>Boom Capital</t>
  </si>
  <si>
    <t>iRobot Ventures</t>
  </si>
  <si>
    <t>Kubera Venture Capital</t>
  </si>
  <si>
    <t>PJC</t>
  </si>
  <si>
    <t>Abridge</t>
  </si>
  <si>
    <t>KdT Ventures</t>
  </si>
  <si>
    <t>Union Square Ventures</t>
  </si>
  <si>
    <t>CopyAI</t>
  </si>
  <si>
    <t>Roboflow</t>
  </si>
  <si>
    <t>Craft Ventures</t>
  </si>
  <si>
    <t>Pactum</t>
  </si>
  <si>
    <t>Atomico</t>
  </si>
  <si>
    <t>Metaplanet Holdings</t>
  </si>
  <si>
    <t>Hour One</t>
  </si>
  <si>
    <t>Amaranthine</t>
  </si>
  <si>
    <t>Galaxy Interactive</t>
  </si>
  <si>
    <t>Kindred Ventures</t>
  </si>
  <si>
    <t>Remagine Ventures</t>
  </si>
  <si>
    <t>Phaidra</t>
  </si>
  <si>
    <t>Flying Fish Partners</t>
  </si>
  <si>
    <t>Character</t>
  </si>
  <si>
    <t>Root and Shoot Ventures</t>
  </si>
  <si>
    <t>Starshot Capital</t>
  </si>
  <si>
    <t>Deci AI</t>
  </si>
  <si>
    <t>ICON - Israel</t>
  </si>
  <si>
    <t>Fort Ross Ventures</t>
  </si>
  <si>
    <t>Emerge</t>
  </si>
  <si>
    <t>Square Peg</t>
  </si>
  <si>
    <t>BluePointe Ventures</t>
  </si>
  <si>
    <t>Amino Capital</t>
  </si>
  <si>
    <t>Atlas Pacific Capital</t>
  </si>
  <si>
    <t>Broom Ventures</t>
  </si>
  <si>
    <t>Rebel Fund</t>
  </si>
  <si>
    <t>OthersideAI</t>
  </si>
  <si>
    <t>New York Venture Partners</t>
  </si>
  <si>
    <t>Chapter One Ventures</t>
  </si>
  <si>
    <t>Hustle Fund</t>
  </si>
  <si>
    <t>Tiny VC</t>
  </si>
  <si>
    <t>VAS Ventures</t>
  </si>
  <si>
    <t>AV8 Ventures</t>
  </si>
  <si>
    <t>Atelier Ventures</t>
  </si>
  <si>
    <t>Position Ventures</t>
  </si>
  <si>
    <t>CapitalX</t>
  </si>
  <si>
    <t>Berkeley SkyDeck Fund</t>
  </si>
  <si>
    <t>Granatus Ventures</t>
  </si>
  <si>
    <t>SmartGateVC</t>
  </si>
  <si>
    <t>Harvard Management</t>
  </si>
  <si>
    <t>NJF</t>
  </si>
  <si>
    <t>Outcomes Fund</t>
  </si>
  <si>
    <t>Next Level Ventures</t>
  </si>
  <si>
    <t>LETA Capital</t>
  </si>
  <si>
    <t>Jasper</t>
  </si>
  <si>
    <t>Quarry</t>
  </si>
  <si>
    <t>Autonomize AI</t>
  </si>
  <si>
    <t>Next Practices Group</t>
  </si>
  <si>
    <t>ATX Venture Partners</t>
  </si>
  <si>
    <t>Loop Ventures</t>
  </si>
  <si>
    <t>Producement</t>
  </si>
  <si>
    <t>Docusign</t>
  </si>
  <si>
    <t>Wispr</t>
  </si>
  <si>
    <t>Modern Venture Partners</t>
  </si>
  <si>
    <t>Credo AI</t>
  </si>
  <si>
    <t>Village Global</t>
  </si>
  <si>
    <t>Caffeinated Capital</t>
  </si>
  <si>
    <t>Graft</t>
  </si>
  <si>
    <t>Essence VC</t>
  </si>
  <si>
    <t>Formula</t>
  </si>
  <si>
    <t>V7</t>
  </si>
  <si>
    <t>Miele Venture</t>
  </si>
  <si>
    <t>The.AI Ventures</t>
  </si>
  <si>
    <t>Meta</t>
  </si>
  <si>
    <t>Spellbook</t>
  </si>
  <si>
    <t>Bling Capital</t>
  </si>
  <si>
    <t>Concere Ventures</t>
  </si>
  <si>
    <t>N49P</t>
  </si>
  <si>
    <t>The LegalTech Fund</t>
  </si>
  <si>
    <t>Thomson Reuters Ventures</t>
  </si>
  <si>
    <t>Dreamers VC</t>
  </si>
  <si>
    <t>The Todd &amp; Rahul Angel Fund</t>
  </si>
  <si>
    <t>Floodgate</t>
  </si>
  <si>
    <t>Shrug Capital</t>
  </si>
  <si>
    <t>HOF Capital</t>
  </si>
  <si>
    <t>.406 Ventures</t>
  </si>
  <si>
    <t>Good News Ventures</t>
  </si>
  <si>
    <t>Weaviate</t>
  </si>
  <si>
    <t>SAV</t>
  </si>
  <si>
    <t>Abacus.AI</t>
  </si>
  <si>
    <t>Koshla Ventures</t>
  </si>
  <si>
    <t>AAF Management</t>
  </si>
  <si>
    <t>Four Cities</t>
  </si>
  <si>
    <t>Strawberry Creek Ventures</t>
  </si>
  <si>
    <t>Scale.ai</t>
  </si>
  <si>
    <t>Outlander Fund</t>
  </si>
  <si>
    <t>Wisdom Ventures</t>
  </si>
  <si>
    <t>NaHCO3</t>
  </si>
  <si>
    <t>SapientAI</t>
  </si>
  <si>
    <t>Correlation Ventures</t>
  </si>
  <si>
    <t>Asset Management Ventures (AMV)</t>
  </si>
  <si>
    <t>Speak</t>
  </si>
  <si>
    <t>Buckley Ventures</t>
  </si>
  <si>
    <t>Critical Ventures</t>
  </si>
  <si>
    <t>Booz Allen</t>
  </si>
  <si>
    <t>Esri</t>
  </si>
  <si>
    <t>FPV Ventures</t>
  </si>
  <si>
    <t>eLab Ventures</t>
  </si>
  <si>
    <t>ACVC</t>
  </si>
  <si>
    <t>Cercano Management</t>
  </si>
  <si>
    <t>wiz.ai</t>
  </si>
  <si>
    <t>Insignia Venture Partners</t>
  </si>
  <si>
    <t>K3 Ventures</t>
  </si>
  <si>
    <t>Singtel Innov8</t>
  </si>
  <si>
    <t>Wavemaker</t>
  </si>
  <si>
    <t>Gaorang</t>
  </si>
  <si>
    <t>deepdub</t>
  </si>
  <si>
    <t>Stardom Ventures</t>
  </si>
  <si>
    <t>Booster Ventures</t>
  </si>
  <si>
    <t>Material V</t>
  </si>
  <si>
    <t>Orby AI</t>
  </si>
  <si>
    <t>Pear VC</t>
  </si>
  <si>
    <t>Whistler Capital Partners</t>
  </si>
  <si>
    <t>Anyscale</t>
  </si>
  <si>
    <t>Ant Group</t>
  </si>
  <si>
    <t>Coelius Capital</t>
  </si>
  <si>
    <t>Cota Capital</t>
  </si>
  <si>
    <t>Morado Ventures</t>
  </si>
  <si>
    <t>Pathbreaker Ventures</t>
  </si>
  <si>
    <t>Cerca Partners</t>
  </si>
  <si>
    <t>Digital Horizon</t>
  </si>
  <si>
    <t>NordicNinjaVC</t>
  </si>
  <si>
    <t>Taavet+Sten</t>
  </si>
  <si>
    <t>Maersk Growth</t>
  </si>
  <si>
    <t>d-Matrix</t>
  </si>
  <si>
    <t>SK Inc (SK Group, SK Hynix)</t>
  </si>
  <si>
    <t>Uncorrelated Ventures</t>
  </si>
  <si>
    <t>First Spark Ventures</t>
  </si>
  <si>
    <t>HTC</t>
  </si>
  <si>
    <t>Torre</t>
  </si>
  <si>
    <t>MatterScale Ventures</t>
  </si>
  <si>
    <t>Salkantay Ventures</t>
  </si>
  <si>
    <t>Simma Capital</t>
  </si>
  <si>
    <t>TBD Angels</t>
  </si>
  <si>
    <t>Helena</t>
  </si>
  <si>
    <t>Vela Partners</t>
  </si>
  <si>
    <t>Vintage Investment Partners</t>
  </si>
  <si>
    <t>Amazon</t>
  </si>
  <si>
    <t>Lockheed Martin Ventures</t>
  </si>
  <si>
    <t>Atlantic Bridge</t>
  </si>
  <si>
    <t>OpenOcean</t>
  </si>
  <si>
    <t>TruEra</t>
  </si>
  <si>
    <t>Forgepoint</t>
  </si>
  <si>
    <t>Moxxie Ventures</t>
  </si>
  <si>
    <t>Jibe Ventures</t>
  </si>
  <si>
    <t>AI Rudder</t>
  </si>
  <si>
    <t>Zizhu Xiaomiao Fund</t>
  </si>
  <si>
    <t>ZhenFund</t>
  </si>
  <si>
    <t>IMO Ventures</t>
  </si>
  <si>
    <t>TriplePoint</t>
  </si>
  <si>
    <t>Neo</t>
  </si>
  <si>
    <t>L4 Venture Builder</t>
  </si>
  <si>
    <t>Infinitus Systems</t>
  </si>
  <si>
    <t>Tau Ventures</t>
  </si>
  <si>
    <t>Jina AI</t>
  </si>
  <si>
    <t>Mango Capital</t>
  </si>
  <si>
    <t>Top Harvest Capital</t>
  </si>
  <si>
    <t>Drive Capital</t>
  </si>
  <si>
    <t>Snorkel AI</t>
  </si>
  <si>
    <t>Boston Trust Walden Company</t>
  </si>
  <si>
    <t>Base10 Partners</t>
  </si>
  <si>
    <t>Entrada Ventures</t>
  </si>
  <si>
    <t>Marvell</t>
  </si>
  <si>
    <t>Nautilus Venture Partners</t>
  </si>
  <si>
    <t>Moveworks</t>
  </si>
  <si>
    <t>Comerica</t>
  </si>
  <si>
    <t>Open Field Capital</t>
  </si>
  <si>
    <t>Wittington Ventures</t>
  </si>
  <si>
    <t>Two.ai</t>
  </si>
  <si>
    <t>Axios HQ</t>
  </si>
  <si>
    <t>Cox Enterprises</t>
  </si>
  <si>
    <t>Hillhouse</t>
  </si>
  <si>
    <t>Skan.ai</t>
  </si>
  <si>
    <t>GSR Ventures</t>
  </si>
  <si>
    <t>Liberty Global Ventures</t>
  </si>
  <si>
    <t>Lightning AI</t>
  </si>
  <si>
    <t>Mantis Venture Capital</t>
  </si>
  <si>
    <t>Red Ventures</t>
  </si>
  <si>
    <t>JAM Fund</t>
  </si>
  <si>
    <t>Group 11</t>
  </si>
  <si>
    <t>Emma Group</t>
  </si>
  <si>
    <t>Stonebridge Ventures</t>
  </si>
  <si>
    <t>Figure</t>
  </si>
  <si>
    <t>Aliya Capital</t>
  </si>
  <si>
    <t>BOLD Ventures</t>
  </si>
  <si>
    <t>Habitat Partners</t>
  </si>
  <si>
    <t>Moving Capital</t>
  </si>
  <si>
    <t>Tamarack Global</t>
  </si>
  <si>
    <t>Replit</t>
  </si>
  <si>
    <t>Fifth Down Capital</t>
  </si>
  <si>
    <t>Reach Capital</t>
  </si>
  <si>
    <t>Not Boring</t>
  </si>
  <si>
    <t>Volt Capital</t>
  </si>
  <si>
    <t>The Applied AI Company</t>
  </si>
  <si>
    <t>HCS Beteiligungsgesellschaft</t>
  </si>
  <si>
    <t>ARM Holding</t>
  </si>
  <si>
    <t>3VC</t>
  </si>
  <si>
    <t>VenturesLab</t>
  </si>
  <si>
    <t>First Plus</t>
  </si>
  <si>
    <t>Glade Brook</t>
  </si>
  <si>
    <t>ARK Ventures</t>
  </si>
  <si>
    <t>BPI France</t>
  </si>
  <si>
    <t>Exor</t>
  </si>
  <si>
    <t>Motier Ventures</t>
  </si>
  <si>
    <t>Sofina</t>
  </si>
  <si>
    <t>JCDeaux</t>
  </si>
  <si>
    <t>La Famiglia</t>
  </si>
  <si>
    <t>Huggingface</t>
  </si>
  <si>
    <t>Cygni Capital</t>
  </si>
  <si>
    <t>Aiola</t>
  </si>
  <si>
    <t>Hamilton Lane</t>
  </si>
  <si>
    <t>Reliance Jio</t>
  </si>
  <si>
    <t>Credit Suisse NEXT Partners</t>
  </si>
  <si>
    <t>ExpressSteur</t>
  </si>
  <si>
    <t>Mountain Partners</t>
  </si>
  <si>
    <t>Playground Global</t>
  </si>
  <si>
    <t>Character.ai</t>
  </si>
  <si>
    <t>Stability AI</t>
  </si>
  <si>
    <t>Fourth Revolution</t>
  </si>
  <si>
    <t>Kadmos</t>
  </si>
  <si>
    <t>MSD Capital</t>
  </si>
  <si>
    <t>VentureTech Alliance</t>
  </si>
  <si>
    <t>Oceanpine Capital</t>
  </si>
  <si>
    <t>Canaan</t>
  </si>
  <si>
    <t>New Era Capital Partners</t>
  </si>
  <si>
    <t>Founders Circle Capital</t>
  </si>
  <si>
    <t>HubSpot Ventures</t>
  </si>
  <si>
    <t>Durable Capital Partners</t>
  </si>
  <si>
    <t>Human Capital</t>
  </si>
  <si>
    <t>G42</t>
  </si>
  <si>
    <t>Adept AI</t>
  </si>
  <si>
    <t>Atlassian</t>
  </si>
  <si>
    <t>Frontiers Capital</t>
  </si>
  <si>
    <t>Cohere</t>
  </si>
  <si>
    <t>DTCP</t>
  </si>
  <si>
    <t>Oracle</t>
  </si>
  <si>
    <t>Schroders</t>
  </si>
  <si>
    <t>SentinelOne</t>
  </si>
  <si>
    <t>Runway</t>
  </si>
  <si>
    <t>Rogue</t>
  </si>
  <si>
    <t>O'Shaughnessy</t>
  </si>
  <si>
    <t>Conductive Ventures</t>
  </si>
  <si>
    <t>Parkway Venture Capital</t>
  </si>
  <si>
    <t>Weights &amp; Biases</t>
  </si>
  <si>
    <t>Bond</t>
  </si>
  <si>
    <t>Anthropic</t>
  </si>
  <si>
    <t>Sound Ventures</t>
  </si>
  <si>
    <t>Dragoneer Investment Group</t>
  </si>
  <si>
    <t>FTX</t>
  </si>
  <si>
    <t>All</t>
  </si>
  <si>
    <t>Total</t>
  </si>
  <si>
    <t>Active Capital</t>
  </si>
  <si>
    <t>GTMfund</t>
  </si>
  <si>
    <t>11.2 Capital</t>
  </si>
  <si>
    <t>Entrepreneurs Roundtable Accelerator (ERA Capital Partners?)</t>
  </si>
  <si>
    <t>BDC Venture Capital</t>
  </si>
  <si>
    <t>Hack VC</t>
  </si>
  <si>
    <t>The Venture Reality Fund</t>
  </si>
  <si>
    <t>Initialized Capital</t>
  </si>
  <si>
    <t>Data Community Fund</t>
  </si>
  <si>
    <t>Partech</t>
  </si>
  <si>
    <t>SAP.iO</t>
  </si>
  <si>
    <t>Air Street Capital</t>
  </si>
  <si>
    <t>Seven Peaks Ventures</t>
  </si>
  <si>
    <t>Conversion Capital</t>
  </si>
  <si>
    <t>Arize AI</t>
  </si>
  <si>
    <t>The House Fund</t>
  </si>
  <si>
    <t>Aporia</t>
  </si>
  <si>
    <t>Tal Ventures</t>
  </si>
  <si>
    <t>AME Cloud Ventures</t>
  </si>
  <si>
    <t>Bitkraft Ventures</t>
  </si>
  <si>
    <t>Quiet Capital</t>
  </si>
  <si>
    <t>Lerer Hippeau</t>
  </si>
  <si>
    <t>Yunqi Partners</t>
  </si>
  <si>
    <t>Huashan Capital</t>
  </si>
  <si>
    <t>Magic</t>
  </si>
  <si>
    <t>10x Founders</t>
  </si>
  <si>
    <t>Peak XV Partners</t>
  </si>
  <si>
    <t>Nepenthe Capital</t>
  </si>
  <si>
    <t>Matias Ventures</t>
  </si>
  <si>
    <t>Heartex</t>
  </si>
  <si>
    <t>Unusual Ventures</t>
  </si>
  <si>
    <t>CRV</t>
  </si>
  <si>
    <t>Firebolt Ventures</t>
  </si>
  <si>
    <t>Compound</t>
  </si>
  <si>
    <t>Perplexity AI</t>
  </si>
  <si>
    <t>Tecton</t>
  </si>
  <si>
    <t>Databricks</t>
  </si>
  <si>
    <t>ING Ventures</t>
  </si>
  <si>
    <t>Robust Intelligence</t>
  </si>
  <si>
    <t>Engineering Capital</t>
  </si>
  <si>
    <t>Gradient Ventures</t>
  </si>
  <si>
    <t>Tome</t>
  </si>
  <si>
    <t>Audacious Ventures</t>
  </si>
  <si>
    <t>Pillar VC</t>
  </si>
  <si>
    <t>Nat Friedman</t>
  </si>
  <si>
    <t>WndrCo</t>
  </si>
  <si>
    <t>Thirty Five Ventures</t>
  </si>
  <si>
    <t>Rephrase.AI</t>
  </si>
  <si>
    <t>Operator Partners</t>
  </si>
  <si>
    <t>AIX Ventures</t>
  </si>
  <si>
    <t>Cathay Innovation (Cathay Capital)</t>
  </si>
  <si>
    <t>Viola Ventures</t>
  </si>
  <si>
    <t>Harpoon</t>
  </si>
  <si>
    <t>Project A Ventures</t>
  </si>
  <si>
    <t>Otherside AI</t>
  </si>
  <si>
    <t>Cortical Ventures</t>
  </si>
  <si>
    <t>Swift Ventures</t>
  </si>
  <si>
    <t>Ahren Innovation Capital</t>
  </si>
  <si>
    <t>Trinity Ventures</t>
  </si>
  <si>
    <t>Spider Capital</t>
  </si>
  <si>
    <t>Decibel</t>
  </si>
  <si>
    <t>FJ Labs</t>
  </si>
  <si>
    <t>Zetta Venture Partners</t>
  </si>
  <si>
    <t>Bow Capital</t>
  </si>
  <si>
    <t>Atreides Ventures</t>
  </si>
  <si>
    <t>Resemble</t>
  </si>
  <si>
    <t>Firstminute Capital</t>
  </si>
  <si>
    <t>TLV Partners</t>
  </si>
  <si>
    <t>Plug and Play</t>
  </si>
  <si>
    <t>Gaingels</t>
  </si>
  <si>
    <t>Series C-2</t>
  </si>
  <si>
    <t>Sancus</t>
  </si>
  <si>
    <t>Betaworks</t>
  </si>
  <si>
    <t>Glean</t>
  </si>
  <si>
    <t>Slack</t>
  </si>
  <si>
    <t>Bossanova</t>
  </si>
  <si>
    <t>15</t>
  </si>
  <si>
    <t>38</t>
  </si>
  <si>
    <t>Shunwei Capital</t>
  </si>
  <si>
    <t>Emergent Ventures</t>
  </si>
  <si>
    <t>AI Fund</t>
  </si>
  <si>
    <t>1</t>
  </si>
  <si>
    <t>Vertex Ventures</t>
  </si>
  <si>
    <t>DCVC</t>
  </si>
  <si>
    <t>B Capital Group</t>
  </si>
  <si>
    <t>Global Founders Capital</t>
  </si>
  <si>
    <t>Syllable</t>
  </si>
  <si>
    <t>TCV</t>
  </si>
  <si>
    <t>Sands Capital</t>
  </si>
  <si>
    <t>Pitango VC</t>
  </si>
  <si>
    <t>PSP Growth</t>
  </si>
  <si>
    <t>Oak HC/FT</t>
  </si>
  <si>
    <t>Bain</t>
  </si>
  <si>
    <t>Typeface</t>
  </si>
  <si>
    <t>OctoML</t>
  </si>
  <si>
    <t>Madrona</t>
  </si>
  <si>
    <t>Inovia</t>
  </si>
  <si>
    <t>Samsung (NEXT, Catalyst Fund)</t>
  </si>
  <si>
    <t>Y Combinator</t>
  </si>
  <si>
    <t>Replicate</t>
  </si>
  <si>
    <t>Kumo.AI</t>
  </si>
  <si>
    <t>A.Capital</t>
  </si>
  <si>
    <t>SiMa.ai</t>
  </si>
  <si>
    <t>Dell</t>
  </si>
  <si>
    <t>Amadeus Capital</t>
  </si>
  <si>
    <t>Section 32</t>
  </si>
  <si>
    <t>Sorenson Ventures</t>
  </si>
  <si>
    <t>Mirae</t>
  </si>
  <si>
    <t>GGV Capital</t>
  </si>
  <si>
    <t>Zoom Ventures</t>
  </si>
  <si>
    <t>Alkeon</t>
  </si>
  <si>
    <t>Felicis</t>
  </si>
  <si>
    <t>Exafunction</t>
  </si>
  <si>
    <t>Greenoaks</t>
  </si>
  <si>
    <t>Aiersa</t>
  </si>
  <si>
    <t>Norwest</t>
  </si>
  <si>
    <t>Pinecone</t>
  </si>
  <si>
    <t>Wing Venture</t>
  </si>
  <si>
    <t>Nvidia</t>
  </si>
  <si>
    <t>One-Off</t>
  </si>
  <si>
    <t>Snowflake</t>
  </si>
  <si>
    <t>Canadian, Fei-Fei Li, raising fund III</t>
  </si>
  <si>
    <t>Radical Ventures</t>
  </si>
  <si>
    <t>Battery Ventures</t>
  </si>
  <si>
    <t>Essential AI</t>
  </si>
  <si>
    <t>Thrive Capital</t>
  </si>
  <si>
    <t>Lux Capital</t>
  </si>
  <si>
    <t>Khosla Ventures</t>
  </si>
  <si>
    <t>Redpoint</t>
  </si>
  <si>
    <t>FirstMark</t>
  </si>
  <si>
    <t>Kumo.ai</t>
  </si>
  <si>
    <t>SVA</t>
  </si>
  <si>
    <t>Franklin Templeton Investments</t>
  </si>
  <si>
    <t>Bessemer Venture Partners</t>
  </si>
  <si>
    <t>Sequoia Capital China</t>
  </si>
  <si>
    <t>Amplify</t>
  </si>
  <si>
    <t>Wellington</t>
  </si>
  <si>
    <t>Celesta Capital</t>
  </si>
  <si>
    <t>Kleiner Perkins</t>
  </si>
  <si>
    <t>CITIC Securities (CPE)</t>
  </si>
  <si>
    <t>Walden International (Walden Riverwood)</t>
  </si>
  <si>
    <t>Observe AI</t>
  </si>
  <si>
    <t>Menlo Ventures</t>
  </si>
  <si>
    <t>March Capital</t>
  </si>
  <si>
    <t>Accel</t>
  </si>
  <si>
    <t>Bosch Ventures</t>
  </si>
  <si>
    <t>Series C-1</t>
  </si>
  <si>
    <t>Foundation Capital</t>
  </si>
  <si>
    <t>ICONIQ</t>
  </si>
  <si>
    <t>Blackrock</t>
  </si>
  <si>
    <t>Salesforce Ventures</t>
  </si>
  <si>
    <t>Intel Capital</t>
  </si>
  <si>
    <t>Zuva</t>
  </si>
  <si>
    <t>Rasgo</t>
  </si>
  <si>
    <t>Insight Partners</t>
  </si>
  <si>
    <t>Waymo</t>
  </si>
  <si>
    <t>Temasek</t>
  </si>
  <si>
    <t>Kumo</t>
  </si>
  <si>
    <t>Sequoia</t>
  </si>
  <si>
    <t>Hippocratic AI</t>
  </si>
  <si>
    <t>General Catalyst</t>
  </si>
  <si>
    <t>AutoNation</t>
  </si>
  <si>
    <t>Magna</t>
  </si>
  <si>
    <t>Inflection AI</t>
  </si>
  <si>
    <t>Greylock</t>
  </si>
  <si>
    <t>75</t>
  </si>
  <si>
    <t>Tencent</t>
  </si>
  <si>
    <t>NEA</t>
  </si>
  <si>
    <t>Perry Creek</t>
  </si>
  <si>
    <t>Fidelity</t>
  </si>
  <si>
    <t>CPPIB</t>
  </si>
  <si>
    <t>T. Rowe Price</t>
  </si>
  <si>
    <t>Silver Lake</t>
  </si>
  <si>
    <t>Mubadala</t>
  </si>
  <si>
    <t>Eleven Labs</t>
  </si>
  <si>
    <t>Hippocratic</t>
  </si>
  <si>
    <t>a16z</t>
  </si>
  <si>
    <t>Google (Capital G, GV, Verily)</t>
  </si>
  <si>
    <t>Vianai</t>
  </si>
  <si>
    <t>Softbank</t>
  </si>
  <si>
    <t>Notes</t>
  </si>
  <si>
    <t>Series D+</t>
  </si>
  <si>
    <t>Now</t>
  </si>
  <si>
    <t>Founded</t>
  </si>
  <si>
    <t>% AI</t>
  </si>
  <si>
    <t>AUM</t>
  </si>
  <si>
    <t>Date</t>
  </si>
  <si>
    <t>Size</t>
  </si>
  <si>
    <t>Raised</t>
  </si>
  <si>
    <t>Company</t>
  </si>
  <si>
    <t>Round</t>
  </si>
  <si>
    <t>Fund</t>
  </si>
  <si>
    <t>P&amp;L</t>
  </si>
  <si>
    <t>Current Val</t>
  </si>
  <si>
    <t>Invested Val</t>
  </si>
  <si>
    <t>Main</t>
  </si>
  <si>
    <t>YourHana.ai</t>
  </si>
  <si>
    <t>Waabi</t>
  </si>
  <si>
    <t>Viz.AI</t>
  </si>
  <si>
    <t>Vectra</t>
  </si>
  <si>
    <t>Vannevar</t>
  </si>
  <si>
    <t>Trigo</t>
  </si>
  <si>
    <t>Slingshot Aerospace</t>
  </si>
  <si>
    <t>RevComm</t>
  </si>
  <si>
    <t>PathAI</t>
  </si>
  <si>
    <t>Ironclad</t>
  </si>
  <si>
    <t>Farmwise</t>
  </si>
  <si>
    <t>Coactive AI</t>
  </si>
  <si>
    <t>Clari</t>
  </si>
  <si>
    <t>Canvas</t>
  </si>
  <si>
    <t>Bayesian Health</t>
  </si>
  <si>
    <t>Abnormal Security</t>
  </si>
  <si>
    <t>Insitro</t>
  </si>
  <si>
    <t>Blippar</t>
  </si>
  <si>
    <t>Exyn Technologies</t>
  </si>
  <si>
    <t>Appier</t>
  </si>
  <si>
    <t>Machinify</t>
  </si>
  <si>
    <t>Instabase</t>
  </si>
  <si>
    <t>Vast.ai</t>
  </si>
  <si>
    <t>Pateo</t>
  </si>
  <si>
    <t>Mov.ai</t>
  </si>
  <si>
    <t>Gradient AI</t>
  </si>
  <si>
    <t>HiveIO</t>
  </si>
  <si>
    <t>AIAdvertising</t>
  </si>
  <si>
    <t>Tangent.ai</t>
  </si>
  <si>
    <t>Imagen Technologies</t>
  </si>
  <si>
    <t>Ayasdi</t>
  </si>
  <si>
    <t>Metagenomi</t>
  </si>
  <si>
    <t>Sloyd</t>
  </si>
  <si>
    <t>ElementI</t>
  </si>
  <si>
    <t>Hailo</t>
  </si>
  <si>
    <t>prplex (fsck.ai)</t>
  </si>
  <si>
    <t>Mobvoi</t>
  </si>
  <si>
    <t>BIGO Technology</t>
  </si>
  <si>
    <t>1X</t>
  </si>
  <si>
    <t>Zoox</t>
  </si>
  <si>
    <t>Nio</t>
  </si>
  <si>
    <t>FlashPCB</t>
  </si>
  <si>
    <t>Interactions</t>
  </si>
  <si>
    <t>Medivis</t>
  </si>
  <si>
    <t>Farm Technologies</t>
  </si>
  <si>
    <t>Behaviol</t>
  </si>
  <si>
    <t>Tarrasmart</t>
  </si>
  <si>
    <t>Algatha</t>
  </si>
  <si>
    <t>Ava Robotics</t>
  </si>
  <si>
    <t>Noon.ai</t>
  </si>
  <si>
    <t>Kinect AI</t>
  </si>
  <si>
    <t>Unsupervised AI</t>
  </si>
  <si>
    <t>Zhihu (China)</t>
  </si>
  <si>
    <t>Recurrent AI (NLP, China)</t>
  </si>
  <si>
    <t>DeepLang AI (China)</t>
  </si>
  <si>
    <t>ICOMWELL</t>
  </si>
  <si>
    <t>Bespoke</t>
  </si>
  <si>
    <t>Wave Computing</t>
  </si>
  <si>
    <t>Unbabel</t>
  </si>
  <si>
    <t>Suki</t>
  </si>
  <si>
    <t>Sonicbox</t>
  </si>
  <si>
    <t>Call Connect</t>
  </si>
  <si>
    <t>DeepFiction AI</t>
  </si>
  <si>
    <t>Ingest AI</t>
  </si>
  <si>
    <t>text.com</t>
  </si>
  <si>
    <t>Crait.it</t>
  </si>
  <si>
    <t>Vedia.ai</t>
  </si>
  <si>
    <t>Abtesting.ai</t>
  </si>
  <si>
    <t>AI-writer.com</t>
  </si>
  <si>
    <t>AISEO.ai</t>
  </si>
  <si>
    <t>Amazing.photos</t>
  </si>
  <si>
    <t>Avatar AI</t>
  </si>
  <si>
    <t>Bertha.ai</t>
  </si>
  <si>
    <t>Capacities</t>
  </si>
  <si>
    <t>ChibiAI</t>
  </si>
  <si>
    <t>CodePilot.ai</t>
  </si>
  <si>
    <t>Consizely</t>
  </si>
  <si>
    <t>Contenda</t>
  </si>
  <si>
    <t>ContentBot.ai</t>
  </si>
  <si>
    <t>Contentelly</t>
  </si>
  <si>
    <t>Copymatic</t>
  </si>
  <si>
    <t>Debuild</t>
  </si>
  <si>
    <t>Deep Dream Generator</t>
  </si>
  <si>
    <t>DrawAnyone</t>
  </si>
  <si>
    <t>DreamFusion</t>
  </si>
  <si>
    <t>Excelformulabot</t>
  </si>
  <si>
    <t>Fermat.ws</t>
  </si>
  <si>
    <t>Fliki</t>
  </si>
  <si>
    <t>Galactica (Amazon, galactica.org)</t>
  </si>
  <si>
    <t>Geniverse</t>
  </si>
  <si>
    <t>Deep Mind Gopher</t>
  </si>
  <si>
    <t>Headlime</t>
  </si>
  <si>
    <t>Hi4.ai</t>
  </si>
  <si>
    <t>Ink (inkforall.com)</t>
  </si>
  <si>
    <t>Interior AI</t>
  </si>
  <si>
    <t>Kafkai</t>
  </si>
  <si>
    <t>Kai</t>
  </si>
  <si>
    <t>LanguageTool</t>
  </si>
  <si>
    <t>Leonardo.ai</t>
  </si>
  <si>
    <t>Lex.page</t>
  </si>
  <si>
    <t>LEXAI.com</t>
  </si>
  <si>
    <t>Loora</t>
  </si>
  <si>
    <t>Looria</t>
  </si>
  <si>
    <t>Lyne.ai</t>
  </si>
  <si>
    <t>Maestra</t>
  </si>
  <si>
    <t>Magic Copy</t>
  </si>
  <si>
    <t>MetaDialog</t>
  </si>
  <si>
    <t>Minerva Solutions</t>
  </si>
  <si>
    <t>Neural.love</t>
  </si>
  <si>
    <t>Nichesss</t>
  </si>
  <si>
    <t>NLP Cloud</t>
  </si>
  <si>
    <t>NoteVibes</t>
  </si>
  <si>
    <t>Here Be Taverns</t>
  </si>
  <si>
    <t>Nyx.gallery</t>
  </si>
  <si>
    <t>Opus</t>
  </si>
  <si>
    <t>Osmosis</t>
  </si>
  <si>
    <t>ParagraphAI</t>
  </si>
  <si>
    <t>Podcast.ai</t>
  </si>
  <si>
    <t>ProWritingAid</t>
  </si>
  <si>
    <t>Qopywriter.ai</t>
  </si>
  <si>
    <t>Quantamix Solutions</t>
  </si>
  <si>
    <t>Rytr</t>
  </si>
  <si>
    <t>SEO.ai</t>
  </si>
  <si>
    <t>ShowHue</t>
  </si>
  <si>
    <t>Shuffll</t>
  </si>
  <si>
    <t>Subtxt</t>
  </si>
  <si>
    <t>Surfer</t>
  </si>
  <si>
    <t>Synthesys</t>
  </si>
  <si>
    <t>Thundercontent</t>
  </si>
  <si>
    <t>TDLR This</t>
  </si>
  <si>
    <t>Vizologi</t>
  </si>
  <si>
    <t>writerly</t>
  </si>
  <si>
    <t>AdCreative</t>
  </si>
  <si>
    <t>AI2sql</t>
  </si>
  <si>
    <t>Aragon</t>
  </si>
  <si>
    <t>ArtBreeder</t>
  </si>
  <si>
    <t>Article Forge</t>
  </si>
  <si>
    <t>AutoEnhance.ai</t>
  </si>
  <si>
    <t>B/BLOQS</t>
  </si>
  <si>
    <t>Beewriter</t>
  </si>
  <si>
    <t>Blend</t>
  </si>
  <si>
    <t>Broadn</t>
  </si>
  <si>
    <t>BuildAI</t>
  </si>
  <si>
    <t>Clickable</t>
  </si>
  <si>
    <t>Crone AI</t>
  </si>
  <si>
    <t>Closers Copy</t>
  </si>
  <si>
    <t>Conto</t>
  </si>
  <si>
    <t>Copy Shark</t>
  </si>
  <si>
    <t>Craftly</t>
  </si>
  <si>
    <t>Deep Design Systems</t>
  </si>
  <si>
    <t>Electric Noir Studios</t>
  </si>
  <si>
    <t>Flawless</t>
  </si>
  <si>
    <t>Flewently</t>
  </si>
  <si>
    <t>Flowful</t>
  </si>
  <si>
    <t>Fluento</t>
  </si>
  <si>
    <t>GenieLabs</t>
  </si>
  <si>
    <t>Alpaca (getalpaca.io)</t>
  </si>
  <si>
    <t>Aspect</t>
  </si>
  <si>
    <t>Glimpse.ai</t>
  </si>
  <si>
    <t>Moonbeam</t>
  </si>
  <si>
    <t>Gooey.ai</t>
  </si>
  <si>
    <t>Growth Marketing Pro</t>
  </si>
  <si>
    <t>Kartiv</t>
  </si>
  <si>
    <t>LALAL</t>
  </si>
  <si>
    <t>LitRPG</t>
  </si>
  <si>
    <t>Mage.space</t>
  </si>
  <si>
    <t>Reach (magicreach.ai)</t>
  </si>
  <si>
    <t>Mark (markcopy.ai)</t>
  </si>
  <si>
    <t>MirryAI</t>
  </si>
  <si>
    <t>Musico</t>
  </si>
  <si>
    <t>Napkin</t>
  </si>
  <si>
    <t>NeuralText</t>
  </si>
  <si>
    <t>NLP Labs</t>
  </si>
  <si>
    <t>Nyle</t>
  </si>
  <si>
    <t>Outranking</t>
  </si>
  <si>
    <t>Outwrite</t>
  </si>
  <si>
    <t>Panjaya</t>
  </si>
  <si>
    <t>Penelope</t>
  </si>
  <si>
    <t>Peppertype.ai</t>
  </si>
  <si>
    <t>Phaito</t>
  </si>
  <si>
    <t>Plnia</t>
  </si>
  <si>
    <t>Ponzu</t>
  </si>
  <si>
    <t>Profile Picture</t>
  </si>
  <si>
    <t>ReadSpeaker</t>
  </si>
  <si>
    <t>Removebg</t>
  </si>
  <si>
    <t>Samespace</t>
  </si>
  <si>
    <t>Shakespeare</t>
  </si>
  <si>
    <t>ShortlyAI</t>
  </si>
  <si>
    <t>Social Keyboard</t>
  </si>
  <si>
    <t>Sonify</t>
  </si>
  <si>
    <t>Starryai</t>
  </si>
  <si>
    <t>Storywizard.ai</t>
  </si>
  <si>
    <t>Strmr</t>
  </si>
  <si>
    <t>Tailorbird</t>
  </si>
  <si>
    <t>Textmetrics</t>
  </si>
  <si>
    <t>The Culture DAO</t>
  </si>
  <si>
    <t>Trinka</t>
  </si>
  <si>
    <t>UnScreen</t>
  </si>
  <si>
    <t>Blackbox</t>
  </si>
  <si>
    <t>Topic</t>
  </si>
  <si>
    <t>Wokelo.ai</t>
  </si>
  <si>
    <t>Xoltar</t>
  </si>
  <si>
    <t>Zubtitle</t>
  </si>
  <si>
    <t>Kadoa</t>
  </si>
  <si>
    <t>PicUp.ai</t>
  </si>
  <si>
    <t>Stockimg.ai</t>
  </si>
  <si>
    <t>Whizle</t>
  </si>
  <si>
    <t>Valdi</t>
  </si>
  <si>
    <t>Sequome</t>
  </si>
  <si>
    <t>Sefi AI</t>
  </si>
  <si>
    <t>Hally AI</t>
  </si>
  <si>
    <t>Glimmer AI</t>
  </si>
  <si>
    <t>Ecomtent</t>
  </si>
  <si>
    <t>QuizMe</t>
  </si>
  <si>
    <t>Mesolitica</t>
  </si>
  <si>
    <t>Sloped.xyz</t>
  </si>
  <si>
    <t>DeepWord</t>
  </si>
  <si>
    <t>Listnr</t>
  </si>
  <si>
    <t>Avaturn</t>
  </si>
  <si>
    <t>LongShot AI</t>
  </si>
  <si>
    <t>Broca</t>
  </si>
  <si>
    <t>Twig.so</t>
  </si>
  <si>
    <t>Koalluh</t>
  </si>
  <si>
    <t>Pathway</t>
  </si>
  <si>
    <t>YoDayo</t>
  </si>
  <si>
    <t>GetAnswer</t>
  </si>
  <si>
    <t>CopyMonkey</t>
  </si>
  <si>
    <t>Lumen5</t>
  </si>
  <si>
    <t>Creatext</t>
  </si>
  <si>
    <t>Maket</t>
  </si>
  <si>
    <t>Enzyme</t>
  </si>
  <si>
    <t>Incentivai</t>
  </si>
  <si>
    <t>SharePay</t>
  </si>
  <si>
    <t>Quickchat</t>
  </si>
  <si>
    <t>Bloop</t>
  </si>
  <si>
    <t>MutableAI</t>
  </si>
  <si>
    <t>reKnow</t>
  </si>
  <si>
    <t>Write with LAIKA</t>
  </si>
  <si>
    <t>Sapling.ai</t>
  </si>
  <si>
    <t>BeyondWords</t>
  </si>
  <si>
    <t>Myth.ai</t>
  </si>
  <si>
    <t>SampleAd</t>
  </si>
  <si>
    <t>Kaedim</t>
  </si>
  <si>
    <t>Scholarcy</t>
  </si>
  <si>
    <t>Jenni</t>
  </si>
  <si>
    <t>MolinAI</t>
  </si>
  <si>
    <t>PatentPal</t>
  </si>
  <si>
    <t>Wisecut</t>
  </si>
  <si>
    <t>Elomia</t>
  </si>
  <si>
    <t>Hexo</t>
  </si>
  <si>
    <t>Seenapse</t>
  </si>
  <si>
    <t>Unthink AI</t>
  </si>
  <si>
    <t>Digital Recipe</t>
  </si>
  <si>
    <t>Kirin</t>
  </si>
  <si>
    <t>Parsnip</t>
  </si>
  <si>
    <t>Pally</t>
  </si>
  <si>
    <t>Sage SEO</t>
  </si>
  <si>
    <t>Axiom AI</t>
  </si>
  <si>
    <t>Felvin</t>
  </si>
  <si>
    <t>AudioLabs</t>
  </si>
  <si>
    <t>ForceField IO</t>
  </si>
  <si>
    <t>Zebracat</t>
  </si>
  <si>
    <t>Motorica</t>
  </si>
  <si>
    <t>Kamua</t>
  </si>
  <si>
    <t>Glasp</t>
  </si>
  <si>
    <t>Maya</t>
  </si>
  <si>
    <t>Rubbrband</t>
  </si>
  <si>
    <t>UberDuck</t>
  </si>
  <si>
    <t>AskEdith</t>
  </si>
  <si>
    <t>Harmonai (stability?)</t>
  </si>
  <si>
    <t>Inventurist</t>
  </si>
  <si>
    <t>Delv AI</t>
  </si>
  <si>
    <t>Correcto</t>
  </si>
  <si>
    <t>Save All</t>
  </si>
  <si>
    <t>Edgi Learning</t>
  </si>
  <si>
    <t>Keys (thekeys.ai)</t>
  </si>
  <si>
    <t>Speechki</t>
  </si>
  <si>
    <t>Coxwave</t>
  </si>
  <si>
    <t>Sayso</t>
  </si>
  <si>
    <t>Dubverse</t>
  </si>
  <si>
    <t>Neuroflash</t>
  </si>
  <si>
    <t>LoopinHQ</t>
  </si>
  <si>
    <t>SciSpace</t>
  </si>
  <si>
    <t>WordLift</t>
  </si>
  <si>
    <t>Frase</t>
  </si>
  <si>
    <t>GoatChat</t>
  </si>
  <si>
    <t>Cerebrate AI</t>
  </si>
  <si>
    <t>Linguix</t>
  </si>
  <si>
    <t>Replica Analytics</t>
  </si>
  <si>
    <t>Aug X Labs</t>
  </si>
  <si>
    <t>Berserq</t>
  </si>
  <si>
    <t>Beatoven.ai</t>
  </si>
  <si>
    <t>DigitalFirst</t>
  </si>
  <si>
    <t>Workorder AI</t>
  </si>
  <si>
    <t>NeuraLoom</t>
  </si>
  <si>
    <t>Kaizan</t>
  </si>
  <si>
    <t>Vidyo</t>
  </si>
  <si>
    <t>SuperCreator</t>
  </si>
  <si>
    <t>Zeta Alpha</t>
  </si>
  <si>
    <t>TextCortex AI</t>
  </si>
  <si>
    <t>GoCharlie</t>
  </si>
  <si>
    <t>WriterZen</t>
  </si>
  <si>
    <t>Tuney</t>
  </si>
  <si>
    <t>WaveAI</t>
  </si>
  <si>
    <t>Hypertype</t>
  </si>
  <si>
    <t>Botika</t>
  </si>
  <si>
    <t>Octopize</t>
  </si>
  <si>
    <t>Notably</t>
  </si>
  <si>
    <t>Respeecher</t>
  </si>
  <si>
    <t>OpenArt</t>
  </si>
  <si>
    <t>ZibraAI</t>
  </si>
  <si>
    <t>NeuroX1</t>
  </si>
  <si>
    <t>United Robots</t>
  </si>
  <si>
    <t>Amadeus Code</t>
  </si>
  <si>
    <t>Munch</t>
  </si>
  <si>
    <t>SoundRaw</t>
  </si>
  <si>
    <t>Ecrett</t>
  </si>
  <si>
    <t>Upword</t>
  </si>
  <si>
    <t>aiXcoder</t>
  </si>
  <si>
    <t>GGPredict</t>
  </si>
  <si>
    <t>Boltzbit</t>
  </si>
  <si>
    <t>Aflorithmic</t>
  </si>
  <si>
    <t>Botco</t>
  </si>
  <si>
    <t>Codiga</t>
  </si>
  <si>
    <t>TrueFoundry</t>
  </si>
  <si>
    <t>Krea</t>
  </si>
  <si>
    <t>Betterdata</t>
  </si>
  <si>
    <t>Depix</t>
  </si>
  <si>
    <t>Hypar</t>
  </si>
  <si>
    <t>Andi</t>
  </si>
  <si>
    <t>Lalaland</t>
  </si>
  <si>
    <t>Sonantic</t>
  </si>
  <si>
    <t>Pilot</t>
  </si>
  <si>
    <t>OASIS</t>
  </si>
  <si>
    <t>Maverick</t>
  </si>
  <si>
    <t>Akooda</t>
  </si>
  <si>
    <t>Pragma</t>
  </si>
  <si>
    <t>Cala</t>
  </si>
  <si>
    <t>Hipsto</t>
  </si>
  <si>
    <t>Stylo</t>
  </si>
  <si>
    <t>Zocket</t>
  </si>
  <si>
    <t>NeuralSpace</t>
  </si>
  <si>
    <t>Windsor</t>
  </si>
  <si>
    <t>Attention</t>
  </si>
  <si>
    <t>Summari</t>
  </si>
  <si>
    <t>MonkeyLearn</t>
  </si>
  <si>
    <t>Ydata</t>
  </si>
  <si>
    <t>Cohere (Ramp)</t>
  </si>
  <si>
    <t>Altered</t>
  </si>
  <si>
    <t>Typewise</t>
  </si>
  <si>
    <t>NuMind</t>
  </si>
  <si>
    <t>OneView</t>
  </si>
  <si>
    <t>Potion</t>
  </si>
  <si>
    <t>Scalenut</t>
  </si>
  <si>
    <t>Agolo</t>
  </si>
  <si>
    <t>Supertone</t>
  </si>
  <si>
    <t>XOKind</t>
  </si>
  <si>
    <t>Variational AI</t>
  </si>
  <si>
    <t>Lighton</t>
  </si>
  <si>
    <t>Pencil</t>
  </si>
  <si>
    <t>Poly (withpoly.com)</t>
  </si>
  <si>
    <t>Reduct Video</t>
  </si>
  <si>
    <t>Staircase</t>
  </si>
  <si>
    <t>The.com</t>
  </si>
  <si>
    <t>Clawdia</t>
  </si>
  <si>
    <t>10Web</t>
  </si>
  <si>
    <t>Weave.ai</t>
  </si>
  <si>
    <t>EmbodyMe</t>
  </si>
  <si>
    <t>Conversion Maker</t>
  </si>
  <si>
    <t>Voiseed</t>
  </si>
  <si>
    <t>Dynamo</t>
  </si>
  <si>
    <t>Quillbot</t>
  </si>
  <si>
    <t>Dob Studio</t>
  </si>
  <si>
    <t>Contlo</t>
  </si>
  <si>
    <t>Boomy</t>
  </si>
  <si>
    <t>Skippr</t>
  </si>
  <si>
    <t>Speechify</t>
  </si>
  <si>
    <t>Poised</t>
  </si>
  <si>
    <t>Hypothetic</t>
  </si>
  <si>
    <t>Codex</t>
  </si>
  <si>
    <t>Twain</t>
  </si>
  <si>
    <t>Cass</t>
  </si>
  <si>
    <t>Pluralytics</t>
  </si>
  <si>
    <t>Obviously.ai</t>
  </si>
  <si>
    <t>Novus Writer</t>
  </si>
  <si>
    <t>Neurolabs</t>
  </si>
  <si>
    <t>Wand</t>
  </si>
  <si>
    <t>Demandwell</t>
  </si>
  <si>
    <t>Netail</t>
  </si>
  <si>
    <t>Certainly</t>
  </si>
  <si>
    <t>Flowrite</t>
  </si>
  <si>
    <t>Astrid</t>
  </si>
  <si>
    <t>Phrasee</t>
  </si>
  <si>
    <t>Reface</t>
  </si>
  <si>
    <t>Syntegra</t>
  </si>
  <si>
    <t>Cradle</t>
  </si>
  <si>
    <t>DeckRobot</t>
  </si>
  <si>
    <t>Scenario</t>
  </si>
  <si>
    <t>Masterpiece Studio</t>
  </si>
  <si>
    <t>Prisma Labs</t>
  </si>
  <si>
    <t>SliceX AI</t>
  </si>
  <si>
    <t>Peech</t>
  </si>
  <si>
    <t>Colossyan</t>
  </si>
  <si>
    <t>Data Skrive</t>
  </si>
  <si>
    <t>Zenlytic</t>
  </si>
  <si>
    <t>BrandMuscle</t>
  </si>
  <si>
    <t>Bloom</t>
  </si>
  <si>
    <t>Detail</t>
  </si>
  <si>
    <t>theGist</t>
  </si>
  <si>
    <t>Tymely</t>
  </si>
  <si>
    <t>Kiliba</t>
  </si>
  <si>
    <t>Quattr</t>
  </si>
  <si>
    <t>TermScout</t>
  </si>
  <si>
    <t>Metaphysic</t>
  </si>
  <si>
    <t>GlossAI</t>
  </si>
  <si>
    <t>Verloop</t>
  </si>
  <si>
    <t>Contents</t>
  </si>
  <si>
    <t>Vozy</t>
  </si>
  <si>
    <t>DataHawk</t>
  </si>
  <si>
    <t>Personal.ai</t>
  </si>
  <si>
    <t>Valence</t>
  </si>
  <si>
    <t>Podcastle</t>
  </si>
  <si>
    <t>HeyGen</t>
  </si>
  <si>
    <t>Profluent</t>
  </si>
  <si>
    <t>Tiamat World</t>
  </si>
  <si>
    <t>MarketMuse</t>
  </si>
  <si>
    <t>Outplay</t>
  </si>
  <si>
    <t>DhiWise</t>
  </si>
  <si>
    <t>NLX</t>
  </si>
  <si>
    <t>Amberscript</t>
  </si>
  <si>
    <t>UneeQ</t>
  </si>
  <si>
    <t>Bria</t>
  </si>
  <si>
    <t>Mindtech</t>
  </si>
  <si>
    <t>Moises</t>
  </si>
  <si>
    <t>The Simulation</t>
  </si>
  <si>
    <t>Intento</t>
  </si>
  <si>
    <t>Simplified</t>
  </si>
  <si>
    <t>Viable</t>
  </si>
  <si>
    <t>Fy!</t>
  </si>
  <si>
    <t>Ginger</t>
  </si>
  <si>
    <t>Zero</t>
  </si>
  <si>
    <t>Jio Haptik</t>
  </si>
  <si>
    <t>Durable</t>
  </si>
  <si>
    <t>Lang.ai</t>
  </si>
  <si>
    <t>EvenUp</t>
  </si>
  <si>
    <t>NeoTax</t>
  </si>
  <si>
    <t>Yepic</t>
  </si>
  <si>
    <t>Madgicx</t>
  </si>
  <si>
    <t>Hazy</t>
  </si>
  <si>
    <t>Deepset</t>
  </si>
  <si>
    <t>LifeScore</t>
  </si>
  <si>
    <t>Beautiful.ai</t>
  </si>
  <si>
    <t>Vu Technologies</t>
  </si>
  <si>
    <t>Krisp</t>
  </si>
  <si>
    <t>Raft</t>
  </si>
  <si>
    <t>Uizard</t>
  </si>
  <si>
    <t>Pepper Content</t>
  </si>
  <si>
    <t>PhotoRoom</t>
  </si>
  <si>
    <t>Vectara</t>
  </si>
  <si>
    <t>AiMi</t>
  </si>
  <si>
    <t>Salad</t>
  </si>
  <si>
    <t>Endel</t>
  </si>
  <si>
    <t>Archistar</t>
  </si>
  <si>
    <t>TestFit</t>
  </si>
  <si>
    <t>Warp</t>
  </si>
  <si>
    <t>Splash</t>
  </si>
  <si>
    <t>Symbl</t>
  </si>
  <si>
    <t>Darrow</t>
  </si>
  <si>
    <t>Iterative</t>
  </si>
  <si>
    <t>Chooch AI</t>
  </si>
  <si>
    <t>Ultimate</t>
  </si>
  <si>
    <t>AI Foundation</t>
  </si>
  <si>
    <t>Air Inc</t>
  </si>
  <si>
    <t>Corti</t>
  </si>
  <si>
    <t>Codacy</t>
  </si>
  <si>
    <t>Datachat</t>
  </si>
  <si>
    <t>Aqemia</t>
  </si>
  <si>
    <t>EliseAI</t>
  </si>
  <si>
    <t>iGenius</t>
  </si>
  <si>
    <t>Papercup</t>
  </si>
  <si>
    <t>Matroid</t>
  </si>
  <si>
    <t>Veed</t>
  </si>
  <si>
    <t>Maker AI</t>
  </si>
  <si>
    <t>Unbounce</t>
  </si>
  <si>
    <t>Mavenoid</t>
  </si>
  <si>
    <t>Atomic AI</t>
  </si>
  <si>
    <t>Textio</t>
  </si>
  <si>
    <t>You.com</t>
  </si>
  <si>
    <t>Riverside.fm</t>
  </si>
  <si>
    <t>Balto</t>
  </si>
  <si>
    <t>DeepBrain AI</t>
  </si>
  <si>
    <t>InVideo</t>
  </si>
  <si>
    <t>Triple Whale</t>
  </si>
  <si>
    <t>Walnut</t>
  </si>
  <si>
    <t>Magnifi</t>
  </si>
  <si>
    <t>Persado</t>
  </si>
  <si>
    <t>SeMi Technologies</t>
  </si>
  <si>
    <t>Creative Fabrica</t>
  </si>
  <si>
    <t>Mutiny</t>
  </si>
  <si>
    <t>Kasisto</t>
  </si>
  <si>
    <t>Ushur</t>
  </si>
  <si>
    <t>Eleuther</t>
  </si>
  <si>
    <t>MDClone</t>
  </si>
  <si>
    <t>InstaDeep</t>
  </si>
  <si>
    <t>Soul Machines</t>
  </si>
  <si>
    <t>Instoried</t>
  </si>
  <si>
    <t>DupDub</t>
  </si>
  <si>
    <t>Lightricks</t>
  </si>
  <si>
    <t>Datastax</t>
  </si>
  <si>
    <t>ASAPP</t>
  </si>
  <si>
    <t>Grammarly</t>
  </si>
  <si>
    <t>Dialpad</t>
  </si>
  <si>
    <t>Algotive</t>
  </si>
  <si>
    <t>Smith.ai</t>
  </si>
  <si>
    <t>Second Life</t>
  </si>
  <si>
    <t>Picterra</t>
  </si>
  <si>
    <t>ZMO.ai</t>
  </si>
  <si>
    <t>Flowise AI</t>
  </si>
  <si>
    <t>Conductive AI</t>
  </si>
  <si>
    <t>Cogniflow AI</t>
  </si>
  <si>
    <t>Depict.ai</t>
  </si>
  <si>
    <t>Keymate</t>
  </si>
  <si>
    <t>mayk.it</t>
  </si>
  <si>
    <t>TopMedi AI</t>
  </si>
  <si>
    <t>wrnch</t>
  </si>
  <si>
    <t>Private</t>
  </si>
  <si>
    <t>Luma AI</t>
  </si>
  <si>
    <t>EvolutionIQ</t>
  </si>
  <si>
    <t>Owkin</t>
  </si>
  <si>
    <t>causaLens</t>
  </si>
  <si>
    <t>Verteego</t>
  </si>
  <si>
    <t>Inventoro</t>
  </si>
  <si>
    <t>Sematell</t>
  </si>
  <si>
    <t>Concerto Health AI</t>
  </si>
  <si>
    <t>Mya Systems</t>
  </si>
  <si>
    <t>Cognosys AI</t>
  </si>
  <si>
    <t>ThoughtAI</t>
  </si>
  <si>
    <t>Carta Healthcare</t>
  </si>
  <si>
    <t>Paro</t>
  </si>
  <si>
    <t>mfine</t>
  </si>
  <si>
    <t>YC W23</t>
  </si>
  <si>
    <t>OpenSight</t>
  </si>
  <si>
    <t>Ivy</t>
  </si>
  <si>
    <t>Lavo Life Sciences</t>
  </si>
  <si>
    <t>AlphaWatch AI</t>
  </si>
  <si>
    <t>Chima</t>
  </si>
  <si>
    <t>Nucleus</t>
  </si>
  <si>
    <t>Avoca</t>
  </si>
  <si>
    <t>Middleware</t>
  </si>
  <si>
    <t>Stack AI</t>
  </si>
  <si>
    <t>Cardinal</t>
  </si>
  <si>
    <t>Linum</t>
  </si>
  <si>
    <t>Traceloop</t>
  </si>
  <si>
    <t>Syncly</t>
  </si>
  <si>
    <t>Layup</t>
  </si>
  <si>
    <t>Credal.ai</t>
  </si>
  <si>
    <t>Rollstack</t>
  </si>
  <si>
    <t>Paperplane</t>
  </si>
  <si>
    <t>Lume</t>
  </si>
  <si>
    <t>Latent</t>
  </si>
  <si>
    <t>pyq</t>
  </si>
  <si>
    <t>Rosettic</t>
  </si>
  <si>
    <t>CodeComplete</t>
  </si>
  <si>
    <t>Parabolic</t>
  </si>
  <si>
    <t>Rubber Ducky Labs</t>
  </si>
  <si>
    <t>Pair AI</t>
  </si>
  <si>
    <t>Tennr</t>
  </si>
  <si>
    <t>OfOne</t>
  </si>
  <si>
    <t>JustPaid.io</t>
  </si>
  <si>
    <t>PoplarML</t>
  </si>
  <si>
    <t>Zenfetch</t>
  </si>
  <si>
    <t>CreatorML</t>
  </si>
  <si>
    <t>Neptyne</t>
  </si>
  <si>
    <t>LinkGrep</t>
  </si>
  <si>
    <t>Flower</t>
  </si>
  <si>
    <t>Buildt</t>
  </si>
  <si>
    <t>Chart</t>
  </si>
  <si>
    <t>Haven</t>
  </si>
  <si>
    <t>Intently</t>
  </si>
  <si>
    <t>Dream#d</t>
  </si>
  <si>
    <t>Anarchy</t>
  </si>
  <si>
    <t>Outerbase</t>
  </si>
  <si>
    <t>langfuse</t>
  </si>
  <si>
    <t>Extend</t>
  </si>
  <si>
    <t>Squack</t>
  </si>
  <si>
    <t>Iliad</t>
  </si>
  <si>
    <t>OpenMeter</t>
  </si>
  <si>
    <t>Plutis</t>
  </si>
  <si>
    <t>inkeep</t>
  </si>
  <si>
    <t>GradientJ</t>
  </si>
  <si>
    <t>EzDubs</t>
  </si>
  <si>
    <t>Wild Moose</t>
  </si>
  <si>
    <t>Truewind</t>
  </si>
  <si>
    <t>Orchid</t>
  </si>
  <si>
    <t>Magicflow</t>
  </si>
  <si>
    <t>Helicone</t>
  </si>
  <si>
    <t>Ariglad</t>
  </si>
  <si>
    <t>222</t>
  </si>
  <si>
    <t>Fintool</t>
  </si>
  <si>
    <t>Gloo</t>
  </si>
  <si>
    <t>Defog.ai</t>
  </si>
  <si>
    <t>Semantic Finance</t>
  </si>
  <si>
    <t>Hadrius</t>
  </si>
  <si>
    <t>Fairway Health</t>
  </si>
  <si>
    <t>Kurukuru</t>
  </si>
  <si>
    <t>SPRX</t>
  </si>
  <si>
    <t>Psychic</t>
  </si>
  <si>
    <t>Waveline</t>
  </si>
  <si>
    <t>Uptrain AI</t>
  </si>
  <si>
    <t>Clueso</t>
  </si>
  <si>
    <t>Baselit</t>
  </si>
  <si>
    <t>MagnaPlay</t>
  </si>
  <si>
    <t>Coldreach</t>
  </si>
  <si>
    <t>Quazel</t>
  </si>
  <si>
    <t>Diffuse Bio</t>
  </si>
  <si>
    <t>Planar</t>
  </si>
  <si>
    <t>CorgiAI</t>
  </si>
  <si>
    <t>Turntable</t>
  </si>
  <si>
    <t>DAGWorks</t>
  </si>
  <si>
    <t>DealPage</t>
  </si>
  <si>
    <t>Decoherence</t>
  </si>
  <si>
    <t>Unstatiq</t>
  </si>
  <si>
    <t>Persist AI</t>
  </si>
  <si>
    <t>BabylonAI</t>
  </si>
  <si>
    <t>Vellum</t>
  </si>
  <si>
    <t>Vocode</t>
  </si>
  <si>
    <t>Fabius</t>
  </si>
  <si>
    <t>Luca</t>
  </si>
  <si>
    <t>AiFlow</t>
  </si>
  <si>
    <t>Vector</t>
  </si>
  <si>
    <t>Metal</t>
  </si>
  <si>
    <t>Kyber</t>
  </si>
  <si>
    <t>Persana AI</t>
  </si>
  <si>
    <t>Meru</t>
  </si>
  <si>
    <t>Type</t>
  </si>
  <si>
    <t>Lightski</t>
  </si>
  <si>
    <t>SpeedyBrand</t>
  </si>
  <si>
    <t>Automat</t>
  </si>
  <si>
    <t>Yuma</t>
  </si>
  <si>
    <t>YC S23</t>
  </si>
  <si>
    <t>Reworkd</t>
  </si>
  <si>
    <t>Mano AI</t>
  </si>
  <si>
    <t>Watto AI</t>
  </si>
  <si>
    <t>Linc.</t>
  </si>
  <si>
    <t>ChatSeed</t>
  </si>
  <si>
    <t>Remy Security</t>
  </si>
  <si>
    <t>Wayfind</t>
  </si>
  <si>
    <t>atla</t>
  </si>
  <si>
    <t>Contour</t>
  </si>
  <si>
    <t>Solve Intelligence</t>
  </si>
  <si>
    <t>Spine AI</t>
  </si>
  <si>
    <t>Parea</t>
  </si>
  <si>
    <t>Substantive AI</t>
  </si>
  <si>
    <t>Bronco AI</t>
  </si>
  <si>
    <t>Arcimus</t>
  </si>
  <si>
    <t>Outset</t>
  </si>
  <si>
    <t>Wyvern AI</t>
  </si>
  <si>
    <t>Epsilla</t>
  </si>
  <si>
    <t>Greenlite</t>
  </si>
  <si>
    <t>Respaid</t>
  </si>
  <si>
    <t>Casehopper</t>
  </si>
  <si>
    <t>Guac</t>
  </si>
  <si>
    <t>Trainy</t>
  </si>
  <si>
    <t>Studdy</t>
  </si>
  <si>
    <t>Osium AI</t>
  </si>
  <si>
    <t>Flint</t>
  </si>
  <si>
    <t>Inlet</t>
  </si>
  <si>
    <t>SafetyKit</t>
  </si>
  <si>
    <t>Roundtable</t>
  </si>
  <si>
    <t>sudocode</t>
  </si>
  <si>
    <t>Cyclone</t>
  </si>
  <si>
    <t>Inventive AI</t>
  </si>
  <si>
    <t>Happyrobot</t>
  </si>
  <si>
    <t>Quill AI</t>
  </si>
  <si>
    <t>dili</t>
  </si>
  <si>
    <t>Sero AI</t>
  </si>
  <si>
    <t>AiSDR</t>
  </si>
  <si>
    <t>Structured</t>
  </si>
  <si>
    <t>Nowadays</t>
  </si>
  <si>
    <t>AutoInfra</t>
  </si>
  <si>
    <t>CodeStory</t>
  </si>
  <si>
    <t>Taylor AI</t>
  </si>
  <si>
    <t>Bestever.ai (A6G6)</t>
  </si>
  <si>
    <t>Berri.ai</t>
  </si>
  <si>
    <t>Forethought</t>
  </si>
  <si>
    <t>Chata.ai</t>
  </si>
  <si>
    <t>ChatFirst</t>
  </si>
  <si>
    <t>BenevolentAI</t>
  </si>
  <si>
    <t>aetherAI</t>
  </si>
  <si>
    <t>Rysana</t>
  </si>
  <si>
    <t>Denyify</t>
  </si>
  <si>
    <t>Zira</t>
  </si>
  <si>
    <t>Plotly</t>
  </si>
  <si>
    <t>TextQL</t>
  </si>
  <si>
    <t>Axelera AI</t>
  </si>
  <si>
    <t>MindsDB</t>
  </si>
  <si>
    <t>Spectrm</t>
  </si>
  <si>
    <t>Deepgram</t>
  </si>
  <si>
    <t>Pera Labs</t>
  </si>
  <si>
    <t>IPMD</t>
  </si>
  <si>
    <t>Phantom AI</t>
  </si>
  <si>
    <t>AiFi</t>
  </si>
  <si>
    <t>Covariance</t>
  </si>
  <si>
    <t>Tenstorrent</t>
  </si>
  <si>
    <t>Brightflow AI</t>
  </si>
  <si>
    <t>Tachyum</t>
  </si>
  <si>
    <t>Sumo Logic</t>
  </si>
  <si>
    <t>Seek AI (seek.ai)</t>
  </si>
  <si>
    <t>HumanSignal</t>
  </si>
  <si>
    <t>Omnix</t>
  </si>
  <si>
    <t>SESAMm</t>
  </si>
  <si>
    <t>Videntai</t>
  </si>
  <si>
    <t>CoreWeave</t>
  </si>
  <si>
    <t>MatrixSpace</t>
  </si>
  <si>
    <t>Lightmatter</t>
  </si>
  <si>
    <t>Casetext</t>
  </si>
  <si>
    <t>Valinor Earth</t>
  </si>
  <si>
    <t>Verb.ai</t>
  </si>
  <si>
    <t>Indy</t>
  </si>
  <si>
    <t>AI Trader</t>
  </si>
  <si>
    <t>PicSo</t>
  </si>
  <si>
    <t>Modulate</t>
  </si>
  <si>
    <t>Gladly</t>
  </si>
  <si>
    <t>Avaamo</t>
  </si>
  <si>
    <t>Neteera</t>
  </si>
  <si>
    <t>Practo</t>
  </si>
  <si>
    <t>AB Tasty</t>
  </si>
  <si>
    <t>Potrero</t>
  </si>
  <si>
    <t>UiPath</t>
  </si>
  <si>
    <t>LlamaIndex</t>
  </si>
  <si>
    <t>Contextual AI</t>
  </si>
  <si>
    <t>Pryon</t>
  </si>
  <si>
    <t>Ask AI (Irvine, CA)</t>
  </si>
  <si>
    <t>CoPilot AI</t>
  </si>
  <si>
    <t>AI Grant batch 1</t>
  </si>
  <si>
    <t>Forefront</t>
  </si>
  <si>
    <t>AniML</t>
  </si>
  <si>
    <t>Pixelcut</t>
  </si>
  <si>
    <t>Secret Weapons</t>
  </si>
  <si>
    <t>Samaya AI</t>
  </si>
  <si>
    <t>Birch</t>
  </si>
  <si>
    <t>Rowy</t>
  </si>
  <si>
    <t>Ghostwrite</t>
  </si>
  <si>
    <t>YC W23, AI Grant batch 1</t>
  </si>
  <si>
    <t>Sameday</t>
  </si>
  <si>
    <t>PolyCorp</t>
  </si>
  <si>
    <t>Cursor</t>
  </si>
  <si>
    <t>ValueBase</t>
  </si>
  <si>
    <t>Flair</t>
  </si>
  <si>
    <t>Recraft</t>
  </si>
  <si>
    <t>Alex Graveley</t>
  </si>
  <si>
    <t>Minion.ai</t>
  </si>
  <si>
    <t>Animato</t>
  </si>
  <si>
    <t>Swoop (W2O)</t>
  </si>
  <si>
    <t>Kebotix</t>
  </si>
  <si>
    <t>Vanti AI</t>
  </si>
  <si>
    <t>Buoy Health</t>
  </si>
  <si>
    <t>Ryme.ai</t>
  </si>
  <si>
    <t>Cleanlab</t>
  </si>
  <si>
    <t>LetterDrop</t>
  </si>
  <si>
    <t>Growthbar</t>
  </si>
  <si>
    <t>Explainpaper</t>
  </si>
  <si>
    <t>Smartwriter.ai</t>
  </si>
  <si>
    <t>Lexica</t>
  </si>
  <si>
    <t>Civixa</t>
  </si>
  <si>
    <t>Vizcom</t>
  </si>
  <si>
    <t>DeepAI</t>
  </si>
  <si>
    <t>Claypot.ai</t>
  </si>
  <si>
    <t>Ask Edith</t>
  </si>
  <si>
    <t>PromptLoop</t>
  </si>
  <si>
    <t>Tiyaro</t>
  </si>
  <si>
    <t>Everyprompt</t>
  </si>
  <si>
    <t>3852.ai</t>
  </si>
  <si>
    <t>Cerebrium</t>
  </si>
  <si>
    <t>Chalk.ai</t>
  </si>
  <si>
    <t>Protecto.ai</t>
  </si>
  <si>
    <t>Stenography</t>
  </si>
  <si>
    <t>Matrice AI</t>
  </si>
  <si>
    <t>Qualdo</t>
  </si>
  <si>
    <t>Mirage</t>
  </si>
  <si>
    <t>Unweave</t>
  </si>
  <si>
    <t>Cogram</t>
  </si>
  <si>
    <t>Bhuman</t>
  </si>
  <si>
    <t>Elai.io</t>
  </si>
  <si>
    <t>Subsalt</t>
  </si>
  <si>
    <t>OpenLayer</t>
  </si>
  <si>
    <t>Sieve</t>
  </si>
  <si>
    <t>Juice Labs</t>
  </si>
  <si>
    <t>Narrative</t>
  </si>
  <si>
    <t>Hypotenuse AI</t>
  </si>
  <si>
    <t>Evidently AI</t>
  </si>
  <si>
    <t>Metaphor</t>
  </si>
  <si>
    <t>Anduril</t>
  </si>
  <si>
    <t>UbiOps</t>
  </si>
  <si>
    <t>Valohai</t>
  </si>
  <si>
    <t>SwingVision</t>
  </si>
  <si>
    <t>Dagshub</t>
  </si>
  <si>
    <t>Oxipit</t>
  </si>
  <si>
    <t>Aiva.ai</t>
  </si>
  <si>
    <t>Radical</t>
  </si>
  <si>
    <t>Coqui</t>
  </si>
  <si>
    <t>Compose AI</t>
  </si>
  <si>
    <t>CatalyzeX</t>
  </si>
  <si>
    <t>Shaped AI</t>
  </si>
  <si>
    <t>Adaya.ai</t>
  </si>
  <si>
    <t>ApertureData</t>
  </si>
  <si>
    <t>Diagram</t>
  </si>
  <si>
    <t>Plask</t>
  </si>
  <si>
    <t>ZenML</t>
  </si>
  <si>
    <t>Mintlify</t>
  </si>
  <si>
    <t>Humanloop</t>
  </si>
  <si>
    <t>Buzz Solutions</t>
  </si>
  <si>
    <t>Superwise</t>
  </si>
  <si>
    <t>Slai</t>
  </si>
  <si>
    <t>Soundful</t>
  </si>
  <si>
    <t>Regression Games</t>
  </si>
  <si>
    <t>Basetwo</t>
  </si>
  <si>
    <t>Tavus</t>
  </si>
  <si>
    <t>Connectly</t>
  </si>
  <si>
    <t>Infuse AI</t>
  </si>
  <si>
    <t>Latitude.io</t>
  </si>
  <si>
    <t>Mubert</t>
  </si>
  <si>
    <t>Datasaur</t>
  </si>
  <si>
    <t>Claid (Let's Enhance)</t>
  </si>
  <si>
    <t>AI Dungeon</t>
  </si>
  <si>
    <t>Dashworks</t>
  </si>
  <si>
    <t>Circle Labs</t>
  </si>
  <si>
    <t>Bento ML</t>
  </si>
  <si>
    <t>Modzy</t>
  </si>
  <si>
    <t>Neu.ro</t>
  </si>
  <si>
    <t>Twelve Labs</t>
  </si>
  <si>
    <t>FeatureForm</t>
  </si>
  <si>
    <t>Modern Intelligence</t>
  </si>
  <si>
    <t>Activeloop</t>
  </si>
  <si>
    <t>Replica Studios</t>
  </si>
  <si>
    <t>Hopsworks</t>
  </si>
  <si>
    <t>Science.io</t>
  </si>
  <si>
    <t>Voicemod</t>
  </si>
  <si>
    <t>Hidden Door</t>
  </si>
  <si>
    <t>Fellow AI</t>
  </si>
  <si>
    <t>Rosebud</t>
  </si>
  <si>
    <t>Copysmith</t>
  </si>
  <si>
    <t>Swapp</t>
  </si>
  <si>
    <t>Wellsaid</t>
  </si>
  <si>
    <t>Wonder Dynamics</t>
  </si>
  <si>
    <t>Verta.ai</t>
  </si>
  <si>
    <t>Seldon</t>
  </si>
  <si>
    <t>Kinetix</t>
  </si>
  <si>
    <t>Docugami</t>
  </si>
  <si>
    <t>Omneky</t>
  </si>
  <si>
    <t>Neptune AI</t>
  </si>
  <si>
    <t>WhyLabs</t>
  </si>
  <si>
    <t>Regie.ai</t>
  </si>
  <si>
    <t>Heydey</t>
  </si>
  <si>
    <t>Rewind.ai</t>
  </si>
  <si>
    <t>Northbeam</t>
  </si>
  <si>
    <t>EdgeDB</t>
  </si>
  <si>
    <t>Bardeen</t>
  </si>
  <si>
    <t>Inceptive</t>
  </si>
  <si>
    <t>Galileo</t>
  </si>
  <si>
    <t>Luminai</t>
  </si>
  <si>
    <t>Coiled</t>
  </si>
  <si>
    <t>Outerbounds</t>
  </si>
  <si>
    <t>Writer (writer.com)</t>
  </si>
  <si>
    <t>Superb AI</t>
  </si>
  <si>
    <t>Gantry</t>
  </si>
  <si>
    <t>Hebbia</t>
  </si>
  <si>
    <t>Relyance</t>
  </si>
  <si>
    <t>Mostly AI</t>
  </si>
  <si>
    <t>Anyword</t>
  </si>
  <si>
    <t>Impira</t>
  </si>
  <si>
    <t>Parallel Domain</t>
  </si>
  <si>
    <t>Tonic</t>
  </si>
  <si>
    <t>Spring Discovery</t>
  </si>
  <si>
    <t>Leapyear</t>
  </si>
  <si>
    <t>Arthur</t>
  </si>
  <si>
    <t>www.otter.ai</t>
  </si>
  <si>
    <t>Mountain View, CA</t>
  </si>
  <si>
    <t>Surveillance</t>
  </si>
  <si>
    <t>Enterprise</t>
  </si>
  <si>
    <t>Otter.ai</t>
  </si>
  <si>
    <t>www.rain.ai</t>
  </si>
  <si>
    <t>San Francisco, CA</t>
  </si>
  <si>
    <t>Rain Neuromorphics</t>
  </si>
  <si>
    <t>www.gretel.ai</t>
  </si>
  <si>
    <t>San Diego, CA</t>
  </si>
  <si>
    <t>Synthetic Data</t>
  </si>
  <si>
    <t>Gretel</t>
  </si>
  <si>
    <t>www.comet.com</t>
  </si>
  <si>
    <t>New York, NY</t>
  </si>
  <si>
    <t>MLOps</t>
  </si>
  <si>
    <t>Comet</t>
  </si>
  <si>
    <t>www.healx.io</t>
  </si>
  <si>
    <t>Cambridge, UK</t>
  </si>
  <si>
    <t>Not AI</t>
  </si>
  <si>
    <t>Drugs</t>
  </si>
  <si>
    <t>Healthcare</t>
  </si>
  <si>
    <t>Healx</t>
  </si>
  <si>
    <t>www.unlearn.ai</t>
  </si>
  <si>
    <t>Clinical Trials</t>
  </si>
  <si>
    <t>Unlearn</t>
  </si>
  <si>
    <t>www.akasa.com</t>
  </si>
  <si>
    <t>Revenue</t>
  </si>
  <si>
    <t>Akasa</t>
  </si>
  <si>
    <t>www.digits.com</t>
  </si>
  <si>
    <t>Analytics</t>
  </si>
  <si>
    <t>Digits</t>
  </si>
  <si>
    <t>www.deepl.com</t>
  </si>
  <si>
    <t>Germany</t>
  </si>
  <si>
    <t>Translation</t>
  </si>
  <si>
    <t>DeepL</t>
  </si>
  <si>
    <t>www.run.ai</t>
  </si>
  <si>
    <t>Tel Aviv, Israel</t>
  </si>
  <si>
    <t>Compute</t>
  </si>
  <si>
    <t>www.helsing.ai</t>
  </si>
  <si>
    <t>Berlin</t>
  </si>
  <si>
    <t>Security</t>
  </si>
  <si>
    <t>Helsing</t>
  </si>
  <si>
    <t>www.relational.ai</t>
  </si>
  <si>
    <t>Berkeley, CA</t>
  </si>
  <si>
    <t>Ontology</t>
  </si>
  <si>
    <t>Relational.ai</t>
  </si>
  <si>
    <t>www.cresta.com</t>
  </si>
  <si>
    <t>Service</t>
  </si>
  <si>
    <t>Cresta</t>
  </si>
  <si>
    <t>www.thehive.ai</t>
  </si>
  <si>
    <t>Hive (thehive.ai)</t>
  </si>
  <si>
    <t>www.contractpodai.com</t>
  </si>
  <si>
    <t>London</t>
  </si>
  <si>
    <t>Contracts</t>
  </si>
  <si>
    <t>ContractpodAI</t>
  </si>
  <si>
    <t>www.path-robotics.com</t>
  </si>
  <si>
    <t>Columbus, OH</t>
  </si>
  <si>
    <t>Welding</t>
  </si>
  <si>
    <t>Hardware</t>
  </si>
  <si>
    <t>Path Robotics</t>
  </si>
  <si>
    <t>www.banana.dev</t>
  </si>
  <si>
    <t>Banana.dev</t>
  </si>
  <si>
    <t>www.runpod.io</t>
  </si>
  <si>
    <t>Mount Laurel, NJ</t>
  </si>
  <si>
    <t>Not AI per se</t>
  </si>
  <si>
    <t>Runpod</t>
  </si>
  <si>
    <t>www.labelbox.com</t>
  </si>
  <si>
    <t>Labelbox</t>
  </si>
  <si>
    <t>www.dominodatalab.com</t>
  </si>
  <si>
    <t>www.h2o.ai</t>
  </si>
  <si>
    <t>H2O.ai</t>
  </si>
  <si>
    <t>www.vastdata.com</t>
  </si>
  <si>
    <t>www.appliedintuition.com</t>
  </si>
  <si>
    <t>Autos</t>
  </si>
  <si>
    <t>Applied Intuition</t>
  </si>
  <si>
    <t>www.groq.com</t>
  </si>
  <si>
    <t>Groq</t>
  </si>
  <si>
    <t>www.censius.ai</t>
  </si>
  <si>
    <t>Censius</t>
  </si>
  <si>
    <t>www.outreach.io</t>
  </si>
  <si>
    <t>Seattle, WA</t>
  </si>
  <si>
    <t>Sales</t>
  </si>
  <si>
    <t>Outreach</t>
  </si>
  <si>
    <t>www.paradox.ai</t>
  </si>
  <si>
    <t>Recruiting</t>
  </si>
  <si>
    <t>Paradox</t>
  </si>
  <si>
    <t>www.wayve.ai</t>
  </si>
  <si>
    <t>Wayve</t>
  </si>
  <si>
    <t>Soterea</t>
  </si>
  <si>
    <t>www.plus.ai</t>
  </si>
  <si>
    <t>FountainVest, ClearVue, Zoyi, Sequoia Capital China, SAIC, Quanta Computer, Millennium Technology, MESH, Huochebang</t>
  </si>
  <si>
    <t>David Liu, Hao Zheng, Shawn Kerrigan, Tim Daly</t>
  </si>
  <si>
    <t>Plus</t>
  </si>
  <si>
    <t>To Do</t>
  </si>
  <si>
    <t>Stockholm, Sweden</t>
  </si>
  <si>
    <t>Euclidean Capital, FAM AB, EQT Ventures</t>
  </si>
  <si>
    <t>Acquired</t>
  </si>
  <si>
    <t>Peltarion (King.com/ATVI)</t>
  </si>
  <si>
    <t>Indonesian effort</t>
  </si>
  <si>
    <t>CRTificial Intelligence Lab (Tarrasmart, Ashnavas)</t>
  </si>
  <si>
    <t>Automation</t>
  </si>
  <si>
    <t>Enterprise IT Automation</t>
  </si>
  <si>
    <t>Arago (acquired by WiseKey)</t>
  </si>
  <si>
    <t>Paris</t>
  </si>
  <si>
    <t>Defunct?</t>
  </si>
  <si>
    <t>2021-2022</t>
  </si>
  <si>
    <t>Franck Auzanneau, Ludovic Mingot</t>
  </si>
  <si>
    <t>Sales call AI</t>
  </si>
  <si>
    <t>Defunct</t>
  </si>
  <si>
    <t>Verticalls.ai</t>
  </si>
  <si>
    <t>Palo Alto, CA</t>
  </si>
  <si>
    <t>2016-2021</t>
  </si>
  <si>
    <t>Alan Greene, Anthea Chung, Cheryl Greene, Sam De Brouwer, Walter De Brouwer</t>
  </si>
  <si>
    <t>Medical Research tools</t>
  </si>
  <si>
    <t>doc.ai (acquired by SHCR)</t>
  </si>
  <si>
    <t>Kordel France</t>
  </si>
  <si>
    <t>Seekar Technologies</t>
  </si>
  <si>
    <t>Galaxy Digital, Glasswing Ventures, Avalon Ventures</t>
  </si>
  <si>
    <t>Blockchain</t>
  </si>
  <si>
    <t>Rob May, Will Murphy</t>
  </si>
  <si>
    <t>Blockchain bot-to-bot</t>
  </si>
  <si>
    <t>London, UK</t>
  </si>
  <si>
    <t>Pre-LLM</t>
  </si>
  <si>
    <t>Call Center</t>
  </si>
  <si>
    <t>AI call center</t>
  </si>
  <si>
    <t>IntelliAgent</t>
  </si>
  <si>
    <t>Carlstadt, NJ</t>
  </si>
  <si>
    <t>Construction</t>
  </si>
  <si>
    <t>Jay Cami</t>
  </si>
  <si>
    <t>Project Management for construction</t>
  </si>
  <si>
    <t>Construct AI</t>
  </si>
  <si>
    <t>Glasswing</t>
  </si>
  <si>
    <t>Geospatial</t>
  </si>
  <si>
    <t>Alan Ostetek</t>
  </si>
  <si>
    <t>Paper Crane</t>
  </si>
  <si>
    <t>www.playment.io</t>
  </si>
  <si>
    <t>Bangalore, India</t>
  </si>
  <si>
    <t>Y Combinator, Sparkland Capital, Ryan Petersen, Max Altman, SAIF Partners</t>
  </si>
  <si>
    <t>Ajinkya Malasane, Akshay Lal, Siddharth Mall</t>
  </si>
  <si>
    <t>Computer Vision, data labeling</t>
  </si>
  <si>
    <t>Playment (Telus)</t>
  </si>
  <si>
    <t>Grit Ventures, Ultratech Capital, Techstars, SpaceFund, PBJ Capital, Gutbrain Ventures, Glasswing, Deep Ventures, Cultivation Capital, Argon Ventures, Keith Masback</t>
  </si>
  <si>
    <t>Defense</t>
  </si>
  <si>
    <t>Guy de Carufel</t>
  </si>
  <si>
    <t>Satellite constellation management</t>
  </si>
  <si>
    <t>Cognitive Space</t>
  </si>
  <si>
    <t>Y Combinator, WndrCo, South Park Commons, Soma Capital, Rogue Insight Capital, Lightspeed, Endure Capital, Basis Set Ventures, 10x Group, Tyler Willis, Drew Houston, Arash Ferdowsi</t>
  </si>
  <si>
    <t>2015-2019</t>
  </si>
  <si>
    <t>Kanjun Qiu (now Generally Intelligent)</t>
  </si>
  <si>
    <t>Sunnyvale, CA</t>
  </si>
  <si>
    <t>General Catalyst, Point72 Ventures, Mango Capital, Ronald Conway, Ramu Arunachalam, Oliver Friedrichs, John Thompson, Gerhard Eschelbeck, DJ Patil</t>
  </si>
  <si>
    <t>Next47, General Catalyst, Polaris Ventures, Unusual Ventures, John Thompson, Gerhard Eschelbeck, DJ Patil</t>
  </si>
  <si>
    <t>Acquired on 6/1/23</t>
  </si>
  <si>
    <t>Anand Raghavan, Arjun Sambamoorthy, Chetan Anand, Dhananjay Sampath</t>
  </si>
  <si>
    <t>Armorblox (Cisco)</t>
  </si>
  <si>
    <t>www.stradoslabs.com</t>
  </si>
  <si>
    <t>Philadelphia, PA</t>
  </si>
  <si>
    <t>Not AI: medical device</t>
  </si>
  <si>
    <t>Lung Monitoring</t>
  </si>
  <si>
    <t>Strados Labs</t>
  </si>
  <si>
    <t>Acquired in 2019</t>
  </si>
  <si>
    <t>Auto</t>
  </si>
  <si>
    <t>Training Data for Avs</t>
  </si>
  <si>
    <t>Mighty AI (Uber)</t>
  </si>
  <si>
    <t>Oxford, UK</t>
  </si>
  <si>
    <t>RT Capital Management, Oxford Investmenet Consultants, Future Planet Capital</t>
  </si>
  <si>
    <t>Explainable AI</t>
  </si>
  <si>
    <t>Zegami (acquired by Videntai)</t>
  </si>
  <si>
    <t>Budapest, Hungary</t>
  </si>
  <si>
    <t>Tamares, Inventure, Draper, Day One, Bosch</t>
  </si>
  <si>
    <t>2.7 at 5.1</t>
  </si>
  <si>
    <t>Prime Ventures, Lead Ventures, B Capital, Samsung Catalyst, Inventure, Draper, Day One, Cisco, Bosch Ventures</t>
  </si>
  <si>
    <t>2015-2022</t>
  </si>
  <si>
    <t>Laszlo Kishonti</t>
  </si>
  <si>
    <t>Self-driving software</t>
  </si>
  <si>
    <t>Almotive (Stellantis)</t>
  </si>
  <si>
    <t>Future Positive, Zinal Growth, Wollemi, The Twenty Minute VC, Sweet Capital, Social Capital, Seaya, Saltwater Capital, ReGen Ventures, Plus Capital, Oreilly AlphaTech Ventures, My Climate Journey Collective, Lowercarbon Capital, Climate Pledge Fund, Breakthrough Energy Ventures, AirAngels, Aglae Ventures, Tobias Lutke, Seth Goldman, Serena Williams, Sahil Lavingia, Ram Shriram, Portia de Rossi, Miguel Nogales, Matias Muchnick, Marcos Galperin, Manu Ginobilli, Khaled Naim, Joe Gebbia, Fabrice Grinda, Ellen DeGeneres, Claire Hughes Johnson, Azeem Azhar, Alexis Ohanian, Alexander Will</t>
  </si>
  <si>
    <t>BS, not AI</t>
  </si>
  <si>
    <t>Climate Change</t>
  </si>
  <si>
    <t>Brian Liston</t>
  </si>
  <si>
    <t>Carbon Credits</t>
  </si>
  <si>
    <t>Pachama</t>
  </si>
  <si>
    <t>ADT</t>
  </si>
  <si>
    <t>Corporate</t>
  </si>
  <si>
    <t>Retail</t>
  </si>
  <si>
    <t>Jonathan Mak, Neil Gramopadhye, Philippe Sawaya</t>
  </si>
  <si>
    <t>Shoplifting</t>
  </si>
  <si>
    <t>Artifact Capital</t>
  </si>
  <si>
    <t>Business Intelligence</t>
  </si>
  <si>
    <t>NLP business queries</t>
  </si>
  <si>
    <t>Quarrio</t>
  </si>
  <si>
    <t>Old, haven't raised in long time</t>
  </si>
  <si>
    <t>Jonas Cleveland</t>
  </si>
  <si>
    <t>Inventory robots</t>
  </si>
  <si>
    <t>Cognitive Operational Systems</t>
  </si>
  <si>
    <t>Programming</t>
  </si>
  <si>
    <t>Cosmin Radoi, Morgante Pell</t>
  </si>
  <si>
    <t>Code refactoring</t>
  </si>
  <si>
    <t>Grit</t>
  </si>
  <si>
    <t>Sausalito, CA</t>
  </si>
  <si>
    <t>Design</t>
  </si>
  <si>
    <t>Design Tool</t>
  </si>
  <si>
    <t>Visual Electric</t>
  </si>
  <si>
    <t>Troy, MI</t>
  </si>
  <si>
    <t>Plymouth Growth</t>
  </si>
  <si>
    <t>Venture</t>
  </si>
  <si>
    <t>Integrity Growth Partners, The K Fund</t>
  </si>
  <si>
    <t>mostly SaaS, "AI infused"</t>
  </si>
  <si>
    <t>Supply Chain</t>
  </si>
  <si>
    <t>Amjad Hussain</t>
  </si>
  <si>
    <t>Algo</t>
  </si>
  <si>
    <t>Defy.vc, Simplexity Ventures, Silicon Valley Bank, OurCrowd, Moderne Ventures, Freestyle Capital, Constance Freedman</t>
  </si>
  <si>
    <t>Not core AI</t>
  </si>
  <si>
    <t>CRM</t>
  </si>
  <si>
    <t>Avi Tal, David Tal</t>
  </si>
  <si>
    <t>AI lead follow-up</t>
  </si>
  <si>
    <t>Verse.io</t>
  </si>
  <si>
    <t>Boulder, CO</t>
  </si>
  <si>
    <t>Khosla Ventures, Founders Fund, Jaan Tallinn</t>
  </si>
  <si>
    <t>Interconnect</t>
  </si>
  <si>
    <t>Michael Andregg</t>
  </si>
  <si>
    <t>"Optical Fabric"</t>
  </si>
  <si>
    <t>Fathom Radiant</t>
  </si>
  <si>
    <t>Copy</t>
  </si>
  <si>
    <t>Amit Gupta</t>
  </si>
  <si>
    <t>sudowrite</t>
  </si>
  <si>
    <t>South Korea</t>
  </si>
  <si>
    <t>Not really AI</t>
  </si>
  <si>
    <t>Medical AI</t>
  </si>
  <si>
    <t>AIRS Medical</t>
  </si>
  <si>
    <t>SeedIL Ventures</t>
  </si>
  <si>
    <t>Entrée Capital, Tal Ventures, Tal Capital, Qure Ventures, Philips, OurCrowd, Noaber, Kortex Ventures, InsurTech.vc, FinTLV Ventures</t>
  </si>
  <si>
    <t>Dan Lichtenfeld, Dana Chanan, Keren Shavit, Yoni Nevo, Yossi Bahagon</t>
  </si>
  <si>
    <t>Adherence/Health Coach</t>
  </si>
  <si>
    <t>Sweetch</t>
  </si>
  <si>
    <t>Santa Clara, CA</t>
  </si>
  <si>
    <t>MFV Partners, Khosla Ventures</t>
  </si>
  <si>
    <t>TDK Ventures</t>
  </si>
  <si>
    <t>Alumni Ventures</t>
  </si>
  <si>
    <t>Semiconductors</t>
  </si>
  <si>
    <t>Vishal Sarin</t>
  </si>
  <si>
    <t>Edge devices, analog in-memory compute</t>
  </si>
  <si>
    <t>Analog Inference</t>
  </si>
  <si>
    <t>Abu Dhabi, UAE</t>
  </si>
  <si>
    <t>Mubadala, Silver Lake</t>
  </si>
  <si>
    <t>UAE based, 10B fund, Conglomerate</t>
  </si>
  <si>
    <t>G42 (Group 42, UAE)</t>
  </si>
  <si>
    <t>Amsterdam</t>
  </si>
  <si>
    <t>Education</t>
  </si>
  <si>
    <t>Krishna Deepak Nallamilli, Rens ter Weijde</t>
  </si>
  <si>
    <t>Individualized learning paths</t>
  </si>
  <si>
    <t>KIMO</t>
  </si>
  <si>
    <t>Asaf Moses</t>
  </si>
  <si>
    <t>Dentistry</t>
  </si>
  <si>
    <t>Viscera</t>
  </si>
  <si>
    <t>Docs</t>
  </si>
  <si>
    <t>LLMOps</t>
  </si>
  <si>
    <t>Andriy Mulyar</t>
  </si>
  <si>
    <t>Data Explorer</t>
  </si>
  <si>
    <t>Nomic</t>
  </si>
  <si>
    <t>Video</t>
  </si>
  <si>
    <t>Text-to-Video</t>
  </si>
  <si>
    <t>Steve AI</t>
  </si>
  <si>
    <t>Houston, TX</t>
  </si>
  <si>
    <t>2080 Ventures</t>
  </si>
  <si>
    <t>Image</t>
  </si>
  <si>
    <t>Consumer</t>
  </si>
  <si>
    <t>Text-to-Image</t>
  </si>
  <si>
    <t>craiyon AI</t>
  </si>
  <si>
    <t>KYC</t>
  </si>
  <si>
    <t>Identity/KYC</t>
  </si>
  <si>
    <t>Jumio (PE)</t>
  </si>
  <si>
    <t>Charlotte, NC</t>
  </si>
  <si>
    <t>Stealth</t>
  </si>
  <si>
    <t>Lucien Leighton</t>
  </si>
  <si>
    <t>Xerataus IQX</t>
  </si>
  <si>
    <t>Fort Ross Ventures, Avatar Growth Capital, Storm Ventures, Softbank, Nexus Venture Partners, Conductive Ventures</t>
  </si>
  <si>
    <t>Customer</t>
  </si>
  <si>
    <t>Manyam Mallela, Mehul Shah, Vijay Chittoor</t>
  </si>
  <si>
    <t>Customer data/engagement platform</t>
  </si>
  <si>
    <t>Blueshift</t>
  </si>
  <si>
    <t>Franklin, TN</t>
  </si>
  <si>
    <t>Nasdaq, Lemhi Ventures, HCA, Goldman</t>
  </si>
  <si>
    <t xml:space="preserve">BNP Paribas, Square Capital, Partnership Fund for NYC, Nasdaq, Lemhi Ventures, HCA, GS, Barclays, </t>
  </si>
  <si>
    <t>SaaS owner</t>
  </si>
  <si>
    <t>Tim Estes</t>
  </si>
  <si>
    <t>Intelligence agency customer, email scanning</t>
  </si>
  <si>
    <t>Digital Reasoning (Smarsh)</t>
  </si>
  <si>
    <t>Montreal</t>
  </si>
  <si>
    <t>Caisse de Depot, M12, McKinsey, Pegasus Tech Ventures, Real Ventures, Hanwha Asset, DCVC</t>
  </si>
  <si>
    <t>Insurance</t>
  </si>
  <si>
    <t>Element AI (ServiceNow)</t>
  </si>
  <si>
    <t>Global Founders, Flash Ventures</t>
  </si>
  <si>
    <t>Conversational</t>
  </si>
  <si>
    <t>Bobby Tang, James Lo</t>
  </si>
  <si>
    <t>Various tools</t>
  </si>
  <si>
    <t>Mana (withmana.com)</t>
  </si>
  <si>
    <t>NEA, GSR Ventures</t>
  </si>
  <si>
    <t>Genesis Capital, GSR Ventures</t>
  </si>
  <si>
    <t>Sequoia China, NEA, GSR Ventures</t>
  </si>
  <si>
    <t>Brighton Park Capital, CMFG Ventures, NewView Capital, GSR Ventures</t>
  </si>
  <si>
    <t>More fintech, security than AI</t>
  </si>
  <si>
    <t>Fraud</t>
  </si>
  <si>
    <t>Fang Xu, Yinglian Xie</t>
  </si>
  <si>
    <t>Fraud prevention</t>
  </si>
  <si>
    <t>DataVisor</t>
  </si>
  <si>
    <t>Parkway Venture Capital, Tamarack Global, Moving Capital, Habitat Partners, FJ Labs, BOLD Ventures, Aliya Capital partners, Till Reuter</t>
  </si>
  <si>
    <t>Robotics</t>
  </si>
  <si>
    <t>Brett Adcock</t>
  </si>
  <si>
    <t>Crazy killer robots</t>
  </si>
  <si>
    <t>Boston</t>
  </si>
  <si>
    <t>Beringea</t>
  </si>
  <si>
    <t>Target Global, Beringea</t>
  </si>
  <si>
    <t>Ecommerce</t>
  </si>
  <si>
    <t>Markus Linder</t>
  </si>
  <si>
    <t>Playground Global, GM Ventures, Mitsui, DNX Ventures, Index Ventures</t>
  </si>
  <si>
    <t>Softbank, Greylock, Toyota Ventures, Playground Global, GM Ventures, BMW I Ventures, DNX Ventures</t>
  </si>
  <si>
    <t>Stellantis</t>
  </si>
  <si>
    <t>Driver assistance</t>
  </si>
  <si>
    <t>Nauto</t>
  </si>
  <si>
    <t>San Francisco</t>
  </si>
  <si>
    <t>Gradient Ventures, Bloomberg Beta, 1517 Fund</t>
  </si>
  <si>
    <t>Razer, Gradient Ventures, Bloomberg Beta, Georges Harik, 1517 Fund</t>
  </si>
  <si>
    <t>Mercato Partners, Gradient Ventures, Bloomberg Beta, Crescent Cove Advisors, 1517 Fund, Lukas Biewald, Jeff Hammerbacher, Greg Brockman, Georges Harik, Garry Tan, Adam D'Angelo</t>
  </si>
  <si>
    <t>Stephen Balaban</t>
  </si>
  <si>
    <t>GPU Cluster</t>
  </si>
  <si>
    <t>Lambda Labs</t>
  </si>
  <si>
    <t>www.mthreads.com</t>
  </si>
  <si>
    <t>Beijing, China</t>
  </si>
  <si>
    <t>Yubo Zhang</t>
  </si>
  <si>
    <t>New GPU</t>
  </si>
  <si>
    <t>Moore Threads</t>
  </si>
  <si>
    <t>Not AI - just a robotics company</t>
  </si>
  <si>
    <t>MegaRobo</t>
  </si>
  <si>
    <t>www.immunai.com</t>
  </si>
  <si>
    <t>Koch, Talos, Piedmont, Meron, Icon, Alexandria, 8VC</t>
  </si>
  <si>
    <t>Genomics/diagnostics, not AI</t>
  </si>
  <si>
    <t>Genomics</t>
  </si>
  <si>
    <t>Ansuman Satpathy, Dan Littman, Danny Wells, Luis F Voloch, Noam Solomon</t>
  </si>
  <si>
    <t>Drug company</t>
  </si>
  <si>
    <t>Immunai</t>
  </si>
  <si>
    <t>www.mosaicml.com</t>
  </si>
  <si>
    <t>DataBricks</t>
  </si>
  <si>
    <t>MosaicML</t>
  </si>
  <si>
    <t>Wang Huiwen</t>
  </si>
  <si>
    <t>Source Code Capital, Wuyuan Capital, Tencent</t>
  </si>
  <si>
    <t>Meituan owned. Wang Huiwen was a co-founder of Meituan.</t>
  </si>
  <si>
    <t>LLMs</t>
  </si>
  <si>
    <t>"OpenAI for China"</t>
  </si>
  <si>
    <t>ZGC Group</t>
  </si>
  <si>
    <t>Chinese clients</t>
  </si>
  <si>
    <t>CV</t>
  </si>
  <si>
    <t>Zhang Mo</t>
  </si>
  <si>
    <t>Computer Vision</t>
  </si>
  <si>
    <t>Yi+</t>
  </si>
  <si>
    <t>www.terminusgroup.com</t>
  </si>
  <si>
    <t>Everbright, JD, Iflytek, WANDA</t>
  </si>
  <si>
    <t>Not AI: more IOT</t>
  </si>
  <si>
    <t>Government</t>
  </si>
  <si>
    <t>Victor Ai</t>
  </si>
  <si>
    <t>"AI Cities"</t>
  </si>
  <si>
    <t>Terminus Technologies</t>
  </si>
  <si>
    <t>www.mininglamp.com</t>
  </si>
  <si>
    <t>Not AI enough despite claims to contrary: just Chinese SaaS/Big Data</t>
  </si>
  <si>
    <t>Minghui Wu, Yan Zhao</t>
  </si>
  <si>
    <t>"Chinese Palantir"</t>
  </si>
  <si>
    <t>MiningLamp</t>
  </si>
  <si>
    <t>T. Rowe Price, Time Ventures, Eric Schmidt, Breyer Capital</t>
  </si>
  <si>
    <t>Not Really AI, ex-Google</t>
  </si>
  <si>
    <t>Determines where QC could replace RSA</t>
  </si>
  <si>
    <t>SandboxAQ</t>
  </si>
  <si>
    <t>Ycombinator, Amino Capital, Reach Capital, Bloomberg Beta</t>
  </si>
  <si>
    <t>a16z, Amino Capital</t>
  </si>
  <si>
    <t>A.Capital, SVA</t>
  </si>
  <si>
    <t>Coatue, a16z, Bloomberg Beta, Fifth Down Capital, Not Boring, Reach Capital, Volt Capital, Vinay Hiremath, Mattia Astori</t>
  </si>
  <si>
    <t>Series B: 720m valuation</t>
  </si>
  <si>
    <t>a16z, Y Combinator, SVA, Khosla Ventures, Coatue, Bloomberg Beta, ARK Ventures, Naval Ravikant, Hamilton Helmer</t>
  </si>
  <si>
    <t>Amjad Massad</t>
  </si>
  <si>
    <t>IDE with heavy AI focus</t>
  </si>
  <si>
    <t>www.salt.security</t>
  </si>
  <si>
    <t>Not an AI company, Enterprise security</t>
  </si>
  <si>
    <t>Salt Security</t>
  </si>
  <si>
    <t>Softbank, Spark, Sigmas Group, Rivas Capital, KKR, Insight Partners, Blackrock, Aspenwood Ventures, Memorial Hermann Hospital</t>
  </si>
  <si>
    <t>Todd Gottula</t>
  </si>
  <si>
    <t>Clarify Health</t>
  </si>
  <si>
    <t>www.notco.com</t>
  </si>
  <si>
    <t>Santiago, Chile</t>
  </si>
  <si>
    <t>Not AI: food &amp; fragrence (IFF) companies do this all the time</t>
  </si>
  <si>
    <t>Food</t>
  </si>
  <si>
    <t>Karim Pichara Baksai, Matias Muchnick, Pablo Zamora</t>
  </si>
  <si>
    <t>Fake meat?</t>
  </si>
  <si>
    <t>NotCo</t>
  </si>
  <si>
    <t>www.patsnap.com</t>
  </si>
  <si>
    <t>Singapore</t>
  </si>
  <si>
    <t>Vertex Ventures, Temasek, Accel X</t>
  </si>
  <si>
    <t>3 at 11</t>
  </si>
  <si>
    <t>Summit Partners, Global Brain Corporation</t>
  </si>
  <si>
    <t>Sequoia Capital China, Shunwei Capital, Qualgro VC</t>
  </si>
  <si>
    <t>Shunwei Capital, Sequoia Capital China, Qualgro VC</t>
  </si>
  <si>
    <t>Tencent, SoftBank, Vertex, Shunwei, Sequoia China, CITIC</t>
  </si>
  <si>
    <t>Not really AI, "powered by AI" but could be a company without AI</t>
  </si>
  <si>
    <t>IP</t>
  </si>
  <si>
    <t>Guan Dian, Jeffrey Tiong, Ray Chohan</t>
  </si>
  <si>
    <t>Questions</t>
  </si>
  <si>
    <t>Adam D'Angelo</t>
  </si>
  <si>
    <t>Poe.com (Quora)</t>
  </si>
  <si>
    <t>www.alpha-sense.com</t>
  </si>
  <si>
    <t>Viking, Capital G</t>
  </si>
  <si>
    <t>Not AI: fintech</t>
  </si>
  <si>
    <t>Finance</t>
  </si>
  <si>
    <t>Jack Kokko</t>
  </si>
  <si>
    <t>Finance thing</t>
  </si>
  <si>
    <t>AlphaSense</t>
  </si>
  <si>
    <t>Third Point Ventures, TCP Venture Capital, Vertex Growth Fund, Titan Capital partners, TCP Venture Capital, Sapphire Ventures, Smasung NEXT, More Capital, Disruptive AI Venture Capital, 40 North</t>
  </si>
  <si>
    <t>Legal</t>
  </si>
  <si>
    <t>Legal Transcription</t>
  </si>
  <si>
    <t>Verbit</t>
  </si>
  <si>
    <t>Cambridge, MA</t>
  </si>
  <si>
    <t>Declaration Partners, SymphonyAI, Maverick, AllianceBernstein</t>
  </si>
  <si>
    <t>Sixth Street</t>
  </si>
  <si>
    <t>Owned by Romesh Wadhwani</t>
  </si>
  <si>
    <t>RWD</t>
  </si>
  <si>
    <t>Concert AI</t>
  </si>
  <si>
    <t>Bengaluru, India</t>
  </si>
  <si>
    <t>2017 (2000)</t>
  </si>
  <si>
    <t>Chatbot</t>
  </si>
  <si>
    <t>Krishna Kadiri, Ritesh Radhakrishnan, Shridhar Marri</t>
  </si>
  <si>
    <t>Customer analytics</t>
  </si>
  <si>
    <t>Senseforth (Fractal Analytics)</t>
  </si>
  <si>
    <t>www.highradius.com</t>
  </si>
  <si>
    <t>Not AI - just a SaaS company</t>
  </si>
  <si>
    <t>Cash Conversion Cycle</t>
  </si>
  <si>
    <t>HighRadius</t>
  </si>
  <si>
    <t>Mubadala Capital Ventures, Tiger, Steadview, Schonfeld, Whale Rock, M12, Avidity, Dragoneer, OMERS</t>
  </si>
  <si>
    <t>Healthcare Platform</t>
  </si>
  <si>
    <t>Innovaccer</t>
  </si>
  <si>
    <t>Oak HC/FT, Ascension Ventures, Moonshots Capital</t>
  </si>
  <si>
    <t>General Catalyst, Oak HC/FT, Drive Capital</t>
  </si>
  <si>
    <t>General Catalyst, Drive Capital, SVB Capital, Oak HC/FT</t>
  </si>
  <si>
    <t>Tiger, Transformation Capital, SVB Capital, Sequoia Capital, Google Ventures, General Catalyst, Drive Capital, Dragoneer</t>
  </si>
  <si>
    <t>225.5 at 1.3B</t>
  </si>
  <si>
    <t>Vista, Base 10, Tiger</t>
  </si>
  <si>
    <t>Bradley Mascho, Sean Lane</t>
  </si>
  <si>
    <t>Healthcare revenue management, prior auth, claims management</t>
  </si>
  <si>
    <t>Series H</t>
  </si>
  <si>
    <t>Olive</t>
  </si>
  <si>
    <t>Paris, France</t>
  </si>
  <si>
    <t>Sixth Street, SoftBank, LionTree, KKR, Highland, Eurazeo, Canaan, Bpifrance, Blackrock</t>
  </si>
  <si>
    <t>Jonathan Cherki</t>
  </si>
  <si>
    <t>Digital Experience Analytics</t>
  </si>
  <si>
    <t>ContentSquare</t>
  </si>
  <si>
    <t>Chicago, Illinois</t>
  </si>
  <si>
    <t>Revolution, NEA</t>
  </si>
  <si>
    <t>T. Rowe Price, Revolution, NEA</t>
  </si>
  <si>
    <t>Baillie Gifford, T. Rowe Price, Revolution Growth, NEA</t>
  </si>
  <si>
    <t>Baillie Gifford, Revolution Growth, Novo Holdings, NEA, Franklin Templeton</t>
  </si>
  <si>
    <t>Google, T. Rowe Price, Novo Holdings, Franklin Templeton, Baillie Gifford, Eric Lefkofsky</t>
  </si>
  <si>
    <t>Eneterprise</t>
  </si>
  <si>
    <t>Eric Lefkofsky</t>
  </si>
  <si>
    <t>Diagnostics, has a lot of patient data</t>
  </si>
  <si>
    <t>Tempus</t>
  </si>
  <si>
    <t>Neeva</t>
  </si>
  <si>
    <t>McKinsey</t>
  </si>
  <si>
    <t>Iguazio</t>
  </si>
  <si>
    <t>Intel</t>
  </si>
  <si>
    <t>Habana</t>
  </si>
  <si>
    <t>Informatica</t>
  </si>
  <si>
    <t>Privitar</t>
  </si>
  <si>
    <t>Lock Screen</t>
  </si>
  <si>
    <t>Glance</t>
  </si>
  <si>
    <t>www.intervenn.com</t>
  </si>
  <si>
    <t>South San Fran, CA</t>
  </si>
  <si>
    <t>InterVenn</t>
  </si>
  <si>
    <t>Notion</t>
  </si>
  <si>
    <t>Adjacent, Closed, Acquired</t>
  </si>
  <si>
    <t>India</t>
  </si>
  <si>
    <t>May be defunct</t>
  </si>
  <si>
    <t>Hemison.ai</t>
  </si>
  <si>
    <t>www.sidneyai.com</t>
  </si>
  <si>
    <t>Document</t>
  </si>
  <si>
    <t>Sidney.ai</t>
  </si>
  <si>
    <t>www.coachvox.ai</t>
  </si>
  <si>
    <t>Voice</t>
  </si>
  <si>
    <t>Voice cloning? Coaching</t>
  </si>
  <si>
    <t>Coachvox AI</t>
  </si>
  <si>
    <t>Autism</t>
  </si>
  <si>
    <t>Ali Aziz, Amy Noll, Catherine Davis, Chandra De Keyser, Yury Shubin</t>
  </si>
  <si>
    <t>Video Call EQ (autism)</t>
  </si>
  <si>
    <t>ElevateAI</t>
  </si>
  <si>
    <t>Anime</t>
  </si>
  <si>
    <t>Janitor AI</t>
  </si>
  <si>
    <t>Hosts text models</t>
  </si>
  <si>
    <t>TextSynth</t>
  </si>
  <si>
    <t>radintel.ai</t>
  </si>
  <si>
    <t>Advertising</t>
  </si>
  <si>
    <t>Jeremy Barnett, Brad Silver</t>
  </si>
  <si>
    <t>Influencer Marketing Tool</t>
  </si>
  <si>
    <t>Rad AI (Santa Monica, CA)</t>
  </si>
  <si>
    <t>Characters</t>
  </si>
  <si>
    <t>Character Database?</t>
  </si>
  <si>
    <t>Chub.ai (chub.ai)</t>
  </si>
  <si>
    <t>Furries</t>
  </si>
  <si>
    <t>Storytelling</t>
  </si>
  <si>
    <t>NovelAI</t>
  </si>
  <si>
    <t>LLM</t>
  </si>
  <si>
    <t>Text-generation</t>
  </si>
  <si>
    <t>InferKit</t>
  </si>
  <si>
    <t>Bring-your-own AI chatbot</t>
  </si>
  <si>
    <t>Agnaistic</t>
  </si>
  <si>
    <t>Writing assistant</t>
  </si>
  <si>
    <t>KoboldAI (Github)</t>
  </si>
  <si>
    <t>Chai (app, Chai Research Corp, Chai.ml)</t>
  </si>
  <si>
    <t>NSFW Characters</t>
  </si>
  <si>
    <t>Chatfai</t>
  </si>
  <si>
    <t>Writing</t>
  </si>
  <si>
    <t>Writing Assistant</t>
  </si>
  <si>
    <t>Holo</t>
  </si>
  <si>
    <t>AI Lab</t>
  </si>
  <si>
    <t>Goose-AI</t>
  </si>
  <si>
    <t>Love</t>
  </si>
  <si>
    <t>Non-sex</t>
  </si>
  <si>
    <t>Anima ai (myanima.ai)</t>
  </si>
  <si>
    <t>GPT-Neo, Fairseq serever</t>
  </si>
  <si>
    <t>GooseAI</t>
  </si>
  <si>
    <t>Character.ai clone</t>
  </si>
  <si>
    <t>Sex</t>
  </si>
  <si>
    <t>Crushon.ai</t>
  </si>
  <si>
    <t>Tool</t>
  </si>
  <si>
    <t>Offline LLMs</t>
  </si>
  <si>
    <t>Faraday.dev</t>
  </si>
  <si>
    <t>Was popular before paid tier</t>
  </si>
  <si>
    <t>Dreamily</t>
  </si>
  <si>
    <t>RizzGPT (rizzgpt.app)</t>
  </si>
  <si>
    <t>Shitty quality</t>
  </si>
  <si>
    <t>Nastia ai</t>
  </si>
  <si>
    <t>Lots of traffic</t>
  </si>
  <si>
    <t>Some guy on reddit</t>
  </si>
  <si>
    <t>Erotica</t>
  </si>
  <si>
    <t>Spicychat.ai</t>
  </si>
  <si>
    <t>Poland</t>
  </si>
  <si>
    <t>YouNick Mint</t>
  </si>
  <si>
    <t>Ada (ada.place, rental AI)</t>
  </si>
  <si>
    <t>Vinnova</t>
  </si>
  <si>
    <t>Anna Wallander</t>
  </si>
  <si>
    <t>Erotica generator</t>
  </si>
  <si>
    <t>Pirr.app</t>
  </si>
  <si>
    <t>Scalare Partners</t>
  </si>
  <si>
    <t>Mental Health</t>
  </si>
  <si>
    <t>togetherAI</t>
  </si>
  <si>
    <t>LG, Kakao, Berkeley SkyDeck, Michael Kim</t>
  </si>
  <si>
    <t>Hashed, Goodwater Capital, PKO Investments, Yat Siu, Ray Chan, Patrick Lee, Kun Gao, Holly Liu, Daniel Wu</t>
  </si>
  <si>
    <t>Tom Lee</t>
  </si>
  <si>
    <t>TTS</t>
  </si>
  <si>
    <t>Sweden</t>
  </si>
  <si>
    <t>Creandum, Tobias Lutke, Sebastian Wallin, Renaud Visage, Fredrik Bjork, Christian Reber</t>
  </si>
  <si>
    <t>SQL queries</t>
  </si>
  <si>
    <t>Mason</t>
  </si>
  <si>
    <t>www.getbravo.io</t>
  </si>
  <si>
    <t>HR</t>
  </si>
  <si>
    <t>Employee Recognition</t>
  </si>
  <si>
    <t>Bravo</t>
  </si>
  <si>
    <t>www.intrinsic.ai</t>
  </si>
  <si>
    <t>Alphabet owned?</t>
  </si>
  <si>
    <t>Wendy Tan White</t>
  </si>
  <si>
    <t>Robotics design, FlowState, Open Robotics</t>
  </si>
  <si>
    <t>Intrinsic</t>
  </si>
  <si>
    <t>https://www.datrics.ai/</t>
  </si>
  <si>
    <t>StartupYard, QPDigital, Illia Polosukhin</t>
  </si>
  <si>
    <t>Y Combinator, AltaIR Capital, Oleg Rogynskyy</t>
  </si>
  <si>
    <t>Anton Vaisburd, Kirill Kirikov, Volodymyr Sofinskyi</t>
  </si>
  <si>
    <t>No-code analytics</t>
  </si>
  <si>
    <t>Fuse, Voyager Capital, Omri Bahat, Bill Bryant, Bharat Shyam</t>
  </si>
  <si>
    <t>Abid Ali Mohammed, Vikram Chalana, Vishal Chalana</t>
  </si>
  <si>
    <t>Winklevoss Capital, Permit Ventures, Laurence Innovation, Chey Capital, Bettor Capital, Sam Parr, Peter Jennings, Mike R. Walsh, Joe Speiser</t>
  </si>
  <si>
    <t>Draper Associates, Winklevoss Capital, Alumni Ventures, Nomad Capital, Rob May, Kevin Carter, Brian Pokorny, Billy Draper</t>
  </si>
  <si>
    <t>Research</t>
  </si>
  <si>
    <t>Christian Salem</t>
  </si>
  <si>
    <t>Scientific Research</t>
  </si>
  <si>
    <t>GMG Ventures, Firstminute Capital, Craft Ventures, Canaan Partners, Betaworks Ventures, AET Fund</t>
  </si>
  <si>
    <t>Firstminute Capital, Craft Ventures, Betaworks, AET Fund</t>
  </si>
  <si>
    <t>Saqib Muhammad, Zohaib Ahmed</t>
  </si>
  <si>
    <t>Resemble.ai</t>
  </si>
  <si>
    <t>500 Global, 500 Startups Vietnam, Atland Ventures, Incubate Fund, Joel Schleicher</t>
  </si>
  <si>
    <t>Glasswing Ventures, Differential Ventures, Hypertherm Ventures, Argon Ventures</t>
  </si>
  <si>
    <t>Manufacturing</t>
  </si>
  <si>
    <t>Andrey Konin, Quoc-Huy Tran, Zeeshan Zia</t>
  </si>
  <si>
    <t>No-code QA/QC for manufacturers</t>
  </si>
  <si>
    <t>Estonia</t>
  </si>
  <si>
    <t>Customer Service</t>
  </si>
  <si>
    <t>Chatbot customer service</t>
  </si>
  <si>
    <t>norby.io</t>
  </si>
  <si>
    <t>Madrona, New York Venture Partners, Hustle Fund, Chapter One Ventures, Active Capital, Matt Gibstein</t>
  </si>
  <si>
    <t>Active Capital, Cortical Ventures, Siqi Chen, Nick Frosst, Madrona, Ivan Zhang, Furqan Rydhan, Aidan Gomez</t>
  </si>
  <si>
    <t>Email</t>
  </si>
  <si>
    <t>Jason Kuperberg, Matt Shumer, Miles Feldstein</t>
  </si>
  <si>
    <t>SQL</t>
  </si>
  <si>
    <t>Lei Tang, Marc Dupuis</t>
  </si>
  <si>
    <t>English-to-SQL</t>
  </si>
  <si>
    <t>Fabi.ai</t>
  </si>
  <si>
    <t>Entrepreneurs Roundtable Accelerator</t>
  </si>
  <si>
    <t>Preface Ventures, Atypical Ventures, LogicBoost Labs, Brand New Matter, Glasswing Ventures,  Entrepreneurs Roundtable Accelerator, Marc Weiss, Josh Lospinoso</t>
  </si>
  <si>
    <t>Auth</t>
  </si>
  <si>
    <t>Dawud Gordon, John Tanios, Ulf Blanke</t>
  </si>
  <si>
    <t>Behavioral MFA</t>
  </si>
  <si>
    <t>Austin, TX</t>
  </si>
  <si>
    <t>Asset Management Ventures (AMV), ATX Venture Partners, Loop Ventures, Next Practices Group</t>
  </si>
  <si>
    <t>Ganesh Padmanabhan</t>
  </si>
  <si>
    <t>8VC, GTMfund, Correlation Ventures</t>
  </si>
  <si>
    <t>Testing code generation</t>
  </si>
  <si>
    <t>Dereck Paul, Graham Ramsey</t>
  </si>
  <si>
    <t>Doctor assistance</t>
  </si>
  <si>
    <t>Glass Health</t>
  </si>
  <si>
    <t>Los Angeles</t>
  </si>
  <si>
    <t>Heath Ahrens</t>
  </si>
  <si>
    <t>Consumer Voice UGC</t>
  </si>
  <si>
    <t>Voice AI</t>
  </si>
  <si>
    <t>YouWeb, Intel, Fosun RZ</t>
  </si>
  <si>
    <t>Capricorn, Cito, TSVC</t>
  </si>
  <si>
    <t>Amol Kelkar, Chandra Khatri, David Chu, Hung Tran, James Cremer, Peter Relan</t>
  </si>
  <si>
    <t>Enterprise LLM with 'guardrails'</t>
  </si>
  <si>
    <t>Salt Lake City, Utah</t>
  </si>
  <si>
    <t>Elevation Capital, Vidit Aatrey, Sanjeev Barnwal, Kashyap Deorah, Ashish Goel</t>
  </si>
  <si>
    <t>Matrix Partners India, Elevation Capital, Yamini Bhat, Pushkar Mukewar, Ajay Arora, Ankit Bhati, Ashwini Asokan</t>
  </si>
  <si>
    <t>Voice generation</t>
  </si>
  <si>
    <t>MURF.AI</t>
  </si>
  <si>
    <t>Balderton Capital, Acequia Capital, byFounders, EQT Ventures</t>
  </si>
  <si>
    <t>Meetings</t>
  </si>
  <si>
    <t>Colin Treseler</t>
  </si>
  <si>
    <t>Transcribes meeting notes</t>
  </si>
  <si>
    <t>Smart APIs?</t>
  </si>
  <si>
    <t>Koxy AI</t>
  </si>
  <si>
    <t>Tokyo</t>
  </si>
  <si>
    <t>Mitsui Sumitomo Insurance Venture Capital</t>
  </si>
  <si>
    <t>Mitsui Sumitomo Insurance VC, Tokushima Taisho Bank</t>
  </si>
  <si>
    <t>Toyota Tsusho, Sumitomo Mitsui Trust Bank, Mitsui Sumitomo Insurance VC, Japan Investment Adviser, JAFCO</t>
  </si>
  <si>
    <t>Tokushima Taisho Bank, Pegasus Tech Ventures</t>
  </si>
  <si>
    <t>Mostly Japanese clients, not clear what they do exactly</t>
  </si>
  <si>
    <t>Yoshihiro Daejeon</t>
  </si>
  <si>
    <t>Japanese and weird.</t>
  </si>
  <si>
    <t>Arithmer</t>
  </si>
  <si>
    <t>Y Combinator, 500 Global</t>
  </si>
  <si>
    <t>Hammad Syed, Mahmoud Felfel</t>
  </si>
  <si>
    <t>Great TTS product</t>
  </si>
  <si>
    <t>Play.HT</t>
  </si>
  <si>
    <t>San Francisco, AI</t>
  </si>
  <si>
    <t>Photo</t>
  </si>
  <si>
    <t>Photography</t>
  </si>
  <si>
    <t>Booth AI</t>
  </si>
  <si>
    <t>Delaware</t>
  </si>
  <si>
    <t>Together Fund, Nexus Venture Partners, The New Normal Fund</t>
  </si>
  <si>
    <t>Bots</t>
  </si>
  <si>
    <t>Akshat Tyagi</t>
  </si>
  <si>
    <t>Conversational Bots</t>
  </si>
  <si>
    <t>Workhack</t>
  </si>
  <si>
    <t>YC</t>
  </si>
  <si>
    <t>HOF Capital, Soma Capital, Rebel Fund, Broom Ventures, BluePointe Ventures, Atlas Pacific Capital, Amino Capital</t>
  </si>
  <si>
    <t>Content</t>
  </si>
  <si>
    <t>Samanyou Garg</t>
  </si>
  <si>
    <t>GPT-generated content</t>
  </si>
  <si>
    <t>Toyota Ventures, Omidyar Technology Ventures, Intel Capital, Glasswing Ventures, Blindspot Ventures</t>
  </si>
  <si>
    <t>Cool Demo</t>
  </si>
  <si>
    <t>Josh Tenenbaum, Max Kleiman-Weiner, Tejas Kulkarni, Vikash Mansinghka</t>
  </si>
  <si>
    <t>3D Perception/Simulation</t>
  </si>
  <si>
    <t>SAFE</t>
  </si>
  <si>
    <t>Ontario</t>
  </si>
  <si>
    <t>Obvious Ventures, Inovia Capital</t>
  </si>
  <si>
    <t>Wharton Alumni Angels, The Archangel Fund, REDDS Capital, Honeywell, Guindy Alumni Angels</t>
  </si>
  <si>
    <t>Honeywell, ACVC Partners</t>
  </si>
  <si>
    <t>BDC Venture Capital, Obvious Ventures, Inovia Capital, Honeywell</t>
  </si>
  <si>
    <t>Quality control, efficiency for electronics manufacturing</t>
  </si>
  <si>
    <t>Detroit</t>
  </si>
  <si>
    <t>Pivoted to AI</t>
  </si>
  <si>
    <t>Waymark</t>
  </si>
  <si>
    <t>Entrepreneur First, Episode 1</t>
  </si>
  <si>
    <t>Khosla Ventures, Episode 1, Entrepreneur First</t>
  </si>
  <si>
    <t>Raphael Holca-Lamarre, Tuhin Chakraborty</t>
  </si>
  <si>
    <t>Business process automation</t>
  </si>
  <si>
    <t>Allen AI, Madrona</t>
  </si>
  <si>
    <t>Madrona, Cercano Management, J4.Ventures, Ascend, Renn Vara, Maureen Taylor, Jeff Richards, Dave Rosenberg</t>
  </si>
  <si>
    <t>Communication</t>
  </si>
  <si>
    <t>Esha Joshi, Varun Puri</t>
  </si>
  <si>
    <t>Communication improvement tool</t>
  </si>
  <si>
    <t>Sequoia Capital, XYZ Venture Capital, Tiny Super Computer Investment Company, Seedcamp, GG1, Motier Ventures, Connect, AI Grant, Romain Niccoli, Olivier Pomel, Nicolas Brusson, Matthieu Rouif, Mathilde Collin, Julien Codorniou, Julien Chaumond, Jean-Charles, Samuelian-Werve, Irwan Bello, Igor Babushkin, Howie Liu, Eleonore Crespo, Charles Gorintin</t>
  </si>
  <si>
    <t>Tools</t>
  </si>
  <si>
    <t>Business tools, very generic</t>
  </si>
  <si>
    <t>Hyperwise Ventures, Pierre Lamond, Giora Yaron, Avery More</t>
  </si>
  <si>
    <t>DevOps</t>
  </si>
  <si>
    <t>Amit Eyal Govrin, Shaked Askayo</t>
  </si>
  <si>
    <t>ChatGPT for DevOps</t>
  </si>
  <si>
    <t>SRI Ventures, DCVC, Candou Ventures, Laszlo Bock</t>
  </si>
  <si>
    <t>ex-GOOG, META, AWS</t>
  </si>
  <si>
    <t>Assistant</t>
  </si>
  <si>
    <t>Babak Pahlavan, Sam Naghshineh</t>
  </si>
  <si>
    <t>Enterprise personal assistant</t>
  </si>
  <si>
    <t>Glasswing Ventures, .406 Ventures, Zetta Venture Partners, Y Combinator</t>
  </si>
  <si>
    <t>Observability</t>
  </si>
  <si>
    <t>NEA, Pear VC, Wing Venture Capital</t>
  </si>
  <si>
    <t>Productivity</t>
  </si>
  <si>
    <t>Bella Liu, Will Lu</t>
  </si>
  <si>
    <t>Automates by watching you work</t>
  </si>
  <si>
    <t>Softbank, Upload Ventures, Illuminate Ventures, Scale-Up Ventures, Fusion Fund, Endeavor Catalyst, Astella</t>
  </si>
  <si>
    <t>Alexandre Hadade, Everton Cherman, Patricia Osorio</t>
  </si>
  <si>
    <t>Customer Feedback</t>
  </si>
  <si>
    <t>San Jose, CA</t>
  </si>
  <si>
    <t>Engineering Capital, Clear Ventures</t>
  </si>
  <si>
    <t>Clear Ventures, Wipro Ventures, Engineering Capital</t>
  </si>
  <si>
    <t>BPO</t>
  </si>
  <si>
    <t>Binny Gill</t>
  </si>
  <si>
    <t>Exception handling</t>
  </si>
  <si>
    <t>Seoul, South Korea</t>
  </si>
  <si>
    <t>Premier Partners, SmileGate, KT Investment, KB Investment</t>
  </si>
  <si>
    <t>AI promotional videos</t>
  </si>
  <si>
    <t>Vcat.ai (Pion)</t>
  </si>
  <si>
    <t>TechAviv Founder Partners, Ariel Maislos, Tomer Weingarten</t>
  </si>
  <si>
    <t>Pretty cool</t>
  </si>
  <si>
    <t>Amit Ben Shahar, Asi Shefer, Aviv Dror, Yochai Levi</t>
  </si>
  <si>
    <t>Low-code, no-code API</t>
  </si>
  <si>
    <t xml:space="preserve">Imagen Capital Partners, </t>
  </si>
  <si>
    <t>Logistics</t>
  </si>
  <si>
    <t>Siddharth Mohan, Zach Rattner</t>
  </si>
  <si>
    <t>AI Inspections for Moving &amp; Insurance</t>
  </si>
  <si>
    <t>Vertex Ventures Israel, State of Mind Ventures, Web Summit Ventures, Interplay, GuideStar Ventures, GTMfund, Gefen Capital, Firsthand Technology Value Fund, Alliance Global Partners, Yakir Daniel, Ran Sarig, Or Hiltch, Omri Barzilay, Michael Matias, Guy Zipori, Efi Cohen, Barak Goldstein</t>
  </si>
  <si>
    <t>ex-Salesforce</t>
  </si>
  <si>
    <t>Search</t>
  </si>
  <si>
    <t>Dr. Alon Talmor</t>
  </si>
  <si>
    <t>Enterprise search</t>
  </si>
  <si>
    <t>The Entrepreneurs' Fund, Tom Chavez, Auren Hoffman</t>
  </si>
  <si>
    <t>Ulu Ventures, VentureStudio, The Indy Fund, K20 Fund, H. Barton Asset Management, Tom Chavez</t>
  </si>
  <si>
    <t>Jed Putterman</t>
  </si>
  <si>
    <t>Accidents</t>
  </si>
  <si>
    <t>South San Francisco</t>
  </si>
  <si>
    <t>NEA, 8VC, AIX Ventures, Vijay Krishnan</t>
  </si>
  <si>
    <t>TriplePoint Capital, Neo, NEA, Modern Venture Partners, 8VC, Vijay Krishnan, Fred Ehrsam, Arash Ferdowski</t>
  </si>
  <si>
    <t>Personal Computing</t>
  </si>
  <si>
    <t>Tanay Kothari</t>
  </si>
  <si>
    <t>Mind-reading wearable</t>
  </si>
  <si>
    <t>468 Capital, Tokyo Black, Sanno Capital, Nomad Capital, Fuel Capital, AirAngels, Designer Fund, Chase Coleman, Brian Chesky, John McCormick</t>
  </si>
  <si>
    <t>Shaun Modi</t>
  </si>
  <si>
    <t>HMOs</t>
  </si>
  <si>
    <t>Episode 1, Will Martin, Will Brooks, Paul Massara, Oliver Burgel, Al Giles</t>
  </si>
  <si>
    <t>SoftBank, Forward Partners, Episode 1, Tom Blomfield</t>
  </si>
  <si>
    <t>Plural Platform, Episode 1, Tom Blomfield</t>
  </si>
  <si>
    <t>Richard Robinson</t>
  </si>
  <si>
    <t>Vine Ventures, TLV Partners</t>
  </si>
  <si>
    <t>Dedy Kredo, Itamar Friedman</t>
  </si>
  <si>
    <t>Test Suites</t>
  </si>
  <si>
    <t>Lightspeed India, AV8 Ventures</t>
  </si>
  <si>
    <t>Red Ventures, Silver Lake, 8VC</t>
  </si>
  <si>
    <t>Ashray Malhotra, Nisheeth Lahoti, Shivam Mangla</t>
  </si>
  <si>
    <t>Generative video, audio</t>
  </si>
  <si>
    <t>Rephrase.ai</t>
  </si>
  <si>
    <t>Signia Venture Partners, Position Ventures, CapitalX, Troy Osinoff, CapitalX, Braydan Young, Arash Ferdowsi, Alex Lieberman</t>
  </si>
  <si>
    <t>Norwest Venture Partners, Signia Venture Partners</t>
  </si>
  <si>
    <t>Will Allred</t>
  </si>
  <si>
    <t>Rewrite cold emails</t>
  </si>
  <si>
    <t>Lavender</t>
  </si>
  <si>
    <t>Memphis, Tennessee</t>
  </si>
  <si>
    <t>Unpopular Ventures, Bill Yu</t>
  </si>
  <si>
    <t>Craft Ventures, Sequoia Capital, Atelier Ventures</t>
  </si>
  <si>
    <t>Wing Venture Capital, Tiger Global, Sequoia, Craft Ventures, Elad Gil</t>
  </si>
  <si>
    <t>Chris Lu</t>
  </si>
  <si>
    <t>Marketing copy</t>
  </si>
  <si>
    <t>Zetta, SignalFire, Bloomberg Beta, Kearny Jackson</t>
  </si>
  <si>
    <t>Redpoint, Signalfire, Madrona, Bloomberg Beta, Zetta, Kearny Jackson</t>
  </si>
  <si>
    <t>Hessam Bagherinezhad, Justin Uberti, Matt Welsh, Zach Koch</t>
  </si>
  <si>
    <t>Javascript library</t>
  </si>
  <si>
    <t>Zurich, Switzerland</t>
  </si>
  <si>
    <t>Global Founders Capital, b2venture</t>
  </si>
  <si>
    <t>OpenOcean, Atlantic Bridge, FPV Ventures, Global Founders Capital, b2venture</t>
  </si>
  <si>
    <t>ETH spinoff</t>
  </si>
  <si>
    <t>Andreas Krause, Martin Vechev, Pavol Bielik, Petar Tsankov</t>
  </si>
  <si>
    <t>Greylock, South Park Commons, AI Fund, Caffeinated Capital, DJ Patil, Dylan Field, Greg Brockman, Lachy Groom, Mustafa Suleyman</t>
  </si>
  <si>
    <t>Greylock, South Park Commons, Lachy Groom, Jean-Denis Greze, Jay Simons, Dev Ittycheria, Cristina Cordova</t>
  </si>
  <si>
    <t>Amir Haghighat, Pankaj Gupta, Philip Howes, Tuhin Srivastava</t>
  </si>
  <si>
    <t>Serverless</t>
  </si>
  <si>
    <t>Brooklyn, NY</t>
  </si>
  <si>
    <t>Y Combinator, QueensBridge Venture Partners, InnoSpring Seed Fund, Center Electric</t>
  </si>
  <si>
    <t>Zillionize, Ludlow Ventures, Fusion Fund</t>
  </si>
  <si>
    <t>Transmedia Capital, InnoSpring Seed Fund, DCVC, Amino Capital</t>
  </si>
  <si>
    <t>Ludlow Ventures, Initialized Capital, DCVC</t>
  </si>
  <si>
    <t>Sorenson Capital, Intel Capital, SineWave Ventures, Battery Ventures, Rocketship.vc, Initialized Capital</t>
  </si>
  <si>
    <t>Daniel Kobran, Dillon Erb</t>
  </si>
  <si>
    <t>GPU Cloud Compute</t>
  </si>
  <si>
    <t>SignalFire, Salesforce, Global Founders Capital, Maynard Webb, Frederic Kerrest, Adam Gross</t>
  </si>
  <si>
    <t>Former Salesforce people</t>
  </si>
  <si>
    <t>Vitaly Gordon</t>
  </si>
  <si>
    <t>DevOps, monitoring</t>
  </si>
  <si>
    <t>Delafield, Wisconsin</t>
  </si>
  <si>
    <t>Lupa Systems, TitletownTech, Betawork Ventures</t>
  </si>
  <si>
    <t>Lupa Systems, Titletown Tech, Betaworks, Esri, Booz Allen, Betaworks Ventures</t>
  </si>
  <si>
    <t>Lupa Systems, TitletownTech, Esri, Booz Allen Ventures, Betaworks Ventures</t>
  </si>
  <si>
    <t>Corey Jaskolski</t>
  </si>
  <si>
    <t>Image labeling</t>
  </si>
  <si>
    <t>Ann Arbor, MI</t>
  </si>
  <si>
    <t>Top Harvest Capital, Shasta Ventures, Drive Capital</t>
  </si>
  <si>
    <t>Brian Moore</t>
  </si>
  <si>
    <t>Computer Vision platform</t>
  </si>
  <si>
    <t>Decibel, Village Global, AI Fund</t>
  </si>
  <si>
    <t>Sands Capital, Decibel Partners, AI Fund</t>
  </si>
  <si>
    <t>AI Compliance, Ethics</t>
  </si>
  <si>
    <t>a16z, Sequoia Capital, SVA, YC, Guillermo Rauch, Dylan Field, Lachy Groom, Andrej Karpathy</t>
  </si>
  <si>
    <t>Ben Firshman</t>
  </si>
  <si>
    <t>Hosting Models</t>
  </si>
  <si>
    <t>Madrona, Norwest Venture Partners, Factory, Jeff Hammerbacher, Charles Zedlewski</t>
  </si>
  <si>
    <t>Data stack automation</t>
  </si>
  <si>
    <t>Spider Capital, Crosslink Capital, Global Founders Capital</t>
  </si>
  <si>
    <t>Sorenson Ventures, Crosslink Capital, Spider Capital, Silicon Valley Bank, Global Founders Capital</t>
  </si>
  <si>
    <t>Cyril Brignone</t>
  </si>
  <si>
    <t>Platform</t>
  </si>
  <si>
    <t>Tel Aviv</t>
  </si>
  <si>
    <t>Group 11, L4 Venture Builder, Mangrove</t>
  </si>
  <si>
    <t>Dor Eligula, Gabriel Diamant, Or Eligula</t>
  </si>
  <si>
    <t>Finance research</t>
  </si>
  <si>
    <t>Union Square Ventures, Wisdom Ventures, Northwell Holdings, LG Technology Ventures, Comcast Ventures, Evan Sharp</t>
  </si>
  <si>
    <t>Alan Cowen</t>
  </si>
  <si>
    <t>Emotion analysis</t>
  </si>
  <si>
    <t>Unimpressive</t>
  </si>
  <si>
    <t>Text-to-3D</t>
  </si>
  <si>
    <t>Ziyu Wang</t>
  </si>
  <si>
    <t>3D Reconstruction</t>
  </si>
  <si>
    <t>Haiper</t>
  </si>
  <si>
    <t>Parkwalk Advisors, Oxford Science Enterprises</t>
  </si>
  <si>
    <t>Parkwalk Advisors</t>
  </si>
  <si>
    <t>Aioi Nissay Dowa Insurance</t>
  </si>
  <si>
    <t>Michael Osborne, Stephen Roberts</t>
  </si>
  <si>
    <t>ML platform</t>
  </si>
  <si>
    <t>Mind Foundry</t>
  </si>
  <si>
    <t>Inovo VC</t>
  </si>
  <si>
    <t>Gradient Ventures, 10x Founders, Pascal Weinberger, Jack Altman</t>
  </si>
  <si>
    <t>Tiger, Inovo VC, Gradient Ventures, 10x Founders, Jack Altman</t>
  </si>
  <si>
    <t>Maja Schaefer, Matt Ciolek</t>
  </si>
  <si>
    <t>Customer Service bots</t>
  </si>
  <si>
    <t>Google Ventures, SVA, NEA, Formula Ventures, Essence VC</t>
  </si>
  <si>
    <t>Former head of ML at Slack</t>
  </si>
  <si>
    <t>Adam Oliner</t>
  </si>
  <si>
    <t>ML Platform</t>
  </si>
  <si>
    <t>SmartGateVC, Granatus Ventures</t>
  </si>
  <si>
    <t>Point Nine, SmartGateVC, Runa Capital, Point Nine, Granatus Ventures, Fathom Capital, Berkeley SkyDeck Fund</t>
  </si>
  <si>
    <t>Base10 Partners, Runa Capital, Point Nine, Plug and Play, Fathom Capital</t>
  </si>
  <si>
    <t>Davit Badalyan, Tigran Petrosyan</t>
  </si>
  <si>
    <t>Training Data platform, CV pipeline</t>
  </si>
  <si>
    <t>CRV, Y Combinator, WndrCo, Harvard, Des Traynor, Crane Venture</t>
  </si>
  <si>
    <t>CRV, Y Combinator, Harpoon, Crane</t>
  </si>
  <si>
    <t>Eric Landau</t>
  </si>
  <si>
    <t>Computer Vision, Annotation</t>
  </si>
  <si>
    <t>StageOne Ventures, Point72 Ventures, Pathbreaker Ventures, Morado Ventures, Cota Capital, Coelius Capital, AME Cloud Ventures, Zach Coelius, John Lilly, Jaan Tallinn, Georges Harik</t>
  </si>
  <si>
    <t>Itamer Arel, Ron Chrisley</t>
  </si>
  <si>
    <t>Ohio</t>
  </si>
  <si>
    <t>Surge, Emergent Ventures</t>
  </si>
  <si>
    <t>Suvrat Bhooshan</t>
  </si>
  <si>
    <t>Personalized Videos</t>
  </si>
  <si>
    <t>Pittsburgh</t>
  </si>
  <si>
    <t>Pillar VC, KdT Ventures</t>
  </si>
  <si>
    <t>Bessemer Venture partners</t>
  </si>
  <si>
    <t>Union Square Ventures, UPMC, Zen Chu, Pillar VC, KdT Ventures, Bessemer Venture Partners, Esther Dyson, Aneesh Chopra</t>
  </si>
  <si>
    <t>Wittington Ventures, Whistler Capital Partners, UPMC Enterprises, Union Square Ventures, Pillar VC, Bessemer Venture Partners</t>
  </si>
  <si>
    <t>Florian Metze, Sandeep Konam, Shivdev Rao</t>
  </si>
  <si>
    <t>Doctor notes</t>
  </si>
  <si>
    <t>Seattle</t>
  </si>
  <si>
    <t>Norwest Venture Partners, Seven Peaks Ventures, Lightspeed, Ascend</t>
  </si>
  <si>
    <t>Jason Flaks</t>
  </si>
  <si>
    <t>"Chief of staff"</t>
  </si>
  <si>
    <t>Toronto</t>
  </si>
  <si>
    <t>Genesis, Pelorus Venture Capital, Killick Capital, Good News Ventures, Concrete Ventures</t>
  </si>
  <si>
    <t>Path Ventures</t>
  </si>
  <si>
    <t>Moxxie Ventures, Thomson Reuters Ventures, Bling Capital, Concrete Ventures, BDC Venture Capital, Good News Ventures, Inovia Capital, N49P, The LegalTech Fund</t>
  </si>
  <si>
    <t>Spellbook (Rally)</t>
  </si>
  <si>
    <t>Quebec, Canada</t>
  </si>
  <si>
    <t>Panache Ventures, Real Ventures, One Way Ventures, Hike Ventures, Fonds Innovexport, Creative Destruction Lab, BoxOne Ventures</t>
  </si>
  <si>
    <t>Decibel, Real Ventures, overtime.vc, Inovia Capital, Hike Ventures, Bossanova Investimentos</t>
  </si>
  <si>
    <t>Chatbots</t>
  </si>
  <si>
    <t>Sylvain Perron</t>
  </si>
  <si>
    <t>Chatbot automater</t>
  </si>
  <si>
    <t>Team8, Inference Partners, Conviction VC</t>
  </si>
  <si>
    <t>Eight Roads Ventures, Allon Ventures</t>
  </si>
  <si>
    <t>Assaf Egozi, Oren Raboy</t>
  </si>
  <si>
    <t>Growth/Marketing just for Amazon channel</t>
  </si>
  <si>
    <t>Headline, TPY Capital, Khosla, Hetz</t>
  </si>
  <si>
    <t>Samsung NEXT, Qualcomm Ventures, OurCrowd, TPY Capital, Khosla Ventures, Hetz Ventures, Headline</t>
  </si>
  <si>
    <t>Dror Weiss, Eran Yahav</t>
  </si>
  <si>
    <t>Code completion</t>
  </si>
  <si>
    <t>Elad Gil, Thrive Capital</t>
  </si>
  <si>
    <t>Ashish Vaswani, Niki Parmar</t>
  </si>
  <si>
    <t>LLM tools</t>
  </si>
  <si>
    <t>Natoma, Legion Capital, Grateful Ventures, Backswing Ventures</t>
  </si>
  <si>
    <t>Octave Ventures LLC, Legion Capital, Grateful Ventures, Alpha Intelligence Capital, Alliance Holdings GP</t>
  </si>
  <si>
    <t>Safety</t>
  </si>
  <si>
    <t>Billy Hunter, Caleb Jones, Dustin Brooks, Mike Lahiff, Rob Huberty, Sam Alaimo, Tim Sulzer</t>
  </si>
  <si>
    <t>AI Gun Detection</t>
  </si>
  <si>
    <t>ZeroEyes</t>
  </si>
  <si>
    <t>TOMS Shoes, SVA, Seraph Group, Partech, Lerer Hippeau, FJ Labs, Crosslink Capital, Cantos, Boost VC, Xavier Niel, Tim Draper, Steve Blank, Pierre Valade, Blake Mycoskie, The Index Project, Dorm Room Fund</t>
  </si>
  <si>
    <t>Khosla Ventures, Initialized Capital, Day One Ventures</t>
  </si>
  <si>
    <t>Khosla Ventures, Sorenson Ventures, Ring Capital, Lerer Hippeau, FrenchFounders, Initialized Capital</t>
  </si>
  <si>
    <t>Transcription</t>
  </si>
  <si>
    <t>Pieter Doevendans, Skinner Cheng, Thibault Duchemin</t>
  </si>
  <si>
    <t>Real-time transcription</t>
  </si>
  <si>
    <t>Anzu Partners, The E14 Fund, Silicon Catalyst, Scout Ventures, Schams Ventures, Alumni Ventures, AlleyCorp</t>
  </si>
  <si>
    <t>FPGA</t>
  </si>
  <si>
    <t>FPGA for AI</t>
  </si>
  <si>
    <t>EnCharge AI</t>
  </si>
  <si>
    <t>Gaingels, Accel, Bossanova, South Park Commons, Slow Ventures, Pareto Holdings, Kevin Mahaffey, Edward Lando</t>
  </si>
  <si>
    <t>Spacecadet Ventures, 10X Capital</t>
  </si>
  <si>
    <t>Two Sigma Ventures, Spacecadet Ventures, South Park Commons, Slow Ventures, Basis Set Ventures, Accel</t>
  </si>
  <si>
    <t>Image Workflow</t>
  </si>
  <si>
    <t>Joseph Reisinger, Matt Stanton</t>
  </si>
  <si>
    <t>Image Tools</t>
  </si>
  <si>
    <t>Facet.ai</t>
  </si>
  <si>
    <t>Insight Partners, Alexander Hudek, Noah Waisberg</t>
  </si>
  <si>
    <t>Document AI</t>
  </si>
  <si>
    <t>Somerville, MA</t>
  </si>
  <si>
    <t>Comcast Ventures, Pillar, NEA, a16z, Amdocs</t>
  </si>
  <si>
    <t>NEA, Ridgeline, Pillar VC, Comcast Ventures, a16z, Amdocs</t>
  </si>
  <si>
    <t>Alex Matveev</t>
  </si>
  <si>
    <t>DeepSparse, SparseML, compute on CPU</t>
  </si>
  <si>
    <t>Beta Ventures, The Ark Fund</t>
  </si>
  <si>
    <t>Emma Group, TBD Angels, Simma Capital, Salkantay Ventures, MatterScale Ventures, Rodrigo Schmidt, Mike Shoemaker, Michael Lazerow, Kass Lazerow, Haiping Zhao, Diego Piacentini, Brian Requarth</t>
  </si>
  <si>
    <t>Alexander Torrenegra, Andres Cajiao</t>
  </si>
  <si>
    <t>Kid Venture Capital</t>
  </si>
  <si>
    <t>Multicoin Capital, Mark Cuban, IOSG Ventures, Crypto.com, Bitkraft Ventures, Alameda Ventures, 6th Man Ventures</t>
  </si>
  <si>
    <t>Arif Khan</t>
  </si>
  <si>
    <t>CharacterGPT, Interactive Agent NFTs</t>
  </si>
  <si>
    <t>Alethea AI</t>
  </si>
  <si>
    <t>Swift Ventures, PJC, LETA Capital, Kubera Venture Capital, iRobot Ventures, Bossanova Investimentos, Boom Capital, Bee Capital</t>
  </si>
  <si>
    <t>468 Capital, Strawberry Creek Ventures, Sorenson Ventures, PJC, Kubera Venture Capital, iRobot Ventures, Boom Capital, Bee Partners</t>
  </si>
  <si>
    <t>Yashar Behzadi</t>
  </si>
  <si>
    <t>Data generation, synthetic data</t>
  </si>
  <si>
    <t>Nat Friedman, James Cham, Daniel Gross, Anthony Goldbloom</t>
  </si>
  <si>
    <t>Quiet Capital, Spencer Kimball, Naval Ravikant, Max Altman, Jordan Tigani, Jack Altman, Guillermo Rauch, Amjad Masad, Akshay Kothari</t>
  </si>
  <si>
    <t>My favorite VDB</t>
  </si>
  <si>
    <t>Chroma</t>
  </si>
  <si>
    <t>Humanoid</t>
  </si>
  <si>
    <t>Jerome Monceaux</t>
  </si>
  <si>
    <t>Mirokai, furry robot</t>
  </si>
  <si>
    <t>Enchanted Tools</t>
  </si>
  <si>
    <t>Insight Partners, Unusual Ventures</t>
  </si>
  <si>
    <t>Jared Parker, Patrick Dougherty</t>
  </si>
  <si>
    <t>Data inconsistency</t>
  </si>
  <si>
    <t>Des Moines, Iowa</t>
  </si>
  <si>
    <t>Craft Ventures, Next Level Ventures, Lachy Groom, Leore Avidar, Kevin Liu, James Tamplin, Elizabeth Caven, Calvin French-Owen, Aston Motes</t>
  </si>
  <si>
    <t>Craft Ventures, Sam Altman, Quiet Capital, Mike Maples Jr, Max Altman, Lachy Groom, Joe Morrissey, Jack Altman, Harry Hurst, Greg Brockman, DJ Patil, Cassidy Williams</t>
  </si>
  <si>
    <t>2019</t>
  </si>
  <si>
    <t>Brad Dwyer, Joseph Nelson</t>
  </si>
  <si>
    <t>Computer vision models, dev tools</t>
  </si>
  <si>
    <t>Campbell, CA</t>
  </si>
  <si>
    <t>Reliance Jio, Naver</t>
  </si>
  <si>
    <t>Artificial Reality</t>
  </si>
  <si>
    <t>AutoCameo, video</t>
  </si>
  <si>
    <t>Two Platforms (two.ai)</t>
  </si>
  <si>
    <t>Credit Suisse NEXT Investors, Hack VC, Uncorrelated Ventures, Nexus Venture Partners, Bossanova Investimentos</t>
  </si>
  <si>
    <t>Daniel Chen, Jeremy Huang, Thomas Li</t>
  </si>
  <si>
    <t>Document retrieval, data extraction</t>
  </si>
  <si>
    <t>Insight Partners, Swift Ventures, Stardom Ventures, Matias Ventures, Booster Ventures Roi Tiger, Kevin Reilly, Gideon Marks, Emiliano Calemzuk, Danny Grander, Daniel Chadash</t>
  </si>
  <si>
    <t>Nir Krakowski, Ofir Krakowski</t>
  </si>
  <si>
    <t>Dubbing</t>
  </si>
  <si>
    <t>Deepdub</t>
  </si>
  <si>
    <t>ZWC Partners</t>
  </si>
  <si>
    <t>ZWC Partners, GGV Capital, Insignia Ventures Partners, Wavemaker Partners</t>
  </si>
  <si>
    <t>Hillhouse, Gaorong Capital, Yunqi Partners, Wavemaker Partners, Singtel Innov8, K3 Ventures, Insignia Venture Partners, GGV Capital</t>
  </si>
  <si>
    <t>Wiz.ai</t>
  </si>
  <si>
    <t>Taavet Hinrikus, Sten Tamkivi, Ott Kaukver, Jaan Tallinn</t>
  </si>
  <si>
    <t>Project A Ventures, Producement, DocuSign</t>
  </si>
  <si>
    <t>Atomico, Taavet Hinrikus, Sten Tamkivi, Project A Ventures, Ott Kaukver, Metaplanet Holdings</t>
  </si>
  <si>
    <t>3VC, Taavet+Sten, Project A Ventures, NordicNinja VC, Metaplanet Holdings, Maersk Growth, Atomico</t>
  </si>
  <si>
    <t>Procurement</t>
  </si>
  <si>
    <t>Kaspar Korjus, Kristjan Korjus, Martin Rand</t>
  </si>
  <si>
    <t>Automated Contract Negotiation</t>
  </si>
  <si>
    <t>Vertex Ventures Israel, Schusterman Foundation, Grove Ventures</t>
  </si>
  <si>
    <t>ALIVE Israel HealthTech Fund, Vertex Ventures Israel, Schusterman Foundation, Grove Ventures</t>
  </si>
  <si>
    <t>Ronen Lavi, Shay Perera</t>
  </si>
  <si>
    <t>Helps GPs and physicians prepare to see patients</t>
  </si>
  <si>
    <t>Irving, Texas</t>
  </si>
  <si>
    <t>Pacific Advantage Capital, Jump Capital, Tribeca Early Stage Partners, Saint Francis Health System, PCCI, Children's Health</t>
  </si>
  <si>
    <t>Concord Health Partners, OSF Ventures, Children's Health</t>
  </si>
  <si>
    <t>Ruben Amarasingham</t>
  </si>
  <si>
    <t>Hospital readmission</t>
  </si>
  <si>
    <t>Conductive Ventures, Duke Chung</t>
  </si>
  <si>
    <t>Recruitment</t>
  </si>
  <si>
    <t>Steven Jiang, Xinwen Zhang</t>
  </si>
  <si>
    <t>HireEz</t>
  </si>
  <si>
    <t>Providence, RI</t>
  </si>
  <si>
    <t>Bremar Energy</t>
  </si>
  <si>
    <t>Keyframe, Braemar, American Electric Power</t>
  </si>
  <si>
    <t>Moore, Nvidia, MUUS, Microsoft, Keyframe, Braemar</t>
  </si>
  <si>
    <t>Energy</t>
  </si>
  <si>
    <t>Jeremy Wilson</t>
  </si>
  <si>
    <t>Utilities/energy</t>
  </si>
  <si>
    <t xml:space="preserve">Kae Capital, </t>
  </si>
  <si>
    <t>Pi Ventures, Kae Capital</t>
  </si>
  <si>
    <t>W Health Ventures, Pi Ventures, Kae Capital, Google Assistant Investments</t>
  </si>
  <si>
    <t>HealthQuad, W Health Ventures, Pi Ventures, Kae Capital, Google Assistant Investments, British International Investment</t>
  </si>
  <si>
    <t>Not really AI, using chatbot</t>
  </si>
  <si>
    <t>Health</t>
  </si>
  <si>
    <t>Jo Aggarwal, Ramakant Vempati</t>
  </si>
  <si>
    <t>Wysa</t>
  </si>
  <si>
    <t>Los Altos, CA</t>
  </si>
  <si>
    <t>Greycroft, WestWave Capital, Emergent Ventures, Zoom</t>
  </si>
  <si>
    <t>Presentations</t>
  </si>
  <si>
    <t>Rajat Mishra</t>
  </si>
  <si>
    <t>Slideshow/presentations</t>
  </si>
  <si>
    <t>Virginia</t>
  </si>
  <si>
    <t>Greycroft, Glade Brook, Cox Enterprises</t>
  </si>
  <si>
    <t>Roy Schwartz, Jim VandeHei</t>
  </si>
  <si>
    <t>Former Axios, communications software</t>
  </si>
  <si>
    <t>Zillionize, Y Combinator, Justin Waldron</t>
  </si>
  <si>
    <t>ACME Capital, Y Combinator, Ludlow Ventures, Shervin Pishevar</t>
  </si>
  <si>
    <t>Khosla Ventures, ACME Capital, Phil Libin, Richard Socher</t>
  </si>
  <si>
    <t>AI Companion</t>
  </si>
  <si>
    <t>Eugenia Kuyda</t>
  </si>
  <si>
    <t>Replika</t>
  </si>
  <si>
    <t>NEA, Sequoia Capital, IA Ventures, Critical Ventures, B5 Capital</t>
  </si>
  <si>
    <t>Former DataRobot team</t>
  </si>
  <si>
    <t>Jeremy Achin</t>
  </si>
  <si>
    <t>QoL app</t>
  </si>
  <si>
    <t>SVA, UpHonest Capital, Wei Guo, Atomic</t>
  </si>
  <si>
    <t>Khosla Ventures, Felicis, Cherubic Ventures</t>
  </si>
  <si>
    <t>Icon Ventures, Khosla Ventures, Felicis</t>
  </si>
  <si>
    <t>J2 Ventures, Red Cell Partners, Marlinspike Capital, Perot Jain, Atomic, HID Global, Icon Ventures</t>
  </si>
  <si>
    <t>Andrew Dudum, Charlie Melbye, Don Holly, Jon Mumm</t>
  </si>
  <si>
    <t>Reimagine Ventures</t>
  </si>
  <si>
    <t>Reimagine Ventures, Kindred Ventures, Galaxy Interactive, Amaranthine</t>
  </si>
  <si>
    <t>Insight Partners, Remagine Ventures, Kindred Ventures, Galaxy Interactive, Eynat Guez, Digital Horizon, Cerca Partners, Amaranthine</t>
  </si>
  <si>
    <t>Virtual Presenters</t>
  </si>
  <si>
    <t>Entrepreneurs Roundtable Accelerator, Dorm Room Fund, Cornell Tech</t>
  </si>
  <si>
    <t>Hanaco Venture Capital, Spider Capital, ERA Capital Partners</t>
  </si>
  <si>
    <t>Spero Ventures, Twilio, Spider Capital, Mindset Ventures, Hanaco Venture Capital, Entrepreneurs Roundtable Accelerator</t>
  </si>
  <si>
    <t>Macquarie Capital, Spero Ventures, Mindset Ventures, K20 Fund, Black Opal Ventures, Hanaco Venture Capital, Liberty Mutual Strategic Ventures</t>
  </si>
  <si>
    <t>Israel Krush, Rom Cohen</t>
  </si>
  <si>
    <t>Healthcare, IVR</t>
  </si>
  <si>
    <t>Notion Capital, SCOR Ventures, Playfair Capital, Flexport, Firstminute Capital, Elkstone Capital Partners, CircleRock Capital</t>
  </si>
  <si>
    <t>Workplace Safety</t>
  </si>
  <si>
    <t>Ciarán O'Mara, Dan Hobbs</t>
  </si>
  <si>
    <t>CCTV CV</t>
  </si>
  <si>
    <t>Marlborough, MA</t>
  </si>
  <si>
    <t>Multiples</t>
  </si>
  <si>
    <t>Asif Hasan</t>
  </si>
  <si>
    <t>Quantiphi</t>
  </si>
  <si>
    <t>www.enlitic.com</t>
  </si>
  <si>
    <t>Seven Peaks, DCVC, Amplify</t>
  </si>
  <si>
    <t>Capitol Health, DCVC, Amplify</t>
  </si>
  <si>
    <t>Marubeni, Capitol Health, Allum Capital</t>
  </si>
  <si>
    <t>Thorney Investment, The Jagen Group, Regal Funds Management, Marubeni, Capitol Health, Amplify</t>
  </si>
  <si>
    <t>Jeremy Howard, Kevin Lyman</t>
  </si>
  <si>
    <t>Radiology/PACS</t>
  </si>
  <si>
    <t>Julien Codorniou</t>
  </si>
  <si>
    <t>Alexandre Lebrun, Delphine Groll, Martin Raison</t>
  </si>
  <si>
    <t>GPT-3, patient conversations</t>
  </si>
  <si>
    <t>Nabla</t>
  </si>
  <si>
    <t>Simon Robey, Jacob Rothschild</t>
  </si>
  <si>
    <t>Searching for investments for investors</t>
  </si>
  <si>
    <t>Jordan Monnet, Maxim Parr</t>
  </si>
  <si>
    <t>Asian startup search engine</t>
  </si>
  <si>
    <t>Nr2</t>
  </si>
  <si>
    <t>Flying Fish Partners, U Washington, Section 32, NJF Capital, Firstminute Capital</t>
  </si>
  <si>
    <t>Flying Fish Partners, Starshot Capital, Section 32, Root and Shoot Partners, Outcomes Fund, Mark Cuban, Character</t>
  </si>
  <si>
    <t>Starshot Capital, Vela Partners, Section 32, Root and Shoot Ventures, Mustafa Suleyman, Helena, Flying Fish Partners, Character, Ahren Innovation Capital</t>
  </si>
  <si>
    <t>Plant</t>
  </si>
  <si>
    <t>Industrial</t>
  </si>
  <si>
    <t>Plural Platform, Metaplanet, Nat Friedman</t>
  </si>
  <si>
    <t>Pre-product</t>
  </si>
  <si>
    <t>AI Safety</t>
  </si>
  <si>
    <t>Connor Leahy</t>
  </si>
  <si>
    <t>LULWUT</t>
  </si>
  <si>
    <t>www.workera.ai</t>
  </si>
  <si>
    <t>Owl Ventures, AI Fund, Plug and Play</t>
  </si>
  <si>
    <t>NEA, Owl Ventures, Pieter Abbeel, Mehran Sahami, Lake Dai</t>
  </si>
  <si>
    <t>Jump Capital, Sozo Ventures, Owl Ventures, NEA, AI Fund</t>
  </si>
  <si>
    <t>Skills</t>
  </si>
  <si>
    <t>James Lee, Kian Katanforoosh, Andrew Ng</t>
  </si>
  <si>
    <t>AI/ML skills testing/training</t>
  </si>
  <si>
    <t>Square Peg, Emerge, Danny Hadar</t>
  </si>
  <si>
    <t>Insight Partners, Vintage Investment Partners, Square Peg Capital, Samsung NEXT, Fort Ross Ventures, Emerge</t>
  </si>
  <si>
    <t>Square Peg Capital, Jibe Ventures, Insight Partners, ICON - Israel Collaboration Network, Fort Ross Ventures, Emerge</t>
  </si>
  <si>
    <t>Jonathan Elial, Ran El-Yaniv, Yonatan Geifman</t>
  </si>
  <si>
    <t>Hardware Platform</t>
  </si>
  <si>
    <t>Aspen Capital Group, Oak HC/FT</t>
  </si>
  <si>
    <t>Jayant Lakshmikanthan</t>
  </si>
  <si>
    <t>Vertex Ventures, TLV Partners, Yevgeny Dibrov, Nadir Izrael, Gili Raanan</t>
  </si>
  <si>
    <t>Tiger, Vertex Ventures, TLV Partners, Tal Ventures, Samsung NEXT</t>
  </si>
  <si>
    <t>Alon Gubkin, Liran Hason</t>
  </si>
  <si>
    <t>Observability &amp; Monitoring</t>
  </si>
  <si>
    <t>Redwood City, CA</t>
  </si>
  <si>
    <t>Greylock, Wing Venture Capital, Conversion Capital, Aaref Hilaly</t>
  </si>
  <si>
    <t>Wing Venture Capital, Harpoon, Greylock, Data Community Fund, Conversion Capital, B Capital Group</t>
  </si>
  <si>
    <t>Menlo Ventures, Wing Venture Capital, Harpoon, Greylock, Forgepoint Capital, Data Community Fund, Conversion Capital, B Capital Group</t>
  </si>
  <si>
    <t>Anupam Datta, Shayak Sen, Will Uppington</t>
  </si>
  <si>
    <t>TruLens</t>
  </si>
  <si>
    <t>New Era Capital, Hamilton Lane</t>
  </si>
  <si>
    <t>2020</t>
  </si>
  <si>
    <t>Guy Ernest</t>
  </si>
  <si>
    <t>Manufacturing NLP</t>
  </si>
  <si>
    <t>Headline, Stanislas de Bentzmann, Gus Robertson, Financiere Saint James, Olivier Pomel, Serena</t>
  </si>
  <si>
    <t>Balderton Capital, Serena, Headline, Chris Schagen, Dimitri Sirota, Financiere Saint James, Olivier Pailhes</t>
  </si>
  <si>
    <t>Francois-Xavier Leduc</t>
  </si>
  <si>
    <t>Data Cleaning</t>
  </si>
  <si>
    <t>Kili Technology</t>
  </si>
  <si>
    <t>San Jose</t>
  </si>
  <si>
    <t>Greenoaks, Carlos Delatorre, Howie Liu, Nitesh Banta, Richard Socher, Sahir Azam, Spencer Kimball</t>
  </si>
  <si>
    <t>Greenoaks, Founders Fund</t>
  </si>
  <si>
    <t>Varun Mohan</t>
  </si>
  <si>
    <t>GPUs</t>
  </si>
  <si>
    <t>Redpoint, Swift Ventures, Bow Capital, Unusual Ventures</t>
  </si>
  <si>
    <t>Michael Malyuk</t>
  </si>
  <si>
    <t>Labeling</t>
  </si>
  <si>
    <t>Khosla Ventures, Y Combinator, Investo, Justin Mateen</t>
  </si>
  <si>
    <t>Justin Mateen, JAM Fund</t>
  </si>
  <si>
    <t>OpenAI, Lachy Groom, Justin Mateen, Josh Buckley, Gokul Rajaram, Buckley Ventures, Founders Fund</t>
  </si>
  <si>
    <t>Connor Zwick</t>
  </si>
  <si>
    <t>English teacher</t>
  </si>
  <si>
    <t>Speak (usespeak.com) or speak.com?</t>
  </si>
  <si>
    <t>Irvine, CA</t>
  </si>
  <si>
    <t>Orchestration</t>
  </si>
  <si>
    <t>Networking</t>
  </si>
  <si>
    <t>AXON Networks</t>
  </si>
  <si>
    <t>Khosla, General Catalyst, Civilization Ventures</t>
  </si>
  <si>
    <t>Morningside Venture Investments, Khosla Ventures, General Catalyst</t>
  </si>
  <si>
    <t>Neal Khosla</t>
  </si>
  <si>
    <t>Chatbot?</t>
  </si>
  <si>
    <t>Felicis, Sancus Ventures, Greylock, Factory, Zoubin Gharamani, Yi Wang, Varun Badhwar, Remi El-Ouazzane, Ben Hamner, Anthony Goldbloomb</t>
  </si>
  <si>
    <t>Devvret Rishi</t>
  </si>
  <si>
    <t>"Alternative to AutoML", low-code declarative ML platform</t>
  </si>
  <si>
    <t>Edwin Chen</t>
  </si>
  <si>
    <t>Surge AI</t>
  </si>
  <si>
    <t>Enterprise Analytics</t>
  </si>
  <si>
    <t>Aible</t>
  </si>
  <si>
    <t>Heidelberg</t>
  </si>
  <si>
    <t>LEA Partners, Cavalry Ventures, 468 Capital, Public</t>
  </si>
  <si>
    <t>UVC Partners, Earlybird Venture Capital, Lakestar, LEA Partners, Cavalry Ventures, 468 Capital</t>
  </si>
  <si>
    <t>Language Model</t>
  </si>
  <si>
    <t>Jonas Andrulis, Samuel Weinbach</t>
  </si>
  <si>
    <t>Aleph Alpha</t>
  </si>
  <si>
    <t>Dallas</t>
  </si>
  <si>
    <t>Nat Friedman, Daniel Gross, Patrick Collison, Tobi Lutke, Sequoia, Capital Factory, Jim Keller</t>
  </si>
  <si>
    <t>No official announcement</t>
  </si>
  <si>
    <t>2019?</t>
  </si>
  <si>
    <t>AGI</t>
  </si>
  <si>
    <t>John Carmack</t>
  </si>
  <si>
    <t>Keen Technologies</t>
  </si>
  <si>
    <t>www.radai.com</t>
  </si>
  <si>
    <t>Kickstart, Gradient, UP2398, Precursor, Hike Ventures, Harmonix Fund, Fifty Years, City Light, GMO VenturePartners, Array Ventures, Immad Akhund</t>
  </si>
  <si>
    <t>Artis Ventures, Santa Barbara Venture Partners, Quarry, OCV, Kickstart, Gradient Ventures, City Light Capital</t>
  </si>
  <si>
    <t>Doktor Gurson, Jeff Chang</t>
  </si>
  <si>
    <t>Radiology automation</t>
  </si>
  <si>
    <t>Hamburg</t>
  </si>
  <si>
    <t>Jale Beteiligungs</t>
  </si>
  <si>
    <t>True Growth Capital</t>
  </si>
  <si>
    <t>Tim Stracke, Kai Hansen, Christian Wenger, Aurelia Ventures</t>
  </si>
  <si>
    <t>Project A Ventures, Insight Partners, Mountain Partners, Feliks Eyser</t>
  </si>
  <si>
    <t>Taxes</t>
  </si>
  <si>
    <t>German Tax returns</t>
  </si>
  <si>
    <t>ExpressSteuer</t>
  </si>
  <si>
    <t>Softbank Ventures Asia, Company K Partners, Stonebridge Capital, TBT, Primer Sazze Partners, Premier Partners</t>
  </si>
  <si>
    <t>Diverse</t>
  </si>
  <si>
    <t>Consumer AI</t>
  </si>
  <si>
    <t>Upstage AI</t>
  </si>
  <si>
    <t>Learn Capital</t>
  </si>
  <si>
    <t>Satya Nitta</t>
  </si>
  <si>
    <t>Robots for teachers</t>
  </si>
  <si>
    <t>Merlyn Mind</t>
  </si>
  <si>
    <t>Salem, New Hampshire</t>
  </si>
  <si>
    <t>NEA, Open Field Capital, B5 Capital, Cortical Ventures</t>
  </si>
  <si>
    <t>Jeremy Achin, Dmytro Zahanych</t>
  </si>
  <si>
    <t>Los Altos Hills, CA</t>
  </si>
  <si>
    <t>Unusual Ventures, Floodgate</t>
  </si>
  <si>
    <t xml:space="preserve">a16z, Unusual Ventures, The Todd &amp; Rahul Angel Fund, Shrug Capital, Floodgate, Dreamers VC, a16z Cultural Leadership Fund, Tony Liu, Todd Goldberg, Rahul Vohra, Lenny Rachitsky, Julia Lipton, Harry Stebbings, </t>
  </si>
  <si>
    <t>OpenAI, Oana Olteanu, Firestream Ventures, Material V</t>
  </si>
  <si>
    <t>Dennis Xu, Kevin Moody</t>
  </si>
  <si>
    <t>Productivity tool, note-taking</t>
  </si>
  <si>
    <t>Credo Ventures, Concept Ventures</t>
  </si>
  <si>
    <t>Nat Friedman, Daniel Gross</t>
  </si>
  <si>
    <t>Mati Staniszewski, Piotr Dabkowski</t>
  </si>
  <si>
    <t>Voice API</t>
  </si>
  <si>
    <t>ElevenLabs</t>
  </si>
  <si>
    <t>GGV Capital, SAP.iO, Yunqi Partners</t>
  </si>
  <si>
    <t>Canaan, Yunqi Partners, SAP.iO, Mango Capital, GGV Capital</t>
  </si>
  <si>
    <t>Han Xiao, Xuanbin He</t>
  </si>
  <si>
    <t>Multimodal LLM? LLMops</t>
  </si>
  <si>
    <t>NFX</t>
  </si>
  <si>
    <t>Summit, NFX</t>
  </si>
  <si>
    <t>Photos</t>
  </si>
  <si>
    <t>Ron Oren, Yoav Chai, Yotam Gil</t>
  </si>
  <si>
    <t>Lightroom editing assistant</t>
  </si>
  <si>
    <t>Imagen</t>
  </si>
  <si>
    <t>Sequoia, Engineering</t>
  </si>
  <si>
    <t>Sequoia, Ram Shriram, Harpoon, Engineering Capital, Alex Balkanski</t>
  </si>
  <si>
    <t>Tiger, Sequoia, Harpoon, Engineering Capital</t>
  </si>
  <si>
    <t>Yaron Singer</t>
  </si>
  <si>
    <t>Stress Test AI Models</t>
  </si>
  <si>
    <t>Google, Greylock, SVA, Factory</t>
  </si>
  <si>
    <t>Mojo</t>
  </si>
  <si>
    <t>Chris Lattner, Tim Davis</t>
  </si>
  <si>
    <t>www.eigentech.com</t>
  </si>
  <si>
    <t>Temasek, Goldman</t>
  </si>
  <si>
    <t>Lakestar, Dawn Capital, Temasek, Goldman</t>
  </si>
  <si>
    <t>37 at 113</t>
  </si>
  <si>
    <t>Documents</t>
  </si>
  <si>
    <t>Jonathan Feuer, Lewis Z. Liu</t>
  </si>
  <si>
    <t>Document processing/automation</t>
  </si>
  <si>
    <t>Capital G, Xavier Sarras, Roland Boubela, Noam Brown, Nat Friedman, Mehdi Ghissassi, Klaudius Kalcher, Fredrik Hjelm, Florian Huber, Elad Gil, Daniel Dippold, Bryan Pellegrino, Arthur Breitman, Amplify Partners, Adam Jafer, 10x Founders</t>
  </si>
  <si>
    <t>Auto-programmer</t>
  </si>
  <si>
    <t>Magic (magic.dev)</t>
  </si>
  <si>
    <t>Amadeus, Partech, Miele Venture, Air Street</t>
  </si>
  <si>
    <t>Temasek, Radical Ventures, Partech, Oriol Vinyals, Jose Valim, Francois Collet, Ashish Vaswani, Amadeus Capital, Air Street Capital</t>
  </si>
  <si>
    <t>Alberto Rizzoli</t>
  </si>
  <si>
    <t>Saint Louis, MO</t>
  </si>
  <si>
    <t>Equity.com</t>
  </si>
  <si>
    <t>Rice Park, Equity.com</t>
  </si>
  <si>
    <t>TMC Emerging Technology Fund, Rice Park Capital Management</t>
  </si>
  <si>
    <t>&gt;1500 customers</t>
  </si>
  <si>
    <t>Helpdesk</t>
  </si>
  <si>
    <t>Chris Sims, David Karandish</t>
  </si>
  <si>
    <t>AI helpdesk for employees and customers</t>
  </si>
  <si>
    <t>Capacity</t>
  </si>
  <si>
    <t>a16z, Unlock Venture Partners, Mantis Venture Capital, Advancit, Keen Crypto</t>
  </si>
  <si>
    <t>Seed: $25m valuation</t>
  </si>
  <si>
    <t>a16z, Keen Crypto, Mantis Venture Capital, Solana Ventures, Unlock Venture Partners, Sonam Kapoor Ahuja, Michael Ovitz, Keen Crypto, Infinity Ventures Crypto, Advancit Capital, Capitoria</t>
  </si>
  <si>
    <t>Games</t>
  </si>
  <si>
    <t>David Raskino, Rahul Sood</t>
  </si>
  <si>
    <t>MechaFightClub fail, pivot from crypto</t>
  </si>
  <si>
    <t>Irreverant Labs</t>
  </si>
  <si>
    <t>G42, Plug and Play, HCS, ARM, Arya Bolurfrushan, Price Stefan</t>
  </si>
  <si>
    <t>DeepDoc, Insurance</t>
  </si>
  <si>
    <t>Disney Accelerator</t>
  </si>
  <si>
    <t>SignalFIre, Cathay Innovation, NextGen Venture Partners, Eniac Ventures, Elad Gil, Coatue</t>
  </si>
  <si>
    <t>Noah Horton, Tyler Willis</t>
  </si>
  <si>
    <t>NEA, Marc Lore, Accel</t>
  </si>
  <si>
    <t>Marc Lore, Melissa Bridgeford</t>
  </si>
  <si>
    <t>Ecommerce BS</t>
  </si>
  <si>
    <t>Wizard</t>
  </si>
  <si>
    <t>Kleiner Perkins, CRV, The.AI Ventures, Sequoia, Meta</t>
  </si>
  <si>
    <t>Bitkraft Ventures, Disney, The Venture Reality Fund, Nate Mitchell, NaHC03, Microsoft, Kleiner Perkins, CRV</t>
  </si>
  <si>
    <t>Intel Capital, Section 32, The Venture Reality Fund, SK, NTT Docomo Ventures, Micron Ventures, Microsoft, LG Technology Ventures, Kleiner Perkins, HTC, Founders Fund, First Spark Ventures, CRV, Bitkraft Ventures</t>
  </si>
  <si>
    <t>Gaming</t>
  </si>
  <si>
    <t>Ilya Gelfenbeyn, Kylan Gibbs, Michael Ermolenko</t>
  </si>
  <si>
    <t>Character templates for NPCs</t>
  </si>
  <si>
    <t>Inworld</t>
  </si>
  <si>
    <t>TLV Partners, Spider Capital, Philippe Suchet</t>
  </si>
  <si>
    <t>Viola Ventures, TLV Partners, Spider Capital, Operator Partners, Matias Ventures, Michael Black</t>
  </si>
  <si>
    <t>Scale Venture Partners, Viola Ventures, TLV Partners, Spider Capital</t>
  </si>
  <si>
    <t>2018</t>
  </si>
  <si>
    <t>Avatars</t>
  </si>
  <si>
    <t>Gil Elbaz</t>
  </si>
  <si>
    <t>Synthetic character library, mainly enterprise but very cool</t>
  </si>
  <si>
    <t>Datagen</t>
  </si>
  <si>
    <t>Maryland</t>
  </si>
  <si>
    <t>General Analyst, a16z</t>
  </si>
  <si>
    <t>2022</t>
  </si>
  <si>
    <t>Alex Miller, Munjal Shah, Vishal Parikh</t>
  </si>
  <si>
    <t>Healthcare LLM</t>
  </si>
  <si>
    <t>Trinity Ventures, Foundation Capital, Brett Wilson</t>
  </si>
  <si>
    <t>Battery Ventures, Trinity Ventures, The House Fund, Swift Ventures, Foundation Capital</t>
  </si>
  <si>
    <t>TCV, Swift Ventures, Foundation Capital, Battery Ventures</t>
  </si>
  <si>
    <t>Aparna Dhinakaran, Jason Lopatecki</t>
  </si>
  <si>
    <t>Lightspeed, YC, Threshold Ventures, Tom Brown, Jonas Schneider, Drew Houston, Astera Institute, Arash Ferdowsi</t>
  </si>
  <si>
    <t>Kanjun Qiu, Josh Albrecht</t>
  </si>
  <si>
    <t>Crackhead stuff, I love it</t>
  </si>
  <si>
    <t>Generally Intelligent</t>
  </si>
  <si>
    <t>Haystack, Lightspeed Venture Partners, Bloomberg</t>
  </si>
  <si>
    <t>Lux Capital, Lightspeed Venture Partners, Haystack, Bloomberg Beta</t>
  </si>
  <si>
    <t>Insight Partners, Lux Capital, Lockheed Martin Ventures, Lightspeed Venture Partners, Haystack, Bossanova, Bloomberg Beta, Amazon Alexa Fund, Alteryx</t>
  </si>
  <si>
    <t>Amit Paka, Krishna Gade, Manoj Cheenath</t>
  </si>
  <si>
    <t>TSVC</t>
  </si>
  <si>
    <t>Note</t>
  </si>
  <si>
    <t>SK Hynix, Playground Global, Microsoft, Nautilus Venture Partners, Marvell, Entrada Ventures</t>
  </si>
  <si>
    <t>AI Chip</t>
  </si>
  <si>
    <t>Sid Sheth</t>
  </si>
  <si>
    <t>Intel Capital, Samsung, Lenovo, AI Fund</t>
  </si>
  <si>
    <t>McRock Capital, AI Fund, CPPIB, DRIVE Catalyst, Insight Partners, Intel Capital, Samsung Catalyst Fund, Taiwania Capital Management, Walsin Lihwa</t>
  </si>
  <si>
    <t>Andrew Ng</t>
  </si>
  <si>
    <t>Visual inspection for manufacturing</t>
  </si>
  <si>
    <t>Pat Condo</t>
  </si>
  <si>
    <t>Search engine</t>
  </si>
  <si>
    <t>Seekr Technologies</t>
  </si>
  <si>
    <t>Dell, Wing, +ND, Amplfiy</t>
  </si>
  <si>
    <t>Fidelity, Wing Venture, +ND Capital, Dell, Amplify, Alter Venture, Adage</t>
  </si>
  <si>
    <t>Fidelity, Lip-Bu Tan</t>
  </si>
  <si>
    <t>MSD Partners, Wing Venture Capital, +ND Capital, Fidelity, Dell, Amplify Partners, Alter Venture Partners, Lip-Bu Tan</t>
  </si>
  <si>
    <t>VentureTech Alliance, Navin Chaddha</t>
  </si>
  <si>
    <t>Krishna Rangasayee, Steven J. Rosston</t>
  </si>
  <si>
    <t>Palette, semiconductors</t>
  </si>
  <si>
    <t>Sima.AI</t>
  </si>
  <si>
    <t>Cathay Innovation, Zetta, Plug and Play, Firebolt, Citi, Bloomberg Beta</t>
  </si>
  <si>
    <t>Dell, Zetta, Liberty Global Ventures, GSR Ventures, Firebolt Ventures, Citi Ventures, Cathay Innovation</t>
  </si>
  <si>
    <t>SVA, Bain</t>
  </si>
  <si>
    <t>Index, Firstminute, Bain</t>
  </si>
  <si>
    <t>Coatue, Mantis, Index, Firstminute, Bain</t>
  </si>
  <si>
    <t>PyTorch Lightning</t>
  </si>
  <si>
    <t>Nat Friedman, John Collison, Daniel Gross, TechNexus</t>
  </si>
  <si>
    <t>Accel, Y Combinator, TechNexus, Nat Friedman, John Collison, Daniel Gross</t>
  </si>
  <si>
    <t>Insight Partners, Y Combinator, TechNexus, Accel</t>
  </si>
  <si>
    <t>Audio</t>
  </si>
  <si>
    <t>Dylan Fox</t>
  </si>
  <si>
    <t>Audio transcription</t>
  </si>
  <si>
    <t>Sequoia, SVA, A.Capital, Tristan handy, Sridhar Ramaswamy, Ronald Conway, Rob Eldridge, Li Fan, Igor Perisic, Greg Greeley, David Chaiken, Cory Scott</t>
  </si>
  <si>
    <t>Sequoia Capital, SVA, A.Capital Ventures, Ronald Conway, Michael Stoppelman, Michael Ovitz, Kevin Hartz, Frank Slootman, Clement Delangue</t>
  </si>
  <si>
    <t>Dong Wang, Hema Raghavan, Jure Leskovec, Vanja Josifovski</t>
  </si>
  <si>
    <t>Revenue/BI</t>
  </si>
  <si>
    <t>OpenAI, Jeff Dean, Elad Gil</t>
  </si>
  <si>
    <t>Sequoia, OpenAI, Conviction VC, SVA, Elad Gil</t>
  </si>
  <si>
    <t>15000 waiting list</t>
  </si>
  <si>
    <t>Gabriel Pereyra, Winston Weinberg</t>
  </si>
  <si>
    <t>GPT Lawyer</t>
  </si>
  <si>
    <t>HarveyAI</t>
  </si>
  <si>
    <t>Zizhu Xiaomiao Fund, Huashan Capital, ZhenFund, IMO Ventures</t>
  </si>
  <si>
    <t>Sequoia Capital China, Peak XV, Zizhu Xiaomiao Fund, ZhenFund, IMO Ventures, Huashan Capital</t>
  </si>
  <si>
    <t>VenturesLab, Tiger, Peak XV, Huashan Capital, First Plus, Coatue, Cathay Innovation</t>
  </si>
  <si>
    <t>Singaporean GPT call centers</t>
  </si>
  <si>
    <t>Netherlands</t>
  </si>
  <si>
    <t>Zetta Venture Partners, ING Ventures, Alex van Leeuwen</t>
  </si>
  <si>
    <t>NEA, Cortical Ventures, Zetta, SAV, ING Ventures, GTMfund</t>
  </si>
  <si>
    <t>Index Ventures, NEA, Battery Ventures, Cortical Ventures, ING Ventures, Zetta Venture Partners</t>
  </si>
  <si>
    <t>Vector Store</t>
  </si>
  <si>
    <t>Vector Database</t>
  </si>
  <si>
    <t>Elad Gil, Yann LeCun, Pieter Abbeel, Oriol Vinyals, Nat Friedman, Clement Delangue, Ashish Vaswani, Andrej Karpathy, Amjad Masad</t>
  </si>
  <si>
    <t>Susan Wojcicki, Soleio Cuervo, Paul Buchheit, NEA, Nat Friedman, Jeff Dean, Elad Gil, Databricks, Bob Muglia</t>
  </si>
  <si>
    <t>Andy Konwinski</t>
  </si>
  <si>
    <t>Raising $20m from Sequoia</t>
  </si>
  <si>
    <t>Prompt</t>
  </si>
  <si>
    <t>Harrison Chase</t>
  </si>
  <si>
    <t>Popular tool</t>
  </si>
  <si>
    <t>Langchain</t>
  </si>
  <si>
    <t>Delaware, US</t>
  </si>
  <si>
    <t>private and profitable, no investors or debt'</t>
  </si>
  <si>
    <t>No Investors</t>
  </si>
  <si>
    <t>John Snow Labs</t>
  </si>
  <si>
    <t>www.d-id.com</t>
  </si>
  <si>
    <t>Pitango, Y Combinator, Pegasus, Maverick, Foundation</t>
  </si>
  <si>
    <t>Pitango, Y Combinator, Pegasus Tech, Omron, Mindset, Maverick, Hyundai</t>
  </si>
  <si>
    <t>AXA Venture, Omron Ventures, Mindset Ventures, Maverick Ventures, Hyundai, AI Alliance, Pitango</t>
  </si>
  <si>
    <t>Macquarie Capital, OurCrowd, Pitango, OIF Ventures, Maverick, Marubeni, AXA Venture</t>
  </si>
  <si>
    <t>Impressive</t>
  </si>
  <si>
    <t>Eliran Kuta, Gil Perry, Sella Blondheim</t>
  </si>
  <si>
    <t>D-ID.ai</t>
  </si>
  <si>
    <t>Swift Ventures, SkyDeck Berkeley</t>
  </si>
  <si>
    <t>Vertex, Bow, The House Fund</t>
  </si>
  <si>
    <t>Tiger, Vertex, The House Fund, Bow Capital</t>
  </si>
  <si>
    <t>Tiger, Bow Capital, Pitney Bowes, Ahren Innovation</t>
  </si>
  <si>
    <t>David Gealy, Jeff Mahler, Ken Goldberg, Matt Matl, Stephen McKinley</t>
  </si>
  <si>
    <t>Parcel sorter</t>
  </si>
  <si>
    <t>www.syllable.ai</t>
  </si>
  <si>
    <t>NEA, Khosla, Greylock, Esther Dyson</t>
  </si>
  <si>
    <t>Oak HC/FT, Section 32</t>
  </si>
  <si>
    <t>TCV, Verily, Section 32, Oak HC/FT</t>
  </si>
  <si>
    <t>Andrew Rogers, Gui Bastos, Kobus Jooste</t>
  </si>
  <si>
    <t>NLP for healthcare contact</t>
  </si>
  <si>
    <t>Paul Graham, Garry Tan, Raymond Tonsing, Max Levchin, Arjun Lall, Alda Dennis, Justin Kain, Immad Akhund, Solomon Hykes, Aaron Levie, Adora Cheung, Elad Gil, Balaji Srinivasan, Sanjay Dastoor, Oliver Cameron, Ron Conway, Paul Buchheit, Charlie Cheever.</t>
  </si>
  <si>
    <t>Graphics</t>
  </si>
  <si>
    <t>Suhail Doshi</t>
  </si>
  <si>
    <t>Playground.ai</t>
  </si>
  <si>
    <t>Santa Barbara, CA</t>
  </si>
  <si>
    <t>Techstars, Cedars-Sinai Accelerator, Arch Grants</t>
  </si>
  <si>
    <t>TenOneTen Ventures, Freestyle Capital, Cedars-Sinai Accelerator, Techstars</t>
  </si>
  <si>
    <t>Jackson Square Ventures, TenOneTen Ventures, Techstars, Freestyle Capital</t>
  </si>
  <si>
    <t>Techstars, Freestyle Capital</t>
  </si>
  <si>
    <t>Lead Edge Capital, Summation Health Ventures, Structure Capital, Martin Ventures, Jackson Square Ventures, Health Velocity Capital, Freestyle Capital</t>
  </si>
  <si>
    <t>Guillaume De Zwirek, Joe Tischler</t>
  </si>
  <si>
    <t>Patient communication</t>
  </si>
  <si>
    <t>Artera (artera.io, Well Health)</t>
  </si>
  <si>
    <t>DST Global Partners, Radical Ventures, Snowflake</t>
  </si>
  <si>
    <t>2022?</t>
  </si>
  <si>
    <t>Yasa: enterprise LLM</t>
  </si>
  <si>
    <t>Reka</t>
  </si>
  <si>
    <t>Northwell, Aegis Ventures</t>
  </si>
  <si>
    <t>Venture studio/platform</t>
  </si>
  <si>
    <t>AI Fund, NEA, Social Discovery Group, Jazz Venture Partners, Gaingels</t>
  </si>
  <si>
    <t>Leaps by Bayer</t>
  </si>
  <si>
    <t>Temasek, Jazz, What If, Owl Ventures, NEA, Mirae Asset, Kicker Ventures, Gaingels, Bossanova, BlackRock, Alumni Ventures, AI Fund</t>
  </si>
  <si>
    <t>Alison Darcy</t>
  </si>
  <si>
    <t>Lightspeed, Index Ventures, Sofina, Redpoint, Motier Ventures, LocalGlobe, La Famiglia, JCDecaux Holding SA, Headline, Firstminute, Exor, Bpifrance, Eric Schmidt, Xavier Niel, Rodolphe Saade</t>
  </si>
  <si>
    <t>Worked on Llama at META</t>
  </si>
  <si>
    <t>2023</t>
  </si>
  <si>
    <t>Timothee Lacroix, Guillaume Lample, Arthur Mensch</t>
  </si>
  <si>
    <t>Seed Round</t>
  </si>
  <si>
    <t>Coatue, Kleiner Perkins, Tau Ventures, Quiet Capital, Qasar Younis, Ian Goodfellow, Gradient Ventures, Gokul Rajaram, Firebolt Ventures, Aparna Chennapragada</t>
  </si>
  <si>
    <t>Google Ventures, Kleiner Perkins, Operator Partners, Coatue, Aashima Gupta</t>
  </si>
  <si>
    <t>Clinical call automation</t>
  </si>
  <si>
    <t>Infinitus Systems (infinitus.ai)</t>
  </si>
  <si>
    <t>Outlier Ventures, Blockwall</t>
  </si>
  <si>
    <t>GDA Group</t>
  </si>
  <si>
    <t>DWF Labs</t>
  </si>
  <si>
    <t>Hard to take seriously</t>
  </si>
  <si>
    <t>Blockchain Dev Platform</t>
  </si>
  <si>
    <t>Humayun Sheikh, Thomas Hain, Toby Simpson</t>
  </si>
  <si>
    <t>"Agentverse"</t>
  </si>
  <si>
    <t>Fetch.ai</t>
  </si>
  <si>
    <t>Eric Schmidt, Ram Shriram, Paul Buchheit, Kkosla Ventures, Keval Desai, Elad Gil, Don Burnette, Deep Nishar, Avichal Garg</t>
  </si>
  <si>
    <t>Seed: 18m valuation</t>
  </si>
  <si>
    <t>Index Ventures, Eric Schmidt, Decibel Partners, Erica Schultz, Jeannette Furstenberg, Jerry Yang, Mariam Naficy, Ram Shriram</t>
  </si>
  <si>
    <t>Series A: $45m valuation</t>
  </si>
  <si>
    <t>Index, Decibel, Coatue</t>
  </si>
  <si>
    <t>Tiger, Index, Coatue, Alkeon</t>
  </si>
  <si>
    <t>Arvind Sundararajan</t>
  </si>
  <si>
    <t>Enterprise focus</t>
  </si>
  <si>
    <t>Italy</t>
  </si>
  <si>
    <t>Pietro Giuliani, Giorgio Chiellini, Andrea Bocelli</t>
  </si>
  <si>
    <t>Not disclosed</t>
  </si>
  <si>
    <t>Agents</t>
  </si>
  <si>
    <t>Vedrai</t>
  </si>
  <si>
    <t>500 Global, Greylock</t>
  </si>
  <si>
    <t>Coatue, Greylock, Audacious Ventures</t>
  </si>
  <si>
    <t>Lightspeed, Greylock, Coatue, Wing Venture Capital, Eric Schmidt, Emad Mostaque, David Luan, Bipul Sinha, Audacious Ventures, 8VC</t>
  </si>
  <si>
    <t>Powerpoint</t>
  </si>
  <si>
    <t>Point72 Ventures, Sands Capital Ventures, Passion Capital, Entrepreneur First, Amadeus Capital Partners</t>
  </si>
  <si>
    <t>Khosla Ventures, Sands Capital Ventures, Point72 Ventures, Passion Capital, Entrepreneur First, Amadeus Capital Partners</t>
  </si>
  <si>
    <t>Georgian, Twilio, Point72 Ventures, Khosla Ventures, Amadeus Capital Partners</t>
  </si>
  <si>
    <t>Miton, StartupYard</t>
  </si>
  <si>
    <t>LocalGlobe, Vijay Pandurangan, StartupYard, Seedcamp, Ryan Petersen, MITON, Michael Stoppelman, Elad Gil</t>
  </si>
  <si>
    <t>General Catalyst, Verissimo Ventures, Seedcamp, MITON, LocalGlobe, Dig Ventures, Elad Gil</t>
  </si>
  <si>
    <t>KYC, AP, Supply Chain</t>
  </si>
  <si>
    <t>Petr Baudis, Tomas Gogar, Tomas Tunys</t>
  </si>
  <si>
    <t>Document intake</t>
  </si>
  <si>
    <t>Loiusville, KY</t>
  </si>
  <si>
    <t>The Rise Fund</t>
  </si>
  <si>
    <t>Weather</t>
  </si>
  <si>
    <t>Chris Goode</t>
  </si>
  <si>
    <t>Forecasting. "Dalton AI"</t>
  </si>
  <si>
    <t>Climavision</t>
  </si>
  <si>
    <t>Vitruvian Partners, June Fund, Cumberland VC</t>
  </si>
  <si>
    <t>Leaps by Bayer, Bertelsmann, Farallon, Red River West, Vitruvian Partners, Samsung Catalyst Fund, Mutschler Ventures, Inteligo, F4</t>
  </si>
  <si>
    <t>Claire Novorol, Daniel Nathrath, Martin Hirsch</t>
  </si>
  <si>
    <t>Symptom Checker</t>
  </si>
  <si>
    <t>Coatue, Breyer Capital, J&amp;J, Koch Disruptive Technologies, Walden Catalyst, Time Ventures, TheFactory, Steve Blank, Michael Driscoll, Marc Benioff, Lip-Bu Tan, Jim Breyer, Jeff Dean, Dennis Wong, Clarence So, Chris Re, Amarjit Gill</t>
  </si>
  <si>
    <t>Andre Esteva</t>
  </si>
  <si>
    <t>Diagnostics</t>
  </si>
  <si>
    <t>Reading, UK</t>
  </si>
  <si>
    <t>Rockefeller Foundation</t>
  </si>
  <si>
    <t>The Social Entrepreneurs Fund, Sovereign's Capital, Dolma Impact Fund</t>
  </si>
  <si>
    <t>Weatherford Capital, FTV Capital</t>
  </si>
  <si>
    <t>Mark Sears, Tom Puskarich</t>
  </si>
  <si>
    <t>Lux, Avalon Ventures, Amplify</t>
  </si>
  <si>
    <t>DCVC, Lux, In-Q-Tel, Crosslink, Amplify</t>
  </si>
  <si>
    <t>Lux Capital, Section 32, Mubadala, In-Q-Tel, DCVC, Crosslink Capital, Bloomberg Beta, Amplify, AME Cloud Ventures</t>
  </si>
  <si>
    <t>Addition, Steadfast, Sands, Hank Crumpton, Lux, DCVC, Amplify</t>
  </si>
  <si>
    <t>Addition, US Innovative Technology Fund</t>
  </si>
  <si>
    <t>Sean Gourley</t>
  </si>
  <si>
    <t>Seems to be DoD/Gov service</t>
  </si>
  <si>
    <t>Amplify Partners, SVA, Samsung NEXT, Lux Capital, Frees Fund, A.Capital, 11.2 Capital</t>
  </si>
  <si>
    <t>Amplify Partners</t>
  </si>
  <si>
    <t>Index Ventures, Radical Ventures, Amplify Partners</t>
  </si>
  <si>
    <t>Index Ventures, Temasek, Radical Ventures, CPPIB, Amplify</t>
  </si>
  <si>
    <t>Index Ventures, Radical Ventures, Northgate Capital, Gates Frontier Fund, CPPIB, Amplify Partners, AIX Ventures</t>
  </si>
  <si>
    <t>Peter Chen, Pieter Abbeel, Rocky Duan, Tianhao Zhang</t>
  </si>
  <si>
    <t>Fulfillment</t>
  </si>
  <si>
    <t>Pretty crazy</t>
  </si>
  <si>
    <t>ChatGLM, GLM-130B, CodeGeeX, CogView</t>
  </si>
  <si>
    <t>Zhipu</t>
  </si>
  <si>
    <t>Shanghai</t>
  </si>
  <si>
    <t>Linear Venture, Shanghai International, Redpoint Ventures China</t>
  </si>
  <si>
    <t>Creo Capital, Redpoint Ventures China, Linear Venture, Peihua Capital</t>
  </si>
  <si>
    <t>ZJ Innopark, Linear Capital, Guochuang Zhongding</t>
  </si>
  <si>
    <t>Chinese</t>
  </si>
  <si>
    <t>Big Surveillance</t>
  </si>
  <si>
    <t>Supremind</t>
  </si>
  <si>
    <t>Norwest, Webb, True, Menlo, Khosla, First Round, Ram Shriram</t>
  </si>
  <si>
    <t>Icon Ventures, World Innovation Lab, Webb Investment Network, True Ventures, Sherpalo Ventures, Norwest Venture Partners, Menlo Ventures, Khosla Ventures, First Round Capital</t>
  </si>
  <si>
    <t>Thoma Bravo, Goldman Sachs, Zoom, World Innovation Lab, Webb Investment Network, True Ventures, Silicon Valley Bank, Sherpalo Ventures, Norwest Venture Partners, Menlo Ventures, Khosla Ventures, Icon Ventures, First Round Capital</t>
  </si>
  <si>
    <t>Christos Tryfonas, Muddu Sudhakar</t>
  </si>
  <si>
    <t>Service desk for customers and employees</t>
  </si>
  <si>
    <t>Louisville, CO</t>
  </si>
  <si>
    <t>Baidu Ventures, Congruent Ventures</t>
  </si>
  <si>
    <t>Sequoia Capital, Sidewalk Infrastructure Partners, Prelude Ventures, Congruent Ventures, Closed Loop Partners, BV Investment Partners</t>
  </si>
  <si>
    <t>XN, Valor Equity Partners, Sidewalk Infrastructure Partners, Sequoia Capital, Google Ventures, Congruent Ventures, Closed Loop Partners</t>
  </si>
  <si>
    <t>Wellington, XN, Valor Equity, Tao Capital, Sidewalk Infrastructure Partners, Sequoia, Range Ventures, Google Ventures, Blue Earth Capital</t>
  </si>
  <si>
    <t>Recycling</t>
  </si>
  <si>
    <t>James Bailey, Matanya Horowitz</t>
  </si>
  <si>
    <t>Waste management, recycling robotics automation</t>
  </si>
  <si>
    <t>Pittsburgh, PA</t>
  </si>
  <si>
    <t>Advantech Capital, Tencent, Oriza Ventures, Northern Light Venture Capital</t>
  </si>
  <si>
    <t>Softbank, Advantech</t>
  </si>
  <si>
    <t>Seems dead</t>
  </si>
  <si>
    <t>Eric Xing, Ning Li, Qirong Ho</t>
  </si>
  <si>
    <t>No-Code ML Automation</t>
  </si>
  <si>
    <t>Softbank, Jim Davidson, Jerry Yang, Henry Kravis, George Roberts</t>
  </si>
  <si>
    <t>Vishal Sikka</t>
  </si>
  <si>
    <t>VianOps, ML Monitoring</t>
  </si>
  <si>
    <t>a16z, Redpoint</t>
  </si>
  <si>
    <t>Spark Capital, Redpoint, a16z, HubSpot Ventures</t>
  </si>
  <si>
    <t>OpenAI, Spark, Redpoint, Daniel Gross, a16z</t>
  </si>
  <si>
    <t>Not an AI company</t>
  </si>
  <si>
    <t>Andrew Mason</t>
  </si>
  <si>
    <t>Video Editor</t>
  </si>
  <si>
    <t>Descript</t>
  </si>
  <si>
    <t>Pitango VC, TPY Capital</t>
  </si>
  <si>
    <t>Walden Catalyst</t>
  </si>
  <si>
    <t>Ahren Innovation, Pitango VC, TPY Capital, Walden Catalyst</t>
  </si>
  <si>
    <t>API</t>
  </si>
  <si>
    <t>Ori Goshen</t>
  </si>
  <si>
    <t>Jurassic-2</t>
  </si>
  <si>
    <t>AI21 Labs</t>
  </si>
  <si>
    <t>www.weka.io</t>
  </si>
  <si>
    <t>Walden, Qualcomm, Norwest, Gemini Israel, CID Group</t>
  </si>
  <si>
    <t>Hitachi, NVIDIA, MoreTech, Micron, Key 1, Ibex, HPE, Cisco</t>
  </si>
  <si>
    <t>Generation, Samsung, Qualcomm, NVIDIA, Norwest, MoreTech Ventures, Mirae, Micron, Lumir, Key 1, Hewlett Packard Enterprise, Gemini Israel, Celesta, Atreides, 10D</t>
  </si>
  <si>
    <t>Liran Zvibel, Maor BenDayan</t>
  </si>
  <si>
    <t>Data Platform</t>
  </si>
  <si>
    <t>Weka</t>
  </si>
  <si>
    <t>Madrona, Amplify</t>
  </si>
  <si>
    <t>Amplify, Madrona</t>
  </si>
  <si>
    <t>Addition, Amplify, Madrona</t>
  </si>
  <si>
    <t>Tiger, Madrona, Amplify, Addition</t>
  </si>
  <si>
    <t>Built on Apache TVM</t>
  </si>
  <si>
    <t>Luis Ceze</t>
  </si>
  <si>
    <t>Wing</t>
  </si>
  <si>
    <t>Wing, Tiger, Menlo</t>
  </si>
  <si>
    <t>a16z, ICONIQ, Menlo, Wing Venture</t>
  </si>
  <si>
    <t>Popular VectorDB</t>
  </si>
  <si>
    <t>Edo Liberty</t>
  </si>
  <si>
    <t>www.meero.com</t>
  </si>
  <si>
    <t>Thibaud Elziere, Nicolas Douay, Jeremy Yap, Global Founders Capital, FJ Labs, Aglae Ventures</t>
  </si>
  <si>
    <t>Global Founders Capital, Alven, Aglae Ventures, White Star</t>
  </si>
  <si>
    <t>White Star, Idinvest, Alven, Global Founders Capital, Aglae, Nicolas Douay, Jeremy Yap</t>
  </si>
  <si>
    <t>Prime Ventures, Eurazeo, Avenir, White Star, Idinvest, GR Capital, Global Founders Capital, Cascade, Alven, Aglae</t>
  </si>
  <si>
    <t>Guillaume Lestrade, Thomas Rebaud</t>
  </si>
  <si>
    <t>www.shift-technology.com</t>
  </si>
  <si>
    <t>Accel, IRIS, HDS Capital, Elaia</t>
  </si>
  <si>
    <t>General Catalyst, Accel, IRIS, Elaia</t>
  </si>
  <si>
    <t>Bessemer, IRIS, General Catalyst, Accel</t>
  </si>
  <si>
    <t>Advent, IRIS, Guidewire, General Catalyst, Bessemer, Avenir, Accel</t>
  </si>
  <si>
    <t>Guidewire, Advent, General Catalyst, Bessemer, Alma Mundi, Accel</t>
  </si>
  <si>
    <t>David Durrleman, Eric Sibony, Jeremy Jawish</t>
  </si>
  <si>
    <t>Underwriting, compliance, claims, etc.</t>
  </si>
  <si>
    <t>www.openspace.ai</t>
  </si>
  <si>
    <t>Sterling.VC, Lux Capital, Goldcrest, Foundation, Fairhaven, BoxGroup, Baidu, AngelList Talent, NSF</t>
  </si>
  <si>
    <t>Lux Capital, Zigg, WeWork Labs, Suffolk Technologies, Navitas, JLL, Goldcrest</t>
  </si>
  <si>
    <t>Menlo Ventures, Zigg Capital, Taronga, Nine Four, Navitas, Lux, JLL</t>
  </si>
  <si>
    <t>Alkeon, Zigg, PSP, New World Development, Navitas, Menlo, Lux, JLL, GreenPoint</t>
  </si>
  <si>
    <t>PSP Growth, Taronga, GreenPoint, Sino Group, Nine Four Ventures, Navitas, Mirae, Menlo, Lux, JLL Spark, Harmonic Growth, Fischer Homes, BlackRock, Alpaca VC, Alkeon</t>
  </si>
  <si>
    <t>Jeevan Kalanithi, Michael Fleischman, Philip DeCamp</t>
  </si>
  <si>
    <t>Construction CV analytics</t>
  </si>
  <si>
    <t>Scale Venture Partners, Steadview Capital, Nexus Venture Partners, Emergent Ventures, 01 Advisors</t>
  </si>
  <si>
    <t>Nexus Venture Partners, Y Combinator, MGV, Liquid 2 Ventures, Hack VC, Emergent Ventures, Nick Candito, Jonathan Downey, Gokul Rajaram</t>
  </si>
  <si>
    <t>Scale Venture Partners, Steadview, Nexuxs Venture, Emergent, 01 Advisors</t>
  </si>
  <si>
    <t>Menlo Ventures, Scale Venture Partners, NGP Capital, Next47, Emergent Ventures, Bossanova Investimentos</t>
  </si>
  <si>
    <t>Softbank, Zoom, Steadview, Scale, NGP Capital, Nexus Venture Partners, Next47, Menlo Ventures, Emergent Ventures</t>
  </si>
  <si>
    <t>Call Centers</t>
  </si>
  <si>
    <t>Sharath Keshava Narayana, Swapnil Jain</t>
  </si>
  <si>
    <t>Call center</t>
  </si>
  <si>
    <t>Salesforce, Lightspeed, Madrona, GV, Menlo, Microsoft</t>
  </si>
  <si>
    <t>Abhay Parasnis</t>
  </si>
  <si>
    <t>SVA, Greylock, Google, Accel, In-Q-Tel</t>
  </si>
  <si>
    <t>Greylock, In-Q-Tel, Google</t>
  </si>
  <si>
    <t>Lightspeed, Nepenthe, In-Q-Tel, Greylock, Google, Boston Trust Walden, Blackrock</t>
  </si>
  <si>
    <t>BlackRock, Addition, Lightspeed, Greylock, Google Ventures, Nepenthe, Stonebridge, Walden</t>
  </si>
  <si>
    <t>Quiet</t>
  </si>
  <si>
    <t>Lee Fixel</t>
  </si>
  <si>
    <t>Snorkel Flow: Data Labeling</t>
  </si>
  <si>
    <t>Mark Cuban</t>
  </si>
  <si>
    <t>LDV Capital, VAS Ventures, Tiny VC, Seedcamp, MMC Ventures, Taavet Hinrikus, Mark Cuban</t>
  </si>
  <si>
    <t>FirstMark, MMC Ventures</t>
  </si>
  <si>
    <t>Kleiner Perkins, Seedcap, s16vc, MMC Ventures, LDV Capital, Google Ventures, FirstMark</t>
  </si>
  <si>
    <t>Accel, nVentures, Kleiner Perkins, Google Ventures, FirstMark, Olivier Pomel, Amjad Masad, Alex Wang</t>
  </si>
  <si>
    <t>Lourdes Agapito, Matthias Niessner, Steffen Tjerrild, Victor Riperbelli</t>
  </si>
  <si>
    <t>a16z, The House Fund, NEA, Intel, Dwight Crow, Ant Group, Amplify, 11.2 Capital</t>
  </si>
  <si>
    <t>NEA, Intel, Foundation, a16z</t>
  </si>
  <si>
    <t>a16z, Addition, NEA, Intel, Foundation</t>
  </si>
  <si>
    <t>Intel, Addition, Foundation, Sancus</t>
  </si>
  <si>
    <t>Team who created Ray</t>
  </si>
  <si>
    <t>Ion Stoica, Michael Jordan, Philipp Moritz, Robert Nishihara</t>
  </si>
  <si>
    <t>Shenzhen</t>
  </si>
  <si>
    <t>5Y, Gaorong</t>
  </si>
  <si>
    <t>Sequoia China, Gaorong, 5Y</t>
  </si>
  <si>
    <t>Game, NPC world</t>
  </si>
  <si>
    <t>Liu Yongsheng</t>
  </si>
  <si>
    <t>Crazy video game NPC thingy</t>
  </si>
  <si>
    <t>Parametrix AI</t>
  </si>
  <si>
    <t>Sequoia, a16z, SVA, Lux</t>
  </si>
  <si>
    <t>Sequoia, a16z, Lux</t>
  </si>
  <si>
    <t>Sequoia, a16z</t>
  </si>
  <si>
    <t>Kleiner Perkins, Tiger, Snowflake, Sequoia, Databricks, Bain, a16z</t>
  </si>
  <si>
    <t>Original Uber AI team</t>
  </si>
  <si>
    <t>Michael Del Balso, Kevin Stumpf</t>
  </si>
  <si>
    <t>Feature Store</t>
  </si>
  <si>
    <t>Zillionzire, Y Combinator, SVA, Haystack, Garage Technology Ventures, CSC Upshot, 408 Ventures, Aventures Capital</t>
  </si>
  <si>
    <t>Lightspeed, Y Combinator, SVA, Shasta Ventures, Mindrock Capital, Index Ventures, Ross Mason, Kendall Collins, Jake Seid, Dharmesh Shah, David Schellhase, Brian Goldfarb</t>
  </si>
  <si>
    <t>a16z, Lightspeed Venture Partners, GGV Capital, Y Combinator</t>
  </si>
  <si>
    <t>ICONIQ, Y Combinator, Maropost Ventures, GGV Capital, Frontline Ventures, a16z, Lightspeed Venture Partners, John Thompson, Godfrey Sullivan, Frank Slootman</t>
  </si>
  <si>
    <t>Mubadala Capital, Akkadian Ventures, Sand Hill Angels, Lightspeed Venture Partners, ICONIQ, Gaingels</t>
  </si>
  <si>
    <t>Oleg Rogynskyy</t>
  </si>
  <si>
    <t>Revenue/Sales Management</t>
  </si>
  <si>
    <t>Lightspeed, Kleiner Perkins, Slack</t>
  </si>
  <si>
    <t>General Catalyst, Slack, Lightpseed, Kleiner Perkins</t>
  </si>
  <si>
    <t>Sequoia, Slack Fund, Lightspeed, Kleiner Perkins, General Catalyst</t>
  </si>
  <si>
    <t>Arvind Jain</t>
  </si>
  <si>
    <t>Enterprise Search</t>
  </si>
  <si>
    <t>Bosch, Eldridge</t>
  </si>
  <si>
    <t>Lightspeed, Qualcomm</t>
  </si>
  <si>
    <t>Qualcomm, Lightspeed, Eldridge, DJF, Bosch</t>
  </si>
  <si>
    <t>SoftBank, Eldridge, Qualcomm, Lightspeed</t>
  </si>
  <si>
    <t>Eylon Etshtein, Neil Robertson, Shlomo Benartzi</t>
  </si>
  <si>
    <t>CV, security</t>
  </si>
  <si>
    <t>www.vastaitech.com</t>
  </si>
  <si>
    <t>Redpoint, Kuaishou, 5Y</t>
  </si>
  <si>
    <t>Matrix China, China Internet Investment Fund</t>
  </si>
  <si>
    <t>PICC, Matrix Partners China, Alibaba, 5Y, Redpoint, Mouhua Science and Technology, irae, Glory Ventures, Co-Stone Venture Capital, China Science and Technology Innovation</t>
  </si>
  <si>
    <t>Semiconductor</t>
  </si>
  <si>
    <t>John Qian</t>
  </si>
  <si>
    <t>Zaitian cards</t>
  </si>
  <si>
    <t>Alibaba, Glory Ventures, Jeneration Capital, Geely, Fosun, Yunqi</t>
  </si>
  <si>
    <t>Maxwell Zhou</t>
  </si>
  <si>
    <t>Self-Driving Car</t>
  </si>
  <si>
    <t>Deeproute</t>
  </si>
  <si>
    <t>No outside investors, only 9 employees</t>
  </si>
  <si>
    <t>David Holz</t>
  </si>
  <si>
    <t>Discord Bot</t>
  </si>
  <si>
    <t>Self-Funded</t>
  </si>
  <si>
    <t>Midjourney</t>
  </si>
  <si>
    <t>Greylock, Andrej Karpathy, Addition, Chris Re, Howie Liu, Joe Morrissey, Root Ventures, Sarah Meyohas, Scott Belsky</t>
  </si>
  <si>
    <t>Spark Capital, General Catalyst, PSP Growth, NVDA, MSFT, Greylock, Frontiers Capital, Caterina Fake, Atlassian, Addition, A.Capital, SVA, Workday</t>
  </si>
  <si>
    <t>Pre-product…</t>
  </si>
  <si>
    <t>David Luan</t>
  </si>
  <si>
    <t>A.Capital, SVA, Paul Buchheit, Nat Friedman, Elad Gil</t>
  </si>
  <si>
    <t>Andreessen Horowitz, A.Capital, Elad Gil, Nat Friedman, SVA</t>
  </si>
  <si>
    <t>Noam Shazeer</t>
  </si>
  <si>
    <t>Character AI</t>
  </si>
  <si>
    <t>Trinity Ventures, Hack VC, Gaingels, Bloomberg Beta</t>
  </si>
  <si>
    <t>Insight Partners, Bloomberg Beta, Richard Socher, Jeff Hammerbacher, Nat Friedman, Trinity Ventures, Pieter Abbeel, Coatue, Tom Preston-Werner</t>
  </si>
  <si>
    <t>Nvidia, Coatue, Bond, Insight Partners, Felicis</t>
  </si>
  <si>
    <t>OpenAI is a customer</t>
  </si>
  <si>
    <t>Lukas Biewald, Chris Pelt, Shawn Lewis</t>
  </si>
  <si>
    <t>Model Tool Platform</t>
  </si>
  <si>
    <t>Weights and Biases</t>
  </si>
  <si>
    <t>NEXT Canada, DMZ</t>
  </si>
  <si>
    <t>Bessemer Venture Partners, Version One Ventures, Two Small Fish Ventures</t>
  </si>
  <si>
    <t>FirstMark, Version One, Leaders Fund, Giant Ventures, Burst Capital, Bessemer, Barney Pell</t>
  </si>
  <si>
    <t>Accel, Version One, Ramen Ventures, Leaders Fund, FirstMark, Burst Capital, Bessemer, Accel</t>
  </si>
  <si>
    <t>Spark Capital, Tiger, Version One, Giant Ventures, FirstMark, Burst Capital, Bessemer, Accel</t>
  </si>
  <si>
    <t>David Hariri, Mike Murchison</t>
  </si>
  <si>
    <t>CX Chatbots</t>
  </si>
  <si>
    <t>Ada.cx (Toronto)</t>
  </si>
  <si>
    <t>www.enflame-tech.com</t>
  </si>
  <si>
    <t>Tencent, ZhenFund, Yunhe, Summitview, Delta</t>
  </si>
  <si>
    <t>Yunhe Partners, Tencent, RiverHead, Redpoint, Oceanpine, China Equity</t>
  </si>
  <si>
    <t>Summitview, ZhenFund, Tencent, Redpoint, Delta</t>
  </si>
  <si>
    <t>Primavera, CPE, CICC Alpha, Summitview, Tencent, Redpoint</t>
  </si>
  <si>
    <t>Arthur Zhang, Lidong Zhao</t>
  </si>
  <si>
    <t>Mangrove, Comcast, 14W, Primary Ventures, Max Ventures, Lerer Hippeau, BoxGroup, bessemer</t>
  </si>
  <si>
    <t>Mangrove, 14W, Primary, Max, Lerer Hippeau, Elevance Health, Comcast, BoxGroup, BlackPine, 14W</t>
  </si>
  <si>
    <t>Valor Equity Partners, PICO Venture Partners, Max Ventures, Marcy Venture Partners, Atreides Management, 14W</t>
  </si>
  <si>
    <t>Valor Equity Partners, PICO Venture Partners, GGV Capital, Primary Ventures, Max Ventures, Marcy Venture Partners, LTS Investments, Kaiser Permanente, Counterpart Advisors, BoxGroup, Bienville Capital, Atreides Ventures, 14W</t>
  </si>
  <si>
    <t>Allon Bloch</t>
  </si>
  <si>
    <t>Healthcare app</t>
  </si>
  <si>
    <t>Lux</t>
  </si>
  <si>
    <t>Amplify, Lux, Compound, Bossanova</t>
  </si>
  <si>
    <t>Coatue, Amplify, Compound, Lux</t>
  </si>
  <si>
    <t>Lux, Madrona, Felicis, Compound, Coatue, Amplify</t>
  </si>
  <si>
    <t>Cristobal Valenzuela, Anastasis Germanidis</t>
  </si>
  <si>
    <t>www.builder.ai</t>
  </si>
  <si>
    <t>Lakestar, Jungle Ventures, Deepcore</t>
  </si>
  <si>
    <t>IFC, Christian Edler</t>
  </si>
  <si>
    <t>Insight Partners, WndrCo, Jungle Ventures, IFC, Blue Lion, Revo Capital, Nikesh Arora</t>
  </si>
  <si>
    <t>Qatar, Jungle Ventures, Insight Partners, ICONIQ Capital, Blue Lion Global</t>
  </si>
  <si>
    <t>MSFT partnership</t>
  </si>
  <si>
    <t>Sachin Dev Duggal, Saurabh Dhoot</t>
  </si>
  <si>
    <t>No-code app development</t>
  </si>
  <si>
    <t>Quebec</t>
  </si>
  <si>
    <t>Quarry, Bossanova</t>
  </si>
  <si>
    <t>AAF, Foundation, Four Cities</t>
  </si>
  <si>
    <t>Coatue, Insight Partners, Foundation Capital, Bessemer, IVP, HubSpot, Founders Circle</t>
  </si>
  <si>
    <t>John Morgan, Dave Rogenmoser</t>
  </si>
  <si>
    <t>www.eightfold.ai</t>
  </si>
  <si>
    <t>Foundation, South Park Commons</t>
  </si>
  <si>
    <t>IVP, Lightspeed, Foundation</t>
  </si>
  <si>
    <t>General Catalyst, Lightspeed, IVP, Foundation, Capital One</t>
  </si>
  <si>
    <t>SoftBank, Lightspeed, IVP, General Catalyst, Foundation, Capital One</t>
  </si>
  <si>
    <t>Ashutosh Garg, Varun Kacholia</t>
  </si>
  <si>
    <t>Upskilling, Internal placements</t>
  </si>
  <si>
    <t>EightFold AI</t>
  </si>
  <si>
    <t>www.skydio.com</t>
  </si>
  <si>
    <t>a16z, CAA Ventures, Accel, Matt Bellamy</t>
  </si>
  <si>
    <t>Playground, IVP, Parcel B, a16z, Accel, Thirty Five Ventures</t>
  </si>
  <si>
    <t>Next47, Playground Global, NTT Docomo, Levitate Capital, IVP</t>
  </si>
  <si>
    <t>a16z, UP Partners, Next47, NaHCO3, Linse Capital, IVP</t>
  </si>
  <si>
    <t>Linse Capital, UP Partners, NVIDIA, IVP, Hercules, DoCoMo, Axon, a16z</t>
  </si>
  <si>
    <t>Mostly a drone company</t>
  </si>
  <si>
    <t>Drones</t>
  </si>
  <si>
    <t>Abraham Bachrach, Adam Bry, Matt Donahoe</t>
  </si>
  <si>
    <t>SIG China, Nokia</t>
  </si>
  <si>
    <t>SIG China, Tiantu Capital, NGP Capital, China-ASEAN etst Investment Cooperation Fund</t>
  </si>
  <si>
    <t>SIG China, CITIC, NGP</t>
  </si>
  <si>
    <t>Derek Li, Jason Wei Zhou, Wei Cui</t>
  </si>
  <si>
    <t>Squirrel AI Learning</t>
  </si>
  <si>
    <t>Hillhouse, Wuyuan Capital, Northern Light Venture, Neumann Advisors, NetEase, IDG Capital, GGV Capital, 5Y Capital</t>
  </si>
  <si>
    <t>Microsoft spinout? 660m users WW?</t>
  </si>
  <si>
    <t>Digital humans, chatbot</t>
  </si>
  <si>
    <t>Xiaoice (fka Bombax)</t>
  </si>
  <si>
    <t>Thirty Five Ventures, Kevin Durant, Betaworks, A. Capital, Ronny Conway</t>
  </si>
  <si>
    <t>Lux Capital, Thirty Five Ventures, Betaworks, A. Capital, Greg Brockman, Richard Socher, Charles Zedlewski, Augusto Marietti</t>
  </si>
  <si>
    <t>Addition, Rich Kleiman, Richard Socher, Paul St. John, Olivier Pomel, Lux Capital, Kevin Durant, Florian Douetteau, Dev Ittycheria, Betaworks, Augusto Marietti, Alex Wang, A. Capital</t>
  </si>
  <si>
    <t>Lux Capital, Thirty Five Ventures, SVA, Sequoia Capital, Cygni Capital, Coatue, Betaworks, Rich Kleiman, Olivier Pomel, Kevin Durant, AIX Ventures, Addition, A.Capital</t>
  </si>
  <si>
    <t>OpenAssistant</t>
  </si>
  <si>
    <t>Clement Delangue</t>
  </si>
  <si>
    <t>Hugging Face</t>
  </si>
  <si>
    <t>Section 32, Raqel Urtasun, Radical Ventures, Pieter Abebeel, Index Ventures, Geoff Hinton, Fei-Fei Li</t>
  </si>
  <si>
    <t>Tiger, Section32, Radical Ventures, Index Ventures, Geoff Hinton, Raqel Urtasun, Fei-Fei Li, Pieter Abbeel</t>
  </si>
  <si>
    <t>Inovia, Thomvest, SentinelOne, Schroders, Salesforce, Oracle, Nvidia, Mirae, Index, DTCP</t>
  </si>
  <si>
    <t>Wanted higher valuation</t>
  </si>
  <si>
    <t>Aidan Gomez, Nick Frosst</t>
  </si>
  <si>
    <t>Command</t>
  </si>
  <si>
    <t>Lightspeed, Bain</t>
  </si>
  <si>
    <t>Sapphire Ventures, Kleiner Perkins, ICONIQ Capital, Lightspeed, Comerica Bank's Technology, Bain, John Thompson</t>
  </si>
  <si>
    <t>Tiger, Alkeon</t>
  </si>
  <si>
    <t>Employee Experience</t>
  </si>
  <si>
    <t>Bhavin Shah</t>
  </si>
  <si>
    <t>Chiratae Ventures, YourNest Venture Capital</t>
  </si>
  <si>
    <t>JC2 Ventures, IIFL Finance</t>
  </si>
  <si>
    <t>March Capital, Sistema Asia Capital, Patni Wealth Advisors, Patni Family, National Grid Partners, March Capital, Iron Pillar, CXO Fund, Chiratae Ventures</t>
  </si>
  <si>
    <t>Sorenson Capital, Sistema Capital, Serena, Sanabil, National Grid Partners, March Capital, Iron Pillar, Cisco, Chiratae Ventures</t>
  </si>
  <si>
    <t>NEA, March Capital, GoldenArc Capital</t>
  </si>
  <si>
    <t>Ravi Saraogi, Umesh Sachdev</t>
  </si>
  <si>
    <t>CX</t>
  </si>
  <si>
    <t>Uniphore (Jacada)</t>
  </si>
  <si>
    <t>www.shield.ai</t>
  </si>
  <si>
    <t>SVB Capital, Riot.vc, Homebrew, Breyer, a16z</t>
  </si>
  <si>
    <t>Point72</t>
  </si>
  <si>
    <t>Disruptive, Point72, Breyer, a16z</t>
  </si>
  <si>
    <t>Snowpoint, SVB, Riot, Point72, Homebrew, Disruptive, Breyer, a16z</t>
  </si>
  <si>
    <t>Aircraft</t>
  </si>
  <si>
    <t>Andrew Reiter, Brandon Tseng, Ryan Tseng</t>
  </si>
  <si>
    <t>AI Pilot</t>
  </si>
  <si>
    <t>www.graphcore.ai</t>
  </si>
  <si>
    <t>Samsung, Bosch, Amadeus, Pitango, Molten, Foundation, C4, Dell</t>
  </si>
  <si>
    <t>Sequoia, Samsung, Pitango, Molten, Foundation, Dell, C4, Bosch, Amadeus</t>
  </si>
  <si>
    <t>Microsoft, BMW, Sofina, Sequoia, Pitango, Molten, Foundation, Dell, C4, Bosch, Atomico, Amadeus, Ahren</t>
  </si>
  <si>
    <t>Mayfair, Sofina, Latitude, Chrysalis, Baillie Gifford, Amadeus, Ahren</t>
  </si>
  <si>
    <t>Ontario Teachers', Sequoia, Schroders, Sofina, YTWO, Samsung, Pitango, Molten, Microsoft, M&amp;G, Mayfair, Foundation, Fidelity, Dell, Chrysalis, C4, Bosch, BMW, Baillie Gifford, Atomico, Amadeus, Ahren</t>
  </si>
  <si>
    <t>Possibly worthless</t>
  </si>
  <si>
    <t>IPU</t>
  </si>
  <si>
    <t>Nigel Toon, Simon Knowles</t>
  </si>
  <si>
    <t>www.momenta.cn</t>
  </si>
  <si>
    <t>Blue Lake, Shunwei, ZhenFund, Sinovation, Blue Lake</t>
  </si>
  <si>
    <t>NIO Capital, UnityVC, Sinovation, Shunwei, NIO, Mercedes, Cathay</t>
  </si>
  <si>
    <t>Pagoda, NIO Capital, InnoVen, Tencent, China Merchants Group, CCB International</t>
  </si>
  <si>
    <t>Toyota, SAIC, Bosch, YF Capital, Tencent, Temasek, Shunwei, Mercedes-Benz, Cathay Capital, GM, IDG Capital</t>
  </si>
  <si>
    <t>EV FSD</t>
  </si>
  <si>
    <t>Coatue, Fourth Revolution, Kadmos, Lightspeed, O'Shaughnessy</t>
  </si>
  <si>
    <t>Emad Mostaque</t>
  </si>
  <si>
    <t>Stable Diffusion</t>
  </si>
  <si>
    <t>www.symphonyai.com</t>
  </si>
  <si>
    <t>Romesh Wadhwani</t>
  </si>
  <si>
    <t>Vertical focused, eg AML</t>
  </si>
  <si>
    <t>SymphonyAI</t>
  </si>
  <si>
    <t>www.4paradigm.com</t>
  </si>
  <si>
    <t>Sinovation, Sequoia Capital China, Fengshion Capital</t>
  </si>
  <si>
    <t>ZWC Partners, ICBC, CCB, Bank of China</t>
  </si>
  <si>
    <t>Tusholdings, Three Gorges Capital, CTBC Bank, China Reform, China Poly, Ag Bank, Bank of Communications, Huyu Equity, Sequoia Capital China</t>
  </si>
  <si>
    <t>Lenovo, Green Pine, Co-Stone Venture, Cisco, CITIC, Capikris Foundation, Songhe Capital, Cornerstone Capital</t>
  </si>
  <si>
    <t>Primavera Capital, HOPU, Boyu, Sequoia Capital China, Mubadala, Junci Investment, Jinyi Capital, Haitong, Goldman Sachs, FountainVest, CITIC, China Securities, China Reform, China Jianyin, Chinda Development Bank</t>
  </si>
  <si>
    <t>IPO Soon</t>
  </si>
  <si>
    <t>Feng Tian, Qiang Yang, Shiwei Hu, Wenyuan Dai, Yuqiang Chen</t>
  </si>
  <si>
    <t>Chinese AI/ML Platform</t>
  </si>
  <si>
    <t>TPG Growth, Sutter Hill Ventures, The Rise Fund, Breyer Capital</t>
  </si>
  <si>
    <t>IPO</t>
  </si>
  <si>
    <t>Thomas Siebel</t>
  </si>
  <si>
    <t>AI</t>
  </si>
  <si>
    <t>C3</t>
  </si>
  <si>
    <t>www.dataiku.com</t>
  </si>
  <si>
    <t>Battery, Serena, FirstMark, Alven</t>
  </si>
  <si>
    <t>ICONIQ, FirstMark, Dawn, Battery, Alven</t>
  </si>
  <si>
    <t>Stripes, Tiger, ICONIQ, FirstMark, Dawn, CapitalG, Battery</t>
  </si>
  <si>
    <t>Tiger, Snowflake, Lightrock, Insight, ICONIQ, FirstMark, Eurazeo, Dawn Capital, CapitalG, Battery, Olivier Pomel</t>
  </si>
  <si>
    <t>Wellington, Insight Partners, Eurazeo, Olivier Pomel</t>
  </si>
  <si>
    <t>Clément Stenac, Florian Douetteau, Marc Batty, Thomas Cabrol</t>
  </si>
  <si>
    <t>Data Science/ML platform</t>
  </si>
  <si>
    <t>www.megvii.com</t>
  </si>
  <si>
    <t>Sinovation, Comet</t>
  </si>
  <si>
    <t>Qiming, Sinovation</t>
  </si>
  <si>
    <t>Foxteq Holdings, Sinovation, Qiming, Foxxcon, CCB International</t>
  </si>
  <si>
    <t>Foxconn, Ant, Sunshine Insurance, SK Group, Russia-China Investment Fund, China Reform Holdings</t>
  </si>
  <si>
    <t>Bank of China Group Investment, Macquarie, ICBC, Alibaba, ADIA</t>
  </si>
  <si>
    <t>IPO soon</t>
  </si>
  <si>
    <t>Qi Yin, Wenbin Tang, Yang Mu</t>
  </si>
  <si>
    <t>AI Engine, Brain++, Face++, surveillance</t>
  </si>
  <si>
    <t>www.dataminr.com</t>
  </si>
  <si>
    <t>Wharton, Viceroy, SuRo, General Advance, Deep Fork</t>
  </si>
  <si>
    <t>IVP, Wharton, SuRo, Deep Fork</t>
  </si>
  <si>
    <t>Fidelity, WorldQuant, Wellington, Venrock, Richmond Global, IVP, Glynn, FJ Labs, Credit Suisse, BoxGroup, Vikram Pandit, Thomas Glocer, Noam Gottesman, Nicolas Berggruen, Jose Marin, John Mack, Fabrice Grinda</t>
  </si>
  <si>
    <t>Series D at 570m</t>
  </si>
  <si>
    <t>Vulcan, Planven, Kite, Blue Ivy, Alumni</t>
  </si>
  <si>
    <t>Series E at 1200</t>
  </si>
  <si>
    <t>Valor Equity, Pritzker, Reinvent, MSD, Morgan Stanley, Moore, Lurra, IVP, Eldridge, Eden Global, DNS Capital, ArrowMark</t>
  </si>
  <si>
    <t>Alerts</t>
  </si>
  <si>
    <t>Jeffrey Kinsey, Sam Hendel, Theodore Bailey</t>
  </si>
  <si>
    <t>Real-time alerts for breaking news</t>
  </si>
  <si>
    <t>www.cerebras.net</t>
  </si>
  <si>
    <t>Benchmark, SVA, Eclipse</t>
  </si>
  <si>
    <t>Sequoia, Foundation, Eclipse, Benchmark, Altimeter</t>
  </si>
  <si>
    <t>Vy Capital, Foundation Capital, Eclipse Ventures, Coatue, Benchmark, Altimeter</t>
  </si>
  <si>
    <t>Alpha Wave Ventures, Empede Capital, Abu Dhabi Growth Fund</t>
  </si>
  <si>
    <t>Whole Wafer</t>
  </si>
  <si>
    <t>Andrew Feldman, Gary Lauterbach, Jean-Philippe Fricker, Michael James, Sean Lie</t>
  </si>
  <si>
    <t>CS-1</t>
  </si>
  <si>
    <t>Microsoft, Reid Hoffman, Bill Gates, Eric Schmidt, NVIDIA</t>
  </si>
  <si>
    <t>Said they wanted to raise $600m in March 2023, hasn’t materialized</t>
  </si>
  <si>
    <t>Reid Hoffman, Mustafa Suleyman</t>
  </si>
  <si>
    <t>Pi</t>
  </si>
  <si>
    <t>www.thoughtspot.com</t>
  </si>
  <si>
    <t>Geodesic, General Catalyst, Lightspeed, Khosla, Quentin Clark</t>
  </si>
  <si>
    <t>Lightspeed, Capital One, HP</t>
  </si>
  <si>
    <t>Sapphire, Lightspeed, Next Play, Khosla, General Catalyst, Future Fund, Decacorn, BluePointe</t>
  </si>
  <si>
    <t>145 at 855</t>
  </si>
  <si>
    <t>Lightspeed, Silver Lake, Sapphire, Geodesic, Empede</t>
  </si>
  <si>
    <t>248 at 1700</t>
  </si>
  <si>
    <t>March Capital, Snowflake, Sapphire, Lightspeed, Khosla, GIC, General Catalyst, Capital One</t>
  </si>
  <si>
    <t>Abhishek Rai, Ajeet Singh, Amit Prakash, Priyendra Deshwal, Sanjay Agrawal, Shashank Gupta, Vijay Ganesan</t>
  </si>
  <si>
    <t>James McClave, Jaan Tallinn, Eric Schmidt, Dustin Moskovitz, CERR</t>
  </si>
  <si>
    <t>Google</t>
  </si>
  <si>
    <t>Spark, Zoom, Sound, Salesforce, Menlo, Google</t>
  </si>
  <si>
    <t>Public benefit corp, EA-coded</t>
  </si>
  <si>
    <t>Dario Amodei, Tom Brown</t>
  </si>
  <si>
    <t>Claude</t>
  </si>
  <si>
    <t>www.ubtrobot.com</t>
  </si>
  <si>
    <t>CDH Investments, CITIC Securities, Qiming Venture Partners</t>
  </si>
  <si>
    <t>Series B at 900m</t>
  </si>
  <si>
    <t>Tencent, Telstra Ventures, Minsheng Securities, Haier, Green Pine, CreditEase, CDH Investments</t>
  </si>
  <si>
    <t>James Zhou</t>
  </si>
  <si>
    <t>Chinese AI/robotics</t>
  </si>
  <si>
    <t>www.sambanova.ai</t>
  </si>
  <si>
    <t>Walden International, Google Ventures, Redline Capital, Atlantic Bridge</t>
  </si>
  <si>
    <t>Intel, Walden, Redline, Google, Celesta, Atlantic Bridge</t>
  </si>
  <si>
    <t>BlackRock, Walden International, Redline Capital, Intel, Google, Celesta</t>
  </si>
  <si>
    <t>Series C at 2.3B</t>
  </si>
  <si>
    <t>SoftBank, Walden International, Temasek, Intel, Google, GIC, Celesta, BlackRock</t>
  </si>
  <si>
    <t>Christopher Ré, Kunle Olukotun, Rodrigo Liang</t>
  </si>
  <si>
    <t>GAI for enterprise and government, Hardware</t>
  </si>
  <si>
    <t>NEA, Plug and Play, Omega Venture, Accomplice</t>
  </si>
  <si>
    <t>Sapphire Ventures, Meritech Capital Partners, NEA, Intel, IA Ventures, DFJ Growth</t>
  </si>
  <si>
    <t>Sapphire Ventures, World Innovation Lab, Tiger, Sands Capital Ventures, Oryx Ventures, MEA, Meritech Capital, Intel, GoldenArc, Geodesic, EDBI, DFJ Growth, AllianceBernstein</t>
  </si>
  <si>
    <t>Altimeter Capital, T. Rowe Price, Tiger, Silver Lake, Sapphire Ventures, Oryx Ventures, NEA, Glynn Capital, ClearBridge, BlackRock, B Capital, Snowflake, Salesforce, J-Ventures, HP Enterprise</t>
  </si>
  <si>
    <t>Debanjan Saha, Jeremy Achin, Thomas DeGodoy</t>
  </si>
  <si>
    <t>Datarobot</t>
  </si>
  <si>
    <t>www.gong.io</t>
  </si>
  <si>
    <t>Norwest, NextWorld, Wing, Cisco, Shlomo Kramer</t>
  </si>
  <si>
    <t>Battery, Wing, Norwest, NextWorld, Cisco, Shlomo Kramer, Rob Biederman</t>
  </si>
  <si>
    <t>Sequoia, Wing Venture, Norwest, NextWorld, Cisco, Battery, Shlomo Kramer</t>
  </si>
  <si>
    <t>Coatue, Wing, Thrive, Sequoia, Salesforce, Norwest, NextWorld, Index, Battery</t>
  </si>
  <si>
    <t>Franklin Templeton, Tiger, Thrive, Sequoia, Salesforce, Coatue</t>
  </si>
  <si>
    <t>178m ARR</t>
  </si>
  <si>
    <t>Eilon Reshef</t>
  </si>
  <si>
    <t>Revenue cycle management, transcription</t>
  </si>
  <si>
    <t>Gong.io</t>
  </si>
  <si>
    <t>Y Combinator, Outlander Fund I, Nat Friedman, Ilya Sukhar, Guillermo Rauch, Greg Brockman, Charlie Cheever, Accel</t>
  </si>
  <si>
    <t>Y Combinator, Justin Kan, Index, Drew Houston, Accel</t>
  </si>
  <si>
    <t>Founders Fund, Thrive, Spark, Next Play, Index, Mike Krieger, Kevin Systrom, Coatue, Adam D'Angelo, Accel</t>
  </si>
  <si>
    <t>Tiger, Bradley Horowitz</t>
  </si>
  <si>
    <t>Series D: 3.5B valuation</t>
  </si>
  <si>
    <t>Tiger, Coatue, Y Combinator, Wellington, Index, Human Capital, Greenoaks, Founders Fund, Durable Capital, Dragoneer</t>
  </si>
  <si>
    <t>Lucy Guo co-founder</t>
  </si>
  <si>
    <t>Alexandr Wang</t>
  </si>
  <si>
    <t>Scale</t>
  </si>
  <si>
    <t>www.nuro.ai</t>
  </si>
  <si>
    <t>Greylock, Gaorong</t>
  </si>
  <si>
    <t>SoftBank</t>
  </si>
  <si>
    <t>Series B at 1.8B</t>
  </si>
  <si>
    <t>T. Rowe, SoftBank, Greylock, Fidelity, Baillie Gifford</t>
  </si>
  <si>
    <t>Series C at 4.5B</t>
  </si>
  <si>
    <t>Tiger, Woven Capital, T. Rowe, Softbank, Kroger, Google, Gaorong Capital, Fidelity, Baillie Gifford</t>
  </si>
  <si>
    <t>Possible down round coming</t>
  </si>
  <si>
    <t>Automotive</t>
  </si>
  <si>
    <t>Dave Ferguson, Jiajun Zhu</t>
  </si>
  <si>
    <t>Electric, Autonomous Vehicles</t>
  </si>
  <si>
    <t>www.pony.ai</t>
  </si>
  <si>
    <t>Eight Roads, ClearVue, Sequoia China, Redpoint, Morningside, Hongtai, Green Pine, Delong, DCM Ventures, China Merchants, 5Y Capital, Adrian Cheng</t>
  </si>
  <si>
    <t>Toyota, Sequoia China, Kunlun</t>
  </si>
  <si>
    <t>Ontario Teachers', FAW Group, Eight Roads, ClearVue, 5Y</t>
  </si>
  <si>
    <t>Ontario Teachers', Eight Roads, CITIC/CPE, ClearVue Partners, Brunei IA, 5Y Capital</t>
  </si>
  <si>
    <t>James Peng, Tiancheng Lou</t>
  </si>
  <si>
    <t>Hong Kong</t>
  </si>
  <si>
    <t>Zhongping, WANDA, TCL, CDH, Sailing, StarVC, Infore, Huarong, Everbright</t>
  </si>
  <si>
    <t>Alibaba, Temasek, Suning</t>
  </si>
  <si>
    <t>Tiger, Silver Lake, Fidelity, HOPU, Qualcomm, 5Y, Singtel Innov8</t>
  </si>
  <si>
    <t>Series C: 3.9B valuation</t>
  </si>
  <si>
    <t>Series D: 5B valuation</t>
  </si>
  <si>
    <t>Li Xu, Xiagang Wang, Bing Xu</t>
  </si>
  <si>
    <t>20 HK</t>
  </si>
  <si>
    <t>SenseTime</t>
  </si>
  <si>
    <t>www.nice,com</t>
  </si>
  <si>
    <t>Partially AI</t>
  </si>
  <si>
    <t>Enlighten: customer service, IVR</t>
  </si>
  <si>
    <t>NICE</t>
  </si>
  <si>
    <t>Nice (nice.com)</t>
  </si>
  <si>
    <t>Qingfeng Lu</t>
  </si>
  <si>
    <t>Speech</t>
  </si>
  <si>
    <t>002230 CH</t>
  </si>
  <si>
    <t>iFlyTek</t>
  </si>
  <si>
    <t>Silver Lake, CPPIB, Mubadala, Magna, AutoNation, a16z, Alphabet</t>
  </si>
  <si>
    <t>T. Rowe Price, Tiger, Temasek, Silver Lake, PerryCreek, Mubadala, Magna, Fidelity, CPPIB, AutoNation, a16z, Alphabet</t>
  </si>
  <si>
    <t>Originally a Google division</t>
  </si>
  <si>
    <t>Tekedra Mawakana, Dmitri Dolgov</t>
  </si>
  <si>
    <t>FSD</t>
  </si>
  <si>
    <t>Cruise</t>
  </si>
  <si>
    <t>Big Data</t>
  </si>
  <si>
    <t>Spark</t>
  </si>
  <si>
    <t>PLTR</t>
  </si>
  <si>
    <t>Palantir</t>
  </si>
  <si>
    <t>www.openai.com</t>
  </si>
  <si>
    <t>Reid Hoffman, Khosla</t>
  </si>
  <si>
    <t>Microsoft</t>
  </si>
  <si>
    <t>10B at 19B</t>
  </si>
  <si>
    <t>Wisdom Ventures, Thrive Capital, SVA, Sequoia Capital, K2 Global, a16z</t>
  </si>
  <si>
    <t>GPT4, ChatGPT, Whisper, Code Interpreter, CoPilot</t>
  </si>
  <si>
    <t>www.baidu.com</t>
  </si>
  <si>
    <t>Robin Li</t>
  </si>
  <si>
    <t>DuerOS, AI Cloud, Ernie 3.5</t>
  </si>
  <si>
    <t>BIDU</t>
  </si>
  <si>
    <t>Baidu</t>
  </si>
  <si>
    <t>www.facebook.com</t>
  </si>
  <si>
    <t>Yann Le Cun (Chief AI Scientist), Irina Kofman, Hassan Sawaf, Yoram Talmor, Nafissa Yakubova, Michela Paganini, Joaquin Quiñonero Candela, Marc'Aurelio Ranzato, Yongqiang Wang, Jiajun Shen, Kristin E. Lauter, Mitesh Kumar Singh, Licheng Yu, Marie-Anne Lachaux, Roshan Sumbaly, Benoit Steiner, Antoine Bordes, Kushal Lakhotia, Abdelrahman Mohamed, Pierre Stock, Vaibhav Aggarwal, Melissa Hall, Meng Li, Jerry Ma, Rohan Varma, Adam Polyak, Hengyuan Hu, Stéphane d'Ascoli, Chuan Guo, Alexander H. Miller, Adrien Dufraux, Adina Williams, Awni Hannun, Diane Bouchacourt, Alexis Conneau, Bilge Acun, Amanpreet Singh, Alon Halevy, Hubert Etienne, Gabriel Synnaeve, Yatharth Saraf, Yaniv Taigman, Guillaume Lample (left to start Mistral), Xian Li, Fuchun Peng, Ahmad Beirami, Haoqi Fan, Harry Yang, Yossi Adi, Jack Urbanek, Ari Morcos, Edouard Grave, Yuqing Tang, Herve Jegou, Davide Testuggine, Eliya Nachmani, Zhe Liu, Yinglong Xia, Mark Ibrahim, Zhiyi Ma, Eric Smith, Emily Dinan, Jakob Foerster, Xinlei Chen, Shruti Bhosale, Sergey Edunov, Jason Weston, Satwik Kottur, Stephen Roller, Tatiana Likhomanenko, Shagun Sodhani, Srinivas Narayanan, Qinqing Zheng, Joanna Bitton, Liang Xiong, Ludovic Denoyer, Lorenzo Torresani, Louis Martin, Jiatong Zhou, Juan Pino, Koustuv Sinha, Li Jing, Marcus Rohrbach, Kurt Shuster, Leon Bottou, Jiyan Yang, Jiatao Gu, Karthik Prasad, Kristen Grauman, Manohar Paluri, Madian Khabsa, Marco Baroni, Rui Wang, Dieuwke Hupkes, Yaron Lipman, Chau Tran, Zeki Yalniz, Jeff Smith, Ilya Mironov, Marjan Ghazvininejad, Mani Malek, Matthijs Douze, Maximilian Nickel, Matt Le, Mido Assran, Mike Lewis, Nicolas Usunier, Myle Ott, Maziar Sanjabi, Michael Auli, Michael Rabbat, Narine Kokhlikyan, Aaron Defazio, Noam Brown (left to OpenAI), Nikhila Ravi, Onur Celebi, Oran Gafni, Omry Yadan, Rohit Girdhar, Roberto Calandra, Pascal Vincent, Shaomei Wu, Ramakrishna Vedantam, Raj Kosaraju, Han Fang, Deepak Gopinath, Pushkar Mishra, Chao-Yuan Wu, Caner Hazirbas, Akshara Rai, Abhishek Das, Ashkan Yousefpour, Chris Cummins, Amy Zhang, Chunxi Liu, Christian Fuegen, Carole-Jean Wu, Alexandre Sablayrolles, Brandon Amos, Changhan Wang, Arthur Szlam, Albert Gordo, Andrey Malevich, Armand Joulin, Barlas Oguz, Adriana Soriano, Christoph Feichtenhofer, Alex Peysakhovich, Benjamin Graham, Qiantong Xu, Patrick Lewis, Jeong Min Lee, Alexei Baevski, Ann Lee, Brenden M. Lake, Xiaohui Zhang, Jeff Johnson, Yan Zhu, Dhruv Batra, Fabio Petroni, Tal Hassner, Jacob Khan, Geoffrey Zweig, Ruty Rinott, Cristian Ferrer, David Lopez-Paz, Guan Pang, Denis Yarats, Yann Ollivier, Heng Wang, Edward Grefenstette, Sebastian Riedel, Devi Parikh, Haoran Li, Vitaly Liptchinsky, Duc Le, Weiyi Zheng, Florian Metze, Tamara Berg, Du Tran, Jason Gauci, Hao Ma, Zhicheng Yan, Ronan Collobert, Dhruv Mahajan, Vignesh Ramanathan, Holger Schwenk, Luke Zettlemoyer, Dehua Cheng, Laurens van der Maaten, Douwe Kiela, Sainbayar Sukhbaatar, Tim Rocktaschel, Evgene Kharitonov, Ves Stoyanov, Ser-Nam Lim, Deepti Ghadiyaram, Yuandong TIan, Sean Bell, Aparna Lakshmi Ratan, Sean Chang Culatana, Scott Wen-tau Yih, Ishan Misra, Maja Pantic, Edward Chou, Hongyu Gong, Praveen Krishnan, Spencer Poff, Viet Ha-Thuc, Pedro Rodriguez, Geng Ji, Sida Wang, Zoe Papakipos, Sinong Wang, Filip Radenovic, Yixin Lin, Kevin Liang, Francisco Guzman, Yanghao Li, Karttikeya Mangalam, Gedas Bertasius, Vishrav Chaudhary, Yangyang Shi, Jacqueline Pan, Jerome Pesenti, Stevie Bergman, Alborz Geramifard, Piotr Dollar, Karthik Abinav Sankararaman, Sho Yaida, Mannat Singh, Abhimanyu Dubey, Angela Fan, Kavya Srinet, Hugo Touvron, Yun Wang, Yiming Lin, Lin Xiao, Baptiste Roziere, Vikash Kumar, Jungdam Won, Adeel Cheema, Yipin Zhou, Chinnadhurai Sankar, Vinayak Tantia, Mikayel Samvelyan, Randall Balestriero, Zhaoheng Ni, Igor Shilov, Virginie Do, Nekesha Green, Alexandre Defossez, Sean Liu, Yu (Hugo) Chen, Zheqing (Bill) Zhu, Ruta Desai, Long Jin, Wei-Ning Hsu, Qifan Wang, Minqi Jiang, Joelle Pineau</t>
  </si>
  <si>
    <t>www.nvidia.com</t>
  </si>
  <si>
    <t>NVDA</t>
  </si>
  <si>
    <t>Forbes</t>
  </si>
  <si>
    <t>AMZN</t>
  </si>
  <si>
    <t>AWS</t>
  </si>
  <si>
    <t>Altimeter list</t>
  </si>
  <si>
    <t>www.tesla.com</t>
  </si>
  <si>
    <t>Austin</t>
  </si>
  <si>
    <t>TSLA</t>
  </si>
  <si>
    <t>Tesla</t>
  </si>
  <si>
    <t>NfX list</t>
  </si>
  <si>
    <t>www.google.com</t>
  </si>
  <si>
    <t>Jeff Dean</t>
  </si>
  <si>
    <t>Bard, TensorFlow</t>
  </si>
  <si>
    <t>GOOG</t>
  </si>
  <si>
    <t>Nvidia list</t>
  </si>
  <si>
    <t>www.microsoft.com</t>
  </si>
  <si>
    <t>Satya Nadella</t>
  </si>
  <si>
    <t>MSFT</t>
  </si>
  <si>
    <t>Site</t>
  </si>
  <si>
    <t>Investors</t>
  </si>
  <si>
    <t>Prior Round</t>
  </si>
  <si>
    <t>Sub-Subtype</t>
  </si>
  <si>
    <t>Subtype</t>
  </si>
  <si>
    <t>People</t>
  </si>
  <si>
    <t>Product</t>
  </si>
  <si>
    <t>Last Round</t>
  </si>
  <si>
    <t>MC</t>
  </si>
  <si>
    <t>Ticker</t>
  </si>
  <si>
    <t>Name</t>
  </si>
  <si>
    <t>https://github.com/h2oai/h2ogpt</t>
  </si>
  <si>
    <t>H2O GPT</t>
  </si>
  <si>
    <t>https://huggingface.co/chansung/alpaca-lora-65b/tree/main</t>
  </si>
  <si>
    <t>Alpaca-Lora-65B</t>
  </si>
  <si>
    <t>https://github.com/tloen/alpaca-lora</t>
  </si>
  <si>
    <t>Alpaca-Lora</t>
  </si>
  <si>
    <t>GPT-J</t>
  </si>
  <si>
    <t>https://huggingface.co/datasets/nomic-ai/gpt4all-j-prompt-generations/tree/main/data</t>
  </si>
  <si>
    <t>Yuvanesh Anand, Zach Nussbaum, Brandon Duderstadt, Benjamin Schmidt, Andriy Mulyar</t>
  </si>
  <si>
    <t>GPT4All</t>
  </si>
  <si>
    <t>HumanEval</t>
  </si>
  <si>
    <t>1.75T parameters</t>
  </si>
  <si>
    <t>Wu Dao 2.0</t>
  </si>
  <si>
    <t>Embedding scheme.</t>
  </si>
  <si>
    <t>word2vec</t>
  </si>
  <si>
    <t>word embedding vector</t>
  </si>
  <si>
    <t>Lookup table which represents each word as a vector</t>
  </si>
  <si>
    <t>word embedding layer</t>
  </si>
  <si>
    <t>NLP test</t>
  </si>
  <si>
    <t>WiC</t>
  </si>
  <si>
    <t>convert tokens to vectors</t>
  </si>
  <si>
    <t>vectorize</t>
  </si>
  <si>
    <t>library by Google Brain</t>
  </si>
  <si>
    <t>Trax</t>
  </si>
  <si>
    <t>Huggingface library</t>
  </si>
  <si>
    <t>Transformers</t>
  </si>
  <si>
    <t>Google-invented NN in 2017. 6-layer encoder stack, 6-layer decoder stack. Encoder stack has two major sublayers: multi-headed attention mechanism and fully connected position-wise feedforward network.</t>
  </si>
  <si>
    <t>transformer</t>
  </si>
  <si>
    <t>transfer learning</t>
  </si>
  <si>
    <t>represent each word with a token</t>
  </si>
  <si>
    <t>tokenize</t>
  </si>
  <si>
    <t>Model from HF</t>
  </si>
  <si>
    <t>T5</t>
  </si>
  <si>
    <t>optimize clusters</t>
  </si>
  <si>
    <t>t-SNE</t>
  </si>
  <si>
    <t>Situations with Adversarial Generations</t>
  </si>
  <si>
    <t>SWAG</t>
  </si>
  <si>
    <t>support vector machine</t>
  </si>
  <si>
    <t>Build a classifier of labeled x-y pairs: linear regression vs. logistic regression, SVM, Naïve Bayes</t>
  </si>
  <si>
    <t>supervised learning</t>
  </si>
  <si>
    <t>Leaderboard</t>
  </si>
  <si>
    <t>SuperGLUE</t>
  </si>
  <si>
    <t>stochastic gradient descent</t>
  </si>
  <si>
    <t>Stanford Sentiment Treebank</t>
  </si>
  <si>
    <t>SQuAD</t>
  </si>
  <si>
    <t>Focuses on center word in a window of words and predicts context words around it. Generally contains input layer, weights, hidden layer and output containing the word embeddings, resulting in a d_model vector embedding for each word. Word2vec embedding approach is an example of a skipgram.</t>
  </si>
  <si>
    <t>skip-gram</t>
  </si>
  <si>
    <t>A type of NN that converts one sequence of components into another</t>
  </si>
  <si>
    <t>sequence-to-sequence (Seq2Seq)</t>
  </si>
  <si>
    <t>ends tokenizing</t>
  </si>
  <si>
    <t>SEP</t>
  </si>
  <si>
    <t>semantic role labeling</t>
  </si>
  <si>
    <t>Allows association of each word in the input with other words in the same sentence. Based on query, key and value vectors.</t>
  </si>
  <si>
    <t>self-attention</t>
  </si>
  <si>
    <t>RTE</t>
  </si>
  <si>
    <t>RoBERTa</t>
  </si>
  <si>
    <t>RMSNorm</t>
  </si>
  <si>
    <t>residual connection</t>
  </si>
  <si>
    <t>recurrent neural networks (RNN)</t>
  </si>
  <si>
    <t>positional encoding</t>
  </si>
  <si>
    <t>Planning/modeling language</t>
  </si>
  <si>
    <t>PDDL+</t>
  </si>
  <si>
    <t>Neural Information Processing Systems conference</t>
  </si>
  <si>
    <t>NIPS 2017</t>
  </si>
  <si>
    <t>next sentence prediction (NSP)</t>
  </si>
  <si>
    <t>neural network</t>
  </si>
  <si>
    <t>test for LLMs</t>
  </si>
  <si>
    <t>NaturalQuestions</t>
  </si>
  <si>
    <t>Test for LLMs</t>
  </si>
  <si>
    <t>NarrativeQA</t>
  </si>
  <si>
    <t>MultiRC</t>
  </si>
  <si>
    <t>Uses self-attention to capture different kinds of attentions, for each individual process of self-attention. Divides d_model into 8 64-dimension "heads" to represent different subspaces of how each word relates to another. This output is a matrix Z_i with shape x*d_k</t>
  </si>
  <si>
    <t>multihead attention layer</t>
  </si>
  <si>
    <t>MMLU</t>
  </si>
  <si>
    <t>Megatron-LM</t>
  </si>
  <si>
    <t>4E-5, 1E-4</t>
  </si>
  <si>
    <t>Max Learning Rate</t>
  </si>
  <si>
    <t>Used by decoder to avoid computing attention for future words</t>
  </si>
  <si>
    <t>masking</t>
  </si>
  <si>
    <t>BERT technique</t>
  </si>
  <si>
    <t>masked language modeling</t>
  </si>
  <si>
    <t>loss function</t>
  </si>
  <si>
    <t>long short-term memory (LSTM)</t>
  </si>
  <si>
    <t>Logits</t>
  </si>
  <si>
    <t>logistic regression</t>
  </si>
  <si>
    <t>linear regression</t>
  </si>
  <si>
    <t>do the words go together without respect to position</t>
  </si>
  <si>
    <t>lexical field similarity</t>
  </si>
  <si>
    <t>1990s CNN by Le Cun.</t>
  </si>
  <si>
    <t>LeNet-5</t>
  </si>
  <si>
    <t>80 for Chinchilla, Gopher</t>
  </si>
  <si>
    <t>Layers</t>
  </si>
  <si>
    <t>LayerNorm</t>
  </si>
  <si>
    <t>Operation performed on output of residual connection</t>
  </si>
  <si>
    <t>layer normalization</t>
  </si>
  <si>
    <t>Each individual process of self-attention. 128 for Gopher, 64 for Chinchilla.</t>
  </si>
  <si>
    <t>head</t>
  </si>
  <si>
    <t>GRU</t>
  </si>
  <si>
    <t>gradient descent</t>
  </si>
  <si>
    <t>175 billion parameters</t>
  </si>
  <si>
    <t>GPT-3</t>
  </si>
  <si>
    <t>1.5 billion parameters</t>
  </si>
  <si>
    <t>GPT-2</t>
  </si>
  <si>
    <t>DeepMind 280B parameter LLM</t>
  </si>
  <si>
    <t>Gopher</t>
  </si>
  <si>
    <t>GM</t>
  </si>
  <si>
    <t>GLUE</t>
  </si>
  <si>
    <t>Vector encoding scheme</t>
  </si>
  <si>
    <t>GloVe</t>
  </si>
  <si>
    <t>Google effort to regain supremacy post-OpenAI</t>
  </si>
  <si>
    <t>Gemini</t>
  </si>
  <si>
    <t>gated recurrent neural networks</t>
  </si>
  <si>
    <t>FlashAttention (tiling, recomputation)</t>
  </si>
  <si>
    <t>feed-forward network</t>
  </si>
  <si>
    <t>vector distance from origin</t>
  </si>
  <si>
    <t>Euclidean norm</t>
  </si>
  <si>
    <t>Co-Founded Adept AI, left to start NewCo. Started at Google Brain. FIRST AUTHOR ON TRANSFORMER PAPER.</t>
  </si>
  <si>
    <t>Ashish Vaswani</t>
  </si>
  <si>
    <t>encoder</t>
  </si>
  <si>
    <t>Published 1950 paper Computing Machinery and Intelligence</t>
  </si>
  <si>
    <t>Alan Turing</t>
  </si>
  <si>
    <t>Tokens go from single integers to vectors of d_model dimensions using learned embeddings in the model</t>
  </si>
  <si>
    <t>embedding</t>
  </si>
  <si>
    <t>ilyasu@openai.com</t>
  </si>
  <si>
    <t>Ilya Sutskever</t>
  </si>
  <si>
    <t>can compute gradient estimates of some objective function with respect to its own input and propagate to upstream modules</t>
  </si>
  <si>
    <t>differentiable</t>
  </si>
  <si>
    <t>Founder of Character.ai, 21 years at Google, co-author on Transformer paper.</t>
  </si>
  <si>
    <t>deep neural networks</t>
  </si>
  <si>
    <t>Claude Shannon</t>
  </si>
  <si>
    <t>Google-owned NN company</t>
  </si>
  <si>
    <t>DeepMind</t>
  </si>
  <si>
    <t>Adept AI, former Google giant model production infrastructure</t>
  </si>
  <si>
    <t>Kelsey Schroeder</t>
  </si>
  <si>
    <t>decoder</t>
  </si>
  <si>
    <t>Co-Founded Adept AI, left to start NewCo, author on transformer paper.</t>
  </si>
  <si>
    <t>Niki Parmar</t>
  </si>
  <si>
    <t>Output of every sublayer of transformer architecture, 512 in original Google paper.</t>
  </si>
  <si>
    <t>D_model</t>
  </si>
  <si>
    <t>Adept AI, former Google code generation model</t>
  </si>
  <si>
    <t>Augustus Odena</t>
  </si>
  <si>
    <t>cost function</t>
  </si>
  <si>
    <t>Max Nye</t>
  </si>
  <si>
    <t>compares word embeddings using Euclidean norm in unit spheres</t>
  </si>
  <si>
    <t>cosine similarity function</t>
  </si>
  <si>
    <t>Convolutional Neural Networks</t>
  </si>
  <si>
    <t>John McCarthy</t>
  </si>
  <si>
    <t>In Le Cun's model, a module which performs executive control. Given a task to be executed, it preconfigures the perception module.</t>
  </si>
  <si>
    <t>configurator</t>
  </si>
  <si>
    <t>In 1913, used his process to a 20,000 letter dataset to predict the next chain of letters</t>
  </si>
  <si>
    <t>Andrey Markov</t>
  </si>
  <si>
    <t>Common Crawl</t>
  </si>
  <si>
    <t>Co-Founded Adept AI, former head of engineering at OpenAI, led Google's 'giant model' efforts.</t>
  </si>
  <si>
    <t>classifier</t>
  </si>
  <si>
    <t>Yann LeCun</t>
  </si>
  <si>
    <t>Compute-optimal LLM, 70B parameters</t>
  </si>
  <si>
    <t>Chincilla</t>
  </si>
  <si>
    <t>Alex Krizhevsky</t>
  </si>
  <si>
    <t>CB</t>
  </si>
  <si>
    <t>Created recurrent neural networks in 1982</t>
  </si>
  <si>
    <t>John Hopfield</t>
  </si>
  <si>
    <t>BoolQ</t>
  </si>
  <si>
    <t>machine translation scoring method</t>
  </si>
  <si>
    <t>BLEU</t>
  </si>
  <si>
    <t>Adept AI, former Google production speech recognition</t>
  </si>
  <si>
    <t>Anmol Gulati</t>
  </si>
  <si>
    <t>BERT</t>
  </si>
  <si>
    <t>Adept AI, GPU computing pioneer, DeepMind model scaling effort</t>
  </si>
  <si>
    <t>Erich Elsen</t>
  </si>
  <si>
    <t>Bayesian networks</t>
  </si>
  <si>
    <t>Head of AI at Google</t>
  </si>
  <si>
    <t>3M-6M, 1.5M-3M</t>
  </si>
  <si>
    <t>batch size, head (number)</t>
  </si>
  <si>
    <t>Stanford</t>
  </si>
  <si>
    <t>Tri Dao</t>
  </si>
  <si>
    <t>23rd employee at Google</t>
  </si>
  <si>
    <t>Paul Buchheit</t>
  </si>
  <si>
    <t>Huggingface tool</t>
  </si>
  <si>
    <t>AutoTokenizer</t>
  </si>
  <si>
    <t>Adept AI, former Google data and collaborative AI systems</t>
  </si>
  <si>
    <t>Fred Bertsch</t>
  </si>
  <si>
    <t>Huggingface library for loading pretrained models</t>
  </si>
  <si>
    <t>AutoModel</t>
  </si>
  <si>
    <t>U Toronto professor trained by Hinton</t>
  </si>
  <si>
    <t>Jimmy Ba</t>
  </si>
  <si>
    <t>Connects related words using dot products between word vectors</t>
  </si>
  <si>
    <t>attention</t>
  </si>
  <si>
    <t>The "observation selection effect" suggests that the range of observations we could make is limited by the fact that observations could only happen in a universe capable of developing intelligent life in the first place. The universe has properties that accomodate life because we wouldn't be around to make observations otherwise. There are more than 30 forms of anthropic principles. Weak states the unvierse's tuning is due to selection/survivorship bias. Strong anthropic principle considers the universe compelled to eventually have conscious and sapient life emerge within it. Participatory anthropic principle by Wheeler suggests the universe must be observed. Final AP suggests the universe's structure as expressible by bits of information.</t>
  </si>
  <si>
    <t>anthropic principle</t>
  </si>
  <si>
    <t>n=6 identical layers</t>
  </si>
  <si>
    <t>Decoder</t>
  </si>
  <si>
    <t>Encoder</t>
  </si>
  <si>
    <t>https://github.com/openai/gpt-3/tree/master</t>
  </si>
  <si>
    <t>Selfridge, OG. Pandemonium: a paradigm for learning in mechanisation of thought processes. Proc Symposium on Mechanisation of Thought Processes. 1958.</t>
  </si>
  <si>
    <t>Bengio, Y., Delalleau, O, Le Roux N. The curse of highly variable functions for local kernel machines. In Proc Adv NIPS 2005.</t>
  </si>
  <si>
    <t>Scholkopf, B., Smola, A. Learning with Kernels, MIT Press, 2002.</t>
  </si>
  <si>
    <t>Duda, RO, Hart, PE. Pattern Classification and Scene Analysis. Wiley, 1973.</t>
  </si>
  <si>
    <t>Bottou, L., Bousquet, O. The tradeoffs of large scale learning. In Proc Adv NIPS 2007.</t>
  </si>
  <si>
    <t>This paper showed state-of-the-art machine translation results with the architecture introduced in (72), with a recurrent network trained to read a sentence in one language, produce a semantic representation of its meaning, and generate a translation in another language.</t>
  </si>
  <si>
    <t>Sutskever, I., Vinyals, O., Le, QV. Sequence to sequence learning with neural networks. Proc Adv NIPS 2014.</t>
  </si>
  <si>
    <t>Jean, S., Cho, K, Memisevic, R., Bengio Y. On using very large target vocabulary for neural machine translation. Arxiv 2015.</t>
  </si>
  <si>
    <t>Bordes, A., Chopra, S., Weston, J. Question answering with subgraph embeddings. Proc Empirical Methods in NLP 2014.</t>
  </si>
  <si>
    <t>Xiong, HY. The human splicing code reveals new insights into the genetic determinants of disease. Science 2015.</t>
  </si>
  <si>
    <t>Leung, MK, Xiong HY, Lee, LJ, Frey, BJ. Deep learning of the issue-regulated splicing code. Bioinformatics 2014.</t>
  </si>
  <si>
    <t>Helmstaedter, M., et al. Connectomic reconstruction of the inner plexiform layer in the mouse retina. Nature 2013.</t>
  </si>
  <si>
    <t>Kaggle. Higgs boson machine learning challenge. 2014.</t>
  </si>
  <si>
    <t>Ciodaro, T., Deva, D., de Seixas, J., Damazio, D. Online particle detection with neural networks based on topological calorimetry information. J Phys Conf Series 2012.</t>
  </si>
  <si>
    <t>Ma., J, Sheridan, R. P., Liaw, A., Dahl, G.E, Svetnik, V. Deep neural nets as a method for quantitative structure-activity relationships. J Chem Inf Model 2015.</t>
  </si>
  <si>
    <t>Sainath, T., Mohamed, A.-R., Kingsbury, B., Ramabhadran, B. Deep convolutional neural networks for LVCSR. In Proc. Acoustics, Speech and Signal Processing 2013.</t>
  </si>
  <si>
    <t>Hinton, G. et al. Deep neural networks for acoustic modeling in speech recognition. IEEE Signal Processing Magazine 2012.</t>
  </si>
  <si>
    <t>Mikolov, T., Deoras, A., Povey, D., Burget, L., Cernocky, J. Strategies for training large scale neural network language models. Proc Automat Speech Recog Understand 2011.</t>
  </si>
  <si>
    <t>Tompson, J., Jain, A., LeCun, Y., Bregler, C. Joint training of a convolutional network and a graphical model for human pose estimation. Proc Adv NIPS 2014.</t>
  </si>
  <si>
    <t>Werbos, P. Beyond regression: New tools for prediction and analysis in the behavioral sciences, 1974.</t>
  </si>
  <si>
    <t>Turaga, S., Murray, J., Jain, V., Roth, F., Helmstaedter, M., Briggman, K., Denk, W., Seung, H. Convolutional networks can learn to generate affinity graphs for image segmentation. Neural Comput. 22, 2 (2010), 511–538.</t>
  </si>
  <si>
    <t>Szegedy, C., Liu, W., Jia, Y., Sermanet, P., Reed, S., Anguelov, D., Erhan, D., Vanhoucke, V., Rabinovich, A.  Going deeper with convolutions. In Proceedings of the IEEE Conference on Computer Vision and Pattern Recognition (2015), 1–9.</t>
  </si>
  <si>
    <t>Simard, P., Steinkraus, D., Platt, J. Best practices for convolutional neural networks applied to visual document analysis. In Proceedings of the Seventh International Conference on Document Analysis and Recognition. Volume 2 (2003), 958–962.</t>
  </si>
  <si>
    <t>Sánchez, J., Perronnin, F. Highdimensional signature compression for large-scale image classification. In IEEE Conference on Computer Vision and Pattern Recognition (CVPR), 2011 (2011). IEEE, 1665–1672.</t>
  </si>
  <si>
    <t>Russell, BC, Torralba, A., Murphy, K., Freeman, W. Labelme: A database and web-based tool for image annotation. Int. J. Comput Vis. 77, 1 (2008), 157–173.</t>
  </si>
  <si>
    <t>Rumelhart, D.E., Hinton, G.E., Williams, R.J. Learning internal representations by error propagation. Technical report, DTIC Document, 1985.</t>
  </si>
  <si>
    <t>Pinto, N., Doukhan, D., DiCarlo, J., Cox, D. A high-throughput screening approach to discovering good forms of biologically inspired visual representation. PLoS Comput. Biol. 5, 11 (2009), e1000579.</t>
  </si>
  <si>
    <t>Pinto, N., Cox, D., DiCarlo, J. Why is real-world visual object recognition hard? PLoS Comput. Biol. 4, 1 (2008), e27.</t>
  </si>
  <si>
    <t>Nair, V., Hinton, G.E. Rectified linear units improve restricted Boltzmann machines. In Proceedings of the 27th International Conference on Machine Learning (2010).</t>
  </si>
  <si>
    <t>Mensink, T., Verbeek, J., Perronnin, F.,  Csurka, G. Metric learning for large scale image classification: Generalizing to new classes at near-zero cost. In ECCV – European Conference on Computer Vision (Florence, Italy, Oct. 2012).</t>
  </si>
  <si>
    <t>References</t>
  </si>
  <si>
    <t>This report was a breakthrough that used convolutional nets to almost halve the error rate for object recognition, and precipitated the rapid adoption of deep learning by the computer vision community.</t>
  </si>
  <si>
    <t>Comments</t>
  </si>
  <si>
    <t>Science</t>
  </si>
  <si>
    <t>Neural Networks</t>
  </si>
  <si>
    <t>Neural Computation</t>
  </si>
  <si>
    <t>Mach Learn</t>
  </si>
  <si>
    <t>J Mach Learn Res</t>
  </si>
  <si>
    <t>IEEE Trans Pattern Anal Mach Intell</t>
  </si>
  <si>
    <t>IEEE Signal Processing Magazine</t>
  </si>
  <si>
    <t>Comm ACM</t>
  </si>
  <si>
    <t>ACM SIGKDD Explor</t>
  </si>
  <si>
    <t>Journals</t>
  </si>
  <si>
    <t>Fast curvature matrix-vector products for second-order gradient descent. Schraudolph. Neural Computation 2002.</t>
  </si>
  <si>
    <t>Fast exact multiplication by the hessian. Neural Computation 1994.</t>
  </si>
  <si>
    <t>Numerical Optimization. Nocedal, Wright. Springer 1999.</t>
  </si>
  <si>
    <t>Second-order stagewise back-propagation for hessian-matrix analyses and investigation of negative curvature. Mizutani, Dreyfus. Neural Networks 2008.</t>
  </si>
  <si>
    <t>Efficient backprop. LeCun, Bottou, Orr, Muller. Neural Networks: Tricks of the trade 1998.</t>
  </si>
  <si>
    <t>Reducing the dimensionality of data with neural networks. Hinton, Salakhutdinov. Science 2006.</t>
  </si>
  <si>
    <t>Why does unsupervised pre-training help deep learning? Erhan, Bengio, Courville, Manzagol, Vincent, Bengio. J ML Res 2010.</t>
  </si>
  <si>
    <t>Greedy layer-wise training of deep networks. Bengio, Lamblin, Popvici, Larochelle. NIPS 2007.</t>
  </si>
  <si>
    <t>Adaptive method of realizing natural gradient learning for multilayer perceptrons. Amari Park Fukumizu et al. Neural Computation 2000.</t>
  </si>
  <si>
    <t>Companies</t>
  </si>
  <si>
    <t>Glossary</t>
  </si>
  <si>
    <t>Papers</t>
  </si>
  <si>
    <t>DL Software</t>
  </si>
  <si>
    <t>Martin Shkreli</t>
  </si>
  <si>
    <t>NOYB</t>
  </si>
  <si>
    <t>Z</t>
  </si>
  <si>
    <t>PaLM</t>
  </si>
  <si>
    <t>540B parameters</t>
  </si>
  <si>
    <t>LaMDA</t>
  </si>
  <si>
    <t>DALL-E</t>
  </si>
  <si>
    <t>BERT-Large</t>
  </si>
  <si>
    <t>NPLM</t>
  </si>
  <si>
    <t>NetTalk</t>
  </si>
  <si>
    <t>Neocognitron</t>
  </si>
  <si>
    <t>ADALINE</t>
  </si>
  <si>
    <t>Theseus</t>
  </si>
  <si>
    <t>MNIST</t>
  </si>
  <si>
    <t>handwriting recognition</t>
  </si>
  <si>
    <t>ImageNet</t>
  </si>
  <si>
    <t>Switchboard</t>
  </si>
  <si>
    <t>speech recognition</t>
  </si>
  <si>
    <t>diffusion model</t>
  </si>
  <si>
    <t>Make-A-Video</t>
  </si>
  <si>
    <t>Facebook library</t>
  </si>
  <si>
    <t>Google text-to-3D</t>
  </si>
  <si>
    <t>Jeff Dean, Ben Poole, Jonathan Barron, Ben Mildenhall</t>
  </si>
  <si>
    <t>GET3D</t>
  </si>
  <si>
    <t>Nvidia library</t>
  </si>
  <si>
    <t>MDM</t>
  </si>
  <si>
    <t>Tel Aviv library on human motion diffusion model</t>
  </si>
  <si>
    <t>X-CLIP</t>
  </si>
  <si>
    <t>Microsoft video-to-text</t>
  </si>
  <si>
    <t>ChatGPT, Bing, Co-Pilot, X-CLIP</t>
  </si>
  <si>
    <t>PyTorch, Llama, fairseq, SAM, Voicebox, wav2vec, Galactic, Omni3D, ImageBind, MoDem, I-JEPA, MusicGen, LIMA, Detectron, fastText, OPT</t>
  </si>
  <si>
    <t>OPT</t>
  </si>
  <si>
    <t>Facebook Open Pre-Trained Transformer</t>
  </si>
  <si>
    <t>BlLOOM</t>
  </si>
  <si>
    <t>Language models by Hugging Face</t>
  </si>
  <si>
    <t>AI2</t>
  </si>
  <si>
    <t>Allen Institute open language model</t>
  </si>
  <si>
    <t>Sonya Huang</t>
  </si>
  <si>
    <t>Pat Grady</t>
  </si>
  <si>
    <t>grady@sequoiacap.com</t>
  </si>
  <si>
    <t>sonya@sequoiacap.com</t>
  </si>
  <si>
    <t>David Cahn</t>
  </si>
  <si>
    <t>ex-Coatue</t>
  </si>
  <si>
    <t>Text-to-video, text-to-speech. Hundreds of thousands of users - Coatue</t>
  </si>
  <si>
    <t>Wordtune</t>
  </si>
  <si>
    <t>Mustafa Suleyman</t>
  </si>
  <si>
    <t>Co-founder DeepMind, Co-Founder Inflection AI</t>
  </si>
  <si>
    <t>www.gantry.io</t>
  </si>
  <si>
    <t>Appzen</t>
  </si>
  <si>
    <t>Not really AI?</t>
  </si>
  <si>
    <t>ByteDance</t>
  </si>
  <si>
    <t>Clockwise</t>
  </si>
  <si>
    <t>Cobalt Robotics</t>
  </si>
  <si>
    <t>Deep Instinct</t>
  </si>
  <si>
    <t>DoNotPay</t>
  </si>
  <si>
    <t>Edge Impulse</t>
  </si>
  <si>
    <t>Entos</t>
  </si>
  <si>
    <t>Ghost Autonomy</t>
  </si>
  <si>
    <t>Figma</t>
  </si>
  <si>
    <t>Kustomer</t>
  </si>
  <si>
    <t>Lunchclub</t>
  </si>
  <si>
    <t>Magical</t>
  </si>
  <si>
    <t>Product Science</t>
  </si>
  <si>
    <t>Raycast</t>
  </si>
  <si>
    <t>SiFive</t>
  </si>
  <si>
    <t>SourceGraph</t>
  </si>
  <si>
    <t>Sri Viswanath</t>
  </si>
  <si>
    <t>Basch (dead)</t>
  </si>
  <si>
    <t>www.wave-ai.net</t>
  </si>
  <si>
    <t>Amper (Shutterstock)</t>
  </si>
  <si>
    <t>Ecrett Music</t>
  </si>
  <si>
    <t>Vverse.ai</t>
  </si>
  <si>
    <t>Fathom.video</t>
  </si>
  <si>
    <t>Clearword</t>
  </si>
  <si>
    <t>Sembly.ai</t>
  </si>
  <si>
    <t>Trash.app</t>
  </si>
  <si>
    <t>Grain</t>
  </si>
  <si>
    <t>Vochi</t>
  </si>
  <si>
    <t>Elicit (elicit.org, now ought.org?)</t>
  </si>
  <si>
    <t>NightCafe</t>
  </si>
  <si>
    <t>Astria</t>
  </si>
  <si>
    <t>Kite</t>
  </si>
  <si>
    <t>Failed</t>
  </si>
  <si>
    <t>Trainium, Bedrock, Infernium, CodeWhisperer</t>
  </si>
  <si>
    <t>Every.to</t>
  </si>
  <si>
    <t>AdZis</t>
  </si>
  <si>
    <t>SellScale</t>
  </si>
  <si>
    <t>TLDR this</t>
  </si>
  <si>
    <t>www.tome.app</t>
  </si>
  <si>
    <t>Tome.com</t>
  </si>
  <si>
    <t>air.ai</t>
  </si>
  <si>
    <t>Self-Driving Trucks</t>
  </si>
  <si>
    <t>Zoyi Capital</t>
  </si>
  <si>
    <t>SAIC Capital</t>
  </si>
  <si>
    <t>Quanta Computer</t>
  </si>
  <si>
    <t>Millennium Technology Value Partners</t>
  </si>
  <si>
    <t>MESH</t>
  </si>
  <si>
    <t>Huochebang</t>
  </si>
  <si>
    <t xml:space="preserve">Wanxiang, Guotai Junan, CPE, Sequoia, SAIC, Mayfield, Manbang, Lightspeed, GSR Ventures, China Growth Capital, </t>
  </si>
  <si>
    <t>Wanxiang</t>
  </si>
  <si>
    <t>Guotai Junan International</t>
  </si>
  <si>
    <t>CPE Capital (Australia)</t>
  </si>
  <si>
    <t>Mayfield Fund</t>
  </si>
  <si>
    <t>Manbang Group</t>
  </si>
  <si>
    <t>China Growth Capital</t>
  </si>
  <si>
    <t>Guotai Junan</t>
  </si>
  <si>
    <t>Sequoia China, GSR Ventures</t>
  </si>
  <si>
    <t>GSR Ventures, SAIC, Mayfield, Lightspeed, China Growth Capital, TSVC</t>
  </si>
  <si>
    <t>https://aws.amazon.com</t>
  </si>
  <si>
    <t>www.palantir.com</t>
  </si>
  <si>
    <t>www.databricks.com</t>
  </si>
  <si>
    <t>www.getcruise.com</t>
  </si>
  <si>
    <t>www.waymo.com</t>
  </si>
  <si>
    <t>https://global.iflytek.com/</t>
  </si>
  <si>
    <t>www.sensetime.com</t>
  </si>
  <si>
    <t>www.scale.com</t>
  </si>
  <si>
    <t>www.datarobot.com</t>
  </si>
  <si>
    <t>www.anthropic.com</t>
  </si>
  <si>
    <t>www.inflection.ai</t>
  </si>
  <si>
    <t>www.c3.ai</t>
  </si>
  <si>
    <t>www.stability.ai</t>
  </si>
  <si>
    <t>www.uniphore.com</t>
  </si>
  <si>
    <t>www.moveworks.com</t>
  </si>
  <si>
    <t>www.cohere.com</t>
  </si>
  <si>
    <t>www.huggingface.co</t>
  </si>
  <si>
    <t>Argo AI</t>
  </si>
  <si>
    <t>Volkswagen</t>
  </si>
  <si>
    <t>AutoX</t>
  </si>
  <si>
    <t>Alexander Karp, Joe Lonsdale, Nathan Gettings, Peter Thiel, Stephen Cohen</t>
  </si>
  <si>
    <t>Oakhouse Partners</t>
  </si>
  <si>
    <t>REV (RELX)</t>
  </si>
  <si>
    <t>Lauder Partners</t>
  </si>
  <si>
    <t>Founders Fund, Ulu Ventures, Lauder Partners, Glynn Capital, Konstantin von Unger, Keith Rabois, Jeremy Stoppelman, Benjamin Ling</t>
  </si>
  <si>
    <t>Friends and Family Capital</t>
  </si>
  <si>
    <t>Friends &amp; Family Capital</t>
  </si>
  <si>
    <t>90 at 645m</t>
  </si>
  <si>
    <t>Sozo Ventures, 137 Ventures</t>
  </si>
  <si>
    <t>137 Ventures</t>
  </si>
  <si>
    <t>196.5m at 8B</t>
  </si>
  <si>
    <t>Founders Fund, Artis Ventures</t>
  </si>
  <si>
    <t>Mithril, Artis, Scott H. Cohen</t>
  </si>
  <si>
    <t>www.rungalileo.io</t>
  </si>
  <si>
    <t>Atindriyo Sanyal, Vikram Chatterji, Yash Sheth</t>
  </si>
  <si>
    <t>Unstructured data, LLM studio</t>
  </si>
  <si>
    <t>Battery Ventures, Walden Catalyst, FPV Ventures, The Factory, Anthony Goldbloom</t>
  </si>
  <si>
    <t>TheFactory</t>
  </si>
  <si>
    <t>Factory, Anthony Goldbloom, Young Sohn, Remi El-Ouazzane, Lip-Bu Tan, Amarjit Gill, Ajay Shah</t>
  </si>
  <si>
    <t>www.soterea.cn</t>
  </si>
  <si>
    <t>Software, Hardware, no car</t>
  </si>
  <si>
    <t>Xu Xianjie</t>
  </si>
  <si>
    <t>Ping An Capital, SK China, Henan, Harvest</t>
  </si>
  <si>
    <t>Henan Investment Group</t>
  </si>
  <si>
    <t>Harvest Fund</t>
  </si>
  <si>
    <t>SK China</t>
  </si>
  <si>
    <t>Suspicious</t>
  </si>
  <si>
    <t>Arbe</t>
  </si>
  <si>
    <t>Aurora Labs</t>
  </si>
  <si>
    <t>Alex Kendall, Amar Shah</t>
  </si>
  <si>
    <t>Kajiwoto.ai</t>
  </si>
  <si>
    <t>Automobiles</t>
  </si>
  <si>
    <t>Fleet</t>
  </si>
  <si>
    <t>Eclipse Ventures, Virgin Group, Reference Capital SA, Ocado Group, Necessary Ventures, Moore, Microsoft, Linse Capital, F+ Ventures, D1 Capital, Compound, Balderton Capital, Baillie Gifford, Yann LeCun, Rosemary Leith, Richard Branson, Pieter Abbeel, Linda Levinson, David Richter</t>
  </si>
  <si>
    <t>Virgin Group</t>
  </si>
  <si>
    <t>Reference Capital SA</t>
  </si>
  <si>
    <t>Ocado Group</t>
  </si>
  <si>
    <t>Necessary Ventures</t>
  </si>
  <si>
    <t>F+ Ventures</t>
  </si>
  <si>
    <t>Balderton Capital, Necessary Ventures, Exor Seeds, Fly Ventures, Eclipse Ventures, Compound, Bossanova, Yann LeCun, Steve Girsky, Richard Branson, Linda Levinson, Greg Winter</t>
  </si>
  <si>
    <t>Fly Ventures</t>
  </si>
  <si>
    <t>Eclipse, Necessary, Fly, Firstminute, Balderton, Pieter Abbeel</t>
  </si>
  <si>
    <t>Fly Ventures, Compound, Tiny VC, Firstminute, Zoubin Gharamani</t>
  </si>
  <si>
    <t>regularization</t>
  </si>
  <si>
    <t>DL technique</t>
  </si>
  <si>
    <t>parameter</t>
  </si>
  <si>
    <t>norm</t>
  </si>
  <si>
    <t>penalty</t>
  </si>
  <si>
    <t>constrained</t>
  </si>
  <si>
    <t>noise</t>
  </si>
  <si>
    <t>semi-supervised training/learning</t>
  </si>
  <si>
    <t>multi-task learning</t>
  </si>
  <si>
    <t>sparse representation</t>
  </si>
  <si>
    <t>ensemble methods</t>
  </si>
  <si>
    <t>bagging</t>
  </si>
  <si>
    <t>dropout</t>
  </si>
  <si>
    <t>adversarial training</t>
  </si>
  <si>
    <t>tangent distance</t>
  </si>
  <si>
    <t>tangent drop</t>
  </si>
  <si>
    <t>manifold tangent classifier</t>
  </si>
  <si>
    <t>adaptive learning rate</t>
  </si>
  <si>
    <t>learning rate</t>
  </si>
  <si>
    <t>pooling</t>
  </si>
  <si>
    <t>prior</t>
  </si>
  <si>
    <t>sequence modeling</t>
  </si>
  <si>
    <t>uses recurrent and recursive networks</t>
  </si>
  <si>
    <t>recursive network</t>
  </si>
  <si>
    <t>echo state networks</t>
  </si>
  <si>
    <t>leaky units</t>
  </si>
  <si>
    <t>hyperparameter</t>
  </si>
  <si>
    <t>ML model hub</t>
  </si>
  <si>
    <t>principcal component analysis</t>
  </si>
  <si>
    <t>Probablistic, independent</t>
  </si>
  <si>
    <t>autoencoder</t>
  </si>
  <si>
    <t>Pygmalion</t>
  </si>
  <si>
    <t>Daedalus</t>
  </si>
  <si>
    <t>Hephaestus</t>
  </si>
  <si>
    <t>Galatea</t>
  </si>
  <si>
    <t>Talos</t>
  </si>
  <si>
    <t>Pandora</t>
  </si>
  <si>
    <t>Deep Blue</t>
  </si>
  <si>
    <t>IBM chess playing program, defeated Kasparov in 1997</t>
  </si>
  <si>
    <t>knowledge base</t>
  </si>
  <si>
    <t>Cyc</t>
  </si>
  <si>
    <t>machine learning</t>
  </si>
  <si>
    <t>subgroup of AI where machines can extract patterns from raw data</t>
  </si>
  <si>
    <t>naïve Bayes</t>
  </si>
  <si>
    <t>feature</t>
  </si>
  <si>
    <t>Elements of data for ML algorithms</t>
  </si>
  <si>
    <t>representation learning</t>
  </si>
  <si>
    <t>Encodes text (or any input data) into a vector (or different representation) and transmits to the decoder.</t>
  </si>
  <si>
    <t>Decoder constructs the output sequence based on the vector received from the encoder. In transformers, the decoder produces text sequences and has the multi-headed attention layer, add and norm layers, feed-forward layers, and a linear layer with proabilities of output. In representational learning, and in general, decoders convert encoded representations back into their original formats.</t>
  </si>
  <si>
    <t>An RL algorithm which combines encoder and decoder. Autoencoders try to preserve information, but create new representations with useful properties. Undercomplete, regularized.</t>
  </si>
  <si>
    <t>ML approach which learns the representation of data. See autoencoder. Representation learning has a critical issue: representations are often as hard to obtain as solving the original problem. Deep learning is the solution.</t>
  </si>
  <si>
    <t>deep learning</t>
  </si>
  <si>
    <t>Aaron Matos</t>
  </si>
  <si>
    <t>Olivia, AI recruiter, onboarding</t>
  </si>
  <si>
    <t>Thoma Bravo, Stripes, Sapphire, Workday, Willoughby Capital, Twilio, Principia Growth, Indeed, Geodesic Capital, DLA Piper, Brighton Park, Blue Cloud</t>
  </si>
  <si>
    <t>Willoughby Capital</t>
  </si>
  <si>
    <t>Principia Growth</t>
  </si>
  <si>
    <t>Indeed</t>
  </si>
  <si>
    <t>DLA Piper</t>
  </si>
  <si>
    <t>Brighton Park</t>
  </si>
  <si>
    <t>Blue Cloud</t>
  </si>
  <si>
    <t>Andrew Kinzer, Gordon Hempton, Manny Medina, Wes Hather</t>
  </si>
  <si>
    <t>Pipeline</t>
  </si>
  <si>
    <t>Ilya Sustkever, Andrej Karpathy, Jakub Pachoki, Sam Altman, Greg Brockman, Jan Leike, Wojciech Zaremba, Jason Kwon, Brad Lightcap, Mira Murati, Tasha McCauley, James Dyett, Allisa Rosenthal, Barret Zoph, Tabarak Khan, Atty Eleti, Caitlin Carroll, Srinivas Narayanan, Joanne Jang, Chris Brown, Chris Koch, Scott Gray, Ted Sanders, James Betker, Aurelia Guy, Bogo Giertler, Trevor Cai, Aidan Clark</t>
  </si>
  <si>
    <t>Charactr</t>
  </si>
  <si>
    <t>www.charactr.com</t>
  </si>
  <si>
    <t>Paul Jaski</t>
  </si>
  <si>
    <t>Millions of users already</t>
  </si>
  <si>
    <t>www.janitorai.com</t>
  </si>
  <si>
    <t>www.lovo.ai</t>
  </si>
  <si>
    <t>John Schulman</t>
  </si>
  <si>
    <t>Co-Founder, Head of RL</t>
  </si>
  <si>
    <t>PhD under Pieter Abbeel</t>
  </si>
  <si>
    <t>Pieter Abbeel</t>
  </si>
  <si>
    <t>RL, robotics expert</t>
  </si>
  <si>
    <t>Andrej Karpathy</t>
  </si>
  <si>
    <t>Co-founder OpenAI</t>
  </si>
  <si>
    <t>Richard Socher</t>
  </si>
  <si>
    <t>Quoc Le</t>
  </si>
  <si>
    <t>Stanford, Google, Baidu</t>
  </si>
  <si>
    <t>Yoshua Bengio</t>
  </si>
  <si>
    <t>Ray Kurzweil</t>
  </si>
  <si>
    <t>Stephen Wolfram</t>
  </si>
  <si>
    <t>Demis Hassabis</t>
  </si>
  <si>
    <t>Marvin Minsky</t>
  </si>
  <si>
    <t>Nate Derbinsky</t>
  </si>
  <si>
    <t>Stuart Russell</t>
  </si>
  <si>
    <t>Peter Norvig</t>
  </si>
  <si>
    <t>Marc Raibert</t>
  </si>
  <si>
    <t>Sam Altman</t>
  </si>
  <si>
    <t>Co-Founder</t>
  </si>
  <si>
    <t>Employee</t>
  </si>
  <si>
    <t>Elon Musk</t>
  </si>
  <si>
    <t>Joined</t>
  </si>
  <si>
    <t>Left</t>
  </si>
  <si>
    <t>Greg Brockman</t>
  </si>
  <si>
    <t>Co-Founder, CEO</t>
  </si>
  <si>
    <t>Ian Goodfellow</t>
  </si>
  <si>
    <t>Oriol Vinyals</t>
  </si>
  <si>
    <t>George Hotz</t>
  </si>
  <si>
    <t>Francois Chollet</t>
  </si>
  <si>
    <t>Gary Marcus</t>
  </si>
  <si>
    <t>Co-founder OpenAI, CEO of Tesla</t>
  </si>
  <si>
    <t>Judea Pearl</t>
  </si>
  <si>
    <t>Scott Aaronson</t>
  </si>
  <si>
    <t>Nick Bostrom</t>
  </si>
  <si>
    <t>David Silver</t>
  </si>
  <si>
    <t>Wojciech Zaremba</t>
  </si>
  <si>
    <t>Jason Kwon</t>
  </si>
  <si>
    <t>Brad Lightcap</t>
  </si>
  <si>
    <t>Mira Murati</t>
  </si>
  <si>
    <t>Tasha McCauley</t>
  </si>
  <si>
    <t>BOD</t>
  </si>
  <si>
    <t>James Dyett</t>
  </si>
  <si>
    <t>Head of Strategic Accounts</t>
  </si>
  <si>
    <t>Aliisa Rosenthal</t>
  </si>
  <si>
    <t>Head of Sales</t>
  </si>
  <si>
    <t>Barret Zoph</t>
  </si>
  <si>
    <t>Tabarak Khan</t>
  </si>
  <si>
    <t>Partnerships</t>
  </si>
  <si>
    <t>Atty Eleti</t>
  </si>
  <si>
    <t>SWE</t>
  </si>
  <si>
    <t>Caitlin Carroll</t>
  </si>
  <si>
    <t>Talent</t>
  </si>
  <si>
    <t>Srinivas Narayanan</t>
  </si>
  <si>
    <t>VP Engineering</t>
  </si>
  <si>
    <t>Joanne Jang</t>
  </si>
  <si>
    <t>Chris Brown</t>
  </si>
  <si>
    <t>GTM</t>
  </si>
  <si>
    <t>Chris Finlayson</t>
  </si>
  <si>
    <t>Joseph Landers</t>
  </si>
  <si>
    <t>Jerry Tworek</t>
  </si>
  <si>
    <t>Tarun Gogineni</t>
  </si>
  <si>
    <t>Technical Staff</t>
  </si>
  <si>
    <t>Benjamin Zweig</t>
  </si>
  <si>
    <t>Product &amp; Interface Design</t>
  </si>
  <si>
    <t>Head of Solutions &amp; Account Engineering</t>
  </si>
  <si>
    <t>Boris Power</t>
  </si>
  <si>
    <t>Peter Welinder</t>
  </si>
  <si>
    <t>VP Product &amp; Partnerships</t>
  </si>
  <si>
    <t>Applied AI</t>
  </si>
  <si>
    <t>Shyamal Hitesh Anadkat</t>
  </si>
  <si>
    <t>Preston Tuggle</t>
  </si>
  <si>
    <t>Applied AI Solutions</t>
  </si>
  <si>
    <t>Jan Leike</t>
  </si>
  <si>
    <t>Alignment team lead</t>
  </si>
  <si>
    <t>Ted Sanders</t>
  </si>
  <si>
    <t>Ari Allyn-Feuer</t>
  </si>
  <si>
    <t>Akila Welihinda</t>
  </si>
  <si>
    <t>Supercomputing</t>
  </si>
  <si>
    <t>Jeb Henry Head</t>
  </si>
  <si>
    <t>Product Policy</t>
  </si>
  <si>
    <t>Scott Gray</t>
  </si>
  <si>
    <t>Chris Koch</t>
  </si>
  <si>
    <t>Research Engineer</t>
  </si>
  <si>
    <t>Sarthak Agrawal</t>
  </si>
  <si>
    <t>Steven Adler</t>
  </si>
  <si>
    <t>Lilian Weng</t>
  </si>
  <si>
    <t>Head of Safety Systems</t>
  </si>
  <si>
    <t>Bianca Martin</t>
  </si>
  <si>
    <t>Technical Chief of Staff</t>
  </si>
  <si>
    <t>Rajeev Nayak</t>
  </si>
  <si>
    <t>Software Engineer</t>
  </si>
  <si>
    <t>Jakub Pachocki</t>
  </si>
  <si>
    <t>Pamela Mishkin</t>
  </si>
  <si>
    <t>Ishant Singh</t>
  </si>
  <si>
    <t>Trust &amp; Safety</t>
  </si>
  <si>
    <t>Zack Kass</t>
  </si>
  <si>
    <t>Head of GTM</t>
  </si>
  <si>
    <t>Denny Jin</t>
  </si>
  <si>
    <t>Strategic Finance Lead</t>
  </si>
  <si>
    <t>Brydon Eastman</t>
  </si>
  <si>
    <t>Bob McGrew</t>
  </si>
  <si>
    <t>Prafulla Dhariwal</t>
  </si>
  <si>
    <t>Research Scientist</t>
  </si>
  <si>
    <t>Adam Perelman</t>
  </si>
  <si>
    <t>Engineering</t>
  </si>
  <si>
    <t>Sowmya Ranganathan</t>
  </si>
  <si>
    <t>Controller</t>
  </si>
  <si>
    <t>Jan Hendrik Kirchner</t>
  </si>
  <si>
    <t>Robert Infantino</t>
  </si>
  <si>
    <t>Carl Ross</t>
  </si>
  <si>
    <t>Matt Wiethoff</t>
  </si>
  <si>
    <t>Arvind Neelakantan</t>
  </si>
  <si>
    <t>Research Lead &amp; Manager</t>
  </si>
  <si>
    <t xml:space="preserve">Colin S. </t>
  </si>
  <si>
    <t>Maddie Simens</t>
  </si>
  <si>
    <t>Product Design Lead</t>
  </si>
  <si>
    <t>Jason Wei</t>
  </si>
  <si>
    <t>Logan Kilpatrick</t>
  </si>
  <si>
    <t>Diane Yoon</t>
  </si>
  <si>
    <t>VP People</t>
  </si>
  <si>
    <t>Alexis Conneau</t>
  </si>
  <si>
    <t>Rohan Nuttall</t>
  </si>
  <si>
    <t>Applied</t>
  </si>
  <si>
    <t>Evan Morikawa</t>
  </si>
  <si>
    <t>OpenAI Applied Engineering Manager</t>
  </si>
  <si>
    <t>Michelle Kim</t>
  </si>
  <si>
    <t>Kristen Dallara</t>
  </si>
  <si>
    <t>Yoshi Wang</t>
  </si>
  <si>
    <t>Irving Washington</t>
  </si>
  <si>
    <t>Joshua Gross</t>
  </si>
  <si>
    <t>Andrew Busker</t>
  </si>
  <si>
    <t>Jesse Han</t>
  </si>
  <si>
    <t>Bowen Baker</t>
  </si>
  <si>
    <t>Behrooz Ghorbani</t>
  </si>
  <si>
    <t>Researcher</t>
  </si>
  <si>
    <t>Karl Cobbe</t>
  </si>
  <si>
    <t>Hugo Larochelle</t>
  </si>
  <si>
    <t>Ex-Twitter, DeepMind researcher</t>
  </si>
  <si>
    <t>https://www.youtube.com/watch?v=zij_FTbJHsk</t>
  </si>
  <si>
    <t>Dave Willner</t>
  </si>
  <si>
    <t>Former Head of Trust and Safety</t>
  </si>
  <si>
    <t>Co-Founder OpenAI, Chief Scientist</t>
  </si>
  <si>
    <t>Start</t>
  </si>
  <si>
    <t>GC YC Continuity</t>
  </si>
  <si>
    <t>Chief Strategy Officer, GC</t>
  </si>
  <si>
    <t>Ex-YC</t>
  </si>
  <si>
    <t>COO, CFO</t>
  </si>
  <si>
    <t>Ex-CTO Stripe</t>
  </si>
  <si>
    <t>Will DePue</t>
  </si>
  <si>
    <t>CTO, former SVP Research, VP Applied AI</t>
  </si>
  <si>
    <t>ex-Leap Motion</t>
  </si>
  <si>
    <t>ex-Stripe</t>
  </si>
  <si>
    <t>Pam Lewis</t>
  </si>
  <si>
    <t>ex-Bossa Nova</t>
  </si>
  <si>
    <t>AI Platform Product Manager</t>
  </si>
  <si>
    <t>Anna Tifft</t>
  </si>
  <si>
    <t>Natalie Staudacher</t>
  </si>
  <si>
    <t>ex-Lilt</t>
  </si>
  <si>
    <t>ex-Google</t>
  </si>
  <si>
    <t>Former</t>
  </si>
  <si>
    <t>Contact</t>
  </si>
  <si>
    <t>Present</t>
  </si>
  <si>
    <t>David Lees</t>
  </si>
  <si>
    <t>Voj Voyej</t>
  </si>
  <si>
    <t>Angela Jiang</t>
  </si>
  <si>
    <t>Jessica Shieh</t>
  </si>
  <si>
    <t>ex-Facebook</t>
  </si>
  <si>
    <t>Adrien Ecoffet</t>
  </si>
  <si>
    <t>ex-Uber</t>
  </si>
  <si>
    <t>https://www.youtube.com/@hugolarochelle/videos</t>
  </si>
  <si>
    <t>forward propagation</t>
  </si>
  <si>
    <t>ML technique decides whether input belongs in class A or B. (in LLMs): Abbreviated CLS, begins tokenizing.</t>
  </si>
  <si>
    <t>backpropagation</t>
  </si>
  <si>
    <t>batch normalization</t>
  </si>
  <si>
    <t>unsupervised learning</t>
  </si>
  <si>
    <t>unsupervised pre-training</t>
  </si>
  <si>
    <t>minority vs. supervised</t>
  </si>
  <si>
    <t>Co-Founder, President, Infrastructure lead</t>
  </si>
  <si>
    <t>Trevor Cai</t>
  </si>
  <si>
    <t>David Farhi</t>
  </si>
  <si>
    <t>Chris Hesse</t>
  </si>
  <si>
    <t>Infrastructure usability co-lead</t>
  </si>
  <si>
    <t>Shantanu Jain</t>
  </si>
  <si>
    <t>Kyle Kosic</t>
  </si>
  <si>
    <t>Alex Paino</t>
  </si>
  <si>
    <t>Mikhail Pavlov</t>
  </si>
  <si>
    <t>Software correctness lead for GPT-4</t>
  </si>
  <si>
    <t>Michael Petrov</t>
  </si>
  <si>
    <t>Hardware correctness lead for GPT-4</t>
  </si>
  <si>
    <t>Nick Ryder</t>
  </si>
  <si>
    <t>Architecture &amp; data lead for GPT-4</t>
  </si>
  <si>
    <t>Szymon Sidor</t>
  </si>
  <si>
    <t>Optimization vice lead for GPT-4</t>
  </si>
  <si>
    <t>Nikolas Tezak</t>
  </si>
  <si>
    <t>Triton lead for GPT-4</t>
  </si>
  <si>
    <t>Amin Tootoonchian</t>
  </si>
  <si>
    <t>Model distribution, systems, networking lead for GPT-4</t>
  </si>
  <si>
    <t>Qiming Yuan</t>
  </si>
  <si>
    <t>Co-Founder; Founded DNNResearch; Managed dataset team for GPT-4</t>
  </si>
  <si>
    <t>Oleg Boiko</t>
  </si>
  <si>
    <t>Compute cluster scaling for GPT-4</t>
  </si>
  <si>
    <t>Andrew Cann</t>
  </si>
  <si>
    <t>Che Chang</t>
  </si>
  <si>
    <t>Sheila Dunning</t>
  </si>
  <si>
    <t>Leo Gao</t>
  </si>
  <si>
    <t>Jonathan Gordon</t>
  </si>
  <si>
    <t>Peter Hoeschele</t>
  </si>
  <si>
    <t>Shawn Jain</t>
  </si>
  <si>
    <t>Roger Jiang</t>
  </si>
  <si>
    <t>Heewoo Jun</t>
  </si>
  <si>
    <t>Lukasz Kaiser</t>
  </si>
  <si>
    <t>Nitish Shirish Keskar</t>
  </si>
  <si>
    <t>Jong Wook Kim</t>
  </si>
  <si>
    <t>Aris Konstantinidis</t>
  </si>
  <si>
    <t>Chak Ming Li</t>
  </si>
  <si>
    <t>Todor Markov</t>
  </si>
  <si>
    <t>David Mely</t>
  </si>
  <si>
    <t>Oleg Murk</t>
  </si>
  <si>
    <t>Hyeonwoo Noh</t>
  </si>
  <si>
    <t>Long Ouyang</t>
  </si>
  <si>
    <t>Vitchyr Pong</t>
  </si>
  <si>
    <t>Alec Radford</t>
  </si>
  <si>
    <t>Daniel Selsam</t>
  </si>
  <si>
    <t>Ian Sohl</t>
  </si>
  <si>
    <t>Chelsea Voss</t>
  </si>
  <si>
    <t>Clemens Winter</t>
  </si>
  <si>
    <t>Tao Xu</t>
  </si>
  <si>
    <t>Eric Sigler</t>
  </si>
  <si>
    <t>Henri Roussez</t>
  </si>
  <si>
    <t>Emy Parparita</t>
  </si>
  <si>
    <t>Mateusz Litwin</t>
  </si>
  <si>
    <t>Christian Gibson</t>
  </si>
  <si>
    <t>Ben Chess</t>
  </si>
  <si>
    <t>Sandhini Agarwal</t>
  </si>
  <si>
    <t>Suchir Balaji</t>
  </si>
  <si>
    <t>Yongjik Kim</t>
  </si>
  <si>
    <t>Madeleine Thompson</t>
  </si>
  <si>
    <t>Ingmar Kanitscheider</t>
  </si>
  <si>
    <t>Daniel Levy</t>
  </si>
  <si>
    <t>Jie Tang</t>
  </si>
  <si>
    <t>Ben Wang</t>
  </si>
  <si>
    <t>Gabriel Goh</t>
  </si>
  <si>
    <t>Long context co-lead</t>
  </si>
  <si>
    <t>Attention architecture lead</t>
  </si>
  <si>
    <t>Throughput lead, Vision lead</t>
  </si>
  <si>
    <t>Mark Chen</t>
  </si>
  <si>
    <t>Casey Chu</t>
  </si>
  <si>
    <t>Shengli Hu</t>
  </si>
  <si>
    <t>Jamie Kiros</t>
  </si>
  <si>
    <t>Igor Babuschkin</t>
  </si>
  <si>
    <t>Christine McLeavey</t>
  </si>
  <si>
    <t>Raul Puri</t>
  </si>
  <si>
    <t>Aditya Ramesh</t>
  </si>
  <si>
    <t>Rory Carmichael</t>
  </si>
  <si>
    <t>Yunxing Dai</t>
  </si>
  <si>
    <t>Brandon Houghton</t>
  </si>
  <si>
    <t>Lukasz Kondraciuk</t>
  </si>
  <si>
    <t>Tianhao Zheng</t>
  </si>
  <si>
    <t>Alethea Power</t>
  </si>
  <si>
    <t>Reiichiro Nakano</t>
  </si>
  <si>
    <t>Pranav Shyam</t>
  </si>
  <si>
    <t>Ilge Akkaya</t>
  </si>
  <si>
    <t>Rachel Lim</t>
  </si>
  <si>
    <t>Jiayi Weng</t>
  </si>
  <si>
    <t>Arka Dhar</t>
  </si>
  <si>
    <t>Liam Fedus</t>
  </si>
  <si>
    <t>Rapha Gontijo-Lopes</t>
  </si>
  <si>
    <t>Johannes Heidecke</t>
  </si>
  <si>
    <t>Joost Huizinga</t>
  </si>
  <si>
    <t>Teddy Lee</t>
  </si>
  <si>
    <t>Ryan Lowe</t>
  </si>
  <si>
    <t>Alignment co-lead</t>
  </si>
  <si>
    <t>Luke Metz</t>
  </si>
  <si>
    <t>Carroll Wainwright</t>
  </si>
  <si>
    <t>Jonathan Ward</t>
  </si>
  <si>
    <t>Sarah Yoo</t>
  </si>
  <si>
    <t>Chong Zhang</t>
  </si>
  <si>
    <t>Shengjia Zhao</t>
  </si>
  <si>
    <t>Diogo Almeida</t>
  </si>
  <si>
    <t>Juan Felipe Ceron Uribe</t>
  </si>
  <si>
    <t>Tyna Eloundou</t>
  </si>
  <si>
    <t>Christina Kim</t>
  </si>
  <si>
    <t>Stephanie Lin</t>
  </si>
  <si>
    <t>Jacob Menick</t>
  </si>
  <si>
    <t>Tong Mu</t>
  </si>
  <si>
    <t>Ashvin Nair</t>
  </si>
  <si>
    <t>Alex Passos</t>
  </si>
  <si>
    <t>Michael Pokorny</t>
  </si>
  <si>
    <t>Sarah Shoker</t>
  </si>
  <si>
    <t>Kai Xiao</t>
  </si>
  <si>
    <t>Kevin Yu</t>
  </si>
  <si>
    <t>Marvin Zhang</t>
  </si>
  <si>
    <t>William Zhuk</t>
  </si>
  <si>
    <t>Irwan Bello</t>
  </si>
  <si>
    <t>Lenny Bogdonoff</t>
  </si>
  <si>
    <t>Haozhun Jin</t>
  </si>
  <si>
    <t>David Medina</t>
  </si>
  <si>
    <t>Andrey Mishchenko</t>
  </si>
  <si>
    <t>Josh Achiam</t>
  </si>
  <si>
    <t>Hyung Won Chung</t>
  </si>
  <si>
    <t>Shixiang Shane Gu</t>
  </si>
  <si>
    <t>Andrea Vallone</t>
  </si>
  <si>
    <t>RLHF</t>
  </si>
  <si>
    <t>Safety, RLHF</t>
  </si>
  <si>
    <t>Dan Mossing</t>
  </si>
  <si>
    <t>Katarina Slama</t>
  </si>
  <si>
    <t>Training</t>
  </si>
  <si>
    <t>Safety, Training</t>
  </si>
  <si>
    <t>RLHF, Training</t>
  </si>
  <si>
    <t>Uptime and stability lead, Training</t>
  </si>
  <si>
    <t>Code capability</t>
  </si>
  <si>
    <t>Safety, Code Capability</t>
  </si>
  <si>
    <t>Training, Code Capability</t>
  </si>
  <si>
    <t>Benjamin Sokolowsky</t>
  </si>
  <si>
    <t>Research, Code Capability</t>
  </si>
  <si>
    <t>Technical Staff, Code Capability</t>
  </si>
  <si>
    <t>System card co-lead</t>
  </si>
  <si>
    <t>Lama Ahmad</t>
  </si>
  <si>
    <t>Expert red teaming &amp; adversarial lead</t>
  </si>
  <si>
    <t>Compute cluster scaling for GPT-4, capability prediction co-lead</t>
  </si>
  <si>
    <t>Safety, safety evaluations co-lead</t>
  </si>
  <si>
    <t>Andrew Kondrich</t>
  </si>
  <si>
    <t>Evals</t>
  </si>
  <si>
    <t>Gretchen Krueger</t>
  </si>
  <si>
    <t>Michael Lampe</t>
  </si>
  <si>
    <t>Privacy</t>
  </si>
  <si>
    <t>Capability prediction</t>
  </si>
  <si>
    <t>Jack Rae</t>
  </si>
  <si>
    <t>Research benchmark execution</t>
  </si>
  <si>
    <t>Eval execution lead</t>
  </si>
  <si>
    <t>Safety, Evals</t>
  </si>
  <si>
    <t>Dev Rel, Evals</t>
  </si>
  <si>
    <t>Research, Safety, Economic impact, Evals</t>
  </si>
  <si>
    <t>Alvin Wang</t>
  </si>
  <si>
    <t>OpenAI Evals</t>
  </si>
  <si>
    <t>Alan Hickey</t>
  </si>
  <si>
    <t>Acceleration forecasting</t>
  </si>
  <si>
    <t>Daniel Kokotajlo</t>
  </si>
  <si>
    <t>Shibani Santurkar</t>
  </si>
  <si>
    <t>Infrastructure</t>
  </si>
  <si>
    <t>Technical Staff, Infrastructure</t>
  </si>
  <si>
    <t>Katie Mayer</t>
  </si>
  <si>
    <t>Miles Brundage</t>
  </si>
  <si>
    <t>Ruby Chen</t>
  </si>
  <si>
    <t>Communications</t>
  </si>
  <si>
    <t>Jake Berdine</t>
  </si>
  <si>
    <t>Compute cluster scaling for GPT-4, Legal</t>
  </si>
  <si>
    <t>Ashley Pantuliano</t>
  </si>
  <si>
    <t>Morgan Grafstein</t>
  </si>
  <si>
    <t>Sysadmin</t>
  </si>
  <si>
    <t>Francis Real</t>
  </si>
  <si>
    <t>Mario Saltarelli</t>
  </si>
  <si>
    <t>Bob Rotsted</t>
  </si>
  <si>
    <t>Joel Parish</t>
  </si>
  <si>
    <t>Vinnie Monaco</t>
  </si>
  <si>
    <t>Jake McNeil</t>
  </si>
  <si>
    <t>Matt Knight</t>
  </si>
  <si>
    <t>Shino Jomoto</t>
  </si>
  <si>
    <t>Wade Hickey</t>
  </si>
  <si>
    <t>Lauren Workman</t>
  </si>
  <si>
    <t>Brooke Chan</t>
  </si>
  <si>
    <t>Kyla Sheppard</t>
  </si>
  <si>
    <t>Theresa Lopez</t>
  </si>
  <si>
    <t>autoregressive</t>
  </si>
  <si>
    <t>Someone famous?</t>
  </si>
  <si>
    <t>AI Observability</t>
  </si>
  <si>
    <t>Jonathan Ross</t>
  </si>
  <si>
    <t>Esperanto Technologies</t>
  </si>
  <si>
    <t>GroqChip, real-time compute</t>
  </si>
  <si>
    <t>Tiger, D1, XTX Ventures, XN, Tru Arrow, The Spruce House Partnership, TDK Ventures, Junipero Capital, Infinitum Partners, General Global Capital, GCM Grosvenor, Firebolt Ventures, Castor Ventures, Boardman Bay, Alumni Ventures, Addition</t>
  </si>
  <si>
    <t>XTX Ventures</t>
  </si>
  <si>
    <t>Tru Arrow Partners</t>
  </si>
  <si>
    <t>The Spruce House Partnership</t>
  </si>
  <si>
    <t>Junipero</t>
  </si>
  <si>
    <t>Infinitum Partners</t>
  </si>
  <si>
    <t>General Global Capital</t>
  </si>
  <si>
    <t>GCM Grosvenor</t>
  </si>
  <si>
    <t>Castor Ventures</t>
  </si>
  <si>
    <t>Boardman Bay</t>
  </si>
  <si>
    <t>Infinitum, D1, TDK, Maropost, Boardman Bay</t>
  </si>
  <si>
    <t>Social Capital, NJF Capital, Cambium Capital, Acequia</t>
  </si>
  <si>
    <t>Social Capital</t>
  </si>
  <si>
    <t>Cambium Capital</t>
  </si>
  <si>
    <t>hidden layers</t>
  </si>
  <si>
    <t>between input and output layers, introduce nonlinearity</t>
  </si>
  <si>
    <t>pre-activation</t>
  </si>
  <si>
    <t xml:space="preserve">computed prior to </t>
  </si>
  <si>
    <t>activation function</t>
  </si>
  <si>
    <t>sigmoid</t>
  </si>
  <si>
    <t>type of activation function = 1/(1+exp(-a)), transforms input to [0, 1]</t>
  </si>
  <si>
    <t>tanh</t>
  </si>
  <si>
    <t>see hyperbolic tangent</t>
  </si>
  <si>
    <t>hyperbolic tangent</t>
  </si>
  <si>
    <t>relu</t>
  </si>
  <si>
    <t>Rectified Linear Activation Function</t>
  </si>
  <si>
    <t>softmax</t>
  </si>
  <si>
    <t>Conconi Growth Partners</t>
  </si>
  <si>
    <t>Chamath, avoid</t>
  </si>
  <si>
    <t>Peter Ludwig, Qasar Younis</t>
  </si>
  <si>
    <t>Social Capital, Daniel Gross, Conconi</t>
  </si>
  <si>
    <t>Coatue, Addition, Lux, La Famiglia, General Catalyst, a16z, Semil Shah</t>
  </si>
  <si>
    <t>Zeno Ventures</t>
  </si>
  <si>
    <t>General Catalyst, Zeno, Sozo, NJF, Microsoft, Lux, La Famiglia, Kleiner Perkins, Human Capital, Floodgate, a16z, Brad Horowitz</t>
  </si>
  <si>
    <t>Lux, General Catalyst, a16z, Microsoft</t>
  </si>
  <si>
    <t>Floodgate, a16z, Zeno, Tribe, Lux, Haystack, Brad Horowitz</t>
  </si>
  <si>
    <t>Tribe Capital</t>
  </si>
  <si>
    <t>Village Global, SVA</t>
  </si>
  <si>
    <t>AV software</t>
  </si>
  <si>
    <t>Jeff Denworth, Renen Hallak, Shachar Fienblit</t>
  </si>
  <si>
    <t>AltaML</t>
  </si>
  <si>
    <t>Tiger, The Syndicate Group, Nvidia, Norwest, Next47, Mellanox, Greenfield, Goldman Sachs, Dell, Common Fund, 83North</t>
  </si>
  <si>
    <t>VAST Data</t>
  </si>
  <si>
    <t>The Syndicate Group</t>
  </si>
  <si>
    <t>Greenfield Partners</t>
  </si>
  <si>
    <t>Common Fund</t>
  </si>
  <si>
    <t>83North</t>
  </si>
  <si>
    <t>Next47, The Syndicate Group, Norwest, Mellanox, Greenfield, Goldman, Dell, Common Fund, 83North</t>
  </si>
  <si>
    <t>The Syndicate Group, Norwest, Dell, 83North</t>
  </si>
  <si>
    <t>Norwest, Goldman, Dell, 83North</t>
  </si>
  <si>
    <t>Storage</t>
  </si>
  <si>
    <t>old knowledge base AI approach. Used CycL language. Demonstrates flaws of knowledge base approach.</t>
  </si>
  <si>
    <t>Used in transformers to encode the position of specifics words in a sentence</t>
  </si>
  <si>
    <t>Mythological God which created Galatea, a sculpture which came to life</t>
  </si>
  <si>
    <t>perceptron</t>
  </si>
  <si>
    <t>A multilayer perceptron is the quintessential example of a DL model. It maps inputs to outputs by composing simpler functions.</t>
  </si>
  <si>
    <t>visible layer</t>
  </si>
  <si>
    <t>The input or output layers. So called because we can see and understand them.</t>
  </si>
  <si>
    <t>A simple ML algorithm which optimizes a quadratic.</t>
  </si>
  <si>
    <t>ex-Deepmind</t>
  </si>
  <si>
    <t>Chinchilla, Gopher</t>
  </si>
  <si>
    <t>Researcher, Manager of GPT-4 pretraining optimization team</t>
  </si>
  <si>
    <t>mark@openai.com</t>
  </si>
  <si>
    <t>jt@openai.com</t>
  </si>
  <si>
    <t>Vision team co-lead, Codex</t>
  </si>
  <si>
    <t>Dataset sourcing and processing lead for GPT-4; Codex</t>
  </si>
  <si>
    <t>Codex (at least 7/14/21)</t>
  </si>
  <si>
    <t>Henrique Ponde de Oliveira Pinto</t>
  </si>
  <si>
    <t>Jared Kaplan</t>
  </si>
  <si>
    <t>Anthropic AI</t>
  </si>
  <si>
    <t>Left for Anthropic</t>
  </si>
  <si>
    <t>Harri Edwards</t>
  </si>
  <si>
    <t>Yuri Burda</t>
  </si>
  <si>
    <t>Nicholas Joseph</t>
  </si>
  <si>
    <t>Alex Ray</t>
  </si>
  <si>
    <t>Heidy Khlaaf</t>
  </si>
  <si>
    <t>Left for Zipline</t>
  </si>
  <si>
    <t>Girish Sastry</t>
  </si>
  <si>
    <t>Mohammad Bavarian</t>
  </si>
  <si>
    <t>Philippe "Phil" Tillet</t>
  </si>
  <si>
    <t>Juan Petroski Such</t>
  </si>
  <si>
    <t>Sam McCandlish</t>
  </si>
  <si>
    <t>Dario Armodei</t>
  </si>
  <si>
    <t>Vedant Misra</t>
  </si>
  <si>
    <t>Matthias Plappert</t>
  </si>
  <si>
    <t>Dave Cummings</t>
  </si>
  <si>
    <t>Fotios Chantzis</t>
  </si>
  <si>
    <t>Elizabeth Barnes</t>
  </si>
  <si>
    <t>Ariel Herbert-Voss</t>
  </si>
  <si>
    <t>William Hebgen Guss</t>
  </si>
  <si>
    <t>Alex Nichol</t>
  </si>
  <si>
    <t>William Saunders</t>
  </si>
  <si>
    <t>Andrew N. Carr</t>
  </si>
  <si>
    <t>qiming@openai.com</t>
  </si>
  <si>
    <t>Quantifying Generalization in RL (2019)</t>
  </si>
  <si>
    <t>Oleg Klimov</t>
  </si>
  <si>
    <t>Taehoon Kim</t>
  </si>
  <si>
    <t>karl@openai.com</t>
  </si>
  <si>
    <t>Vicki Pfau</t>
  </si>
  <si>
    <t>Quantifying Generalization in RL (2019), Gotta Learn Fast (4/23/18)</t>
  </si>
  <si>
    <t>joschu@openai.com</t>
  </si>
  <si>
    <t>Tom B. Brown</t>
  </si>
  <si>
    <t>Language Models are Few-Shot Learners (7/22/2020)</t>
  </si>
  <si>
    <t>Benjamin Mann</t>
  </si>
  <si>
    <t>Codex (at least 7/14/21), Language Models are Few-Shot Learners (7/22/2020)</t>
  </si>
  <si>
    <t>Melanie Subbiah</t>
  </si>
  <si>
    <t>Anthropic AI, Language Models are Few-Shot Learners (7/22/2020)</t>
  </si>
  <si>
    <t>Amanda Askell</t>
  </si>
  <si>
    <t>Tom Henighan</t>
  </si>
  <si>
    <t>Rewon Child</t>
  </si>
  <si>
    <t>Daniel M. Ziegler</t>
  </si>
  <si>
    <t>Jeffrey "Jeff" Wu</t>
  </si>
  <si>
    <t>Jack Clark</t>
  </si>
  <si>
    <t>Christopher "Chris" Berner</t>
  </si>
  <si>
    <t>Github</t>
  </si>
  <si>
    <t>OpenAI Baselines (5/24/17)</t>
  </si>
  <si>
    <t>szymon.sidor@gmail.com</t>
  </si>
  <si>
    <t>https://github.com/siemanko</t>
  </si>
  <si>
    <t>Olivier Moindrot</t>
  </si>
  <si>
    <t>https://github.com/omoindrot</t>
  </si>
  <si>
    <t>Fragment</t>
  </si>
  <si>
    <t>OpenAI Baselines (5/24/17), made early commit</t>
  </si>
  <si>
    <t>https://github.com/joschu</t>
  </si>
  <si>
    <t>Codex (at least 7/14/21), Language Models are Few-Shot Learners (7/22/2020), OpenAI Baselines (1/25/18)</t>
  </si>
  <si>
    <t>Yuhuai Wu</t>
  </si>
  <si>
    <t>OpenAI Baselines</t>
  </si>
  <si>
    <t>https://github.com/christopherhesse</t>
  </si>
  <si>
    <t>Aaron van den Oord</t>
  </si>
  <si>
    <t>Koray Kavukcuoglu</t>
  </si>
  <si>
    <t>korayk@google.com</t>
  </si>
  <si>
    <t>vinyals@google.com</t>
  </si>
  <si>
    <t>avdnoord@google.com</t>
  </si>
  <si>
    <t>VAE</t>
  </si>
  <si>
    <t>Variational AutoEncoder</t>
  </si>
  <si>
    <t>Cliff Click, Sri Satish Ambati</t>
  </si>
  <si>
    <t>SparkCognition</t>
  </si>
  <si>
    <t>LLM Studio, Data Studio, App Studio, AutoML/nocode</t>
  </si>
  <si>
    <t>Commonwealth Bank of Australia, Wells Fargo, Pivot Investment Partners, NVIDIA, New York Life Insurance, Goldman Sachs, Crane Venture Partners, Celesta Capital</t>
  </si>
  <si>
    <t>Commonwealth Bank of Australia</t>
  </si>
  <si>
    <t>Pivot Investment Partners</t>
  </si>
  <si>
    <t>New York Life Insurance</t>
  </si>
  <si>
    <t>Ping An Global Voyager, Goldman, Wells Fargo, Nexus Venture Partners</t>
  </si>
  <si>
    <t>Ping An Capital (Global Voyager)</t>
  </si>
  <si>
    <t>Microsoft, M12 (MSFT)</t>
  </si>
  <si>
    <t>Wells Fargo, Transamerica Ventures, Nexus, New York Life, CreditEase Fintech Investment Fund, Crane, Barclays</t>
  </si>
  <si>
    <t>Transamerica Ventures</t>
  </si>
  <si>
    <t>Paxion</t>
  </si>
  <si>
    <t>Paxion, Transamerica, Nexus, Capital One, Celesta</t>
  </si>
  <si>
    <t>Rakesh Mathur, Ash Bhardwaj, Transamerica, SanDisk, Rajesh Ambati, Nexus</t>
  </si>
  <si>
    <t>Sandisk</t>
  </si>
  <si>
    <t>Wells Fargo (WFC)</t>
  </si>
  <si>
    <t>Workday (WDAY)</t>
  </si>
  <si>
    <t>Comcast (CMCSA)</t>
  </si>
  <si>
    <t>Bloomberg Beta (Private)</t>
  </si>
  <si>
    <t>NTT Docomo Ventures (Public)</t>
  </si>
  <si>
    <t>Micron Ventures (MU)</t>
  </si>
  <si>
    <t>Domino Data Lab</t>
  </si>
  <si>
    <t>Chris Yang, Matthew Granade, Nick Elprin</t>
  </si>
  <si>
    <t>Data Science Platform</t>
  </si>
  <si>
    <t>Snowflake, Great Hill Partners, Sequoia, NVIDIA, Highland, Empede, Coatue</t>
  </si>
  <si>
    <t>Great Hill Partners</t>
  </si>
  <si>
    <t>Highland Capital</t>
  </si>
  <si>
    <t>Highland, Sequoia, Dell, Coatue</t>
  </si>
  <si>
    <t>Sequoia, Coatue</t>
  </si>
  <si>
    <t>Coatue, Zetta, Sequoia, Bloomberg</t>
  </si>
  <si>
    <t>In-Q-Tel (Government)</t>
  </si>
  <si>
    <t>8VC (VC)</t>
  </si>
  <si>
    <t>Brian Rieger, Daniel Rasmuson, Manu Sharma</t>
  </si>
  <si>
    <t>Data training/labeling</t>
  </si>
  <si>
    <t>Figure Eight</t>
  </si>
  <si>
    <t>Softbank, Snowpoint, Databricks, B Capital, a16z, Cathy Wood</t>
  </si>
  <si>
    <t>GptGirlfriend</t>
  </si>
  <si>
    <t>SW 7/20/23 L28V</t>
  </si>
  <si>
    <t>SW 7/20/23 L28D</t>
  </si>
  <si>
    <t>Self-funded by Romesh Wadhwani, &gt;220m in revenue allegedly</t>
  </si>
  <si>
    <t>www.character.ai</t>
  </si>
  <si>
    <t>31:33</t>
  </si>
  <si>
    <t>www.drgupta.ai</t>
  </si>
  <si>
    <t>www.myanima.ai</t>
  </si>
  <si>
    <t>www.chatfai.com</t>
  </si>
  <si>
    <t>www.chub.ai</t>
  </si>
  <si>
    <t>www.novelai.net</t>
  </si>
  <si>
    <t>www.spicychat.ai</t>
  </si>
  <si>
    <t>www.crushon.ai</t>
  </si>
  <si>
    <t>www.nastia.ai</t>
  </si>
  <si>
    <t>24:30</t>
  </si>
  <si>
    <t>www.dreamily.ai</t>
  </si>
  <si>
    <t>www.voice.ai</t>
  </si>
  <si>
    <t>B Capital, Tau Ventures, Kleiner Perkins, Gradient Ventures, First Round, a16z, Cathy Wood</t>
  </si>
  <si>
    <t>a16z, Kleiner, Gradient, First Round</t>
  </si>
  <si>
    <t>Gradient, First Round, Kleiner, Sumon Sadhu</t>
  </si>
  <si>
    <t>Kleiner, Gradient, First Round</t>
  </si>
  <si>
    <t>www.jasper.ai</t>
  </si>
  <si>
    <t>www.runwayml.com</t>
  </si>
  <si>
    <t>www.khealth.com</t>
  </si>
  <si>
    <t>www.squirrelai.com</t>
  </si>
  <si>
    <t>www.ada.cx</t>
  </si>
  <si>
    <t>www.wandb.ai</t>
  </si>
  <si>
    <t>www.adept.ai</t>
  </si>
  <si>
    <t>www.midjourney.com</t>
  </si>
  <si>
    <t>www.deeproute.ai</t>
  </si>
  <si>
    <t>Oosto (fka AnyVision)</t>
  </si>
  <si>
    <t>www.oosto.com</t>
  </si>
  <si>
    <t>www.glean.ai</t>
  </si>
  <si>
    <t>www.people.ai</t>
  </si>
  <si>
    <t>www.tecton.ai</t>
  </si>
  <si>
    <t>www.anyscale.com</t>
  </si>
  <si>
    <t>www.hourone.ai</t>
  </si>
  <si>
    <t>www.synthesia.io</t>
  </si>
  <si>
    <t>www.snorkel.ai</t>
  </si>
  <si>
    <t>www.typeface.ai</t>
  </si>
  <si>
    <t>www.observe.ai</t>
  </si>
  <si>
    <t>www.v7labs.com</t>
  </si>
  <si>
    <t>www.ambirobotics.com</t>
  </si>
  <si>
    <t>www.pinecone.io</t>
  </si>
  <si>
    <t>www.octoml.ai</t>
  </si>
  <si>
    <t>ex-Google. Very weak user base</t>
  </si>
  <si>
    <t>www.ai21.com</t>
  </si>
  <si>
    <t>www.descript.com</t>
  </si>
  <si>
    <t>www.vian.ai</t>
  </si>
  <si>
    <t>Seems like a zero, ngmi</t>
  </si>
  <si>
    <t>www.petuum.com</t>
  </si>
  <si>
    <t>www.amprobotics.com</t>
  </si>
  <si>
    <t>www.aisera.com</t>
  </si>
  <si>
    <t>Botcore.ai</t>
  </si>
  <si>
    <t>getleon.ai</t>
  </si>
  <si>
    <t>www.supremind.com</t>
  </si>
  <si>
    <t>www.zhipu.ai</t>
  </si>
  <si>
    <t>www.covariant.ai</t>
  </si>
  <si>
    <t>www.primer.ai</t>
  </si>
  <si>
    <t>www.cloudfactory.com</t>
  </si>
  <si>
    <t>ArteraAI (artera.ai)</t>
  </si>
  <si>
    <t>www.artera.ai</t>
  </si>
  <si>
    <t>www.ada.com</t>
  </si>
  <si>
    <t>www.climavision.com</t>
  </si>
  <si>
    <t>www.rossum.ai</t>
  </si>
  <si>
    <t>www.poly.ai</t>
  </si>
  <si>
    <t>Revoicer</t>
  </si>
  <si>
    <t>NGMI</t>
  </si>
  <si>
    <t>www.vedrai.com</t>
  </si>
  <si>
    <t>www.abacus.ai</t>
  </si>
  <si>
    <t>www.fetch.ai</t>
  </si>
  <si>
    <t>www.infinitus.ai</t>
  </si>
  <si>
    <t>www.mistral.ai</t>
  </si>
  <si>
    <t>www.woebothealth.com</t>
  </si>
  <si>
    <t>www.ascertain.com</t>
  </si>
  <si>
    <t>www.reka.ai</t>
  </si>
  <si>
    <t>www.artera.io</t>
  </si>
  <si>
    <t>www.playgroundai.com</t>
  </si>
  <si>
    <t>Morphcast</t>
  </si>
  <si>
    <t>www.johnsnowlabs.com</t>
  </si>
  <si>
    <t>AutoNLP</t>
  </si>
  <si>
    <t>MetaText</t>
  </si>
  <si>
    <t>www.langchain.com</t>
  </si>
  <si>
    <t>www.perplexity.ai</t>
  </si>
  <si>
    <t>www.weaviate.io</t>
  </si>
  <si>
    <t>www.airudder.com</t>
  </si>
  <si>
    <t>www.harvey.ai</t>
  </si>
  <si>
    <t>www.kumo.ai</t>
  </si>
  <si>
    <t>www.assemblyai.com</t>
  </si>
  <si>
    <t>www.lightning.ai</t>
  </si>
  <si>
    <t>www.skan.ai</t>
  </si>
  <si>
    <t>www.sima.ai</t>
  </si>
  <si>
    <t>www.seekr.com</t>
  </si>
  <si>
    <t>www.landing.ai</t>
  </si>
  <si>
    <t>www.d-matrix.ai</t>
  </si>
  <si>
    <t>www.fiddler.ai</t>
  </si>
  <si>
    <t>www.arize.com</t>
  </si>
  <si>
    <t>www.hippocraticai.com</t>
  </si>
  <si>
    <t>www.datagen.tech</t>
  </si>
  <si>
    <t>www.inworld.ai</t>
  </si>
  <si>
    <t>iMerit</t>
  </si>
  <si>
    <t>TheWizard.ai</t>
  </si>
  <si>
    <t>www.wizard.com</t>
  </si>
  <si>
    <t>mycharacter.ai</t>
  </si>
  <si>
    <t>dead company</t>
  </si>
  <si>
    <t>www.unsupervised.com</t>
  </si>
  <si>
    <t>www.aaico.com</t>
  </si>
  <si>
    <t>www.irreverentlabs.com</t>
  </si>
  <si>
    <t>www.capacity.com</t>
  </si>
  <si>
    <t>Commbox</t>
  </si>
  <si>
    <t>Floatbot.ai</t>
  </si>
  <si>
    <t>www.magic.dev</t>
  </si>
  <si>
    <t>www.modular.com</t>
  </si>
  <si>
    <t>www.robustintelligence.com</t>
  </si>
  <si>
    <t>www.imagen-ai.com</t>
  </si>
  <si>
    <t>Robust AI</t>
  </si>
  <si>
    <t>Unite.AI</t>
  </si>
  <si>
    <t>Batch.ai</t>
  </si>
  <si>
    <t>Remini.ai</t>
  </si>
  <si>
    <t>www.jina.ai</t>
  </si>
  <si>
    <t>decent traffic</t>
  </si>
  <si>
    <t>Auto-GPT.ai</t>
  </si>
  <si>
    <t>www.elevenlabs.io</t>
  </si>
  <si>
    <t>www.mem.ai</t>
  </si>
  <si>
    <t>www.neocybernetica.com</t>
  </si>
  <si>
    <t>www.merlyn.org</t>
  </si>
  <si>
    <t>www.upstage.ai</t>
  </si>
  <si>
    <t>www.expresssteuer.de</t>
  </si>
  <si>
    <t>www.keenagi.com</t>
  </si>
  <si>
    <t>www.aleph-alpha.com</t>
  </si>
  <si>
    <t>www.play.ht</t>
  </si>
  <si>
    <t>www.murf.ai</t>
  </si>
  <si>
    <t>www.resemble.ai</t>
  </si>
  <si>
    <t>TTSMP3.com</t>
  </si>
  <si>
    <t>www.aible.com</t>
  </si>
  <si>
    <t>www.surgehq.ai</t>
  </si>
  <si>
    <t>www.predibase.com</t>
  </si>
  <si>
    <t>www.speak.com</t>
  </si>
  <si>
    <t>www.curaihealth.com</t>
  </si>
  <si>
    <t>Pre-LLM chatbot? Running out of $? Low traffic</t>
  </si>
  <si>
    <t>www.axon-networks.com</t>
  </si>
  <si>
    <t>HumanSignal (fka Heartex)</t>
  </si>
  <si>
    <t>www.humansignal.com</t>
  </si>
  <si>
    <t>www.exafunction.com</t>
  </si>
  <si>
    <t>www.kili-technology.com</t>
  </si>
  <si>
    <t>www.aiola.com</t>
  </si>
  <si>
    <t>www.truera.com</t>
  </si>
  <si>
    <t>www.aporia.com</t>
  </si>
  <si>
    <t>EssayGenius.ai</t>
  </si>
  <si>
    <t>HyperWriteAI.com</t>
  </si>
  <si>
    <t>www.hyperwriteai.com</t>
  </si>
  <si>
    <t>Music</t>
  </si>
  <si>
    <t>Sonix.ai</t>
  </si>
  <si>
    <t>Chirper</t>
  </si>
  <si>
    <t>Well Said Labs</t>
  </si>
  <si>
    <t>HotPot.ai</t>
  </si>
  <si>
    <t>Vanceai.com</t>
  </si>
  <si>
    <t>TypeCast</t>
  </si>
  <si>
    <t>SpeechElo</t>
  </si>
  <si>
    <t>Natural Readers</t>
  </si>
  <si>
    <t>www.claraanalytics.com</t>
  </si>
  <si>
    <t>www.deci.ai</t>
  </si>
  <si>
    <t>Unrealspeech</t>
  </si>
  <si>
    <t>www.conjecture.dev</t>
  </si>
  <si>
    <t>www.phaidra.ai</t>
  </si>
  <si>
    <t>www.nr2.io</t>
  </si>
  <si>
    <t>www.nabla.com</t>
  </si>
  <si>
    <t>www.quantiphi.com</t>
  </si>
  <si>
    <t>www.protex.ai</t>
  </si>
  <si>
    <t>singing voice conversion</t>
  </si>
  <si>
    <t>Converts source voice to target voice</t>
  </si>
  <si>
    <t>InterSpeech</t>
  </si>
  <si>
    <t>Speech conference</t>
  </si>
  <si>
    <t>vllm</t>
  </si>
  <si>
    <t>Competitor to Huggingface Transformers for inference</t>
  </si>
  <si>
    <t>WORLD</t>
  </si>
  <si>
    <t>Vocoder</t>
  </si>
  <si>
    <t>F0</t>
  </si>
  <si>
    <t>Fundamental frequency variable used in speech synthesis</t>
  </si>
  <si>
    <t>SP</t>
  </si>
  <si>
    <t>Spectral envelope variable used in speech synthesis</t>
  </si>
  <si>
    <t>AP</t>
  </si>
  <si>
    <t>aperiodic parameter used in speech synthesis</t>
  </si>
  <si>
    <t>WaveNet</t>
  </si>
  <si>
    <t>Neural-based vocoder</t>
  </si>
  <si>
    <t>WaveRNN</t>
  </si>
  <si>
    <t>Hifi-GAN</t>
  </si>
  <si>
    <t>Diffwave</t>
  </si>
  <si>
    <t>wav2vec</t>
  </si>
  <si>
    <t>LibriTTS</t>
  </si>
  <si>
    <t>LJSpeech</t>
  </si>
  <si>
    <t>M-AILABS</t>
  </si>
  <si>
    <t>Tacotron2</t>
  </si>
  <si>
    <t>Transformer-TTS</t>
  </si>
  <si>
    <t>FastSpeech</t>
  </si>
  <si>
    <t>FastSpeech2</t>
  </si>
  <si>
    <t>MelGAN</t>
  </si>
  <si>
    <t>pseudolabeling</t>
  </si>
  <si>
    <t>self-training, a semi-supervised learning technique</t>
  </si>
  <si>
    <t>HuBERT</t>
  </si>
  <si>
    <t>hidden-unit BERT</t>
  </si>
  <si>
    <t>Text-to-speech</t>
  </si>
  <si>
    <t>Erik Dunteman, Kyle Morris</t>
  </si>
  <si>
    <t>Zetane Systems</t>
  </si>
  <si>
    <t>Serverless GPU</t>
  </si>
  <si>
    <t>VoxCeleb</t>
  </si>
  <si>
    <t>With VoxCeleb2, celebrity voice/video training set. https://www.robots.ox.ac.uk/~vgg/data/voxceleb/vox2.html</t>
  </si>
  <si>
    <t>Alex Lonsberry, Andrew Lonsberry, Ken Lonsberry, Matthew Klein</t>
  </si>
  <si>
    <t>Robot welders</t>
  </si>
  <si>
    <t>Tiger, Addition, Silicon Valley Bank</t>
  </si>
  <si>
    <t>Addition, Lemnos, Drive, Basis Set</t>
  </si>
  <si>
    <t>Tiger Cub</t>
  </si>
  <si>
    <t>Lemnos VC</t>
  </si>
  <si>
    <t>Drive, Basis Set</t>
  </si>
  <si>
    <t>Eudaimonia Capital</t>
  </si>
  <si>
    <t>Lemnos, Xplorer, Eudaimonia, Basis Set</t>
  </si>
  <si>
    <t>Robert Glennie, Sarvarth Misra, Viraj Chaudhary</t>
  </si>
  <si>
    <t>LM Studio</t>
  </si>
  <si>
    <t>SoftBank, Eagle Proprietary Investments</t>
  </si>
  <si>
    <t>ContractPodAi</t>
  </si>
  <si>
    <t>Eagle Proprietary Investments</t>
  </si>
  <si>
    <t>ContractPodAI</t>
  </si>
  <si>
    <t>Legal contracts AI, contract management</t>
  </si>
  <si>
    <t>vocoder</t>
  </si>
  <si>
    <t>mel-spectrogram</t>
  </si>
  <si>
    <t>text-to-speech. Current models include neural (wavenet, tacotron) and statistical parametric speech synthesis (spss).</t>
  </si>
  <si>
    <t>acoustic model</t>
  </si>
  <si>
    <t>An encoder-attention-decoder acoustic model</t>
  </si>
  <si>
    <t>A transformer block acoustic model</t>
  </si>
  <si>
    <t>GAN-based vocoder, multi-band.</t>
  </si>
  <si>
    <t>Neural, GAN-based vocoder</t>
  </si>
  <si>
    <t>The main acoustic feature for acoustic models.</t>
  </si>
  <si>
    <t>Used in TTS, predicts acoustic features. Tacotron 2 and FastSpeech 2 are examples. Input transcript is one feature, but prosody and linguistic feature can be another. Phoneme-level prosodies, word-level prosodies and hierarchical prosodies. Syntactic graph, word embeddings. L1, L2 loss assumes distribution of the acoustic feature is unimodal, but the real distribution is much more complex. Normalizing flow is an approach (FlowTTS, GlowTTS). Txt2vec (self-supervised VQ acoustic feature vs. mel spectrogram).</t>
  </si>
  <si>
    <t>vec2wav</t>
  </si>
  <si>
    <t>VQTTS</t>
  </si>
  <si>
    <t>Vocoder used in VQTTS, uses an additional feature encoder before HifiGAN generation to smooth discontinuous quantized feature.</t>
  </si>
  <si>
    <t>txt2vec</t>
  </si>
  <si>
    <t>Multi-layer convolutional network optimized via contrastive loss. Extracts features to predict successive frames.</t>
  </si>
  <si>
    <t>gumbel softmax</t>
  </si>
  <si>
    <t>vector quantization</t>
  </si>
  <si>
    <t>can be applied to self-supervised feature extraction</t>
  </si>
  <si>
    <t>contrastive loss</t>
  </si>
  <si>
    <t>diversity loss</t>
  </si>
  <si>
    <t>TTS approach consisting of acoustic model txt2vec and vocoder vec2wav. Adds log pitch, energy and probability of voice features for prosody.</t>
  </si>
  <si>
    <t xml:space="preserve">Acoustic model using vector-quantized acoustic feature instead of mel-spectrogram. A classification model rather than a traditional regression model. Uses labeled phoneme-level prosodies for all phonemes in advance. The text encoder consists of 6 Conformer blocks, which encode the input phonemes into hidden states h. </t>
  </si>
  <si>
    <t>beam search decoding</t>
  </si>
  <si>
    <t>greedy search decoding</t>
  </si>
  <si>
    <t>VITS</t>
  </si>
  <si>
    <t>GlowTTS</t>
  </si>
  <si>
    <t>Fairseq</t>
  </si>
  <si>
    <t>Facebook AI research sequence-to-sequence toolkit written in Python</t>
  </si>
  <si>
    <t>Rhasspy</t>
  </si>
  <si>
    <t>github.com/rhasspy</t>
  </si>
  <si>
    <t>espeak</t>
  </si>
  <si>
    <t>robotic TTS</t>
  </si>
  <si>
    <t>Larynx</t>
  </si>
  <si>
    <t>TTS system</t>
  </si>
  <si>
    <t>SVCC</t>
  </si>
  <si>
    <t>Singing Voice Conversion challenge</t>
  </si>
  <si>
    <t>DiffSVC</t>
  </si>
  <si>
    <t>Diffusion probabilistic model for SVC</t>
  </si>
  <si>
    <t>FastSVC</t>
  </si>
  <si>
    <t>Fast cross-domain SVC</t>
  </si>
  <si>
    <t>RVC</t>
  </si>
  <si>
    <r>
      <t xml:space="preserve">Retrieval-based voice conversion. Example: </t>
    </r>
    <r>
      <rPr>
        <b/>
        <sz val="10"/>
        <color theme="1"/>
        <rFont val="Arial"/>
        <family val="2"/>
      </rPr>
      <t>https://github.com/w-okada/voice-changer</t>
    </r>
  </si>
  <si>
    <t>Conditional variational autoencoder with adversarial learning. TTS Model. https://github.com/jaywalnut310/vits</t>
  </si>
  <si>
    <t>MOS</t>
  </si>
  <si>
    <t>Mean Opinion Score, used to rate TTS</t>
  </si>
  <si>
    <t>https://github.com/unixpickle</t>
  </si>
  <si>
    <t>alex@openai.com ; unixpickle@gmail.com</t>
  </si>
  <si>
    <t>Codex, Shape-E</t>
  </si>
  <si>
    <t>At least 5/3/23</t>
  </si>
  <si>
    <t>First job at OpenAI. College dropout. 3/24/19 said he was not currently affiliated with OpenAI. 8/6/21 says he is.</t>
  </si>
  <si>
    <t>https://github.com/endrift</t>
  </si>
  <si>
    <t>vi@endrift.com</t>
  </si>
  <si>
    <t>Gym Retro</t>
  </si>
  <si>
    <t>Now at Valve?</t>
  </si>
  <si>
    <t>DSSL, ISS, now at Small Megallanic Cloud AI (refact.ai)</t>
  </si>
  <si>
    <t>refact.ai</t>
  </si>
  <si>
    <t>omgtech@gmail.com</t>
  </si>
  <si>
    <t>https://github.com/olegklimov</t>
  </si>
  <si>
    <t>Code</t>
  </si>
  <si>
    <t>Bo Li</t>
  </si>
  <si>
    <t>boboli@google.com</t>
  </si>
  <si>
    <t>shuoyiin@google.com</t>
  </si>
  <si>
    <t>tsainath@google.com</t>
  </si>
  <si>
    <t>Tara Sainath</t>
  </si>
  <si>
    <t>Shuo-yiin Chang</t>
  </si>
  <si>
    <t>Deep Learning for Audio Signal Processing 2019</t>
  </si>
  <si>
    <t>Frank Rosenblatt</t>
  </si>
  <si>
    <t>Published Perceptron idea in 1958.</t>
  </si>
  <si>
    <t>Father of DL. Published backpropagation in Nature 1986.</t>
  </si>
  <si>
    <t>David Rumelhart</t>
  </si>
  <si>
    <t>Co-published backpropagation with Hinton in Nature 1986.</t>
  </si>
  <si>
    <t>Ronald Williams</t>
  </si>
  <si>
    <t>Principles of Neurodynamics 1961.</t>
  </si>
  <si>
    <t>Perceptrons: an introduction to computational geometry. 1969.</t>
  </si>
  <si>
    <t>Marvin Minsky, Seymour Papert.</t>
  </si>
  <si>
    <t>Seymour Papert</t>
  </si>
  <si>
    <t>Co-authored book on Perceptrons with Minsky in 1969.</t>
  </si>
  <si>
    <t>Meta head of AI, was Hinton student. Invented CNNs. Published in 1985.</t>
  </si>
  <si>
    <t>Parallel Distributed Processing: Explorations in the Microstructure of Cognition. Volume 1: Foundations. 1986.</t>
  </si>
  <si>
    <t>David E. Rumelhart, Geoffrey E. Hinton, Ronald J. Williams.</t>
  </si>
  <si>
    <t>CLVP</t>
  </si>
  <si>
    <t>Contrastive Language-Voice Pretraining. Compares autoregressive samples vs CLVP to find the best candidates.</t>
  </si>
  <si>
    <t>ex-Quora</t>
  </si>
  <si>
    <t>Code capability, open-endedness</t>
  </si>
  <si>
    <t>ex-Microsoft, Uber</t>
  </si>
  <si>
    <t>MIT (MS, Meng)</t>
  </si>
  <si>
    <t>Bogo Giertler</t>
  </si>
  <si>
    <t>Reddit, Elis, Dropbox, Spotify</t>
  </si>
  <si>
    <t>Columbia, Colby</t>
  </si>
  <si>
    <t>UC Berkeley (Math PhD), Rice</t>
  </si>
  <si>
    <t>ex-AWS</t>
  </si>
  <si>
    <t>ex-Quant, Decura, JPMorgan</t>
  </si>
  <si>
    <t>U Warsaw (BSc, MS)</t>
  </si>
  <si>
    <t>GIT (MS), Alabama (BS)</t>
  </si>
  <si>
    <t>ex-OnScale, now Co-Founder xAI</t>
  </si>
  <si>
    <t>Architecture &amp; data vice lead for GPT-4. Was on Robotics team.</t>
  </si>
  <si>
    <t>ex-Sift</t>
  </si>
  <si>
    <t>U Missouri (BS)</t>
  </si>
  <si>
    <t>Rubik's Cube (10/16/2019)</t>
  </si>
  <si>
    <t>Marcin Andrychowicz</t>
  </si>
  <si>
    <t>Maciek Chociej</t>
  </si>
  <si>
    <t>Language Models are Few-Shot Learners (7/22/2020), Rubik's Cube (10/16/2019)</t>
  </si>
  <si>
    <t>Codex (at least 7/14/21), Rubik's Cube (10/16/19)</t>
  </si>
  <si>
    <t>Rubik's Cube (10/16/19)</t>
  </si>
  <si>
    <t>Codex (at least 7/14/21), Baselines (7/27/17 commit), Rubik's Cube (10/16/19)</t>
  </si>
  <si>
    <t>Glenn Powell</t>
  </si>
  <si>
    <t>Raphael Ribas</t>
  </si>
  <si>
    <t>Jonas Schneider</t>
  </si>
  <si>
    <t>Lei Zhang</t>
  </si>
  <si>
    <t>ex-PSPDFKit, left to go to Github, and now with Factorial Funds</t>
  </si>
  <si>
    <t>Karlsruhe Institute of Technology (B, M)</t>
  </si>
  <si>
    <t>https://github.com/Newmu</t>
  </si>
  <si>
    <t>Very little GH activity</t>
  </si>
  <si>
    <t>ex-Indico (with Radford)</t>
  </si>
  <si>
    <t>ex-Indico (1/7/16 paper), used gmail for 6/10/16 openai paper</t>
  </si>
  <si>
    <t>woj@openai.com</t>
  </si>
  <si>
    <t>Tim Salimans</t>
  </si>
  <si>
    <t>tim@openai.com</t>
  </si>
  <si>
    <t>Improved Techniques for Training GANs (6/10/16)</t>
  </si>
  <si>
    <t>Xi Chen</t>
  </si>
  <si>
    <t>peter@openai.com</t>
  </si>
  <si>
    <t>God</t>
  </si>
  <si>
    <t>ex-Google, back to Google again, then Apple, back to DeepMind</t>
  </si>
  <si>
    <t>briefly left for OpenAI and Apple</t>
  </si>
  <si>
    <t>Was at OpenAI for 2 years</t>
  </si>
  <si>
    <t>Team Lead</t>
  </si>
  <si>
    <t>Rotterdam (PhD Econometrics)</t>
  </si>
  <si>
    <t>ex-Algoritmica, Aidence; went to Google.</t>
  </si>
  <si>
    <t>Vicki Cheung</t>
  </si>
  <si>
    <t>alec@openai.com ; alec.radford@gmail.com</t>
  </si>
  <si>
    <t>Jacob Devlin</t>
  </si>
  <si>
    <t>Ming-Wei Chang</t>
  </si>
  <si>
    <t>Kenton Lee</t>
  </si>
  <si>
    <t>Kristina Toutanova</t>
  </si>
  <si>
    <t>kristout@google.com</t>
  </si>
  <si>
    <t>kentonl@google.com</t>
  </si>
  <si>
    <t>mingweichang@google.com</t>
  </si>
  <si>
    <t>jacobdevlin@google.com</t>
  </si>
  <si>
    <t>BERT (2019)</t>
  </si>
  <si>
    <t>Bidirectional (encoder representations from) transformer powers Google Search, succeeded Transformers. Base tool had 110m parameters, 12 attention heads, 768 hidden nodes, 12 layers. BERT-large had 24 layers, 1024 hidden nodes, 16 attention heads and 340m parameters.</t>
  </si>
  <si>
    <t>General Language Understanding Evaluation test. BERT set records at 80.5% when it came out 5/24/19.</t>
  </si>
  <si>
    <t>MultiNLI</t>
  </si>
  <si>
    <t>BERT set standard with 86.7%</t>
  </si>
  <si>
    <t>Stanford Question Answering Dataset. Reading comprehension. V1.1, V2.0. BERT set standard with 93.2 on v1.1 (F1) and 83.1 on v2.0 (F1)</t>
  </si>
  <si>
    <t>ELMo</t>
  </si>
  <si>
    <t>Computational Linguistics</t>
  </si>
  <si>
    <t>Quora question pairs. Chen et al. 2018. (now deleted, https://www.quora.com/profile/Ricky-Riche-2/First-Quora-Dataset-Release-Question-Pairs)</t>
  </si>
  <si>
    <t>Adv Neur Infor Proc Sys</t>
  </si>
  <si>
    <t>Dissecting contextual word embeddings: Architecture and representation. Peters, Neumann, Zettlemoyer, Yih. EMNLP 2018.</t>
  </si>
  <si>
    <t>Squad: 100,000+ questions for machine comprehension of text. Rajpurkar, Zhang, Lopyrev, Liang. EMNLP 2016.</t>
  </si>
  <si>
    <t>Bidirectional attention flow for machine comprehension. Seo, Kembhavi, Farhadi, Hajishirzi. ICLR 2017.</t>
  </si>
  <si>
    <t>Recursive deep models for semantic compositionality over a sentiment tree-bank. Socher, Perelygin, Wu, Chuang, Manning, Ng, Potts. EMNLP 2013.</t>
  </si>
  <si>
    <t>Machine reading comprehension and unanswerable questions. Sun, Li, Qiu, Liu. arXiv 2018.</t>
  </si>
  <si>
    <t>Cloze procedure: A new tool for measuring readability. Wilson Taylor. Journalism Bulletin 1953.</t>
  </si>
  <si>
    <t>Introduction to the conll-2003 shared task: Language-independent named entity recognition. Sang, Meulder. CoNLL 2003.</t>
  </si>
  <si>
    <t>Word representations: A simple and general method for semi-supervised learning. Turian, Ratinov, Bengio. ACL 2010.</t>
  </si>
  <si>
    <t>Extracting and composing robust features with denoising autoencoders. Vincent, Larochelle, Bengio, Manzagol. ICML 2008.</t>
  </si>
  <si>
    <t>Glue: A multi-task benchmark and analysis platform for natural language understanding. Wang, Singh, Michael, Hill, Levy, Bowman. EMNLP 2018.</t>
  </si>
  <si>
    <t>Multi-granularity hierarchical attention fusion networks for reading comprehension and question answering. Wang, Yan, Wu. ACL 2018.</t>
  </si>
  <si>
    <t>Neural network acceptability judgments. Warstadt, Singh, Bowman. arXiv 2018.</t>
  </si>
  <si>
    <t>A broad-coverage challenge corpus for sentence understanding through inference. Williams, Nangia, Bowman. NAACL 2018.</t>
  </si>
  <si>
    <t>Google’s neural machine translation system: Bridging the gap between human and machine translation. Wu, Schuster, Chen, Quoc Le, Norouzi, Macherey, Krikun, Cao, Gao, Macherey. arXiv 2016.</t>
  </si>
  <si>
    <t>How transferable are features in deep neural networks? Yosinski, Clune, Bengio, Lipson. Adv NIPS 2014.</t>
  </si>
  <si>
    <t>QANet: Combining local convolution with global self-attention for reading comprehension. Yu, Dohan, Luong, Zhao, Chen, Norouzi, Quoc Le. ICLR 2018.</t>
  </si>
  <si>
    <t>Swag: A large-scale adversarial dataset for grounded commonsense inference. Zellers, Bisk, Schwartz, Choi. EMNLP 2018.</t>
  </si>
  <si>
    <t>Aligning books and movies: Towards story-like visual explanations by watching movies and reading books. Zhu, Kiros, Zemel, Salakhutdinov, Urtasun, Torralba, Fidler. Proc IEEE ICCV 2015.</t>
  </si>
  <si>
    <t>Superhuman AI for heads-up no-limit poker: Libratus beats top professionals. Noam Brown and Tuomas Sandholm. Science, pp. eaao1733, 2017.</t>
  </si>
  <si>
    <t>X.AI</t>
  </si>
  <si>
    <t>Dmitriy Karpman, Kevin Guo</t>
  </si>
  <si>
    <t>Algolux</t>
  </si>
  <si>
    <t>Glynn, Tomales Bay, Jericho, General Catalyst, Bain</t>
  </si>
  <si>
    <t>Content Moderation</t>
  </si>
  <si>
    <t>Hive</t>
  </si>
  <si>
    <t>Tomales Bay Capital</t>
  </si>
  <si>
    <t>Jericho Capital</t>
  </si>
  <si>
    <t>Tomales Bay, Visa, Jericho, General Catalyst, Bain</t>
  </si>
  <si>
    <t>Visa Ventures</t>
  </si>
  <si>
    <t>Bracket Capital</t>
  </si>
  <si>
    <t>Alex Kolicich</t>
  </si>
  <si>
    <t>8VC, Rocketship.vc, General Catalyst, Founders Fund, Eniac Ventures, Dan Rumennik</t>
  </si>
  <si>
    <t>Tomales Bay, General Catalyst, Bracket, 8VC</t>
  </si>
  <si>
    <t>SNOW</t>
  </si>
  <si>
    <t>CRM content</t>
  </si>
  <si>
    <t>S. Zayd Enam, Sebastian Thrun, Tim Shi</t>
  </si>
  <si>
    <t>Tiger, Zoom, Sequoia, Roosh, Porsche, JPMorgan, Greylock, Genesys, Five9, CarMax, a16z</t>
  </si>
  <si>
    <t>Roosh Ventures</t>
  </si>
  <si>
    <t>Porsche</t>
  </si>
  <si>
    <t>JPMorgan Chase</t>
  </si>
  <si>
    <t>Genesys</t>
  </si>
  <si>
    <t>Five9</t>
  </si>
  <si>
    <t>CarMax</t>
  </si>
  <si>
    <t>Sequoia, Porsche, Greylock, a16z, Allen</t>
  </si>
  <si>
    <t>Allen &amp; Company</t>
  </si>
  <si>
    <t>Tech Square Ventures</t>
  </si>
  <si>
    <t>Greylock, a16z, Tech Square Ventures, Vivi Nevo, Mark Leslie, Andy Bechtolsheim</t>
  </si>
  <si>
    <t>a16z, Nat Friedman, Daniel Gross, TheSoul Publishing, SVA, Storytel, Embark Studios, Credo Ventures, Concept Ventures, Siqi Chen, Mustafa Suleyman, Mike Krieger, Guillermo Rauch, Dima Shvets, Brendan Iribe, Aravind Srinivas, Anjney Midha, Ali Albazaz</t>
  </si>
  <si>
    <t>TheSoul Publishing</t>
  </si>
  <si>
    <t>Storytel</t>
  </si>
  <si>
    <t>Embark Studios</t>
  </si>
  <si>
    <t>Credo Ventures</t>
  </si>
  <si>
    <t>Creator Ventures</t>
  </si>
  <si>
    <t>Concept Ventures</t>
  </si>
  <si>
    <t>Molham Aref</t>
  </si>
  <si>
    <t>Knowledge graph for data clouds</t>
  </si>
  <si>
    <t>Tiger, Menlo, Madrona, Addition</t>
  </si>
  <si>
    <t>RelationalAI</t>
  </si>
  <si>
    <t>8Flow</t>
  </si>
  <si>
    <t>8flow.ai</t>
  </si>
  <si>
    <t>Boaz Hecht, Josh Russ, Yev Goldin</t>
  </si>
  <si>
    <t>Distyl AI</t>
  </si>
  <si>
    <t>distyl.ai</t>
  </si>
  <si>
    <t>Capsule</t>
  </si>
  <si>
    <t>Champ Bennett, Joseph Jorgensen</t>
  </si>
  <si>
    <t>capsule.video</t>
  </si>
  <si>
    <t>atomic.ai</t>
  </si>
  <si>
    <t>Thu Nguyen-Phuoc</t>
  </si>
  <si>
    <t>Stephen Lombardi</t>
  </si>
  <si>
    <t>Gabriel Schwartz</t>
  </si>
  <si>
    <t>Yuting Ye</t>
  </si>
  <si>
    <t>Lei Xiao</t>
  </si>
  <si>
    <t>Christopher Berner, Greg Brockman, Brooke Chan, Vicki Cheung, Przemysław Debiak, Christy Dennison, David Farhi, Quirin Fischer, Shariq Hashme, Chris Hesse, Rafal Jozefowicz, Scott Gray, Catherine Olsson, Jakub Pachocki, Michael Petrov, Henrique Ponde de Oliveira Pinto, Jonathan Raiman, Tim Salimans, Jeremy Schlatter, Jonas Schneider, Szymon Sidor, Ilya Sutskever, Jie Tang, Filip Wolski, Susan Zhang (OpenAI)</t>
  </si>
  <si>
    <t>Mnih V, Kavukcuoglu K, Silver D, Graves A, Antonoglou I, Wierstra D, Riedmiller, M.</t>
  </si>
  <si>
    <t>Mastering the game of Go with deep neural networks and tree search. 2016.</t>
  </si>
  <si>
    <t>Silver, D., Huang, A., Maddison, CJ, Guez, A, Sifre, L, Van Den Driessche, G, Schrittwieser, J, Antonoglou I, Panneershelvam V, Lanctot M. Nature 529, 484.</t>
  </si>
  <si>
    <t>David Silver, Thomas Hubert, Julian Schrittwieser, Ioannis Antonoglou, Matthew Lai, Arthur Guez, Marc Lanctot, Laurent Sifre, Dharshan Kumaran, Thore Graepel, et al. Science, 362(6419):1140–1144, 2018.</t>
  </si>
  <si>
    <t>Playing atari with deep reinforcement learning. Mnih, Kavukcuoglu, Silver, Graves, Antonoglou, Wierstra, Riedmiller. arXiv 2013.</t>
  </si>
  <si>
    <t>Mastering the game of Go with deep neural networks and tree search. Silver, D., Huang, A., Maddison, CJ, Guez, A, Sifre, L, Van Den Driessche, G, Schrittwieser, J, Antonoglou I, Panneershelvam V, Lanctot M. Nature 529, 484.</t>
  </si>
  <si>
    <t>Grandmaster level in starcraft ii using multi-agent reinforcement learning. Oriol Vinyals, Igor Babuschkin, Wojciech M Czarnecki, Michael Mathieu, Andrew Dudzik, Juny-oung Chung, David H Choi, Richard Powell, Timo Ewalds, Petko Georgiev, et al. Nature, 575(7782):350–354, 2019.</t>
  </si>
  <si>
    <t>A general reinforcement learning algorithm that masters chess, shogi, and go through self-play. David Silver, Thomas Hubert, Julian Schrittwieser, Ioannis Antonoglou, Matthew Lai, Arthur Guez, Marc Lanctot, Laurent Sifre, Dharshan Kumaran, Thore Graepel, et al. Science, 362(6419):1140–1144, 2018.</t>
  </si>
  <si>
    <t>James Martens.</t>
  </si>
  <si>
    <t>Deep learning via Hessian-free optimization. 2010</t>
  </si>
  <si>
    <t>LeCun, Bengio, Hinton. Nature.</t>
  </si>
  <si>
    <t>Conferences</t>
  </si>
  <si>
    <t>Nature</t>
  </si>
  <si>
    <t>Goodfellow, Bengio, Courville.</t>
  </si>
  <si>
    <t>M Mohri, A Rostamizadeh, A Talwalkar.</t>
  </si>
  <si>
    <t>Foundations of machine learning. 2018</t>
  </si>
  <si>
    <t>Principles of Artificial Intelligence. 1982.</t>
  </si>
  <si>
    <t>Nils Nilsson (Stanford)</t>
  </si>
  <si>
    <t>A proposal for the Dartmouth Summer Resarch Project on Artificial Intelligence. 1955.</t>
  </si>
  <si>
    <t>John McCarthy, Marvin Minsky, Nathaniel Rochester, Claude Shannon.</t>
  </si>
  <si>
    <t>Intriguing properties of neural networks. 2013.</t>
  </si>
  <si>
    <t>Christian Szegedy, Wojciech Zaremba, Ilya Sutskever, Joan Bruna, Dumitru Erhan, Ian Goodfellow, Rob Fergus</t>
  </si>
  <si>
    <t>Christian Szegedy</t>
  </si>
  <si>
    <t>Dumitru Erhan</t>
  </si>
  <si>
    <t>Left for OpenAI</t>
  </si>
  <si>
    <t>Intriguing properties of neural networks (2/19/14)</t>
  </si>
  <si>
    <t>Reinforcement learning: An Introduction. 2018.</t>
  </si>
  <si>
    <t>RS Sutton, AG Barto.</t>
  </si>
  <si>
    <t>M Tan, Q Le, ICML.</t>
  </si>
  <si>
    <t>Efficientnet: Rethinking model scaling for convolutional neural networks. 2019.</t>
  </si>
  <si>
    <t>Adaptation in natural and artificial systems: an introductory analysis with applications to biology, control and artificial intelligence. 1992.</t>
  </si>
  <si>
    <t>Programs with common sense. 1959.</t>
  </si>
  <si>
    <t>JA Hartigan, MA Wong. J Royal Stat Soc C.</t>
  </si>
  <si>
    <t>Aditya Ramesh, Mikhail Pavlov, Gabriel Goh, Scott Gray, Chelsea Voss, Alec Radford, Mark Chen, Ilya Sutskever (Open AI).</t>
  </si>
  <si>
    <t>Yann LeCun, Leon Bottou, Yoshua Bengio, Patrick Haffner. (AT&amp;T, U Montreal)</t>
  </si>
  <si>
    <t>Backpropagation applied to handwritten zip code recognition. 1989.</t>
  </si>
  <si>
    <t>Yann LeCun, B Boser, JS Denker, D Henderson, RE Howard, W Hubbard, LD Jackel (AT&amp;T/Bell Labs)</t>
  </si>
  <si>
    <t>Understanding the difficulty of training deep feedforward neural networks. 2010.</t>
  </si>
  <si>
    <t>Xavier Glorot, Yoshua Bengio (U Montreal)</t>
  </si>
  <si>
    <t>J Bergstra, Yoshua Bengio.</t>
  </si>
  <si>
    <t>Reducing the dimensionality of data with neural networks. 2006.</t>
  </si>
  <si>
    <t>Geoff Hinton, RR Salakhutdinov.</t>
  </si>
  <si>
    <t>A Krizhevsky, Geoffrey E Hinton.</t>
  </si>
  <si>
    <t>Learning multiple layers of features from tiny images. 2009.</t>
  </si>
  <si>
    <t>Colin Raffel, Noam Shazeer, Adam Roberts, Katherine Lee, Sharan Narang, Michael Matena, Yanqi Zhou, Wei Li, Peter J. Liu (Google)</t>
  </si>
  <si>
    <t>noam@google.com</t>
  </si>
  <si>
    <t>Colin Raffel</t>
  </si>
  <si>
    <t>craffel@gmail.com</t>
  </si>
  <si>
    <t>Exploring the Limits of Transfer Learning (2020)</t>
  </si>
  <si>
    <t>Adam Roberts</t>
  </si>
  <si>
    <t>adarob@google.com</t>
  </si>
  <si>
    <t>Katherine Lee</t>
  </si>
  <si>
    <t>katherinelee@google.com</t>
  </si>
  <si>
    <t>Sharan Narang</t>
  </si>
  <si>
    <t>sharannarang@google.com</t>
  </si>
  <si>
    <t>Michael Matena</t>
  </si>
  <si>
    <t>mmatena@google.com</t>
  </si>
  <si>
    <t>Yanqi Zhou</t>
  </si>
  <si>
    <t>yanqiz@google.com</t>
  </si>
  <si>
    <t>Wei Li</t>
  </si>
  <si>
    <t>mweili@google.com</t>
  </si>
  <si>
    <t>Peter J. Liu</t>
  </si>
  <si>
    <t>peterjliu@google.com</t>
  </si>
  <si>
    <t>Exploring the Limits of Transfer Learning (2020), Palm (2022)</t>
  </si>
  <si>
    <t>BERT (2019), Palm (2022)</t>
  </si>
  <si>
    <t>Aakanksha Chowdhery</t>
  </si>
  <si>
    <t>Palm (2022)</t>
  </si>
  <si>
    <t>Maarten Bosma</t>
  </si>
  <si>
    <t>Gaurav Mishra</t>
  </si>
  <si>
    <t>Paul Barham</t>
  </si>
  <si>
    <t>Charles Sutton</t>
  </si>
  <si>
    <t>Sebastian Gehrmann</t>
  </si>
  <si>
    <t>Parker Schuh</t>
  </si>
  <si>
    <t>Kensen Shi</t>
  </si>
  <si>
    <t>Sasha Tsvyashchenko</t>
  </si>
  <si>
    <t>Joshua Maynez</t>
  </si>
  <si>
    <t>Abhishek Rao</t>
  </si>
  <si>
    <t>Parker Barnes</t>
  </si>
  <si>
    <t>Yi Tay</t>
  </si>
  <si>
    <t>Vinodkumar Prabhakaran</t>
  </si>
  <si>
    <t>Emily Reif</t>
  </si>
  <si>
    <t>Nan Du</t>
  </si>
  <si>
    <t>Ben Hutchinson</t>
  </si>
  <si>
    <t>Reiner Pope</t>
  </si>
  <si>
    <t>James Bradbury</t>
  </si>
  <si>
    <t>Jacob Austin</t>
  </si>
  <si>
    <t>Michael Isard</t>
  </si>
  <si>
    <t>Guy Gur-Ari</t>
  </si>
  <si>
    <t>Pengcheng Yin</t>
  </si>
  <si>
    <t>Toju Duke</t>
  </si>
  <si>
    <t>Anselm Levskaya</t>
  </si>
  <si>
    <t>Sanjay Ghemawat</t>
  </si>
  <si>
    <t>Sunipa Dev</t>
  </si>
  <si>
    <t>Henryk Michalewski</t>
  </si>
  <si>
    <t>Xavier Garcia</t>
  </si>
  <si>
    <t>Kevin Robinson</t>
  </si>
  <si>
    <t>Denny Zhou</t>
  </si>
  <si>
    <t>Daphne Ippolito</t>
  </si>
  <si>
    <t>Hyeontaek Lim</t>
  </si>
  <si>
    <t>Alexander Spiridonov</t>
  </si>
  <si>
    <t>Ryan Sepassi</t>
  </si>
  <si>
    <t>David Dohan</t>
  </si>
  <si>
    <t>Shivani Agrawal</t>
  </si>
  <si>
    <t>Mark Omernick</t>
  </si>
  <si>
    <t>Andrew M. Dai</t>
  </si>
  <si>
    <t>Thanumalayan Sankaranarayana Pillai</t>
  </si>
  <si>
    <t>Marie Pellat</t>
  </si>
  <si>
    <t>Aitor Lewkowycz</t>
  </si>
  <si>
    <t>Erica Moreira</t>
  </si>
  <si>
    <t>Oleksandr Polozov</t>
  </si>
  <si>
    <t>Zongwei Zhou</t>
  </si>
  <si>
    <t>Xuezhi Wang</t>
  </si>
  <si>
    <t>Brennan Saeta</t>
  </si>
  <si>
    <t>Mark Diaz</t>
  </si>
  <si>
    <t>Orhan Firat</t>
  </si>
  <si>
    <t>Michele Catasta</t>
  </si>
  <si>
    <t>Kathy Meier-Hellstern</t>
  </si>
  <si>
    <t>Douglas Eck</t>
  </si>
  <si>
    <t>Slav Petrov</t>
  </si>
  <si>
    <t>Noah Fiedel</t>
  </si>
  <si>
    <t>William "Liam" Fedus, Barret Zoph, Noam Shazeer</t>
  </si>
  <si>
    <t>William "Liam" Fedus</t>
  </si>
  <si>
    <t>liamfedus@google.com</t>
  </si>
  <si>
    <t>Outrageously large neural networks: The sparsely-gated mixture-of-experts layer. 2017.</t>
  </si>
  <si>
    <t>Noam Shazeer, Azalia Mirhoseini, Krzysztof Maziarz, Andy Davis, Quoc Le, Geoffrey Hinton, Jeff Dean. (Google) ICLR 2017.</t>
  </si>
  <si>
    <t>Exploring the Limits of Transfer Learning (2020), Palm (2022), Outrageously Large Neural Networks (2017)</t>
  </si>
  <si>
    <t>Azalia Mirhoseini</t>
  </si>
  <si>
    <t>Outrageously Large Neural Networks (2017)</t>
  </si>
  <si>
    <t>azalia@google.com</t>
  </si>
  <si>
    <t>Andy Davis</t>
  </si>
  <si>
    <t>andydavis@google.com</t>
  </si>
  <si>
    <t>jeff@google.com</t>
  </si>
  <si>
    <t>Geoffrey E. Hinton</t>
  </si>
  <si>
    <t>geoffhinton@google.com</t>
  </si>
  <si>
    <t>qvl@google.com</t>
  </si>
  <si>
    <t>Distributed representations of words and phrases and their compositionality. 2013.</t>
  </si>
  <si>
    <t>Tomas Mikolov, Ilya Sutskever, Kai Chen, Greg Corrado, Jeffrey Dean.</t>
  </si>
  <si>
    <t>Tomas Mikolov</t>
  </si>
  <si>
    <t>mikolov@google.com</t>
  </si>
  <si>
    <t>Distributed Representations (2013)</t>
  </si>
  <si>
    <t>at least 2013</t>
  </si>
  <si>
    <t>ilyasu@google.com</t>
  </si>
  <si>
    <t>Kai Chen</t>
  </si>
  <si>
    <t>kai@google.com</t>
  </si>
  <si>
    <t>Greg Corrado</t>
  </si>
  <si>
    <t>gcorrado@google.com</t>
  </si>
  <si>
    <t>Tensorflow: Large-scale machine learning on heterogeneous distributed systems. 2016.</t>
  </si>
  <si>
    <t>Martin Abadi, Ashish Agarwal, Paul Barham, Eugene Brevdo, Zhifeng Chen, Craig Citro, Greg S. Corrado, Andy Davis, Jeffrey Dean, Matthieu Devin, Sanjay Ghemawat, Ian Goodfellow, Andrew Harp, Geoffrey Irving, Michael Isard, Yangqing Jia, Rafal Jozefowicz, Lukasz Kaiser, Manjunath Kudlur, Josh Levenberg, Dan Mane, Rajat Monga, Sherry Moore, Derek Murray, Chris Olah, Mike Schuster, Jonathon Shlens, Benoit Steiner, Ilya Sutskever, Kunal Talwar, Paul Tucker, Vincent Vanhoucke, Vijay Vasudevan, Fernanda Viegas, Oriol Vinyals, Pete Warden, Martin Wattenberg, Martin Wicke, Yuan Yu, Xiaoqiang Zheng (Google)</t>
  </si>
  <si>
    <t>TensorFlow (2015)</t>
  </si>
  <si>
    <t>Martin Abadi</t>
  </si>
  <si>
    <t>TensorFlow (2015), Palm (2022)</t>
  </si>
  <si>
    <t>Ashish Agarwal</t>
  </si>
  <si>
    <t>Eugene Brevdo</t>
  </si>
  <si>
    <t>Zhifeng Chen</t>
  </si>
  <si>
    <t>Distributed Representations (2013), TensorFlow (2015)</t>
  </si>
  <si>
    <t>TensorFlow (2015), Outrageously Large Neural Networks (2017)</t>
  </si>
  <si>
    <t>Craig Citro</t>
  </si>
  <si>
    <t>Andrew Harp</t>
  </si>
  <si>
    <t>Geoffrey Irving</t>
  </si>
  <si>
    <t>Matthieu Devin</t>
  </si>
  <si>
    <t>Yangqing Jia</t>
  </si>
  <si>
    <t>Rafal Jozefowicz</t>
  </si>
  <si>
    <t>Manjunath Kudlur</t>
  </si>
  <si>
    <t>Josh Levenberg</t>
  </si>
  <si>
    <t>Dan Mane</t>
  </si>
  <si>
    <t>Rajat Monga</t>
  </si>
  <si>
    <t>Sherry Moore</t>
  </si>
  <si>
    <t>Derek Murray</t>
  </si>
  <si>
    <t>Chris Olah</t>
  </si>
  <si>
    <t>Mike Schuster</t>
  </si>
  <si>
    <t>Jonathon Shlens</t>
  </si>
  <si>
    <t>Intriguing properties of neural networks (2/19/14), Distributed Representations (2013), TensorFlow (2015)</t>
  </si>
  <si>
    <t>Kunal Talwar</t>
  </si>
  <si>
    <t>Paul Tucker</t>
  </si>
  <si>
    <t>Benoit Steiner</t>
  </si>
  <si>
    <t>Vincent Vanhoucke</t>
  </si>
  <si>
    <t>Vijay Vasudevan</t>
  </si>
  <si>
    <t>Pete Warden</t>
  </si>
  <si>
    <t>Fernanda Viegas</t>
  </si>
  <si>
    <t>Martin Wattenberg</t>
  </si>
  <si>
    <t>Yuan Yu</t>
  </si>
  <si>
    <t>Martin Wicke</t>
  </si>
  <si>
    <t>Xiaoqiang Zheng</t>
  </si>
  <si>
    <t>MapReduce: simplified data processing on large clusters. 2004.</t>
  </si>
  <si>
    <t>Jeff Dean, S Ghemawat.</t>
  </si>
  <si>
    <t>Infogrid</t>
  </si>
  <si>
    <t>Prima Materia</t>
  </si>
  <si>
    <t>Security, Defense</t>
  </si>
  <si>
    <t>Limited details.</t>
  </si>
  <si>
    <t>https://ailibrary.s3.amazonaws.com/Deep+Learning+-+MIT+(2017)+-+Ian+Goodfellow%2C+Yoshua+Bengio%2C+Aaron+Courville.pdf</t>
  </si>
  <si>
    <t>https://ailibrary.s3.amazonaws.com/ImageNet+Classification+with+Deep+Convolutional+Neural+Networks+-+Krizhevsky%2C+Sutskever%2C+Hinton+2017.pdf</t>
  </si>
  <si>
    <t>https://ailibrary.s3.amazonaws.com/Attention+is+All+You+Need+-+Vaswani.pdf</t>
  </si>
  <si>
    <t>https://ailibrary.s3.amazonaws.com/BERT+-+Pre-training+of+Deep+Bidirectional+Transformers+for+Language+Understanding+-+1810.04805.pdf</t>
  </si>
  <si>
    <t>Run:AI</t>
  </si>
  <si>
    <t>Omri Geller, Ronen Dar</t>
  </si>
  <si>
    <t>Tiger, Insight, TLV, S Capital</t>
  </si>
  <si>
    <t>MLOps, Infrastructure, Compute</t>
  </si>
  <si>
    <t>S Capital</t>
  </si>
  <si>
    <t>Nobody</t>
  </si>
  <si>
    <t>Insight, TLV, S Capital</t>
  </si>
  <si>
    <t>TLV Partners, S Capital</t>
  </si>
  <si>
    <t>https://ailibrary.s3.amazonaws.com/Outrageously+Large+Neural+Networks+-+The+Sparsely-Gated+Mixture-of-Experts+Layer.pdf</t>
  </si>
  <si>
    <t>https://ailibrary.s3.amazonaws.com/TensorFlow+-+Large-Scale+Machine+Learning+on+Heterogeneous+Distributed+Systems.pdf</t>
  </si>
  <si>
    <t>https://ailibrary.s3.amazonaws.com/Layer+Normalization+-+Ba%2C+Hinton.pdf</t>
  </si>
  <si>
    <t>https://ailibrary.s3.amazonaws.com/Deep+Learning+Review+(Nature)+-+Yann+LeCun%2C+Yoshua+Bengio%2C+Geoffrey+Hinton.pdf</t>
  </si>
  <si>
    <t>This joint paper from the major speech recognition laboratories, summarizing the breakthrough achieved with deep learning on the task of phonetic classification for automatic speech recognition, was the first major industrial application of deep learning.</t>
  </si>
  <si>
    <t>greedy layer-wise pre-training</t>
  </si>
  <si>
    <t>2017-1</t>
  </si>
  <si>
    <t>2016-1</t>
  </si>
  <si>
    <t>2016-2</t>
  </si>
  <si>
    <t>2016-3</t>
  </si>
  <si>
    <t>2016-4</t>
  </si>
  <si>
    <t>Link</t>
  </si>
  <si>
    <t>Authors</t>
  </si>
  <si>
    <t>Citations</t>
  </si>
  <si>
    <t>Deep Learning. 2016, 2017.</t>
  </si>
  <si>
    <t>Ackley, DH, Geoffrey E Hinton, TJ Sejnowski</t>
  </si>
  <si>
    <t>A learning algorithm for Boltzmann machines. Cognitive Science 1985.</t>
  </si>
  <si>
    <t>1985-1</t>
  </si>
  <si>
    <t>Une procedure d'apprentissage pour reseau a seiul (A learning process for asymmetric threshold network). 1985 (French). Disordered Systems and Biological Organization 1986 (English).</t>
  </si>
  <si>
    <t>1985-2</t>
  </si>
  <si>
    <t>https://ailibrary.s3.amazonaws.com/A+Proposal+for+the+Dartmouth+Summer+Research+Project+on+Artificial+Intelligence.pdf</t>
  </si>
  <si>
    <t>The perceptron: A probabilistic model for information storage and organization in the brain. Psychological Review, v65, n6, p386 1958.</t>
  </si>
  <si>
    <t>https://ailibrary.s3.amazonaws.com/Perceptron.pdf</t>
  </si>
  <si>
    <t>1955-1</t>
  </si>
  <si>
    <t>1958-1</t>
  </si>
  <si>
    <t>1959-1</t>
  </si>
  <si>
    <t>1960-1</t>
  </si>
  <si>
    <t>1961-1</t>
  </si>
  <si>
    <t>1961-2</t>
  </si>
  <si>
    <t>1969-1</t>
  </si>
  <si>
    <t>1975-1</t>
  </si>
  <si>
    <t>1979-1</t>
  </si>
  <si>
    <t>1981-1</t>
  </si>
  <si>
    <t>1982-1</t>
  </si>
  <si>
    <t>https://ailibrary.s3.amazonaws.com/Programs+with+Common+Sense+-+McCarthy+1959.pdf</t>
  </si>
  <si>
    <t>JCR Licklider</t>
  </si>
  <si>
    <t>Man-computer symbiosis. IRE Transact Human Factor 1960</t>
  </si>
  <si>
    <t>https://ailibrary.s3.amazonaws.com/Man-Computer+Symbiosis+-+Licklider.pdf</t>
  </si>
  <si>
    <t>https://ailibrary.s3.amazonaws.com/neurodynamics1962rosenblatt.pdf</t>
  </si>
  <si>
    <t>Steps toward artificial intelligence. Proceedings of the IRE 1961.</t>
  </si>
  <si>
    <t>https://ailibrary.s3.amazonaws.com/Steps+Toward+Artificial+Intelligence+-+Minsky.pdf</t>
  </si>
  <si>
    <t>Cognitron: A self-organizing multilayered neural network. Biological cybernetics 1975.</t>
  </si>
  <si>
    <t>K Fukushima</t>
  </si>
  <si>
    <t>https://ailibrary.s3.amazonaws.com/Marvin+Minsky%2C+Seymour+Papert+-+Perceptrons_+An+introduction+to+computational+geometry-MIT+Press+(1969).djvu</t>
  </si>
  <si>
    <t>https://ailibrary.s3.amazonaws.com/Cognitron+-+A+Self-Organizing+Multilayered+Neural+Network+-+Fukushima+1975.pdf</t>
  </si>
  <si>
    <t>Algorithm AS 136: A k-means clustering algorithm. J Royal Stat Soc C 1979.</t>
  </si>
  <si>
    <t>https://ailibrary.s3.amazonaws.com/Algorithm+AS+136+-+A+K-Means+Clustering+Algorithm+-+Hartigan.pdf</t>
  </si>
  <si>
    <t>Some philosophical problems from the standpoint of artificial intelligence. Readings in artificial intelligence 1981.</t>
  </si>
  <si>
    <t>John McCarthy, PJ Hayes</t>
  </si>
  <si>
    <t>https://ailibrary.s3.amazonaws.com/Some+Philosophical+problems+from+the+standpoint+of+AI+-+McCarthy+1981.pdf</t>
  </si>
  <si>
    <t>https://ailibrary.s3.amazonaws.com/Principles+of+Artificial+Intelligence+-+Nilsson.pdf</t>
  </si>
  <si>
    <t>https://ailibrary.s3.amazonaws.com/A+Learning+Algorithm+for+Boltzmann+Machines+-+Ackley%2C+Hinton%2C+Sejnowski.pdf</t>
  </si>
  <si>
    <t>https://ailibrary.s3.amazonaws.com/Learning+Process+in+an+Asymmetric+Threshold+Network+-+LeCun+1986.pdf</t>
  </si>
  <si>
    <t>1986-1</t>
  </si>
  <si>
    <t>1986-2</t>
  </si>
  <si>
    <t>Learning representations by back-propagating errors. Nature 1986, v323, n6088, p533</t>
  </si>
  <si>
    <t>https://ailibrary.s3.amazonaws.com/Learning+Representations+by+Back-Propagating+Errors+-+Rumelhart%2C+Hinton%2C+Williams.pdf</t>
  </si>
  <si>
    <t>1961-1, 1969-1, 1985-2, 1986-2</t>
  </si>
  <si>
    <t>https://ailibrary.s3.amazonaws.com/Parallel+Distributed+Processing+-+Explorations+in+the+Microstructure+of+Cognition+-+David+E.+Rumelhart%2C+Geoff+Hinton+James+L.+McClelland+(1986).pdf</t>
  </si>
  <si>
    <t>1989-1</t>
  </si>
  <si>
    <t>1989-2</t>
  </si>
  <si>
    <t>1992-1</t>
  </si>
  <si>
    <t>1990-1</t>
  </si>
  <si>
    <t>1994-1</t>
  </si>
  <si>
    <t>1994-2</t>
  </si>
  <si>
    <t>1995-1</t>
  </si>
  <si>
    <t>1998-2</t>
  </si>
  <si>
    <t>1998-1</t>
  </si>
  <si>
    <t>2002-1</t>
  </si>
  <si>
    <t>2004-1</t>
  </si>
  <si>
    <t>https://ailibrary.s3.amazonaws.com/Backpropagation+Applied+to+Handwritten+Zip+Code+Recognition+-+LeCun+1989.pdf</t>
  </si>
  <si>
    <t>On the approximate realization of continuous mappings by neural networks. Neural Networks 1989.</t>
  </si>
  <si>
    <t>K Funahashi</t>
  </si>
  <si>
    <t>https://ailibrary.s3.amazonaws.com/On+the+approximate+realization+of+continuous+mappings+by+neural+networks+-+Funahashi+1989.pdf</t>
  </si>
  <si>
    <t>Identification and control of dynamical systems using neural networks. IEEE Transact Neural Net 1990, Vol 1, No 1</t>
  </si>
  <si>
    <t>Kumpati S. Narendra, Kannan Parthasarathy</t>
  </si>
  <si>
    <t>https://ailibrary.s3.amazonaws.com/Identification+and+Control+of+Dynamical+Systems+Using+Neural+Networks+-+Narendra+1990.pdf</t>
  </si>
  <si>
    <t>JH Holland</t>
  </si>
  <si>
    <t>Author</t>
  </si>
  <si>
    <t>https://ailibrary.s3.amazonaws.com/Adaptation+in+Natural+and+Artificial+Systems+-+An+Introductory+Analysis+with+Applications+to+Biology%2C+Control%2C+and+Artificial+Intelligence+-+John+H.+Holland+-+The+MIT+Press+(1992).pdf</t>
  </si>
  <si>
    <t>Learning long-term dependencies with gradient descent is difficult. IEEE Trans Neural Net 1994.</t>
  </si>
  <si>
    <t>Yoshua Bengio, P Simard, P Frasconi</t>
  </si>
  <si>
    <t>https://ailibrary.s3.amazonaws.com/Learning+long-term+dependencies+with+gradient+descent+is+difficult.+Bengio+Simard+Frasconi+1994.pdf</t>
  </si>
  <si>
    <t>TD-Gammon, a self-teaching backgammon program, achieves master-level play. Neural Computation 1994; 6(215-219)</t>
  </si>
  <si>
    <t>Gerald Tesauro (IBM)</t>
  </si>
  <si>
    <t>https://ailibrary.s3.amazonaws.com/TD-Gammon%2C+A+Self-Teaching+Backgammon+Program%2C+Achieves+Master-Level+Play.pdf</t>
  </si>
  <si>
    <t>Convolutional networks for images, speech and time series. The handbook of Brain Theory and Neural Networks 1995.</t>
  </si>
  <si>
    <t>Yann LeCun, Yoshua Bengio</t>
  </si>
  <si>
    <t>https://ailibrary.s3.amazonaws.com/Convolutional+networks+for+images%2C+speech+and+time+series.+LeCun%2C+Bengio+1995.pdf</t>
  </si>
  <si>
    <t>S Haykin</t>
  </si>
  <si>
    <t>https://ailibrary.s3.amazonaws.com/Neural+Networks+-+A+Comprehensive+Foundation+-+Simon+Haykin+-+Prentice+Hall+(1998).pdf</t>
  </si>
  <si>
    <t>Neural Networks: A Comprehensive Foundation. Prentice Hall, 1998.</t>
  </si>
  <si>
    <t>https://ailibrary.s3.amazonaws.com/Gradient-based+learning+applied+to+document+recognition+-+LeCun.pdf</t>
  </si>
  <si>
    <t>Gradient-based learning applied to document recognition. Proc IEEE 1998.</t>
  </si>
  <si>
    <t>Deep Blue. Artif Intell 2002, 134:57-83.</t>
  </si>
  <si>
    <t>Murray Campbell, A. Joseph Hoane Jr., Feng-hsiung Hsu (IBM)</t>
  </si>
  <si>
    <t>2006-1</t>
  </si>
  <si>
    <t>2006-3</t>
  </si>
  <si>
    <t>2006-2</t>
  </si>
  <si>
    <t>https://ailibrary.s3.amazonaws.com/Deep+Blue+-+Campbell%2C+Hoane%2C+Hsu.pdf</t>
  </si>
  <si>
    <t>sanjay@google.com</t>
  </si>
  <si>
    <t>Palm (2022), TensorFlow (2015), MapReduce (2004)</t>
  </si>
  <si>
    <t>Prior</t>
  </si>
  <si>
    <t>DEC</t>
  </si>
  <si>
    <t>Wayne Rosing</t>
  </si>
  <si>
    <t>Alan Eustace</t>
  </si>
  <si>
    <t>Wilson Hsieh</t>
  </si>
  <si>
    <t>Building 40</t>
  </si>
  <si>
    <t>L11. Shared office with Shazeer.</t>
  </si>
  <si>
    <t>Claire Cui</t>
  </si>
  <si>
    <t>Steven Gribblew</t>
  </si>
  <si>
    <t>ex-DEC</t>
  </si>
  <si>
    <t>L11, Chief Scientist. Shared office with Shazeer.</t>
  </si>
  <si>
    <t>https://ailibrary.s3.amazonaws.com/MapReduce+-+Dean%2C+Ghemawat.pdf</t>
  </si>
  <si>
    <t>Not AI, including because of Dean and relative historical importance.</t>
  </si>
  <si>
    <t>Pattern recognition and machine learning. Springer, 2006.</t>
  </si>
  <si>
    <t>Christopher M. Bishop</t>
  </si>
  <si>
    <t>A fast learning algorithm for deep belief nets. Neural Computation 2006.</t>
  </si>
  <si>
    <t>https://ailibrary.s3.amazonaws.com/Pattern+Recognition+and+Machine+Learning+-+Christopher+M.+Bishop+(2006).pdf</t>
  </si>
  <si>
    <t>https://ailibrary.s3.amazonaws.com/Reducing+the+dimensionality+of+data+with+neural+networks.+Hinton%2C+Salakhutdinov+-+2006.pdf</t>
  </si>
  <si>
    <t>GE Hinton, S Osindero, YW Teh</t>
  </si>
  <si>
    <t>https://ailibrary.s3.amazonaws.com/A+fast+learning+algorithm+for+deep+belief+nets.+Hinton%2C+Osindero%2C+Teh+-+2006.pdf</t>
  </si>
  <si>
    <t>2008-1</t>
  </si>
  <si>
    <t>Visualizing data using t-SNE. J Mach Learn Res 2008.</t>
  </si>
  <si>
    <t>L Van der Maaten, Geoffrey E Hinton</t>
  </si>
  <si>
    <t>https://ailibrary.s3.amazonaws.com/Visualizing+Data+using+t-SNE+-+van+der+Maaten%2C+Hinton+2008.pdf</t>
  </si>
  <si>
    <t>2009-1</t>
  </si>
  <si>
    <t>StageZero</t>
  </si>
  <si>
    <t>https://ailibrary.s3.amazonaws.com/Learning+multiple+layers+of+features+from+tiny+images+-+Krizhevsky+2009.pdf</t>
  </si>
  <si>
    <t>2010-1</t>
  </si>
  <si>
    <t>https://ailibrary.s3.amazonaws.com/Artificial+Intelligence+-+A+Modern+Approach+-+Stuart+Russell%2C+Peter+Norvig+-+Prentice+Hall+(2010).pdf</t>
  </si>
  <si>
    <t>2010-2</t>
  </si>
  <si>
    <t>https://ailibrary.s3.amazonaws.com/Understanding+the+difficulty+of+training+deep+feedforward+neural+networks.pdf</t>
  </si>
  <si>
    <t>Rectified linear units improve restricted Boltzmann machines. Proc 27th ICML 2010.</t>
  </si>
  <si>
    <t>Vinod Nair, Geoffrey E Hinton</t>
  </si>
  <si>
    <t>2010-3</t>
  </si>
  <si>
    <t>https://ailibrary.s3.amazonaws.com/Rectified+Linear+Units+Improve+Restricted+Boltzmann+Machines+-+Nair%2C+Hinton.pdf</t>
  </si>
  <si>
    <t>2010-4</t>
  </si>
  <si>
    <t>https://ailibrary.s3.amazonaws.com/Deep+learning+via+Hessian-free+optimization+-+Martens.pdf</t>
  </si>
  <si>
    <t>2012-1</t>
  </si>
  <si>
    <t>2012-2</t>
  </si>
  <si>
    <t>Random search for hyper-parameter optimization. J Mach Learn Res 2012.</t>
  </si>
  <si>
    <t>https://ailibrary.s3.amazonaws.com/Random+search+for+hyper-parameter+optimization.+Bergstra%2C+Bengio+2012.pdf</t>
  </si>
  <si>
    <t>2013-1</t>
  </si>
  <si>
    <t>https://ailibrary.s3.amazonaws.com/Distributed+Representations+of+Words+and+Phrases+and+Their+Compositionality+-+Mikolov%2C+2013.pdf</t>
  </si>
  <si>
    <t>2013-2</t>
  </si>
  <si>
    <t>Efficient estimation of word representations in vector space. arXiv 2013.</t>
  </si>
  <si>
    <t>Tomas Mikolov, Kai Chen, Greg Corrado, Jeff Dean</t>
  </si>
  <si>
    <t>https://ailibrary.s3.amazonaws.com/Efficient+Estimation+of+Word+Representations+in+Vector+Space.pdf</t>
  </si>
  <si>
    <t>2013-3</t>
  </si>
  <si>
    <t>https://ailibrary.s3.amazonaws.com/Intriguing+properties+of+Neural+Networks.pdf</t>
  </si>
  <si>
    <t>2013-4</t>
  </si>
  <si>
    <t>2013-5</t>
  </si>
  <si>
    <t>2014-1</t>
  </si>
  <si>
    <t>2014-2</t>
  </si>
  <si>
    <t>2014-3</t>
  </si>
  <si>
    <t>2014-4</t>
  </si>
  <si>
    <t>2014-5</t>
  </si>
  <si>
    <t>2014-6</t>
  </si>
  <si>
    <t>2015-1</t>
  </si>
  <si>
    <t>2015-2</t>
  </si>
  <si>
    <t>2015-3</t>
  </si>
  <si>
    <t>Playing Atari with deep reinforcement learning. arXiv 2013.</t>
  </si>
  <si>
    <t>Volodymyr Mnih</t>
  </si>
  <si>
    <t>vlad@deepmind.com</t>
  </si>
  <si>
    <t>Playing Atari (2013)</t>
  </si>
  <si>
    <t>david@deepmind.com</t>
  </si>
  <si>
    <t>Alex Graves</t>
  </si>
  <si>
    <t>Ioannis Antonoglou</t>
  </si>
  <si>
    <t>ioannis@deepmind.com</t>
  </si>
  <si>
    <t>Daan Wierstra</t>
  </si>
  <si>
    <t>daan@deepmind.com</t>
  </si>
  <si>
    <t>Martin Riedmiller</t>
  </si>
  <si>
    <t>martin.riedmiller@deepmind.com</t>
  </si>
  <si>
    <t>https://ailibrary.s3.amazonaws.com/Playing+Atari+with+Deep+Reinforcement+Learning+-+Mnih+2013.pdf</t>
  </si>
  <si>
    <t>Speech recognition with deep recurrent neural networks. IEEE Intl 2013.</t>
  </si>
  <si>
    <t>https://arxiv.org/pdf/1303.5778.pdf</t>
  </si>
  <si>
    <t>A Graves, A Mohamed, Geoffrey E Hinton (U Toronto)</t>
  </si>
  <si>
    <t>Generative adversarial nets. Adv NIPS 2014.</t>
  </si>
  <si>
    <t>https://arxiv.org/pdf/1406.2661.pdf</t>
  </si>
  <si>
    <t>Ian Goodfellow, Jean Pouget-Abadie, Mehdi Mirza, Bing Xu, David Warde-Farley, Sherjil Ozair, Aaron Courville, Yoshua Bengio (U Montreal)</t>
  </si>
  <si>
    <t>Nitish Srivastava, Geoffrey Hinton, Alex Krizhevsky, Ilya Sutskever, Ruslan Salakhutdinov (U Toronto)</t>
  </si>
  <si>
    <t>Dropout: a simple way to prevent neural networks from overfitting. J Mach Learn Res 2014: 15, 1929-1958.</t>
  </si>
  <si>
    <t>https://ailibrary.s3.amazonaws.com/Dropout+-+A+Simple+Way+to+Prevent+Neural+Networks+from+Overfitting+-+Srivastava.pdf</t>
  </si>
  <si>
    <t>Tsung-Yi Lin, Michael Maire, Serge Belongie, Lubomir Bourdev, Ross Girshick, James Hays, Pietro Perona, Deva Ramanan, C. Lawrence Zitnick, Piotr Dollar (MSFT)</t>
  </si>
  <si>
    <t>Microsoft coco: Common objects in context. 2014, arXiv 2/21/15 revision.</t>
  </si>
  <si>
    <t>https://ailibrary.s3.amazonaws.com/Microsoft+COCO+-+Common+Objects+in+Context.pdf</t>
  </si>
  <si>
    <t>Neural machine translation by jointly learning to align and translate. arXiv 2014.</t>
  </si>
  <si>
    <t>D Bahdanau, K Cho, Yoshua Bengio</t>
  </si>
  <si>
    <t>https://arxiv.org/pdf/1409.0473.pdf</t>
  </si>
  <si>
    <t>Learning phrase representations using RNN encoder-decoder for statistical machine translation. arXiv 2014.</t>
  </si>
  <si>
    <t>Kyunghyun Cho, Bart van Merrienboer, Caglar Gulcehre, Dzmitry Bahdanau, Fethi Bougares, Holger Schwenk, Yoshua Bengio</t>
  </si>
  <si>
    <t>https://arxiv.org/pdf/1406.1078.pdf</t>
  </si>
  <si>
    <t>Deep Learning. Nature 2015.</t>
  </si>
  <si>
    <t>Shai Shalev-Shwartz, Shai Ben-David</t>
  </si>
  <si>
    <t>Understanding machine learning: From theory to algorithms. CUP 2014.</t>
  </si>
  <si>
    <t>https://ailibrary.s3.amazonaws.com/Shalev-Shwartz+S.%2C+Ben-David+S.+-+Understanding+Machine+Learning_+From+Theory+to+Algorithms-CUP+(2014).pdf</t>
  </si>
  <si>
    <t>Deep learning in neural networks: An overview. arXiv 2014, Neural Networks 2015.</t>
  </si>
  <si>
    <t>Jurgen Schmidhuber</t>
  </si>
  <si>
    <t>https://ailibrary.s3.amazonaws.com/Deep+Learning+in+Neural+Networks+-+Schmidhuber+2015.pdf</t>
  </si>
  <si>
    <t>Distilling the knowledge in a neural network. arXiv 2015.</t>
  </si>
  <si>
    <t>Geoffrey Hinton, O Vinyals, Jeff Dean</t>
  </si>
  <si>
    <t>https://arxiv.org/pdf/1503.02531.pdf</t>
  </si>
  <si>
    <t>Outrageously Large Neural Networks (2017), Distilling the Knowledge (2015)</t>
  </si>
  <si>
    <t>at least 2015</t>
  </si>
  <si>
    <t>Palm (2022), Distributed Representations (2013), TensorFlow (2015), MapReduce (2004), Distilling the Knowledge (2015)</t>
  </si>
  <si>
    <t>2016-5</t>
  </si>
  <si>
    <t>2012-3</t>
  </si>
  <si>
    <t>What Regularized Auto-Encoders Learn from the Data Generating Distribution. arXiv 2012.</t>
  </si>
  <si>
    <t>Guillaume Alain, Yoshua Bengio</t>
  </si>
  <si>
    <t>https://arxiv.org/abs/1211.4246</t>
  </si>
  <si>
    <t>2015-4</t>
  </si>
  <si>
    <t>https://arxiv.org/pdf/1503.05571.pdf</t>
  </si>
  <si>
    <t>Guillaume Alain, Yoshua Bengio, Li Yao, Jason Yosinski, Eric Thibodeau-Laufer, Saizheng Zhang, Pascal Vincent.</t>
  </si>
  <si>
    <t>2014-7</t>
  </si>
  <si>
    <t>Multiple object recognition with visual attention. arXiv 2014.</t>
  </si>
  <si>
    <t>https://arxiv.org/pdf/1412.7755.pdf</t>
  </si>
  <si>
    <t>Jimmy Lei Ba (U Toronto), Volodymyr Mnih, Koray Kavukcuoglu (Google)</t>
  </si>
  <si>
    <t>2015-5</t>
  </si>
  <si>
    <t>Variational Generative Stochastic Networks with Collaborative Shaping. ICML 2015.</t>
  </si>
  <si>
    <t>http://proceedings.mlr.press/v37/bachman15.pdf</t>
  </si>
  <si>
    <t>Philip Bachman, Doina Precup (McGill)</t>
  </si>
  <si>
    <t>https://pierrelucbacon.com/bacon-2015-condnet.pdf</t>
  </si>
  <si>
    <t>Pierre-Luc Bacon, Emmanuel Bengio, Joelle Pineau, Doina Precup (McGill)</t>
  </si>
  <si>
    <t>2015-6</t>
  </si>
  <si>
    <t>Differentiable Sparse Coding. NIPS 2008.</t>
  </si>
  <si>
    <t>2009-2</t>
  </si>
  <si>
    <t>https://papers.nips.cc/paper_files/paper/2008/file/1458e7509aa5f47ecfb92536e7dd1dc7-Paper.pdf</t>
  </si>
  <si>
    <t>Neural Machine Translation by Jointly Learning to Align and Translate. ICLR 2015.</t>
  </si>
  <si>
    <t>Dzmitry Bahdanau, Kyunghyun Cho, Yoshua Bengio</t>
  </si>
  <si>
    <t>Presentation</t>
  </si>
  <si>
    <t>https://iclr.cc/archive/www/lib/exe/fetch.php%3Fmedia=iclr2015:bahdanau-iclr2015.pdf</t>
  </si>
  <si>
    <t>Paper</t>
  </si>
  <si>
    <t>2015-7</t>
  </si>
  <si>
    <t>Speechmatics</t>
  </si>
  <si>
    <t>Language translation</t>
  </si>
  <si>
    <t>Jaroslaw Kutylowski</t>
  </si>
  <si>
    <t>IVP, World Innovation Lab, Benchmark, Bessemer, b2venture, Atomico</t>
  </si>
  <si>
    <t>Benchmark, b2venture</t>
  </si>
  <si>
    <t>Pre-seed</t>
  </si>
  <si>
    <t>Jeff Seibert, Wayne Chang</t>
  </si>
  <si>
    <t>SoftBank, The Twenty Minute VC, Google, Benchmark</t>
  </si>
  <si>
    <t>The Twenty Minute VC</t>
  </si>
  <si>
    <t>Accounting/Financial</t>
  </si>
  <si>
    <t>Google, Benchmark</t>
  </si>
  <si>
    <t>Benchmark, Chang Corporation, 42 angels</t>
  </si>
  <si>
    <t>Peter Fenton</t>
  </si>
  <si>
    <t>Healthcare revenue cycle</t>
  </si>
  <si>
    <t>Andy Atwal, Benjamin Beadle-Ryby, Malinka Walaliyadde, Varun Ganapathi</t>
  </si>
  <si>
    <t>Bond, Costanoa Ventures, a16z</t>
  </si>
  <si>
    <t>Costanoa Ventures</t>
  </si>
  <si>
    <t>a16z, Costanoa Ventures, James Momtazee, Rancilio Cube</t>
  </si>
  <si>
    <t>a16z, Refactor, Costanoa Ventures, James Momtazee</t>
  </si>
  <si>
    <t>Refactor Capital</t>
  </si>
  <si>
    <t>Chase Coleman</t>
  </si>
  <si>
    <t>Marc Andreessen</t>
  </si>
  <si>
    <t>Ben Horowitz</t>
  </si>
  <si>
    <t>Chris Dixon</t>
  </si>
  <si>
    <t>Secondary</t>
  </si>
  <si>
    <t>unknown</t>
  </si>
  <si>
    <t>PIP12 (2020)</t>
  </si>
  <si>
    <t>PIP13</t>
  </si>
  <si>
    <t>PIP15</t>
  </si>
  <si>
    <t>PIP11</t>
  </si>
  <si>
    <t>PIP10</t>
  </si>
  <si>
    <t>PIP14 (2021)</t>
  </si>
  <si>
    <t>PIP1 (2003)</t>
  </si>
  <si>
    <t>2018 Turing Award winner, highest h-index for CS. U Montreal &amp; MILA.</t>
  </si>
  <si>
    <t>Futurist</t>
  </si>
  <si>
    <t>https://www.deeplearningbook.org</t>
  </si>
  <si>
    <t>training algorithm</t>
  </si>
  <si>
    <t>linear model (adaptive linear element)</t>
  </si>
  <si>
    <t>XOR</t>
  </si>
  <si>
    <t>exclusive OR cannot be approximated by linear models</t>
  </si>
  <si>
    <t>Predecessor to CNN</t>
  </si>
  <si>
    <t>Cognitron</t>
  </si>
  <si>
    <t>early neuron network</t>
  </si>
  <si>
    <t>connectionism</t>
  </si>
  <si>
    <t>1980s movement also known as parallel distributed processing emphasized distributed representation</t>
  </si>
  <si>
    <t>distributed representation</t>
  </si>
  <si>
    <t>each input to a system should be represented by many features, and each feature should be involved in the representation of many possible inputs</t>
  </si>
  <si>
    <t>can train DBN</t>
  </si>
  <si>
    <t>deep belief network</t>
  </si>
  <si>
    <t>trained by greedy layer-wise pre-training</t>
  </si>
  <si>
    <t>Theano</t>
  </si>
  <si>
    <t>older framework</t>
  </si>
  <si>
    <t>PyLearn2</t>
  </si>
  <si>
    <t>Pytorch</t>
  </si>
  <si>
    <t>DistBelief</t>
  </si>
  <si>
    <t>framework</t>
  </si>
  <si>
    <t>Caffe</t>
  </si>
  <si>
    <t>ML framework</t>
  </si>
  <si>
    <t>MXNet</t>
  </si>
  <si>
    <t>scalar</t>
  </si>
  <si>
    <t>mathematical object, often a real/integer in a single dimension</t>
  </si>
  <si>
    <t>vector</t>
  </si>
  <si>
    <t>a multi-dimensional array of numbers</t>
  </si>
  <si>
    <t>a one-dimensional array of numbers</t>
  </si>
  <si>
    <t>matrix</t>
  </si>
  <si>
    <t>a 2D array of numbers</t>
  </si>
  <si>
    <t>transpose</t>
  </si>
  <si>
    <t>tensor</t>
  </si>
  <si>
    <t>addition</t>
  </si>
  <si>
    <t>addition is defined for matrices with the same shape (dimension size)</t>
  </si>
  <si>
    <t>multiplication</t>
  </si>
  <si>
    <t>broadcasting</t>
  </si>
  <si>
    <t>deep learning convention of adding a vector repeatedly to a matrix</t>
  </si>
  <si>
    <t>multiplication is defined for a matrix and a scalar, multiplying two matrices is only defined for A_i,j if B_j,k, with product C_i,k. see matrix product.</t>
  </si>
  <si>
    <t>matrix product</t>
  </si>
  <si>
    <t>defined as the sum of A_i,k * B_k,j for all k</t>
  </si>
  <si>
    <t>element-wise product</t>
  </si>
  <si>
    <t>also known as the Hadamard product, simple multiplication of individual elements of matrices</t>
  </si>
  <si>
    <t>dot product</t>
  </si>
  <si>
    <t>matrix product of two equal dimension vectors</t>
  </si>
  <si>
    <t>530B parameter system by Microsoft and Nvidia. Repository includes training pipeline. https://github.com/NVIDIA/Megatron-LM</t>
  </si>
  <si>
    <t>distributive</t>
  </si>
  <si>
    <t>matrix multiplication is distributive</t>
  </si>
  <si>
    <t>associativity</t>
  </si>
  <si>
    <t>matrix multiplication is associative</t>
  </si>
  <si>
    <t>commutivity</t>
  </si>
  <si>
    <t>matrix multiplication is not commutative</t>
  </si>
  <si>
    <t>mirror image of a matrix across its main diagnoal, defined as A(T)_i,j = A_j,i. the transpose of (AB) is B^t*A^t</t>
  </si>
  <si>
    <t>identity matrix</t>
  </si>
  <si>
    <t>the identity matrix is a matrix that does not change any vector when we multiply that vector by that matrix. All main diagnoal entries in an identity matrix are 1, and all other values are zero</t>
  </si>
  <si>
    <t>matrix inverse</t>
  </si>
  <si>
    <t>the matrix inverse of A, A^-1, is defined as A(A^-1) = I_n</t>
  </si>
  <si>
    <t>span</t>
  </si>
  <si>
    <t>linear combination</t>
  </si>
  <si>
    <t>determinant</t>
  </si>
  <si>
    <t>Charles Fisher</t>
  </si>
  <si>
    <t>Radical Ventures, Wittington Ventures</t>
  </si>
  <si>
    <t>Unlearn.AI</t>
  </si>
  <si>
    <t>Dylan Morris</t>
  </si>
  <si>
    <t>Unlearn.ai</t>
  </si>
  <si>
    <t>Insight, Radical, Parkway Venture Capital, DCVC, 8VC, Mubadala</t>
  </si>
  <si>
    <t>Epic Ventures, Eisai, Alumni Ventures</t>
  </si>
  <si>
    <t>Epic Ventures</t>
  </si>
  <si>
    <t>Eisai (public)</t>
  </si>
  <si>
    <t>Alumni Capital (or Alumni Ventures?)</t>
  </si>
  <si>
    <t>8VC, Necessary, Mubadala, DCVC, Alumni</t>
  </si>
  <si>
    <t>DCVC, Necessary</t>
  </si>
  <si>
    <t>Smaller clinical trials via AI</t>
  </si>
  <si>
    <t>1987-1</t>
  </si>
  <si>
    <t>Speech recognition with continuous-parameter hidden Markov models. Computer Speech and Language 1987, 2:219-234.</t>
  </si>
  <si>
    <t>Lalit R. Bahl, Peter F. Brown, Peter V. de Souza and Robert L. Mercer (IBM)</t>
  </si>
  <si>
    <t>https://ailibrary.s3.amazonaws.com/Speech+recognition+with+continuous-parameter+hidden+Markov+models.+Bahl+et+al%2C+Computer+Speech+and+Language+1987.pdf</t>
  </si>
  <si>
    <t>1989-3</t>
  </si>
  <si>
    <t>https://ailibrary.s3.amazonaws.com/Neural+networks+and+principal+component+analysis+-+Learning+from+examples+without+local+minima.+Baldi%2C+Hornik+1989.pdf</t>
  </si>
  <si>
    <t>Neural networks and principal component analysis - Learning from examples without local minima. Neural Networks 1989.</t>
  </si>
  <si>
    <t>Pierre Baldi, Kurt Hornik (UCSD)</t>
  </si>
  <si>
    <t>A learning algorithm which optimizes a line (slope + intercept)</t>
  </si>
  <si>
    <t>Generates waveform for TTS. GAN-based (MelGAN, HifiGAN). Universal-Vocoder</t>
  </si>
  <si>
    <t>trytaylor.ai</t>
  </si>
  <si>
    <t>https://github.com/lucidrains/soundstorm-pytorch</t>
  </si>
  <si>
    <t>Soundstorm-Pytorch</t>
  </si>
  <si>
    <t>https://openreview.net/pdf?id=BZ5a1r-kVsf</t>
  </si>
  <si>
    <t>https://google-research.github.io/seanet/soundstorm/examples/</t>
  </si>
  <si>
    <t>Soundstorm</t>
  </si>
  <si>
    <t>Libri-Light</t>
  </si>
  <si>
    <t>https://github.com/facebookresearch/libri-light</t>
  </si>
  <si>
    <t>https://ai.meta.com/tools/libri-light/</t>
  </si>
  <si>
    <t>Anysphere</t>
  </si>
  <si>
    <t>Cursor.sh</t>
  </si>
  <si>
    <t>https://github.com/microsoft/unilm</t>
  </si>
  <si>
    <t>Unlim</t>
  </si>
  <si>
    <t>Large-scale, self-supervised pre-training</t>
  </si>
  <si>
    <t>Heads-up limit hold’em poker is solved. Science, 347(6218):145–149, 2015.</t>
  </si>
  <si>
    <t xml:space="preserve">Michael Bowling, Neil Burch, Michael Johanson, and Oskari Tammelin. </t>
  </si>
  <si>
    <t>Conditional computation in neural networks using a
decision-theoretic approach. RLDM 2015</t>
  </si>
  <si>
    <t>BERT: Pre-training of Deep Bidirectional Transformers for Language Understanding. arXiv 10/11/18, revised 5/24/2019.</t>
  </si>
  <si>
    <t>Jacob Devlin, Ming-Wei Chang, Kenton Lee, Kristina Toutanova (Google)</t>
  </si>
  <si>
    <t>Noam Brown, Tuomas Sandholm</t>
  </si>
  <si>
    <t>1994-2, 2002-1</t>
  </si>
  <si>
    <t>1949-1</t>
  </si>
  <si>
    <t>Noam Brown, Christian Kroer, Tuomas Sandholm</t>
  </si>
  <si>
    <t xml:space="preserve">
Dynamic thresholding and pruning for regret minimization. In Proceedings of the AAAI Conference on Artificial Intelligence, volume 31, 2017.</t>
  </si>
  <si>
    <t>Junling Hu, Michael Wellman</t>
  </si>
  <si>
    <t>Nash q-learning for general-sum stochastic games. Journal of
 machine learning research, 4(Nov):1039–1069, 2003.</t>
  </si>
  <si>
    <t>NIPS</t>
  </si>
  <si>
    <t>ICML</t>
  </si>
  <si>
    <t>Lloyd S Shapley</t>
  </si>
  <si>
    <t>Stochastic games. Proceedings of the national academy of sciences, 39(10):
1095–1100, 1953.</t>
  </si>
  <si>
    <t>https://ailibrary.s3.amazonaws.com/The+Organization+of+Behavior+-+A+Neuropsychological+Theory+-+D.O.+Hebb.pdf</t>
  </si>
  <si>
    <t>https://ailibrary.s3.amazonaws.com/Stochastic+Games+-+Shapley.pdf</t>
  </si>
  <si>
    <t>2001-1</t>
  </si>
  <si>
    <t>Learning hierarchical features for scene labeling. Farabet, C., Couprie, C., Namjam, L., LeCun, Y. IEEE Trans Pattern Anal Mach Intell 2013.</t>
  </si>
  <si>
    <t>Going deeper with convolutions. Szegedy, C, et al. Arxiv 2014.</t>
  </si>
  <si>
    <t>Thomas Naselaris, Cheryl A. Olman, Dustin E. Stansbury, Kamil Ugurbil, and Jack L. Gallant.</t>
  </si>
  <si>
    <t>A voxel-wise encoding model for early visual areas decodes mental images of remembered scenes. Neuroimage 105, 215–228 (2015).</t>
  </si>
  <si>
    <t>Mastering the game of go without human knowledge. Nature, 550(7676):354, 2017.</t>
  </si>
  <si>
    <t xml:space="preserve">David Silver, Julian Schrittwieser, Karen Simonyan, Ioannis Antonoglou, Aja Huang, Arthur Guez,
Thomas Hubert, Lucas Baker, Matthew Lai, Adrian Bolton, et al. </t>
  </si>
  <si>
    <t>2017-2</t>
  </si>
  <si>
    <t xml:space="preserve">Oriol Vinyals, Igor Babuschkin, Wojciech M Czarnecki, Michael Mathieu, Andrew Dudzik, Juny-oung Chung, David H Choi, Richard Powell, Timo Ewalds, Petko Georgiev, et al. </t>
  </si>
  <si>
    <t>Grandmaster level in starcraft ii using multi-agent reinforcement learning. Nature, 575(7782):350–354, 2019.</t>
  </si>
  <si>
    <t>Jiaang Li, Antonia Karamolegkou, Yova Kementchedjhieva, Mostafa Abdou, Sune Lehmann, and Anders Søgaard</t>
  </si>
  <si>
    <t>Sebastien Bubeck, Varun Chandrasekaran, Ronen Eldan, Johannes Gehrke, Eric Horvitz, Ece Kamar, Peter Lee, Yin Tat Lee, Yuanzhi Li, Scott Lundberg, Harsha Nori, Hamid Palangi, Marco Tulio Ribeiro, and Yi Zhang</t>
  </si>
  <si>
    <t>Shunyu Yao, Dian Yu, Jeffrey Zhao, Izhak Shafran, Thomas L. Griffiths, Yuan Cao, and Karthik Narasimhan</t>
  </si>
  <si>
    <t>Weijie Su, Xizhou Zhu, Yue Cao, Bin Li, Lewei Lu, Furu Wei, and Jifeng Dai</t>
  </si>
  <si>
    <t>Male. Started as demand analyst</t>
  </si>
  <si>
    <t>Physicist</t>
  </si>
  <si>
    <t>Harvard PhD in Physics, MIT B</t>
  </si>
  <si>
    <t>Started as intern.</t>
  </si>
  <si>
    <t>Gotta Learn Fast (4/23/18)</t>
  </si>
  <si>
    <t>@endrift, endrift.com</t>
  </si>
  <si>
    <t xml:space="preserve">@alecrad, </t>
  </si>
  <si>
    <t>www.aqnichol.com</t>
  </si>
  <si>
    <t>Head of Compute; Supercomputing Lead</t>
  </si>
  <si>
    <t>UC Berkeley (B)</t>
  </si>
  <si>
    <t>Bryan Banisaba</t>
  </si>
  <si>
    <t>Associate GC</t>
  </si>
  <si>
    <t>Jonathan Lachman</t>
  </si>
  <si>
    <t>Special Projects</t>
  </si>
  <si>
    <t>ex-Chegg</t>
  </si>
  <si>
    <t>BS in Russia</t>
  </si>
  <si>
    <t>ex-Atomwise</t>
  </si>
  <si>
    <t>Umass (BS), GIT (MS)</t>
  </si>
  <si>
    <t>https://twitter.com/mobav0?lang=en ; https://bavarian.dev/</t>
  </si>
  <si>
    <t>ex-Rubrik</t>
  </si>
  <si>
    <t>MIT (PhD), UBC (BS)</t>
  </si>
  <si>
    <t>General Counsel; Compute cluster scaling for GPT-4, Legal</t>
  </si>
  <si>
    <t>ex-AWS, Goodwin</t>
  </si>
  <si>
    <t>2021</t>
  </si>
  <si>
    <t>ex-Esurance</t>
  </si>
  <si>
    <t>https://bmk.sh/ ; https://twitter.com/nabla_theta?lang=en</t>
  </si>
  <si>
    <t>https://github.com/leogao2</t>
  </si>
  <si>
    <t>ex-Facebook, Microsoft internships</t>
  </si>
  <si>
    <t>U Cambridge (PhD), Israel BS</t>
  </si>
  <si>
    <t>Strategic Finance</t>
  </si>
  <si>
    <t>ex-Deloitte</t>
  </si>
  <si>
    <t>https://twitter.com/MikhailPavlov5</t>
  </si>
  <si>
    <t>https://github.com/fgvbrt</t>
  </si>
  <si>
    <t>Zero-Shot Text-to-Image Generation (2/26/21), Codex (at least 7/14/21)</t>
  </si>
  <si>
    <t>_@adityaramesh.com</t>
  </si>
  <si>
    <t>Zero-Shot Text-to-Image Generation (2/26/21)</t>
  </si>
  <si>
    <t>ex-Dropbox</t>
  </si>
  <si>
    <t>U Waterloo</t>
  </si>
  <si>
    <t>https://twitter.com/mpetrov?lang=en ; http://michaelpetrov.com/</t>
  </si>
  <si>
    <t>Duke (BA)</t>
  </si>
  <si>
    <t>Supervision</t>
  </si>
  <si>
    <t>U Toronto DNN for image recognition</t>
  </si>
  <si>
    <t>Hinton algorithm for neural networks. Did not live up to high expectations in the 1980s.</t>
  </si>
  <si>
    <t>NORB</t>
  </si>
  <si>
    <t>Early database of labeled images</t>
  </si>
  <si>
    <t>Caltech-101/256</t>
  </si>
  <si>
    <t>CIFAR</t>
  </si>
  <si>
    <t>CIFAR-10/100</t>
  </si>
  <si>
    <t>Imagenet classification with deep convolutional neural networks. NIPS 2012.</t>
  </si>
  <si>
    <t>Alex Krizhevsky, Ilya Sutskever, Geoffrey E Hinton. NIPS. Comm ACM 2017.</t>
  </si>
  <si>
    <t>LabelMe</t>
  </si>
  <si>
    <t>image database with hundreds of thousands of labeled segmented images</t>
  </si>
  <si>
    <t>ILSVCRC-2010, -2012</t>
  </si>
  <si>
    <t>overfitting</t>
  </si>
  <si>
    <t>Pascal Visual Object Challenge</t>
  </si>
  <si>
    <t>related to ImageNet</t>
  </si>
  <si>
    <t>contrast normalization</t>
  </si>
  <si>
    <t>local average pooling</t>
  </si>
  <si>
    <t>see Rectified Linear Activation Unit/Function</t>
  </si>
  <si>
    <t>model of neuron incorporating max(0, a). non-saturating nonlinearity, faster than tanh, do not require input normalization to prevent them from saturating. If at least some training examples produce a positive input to a ReLU, learning will happen in that neuron.</t>
  </si>
  <si>
    <t>brightness normalization</t>
  </si>
  <si>
    <t>technique mentioned by Krizhevsky, Sutskever and Hinton in 2012 ImageNet paper</t>
  </si>
  <si>
    <t>ImageNet Large-Scale Visual Recognition Challenge, began in 2010. Top-1 error was 47.1% and improved to 37.5% in 2012.</t>
  </si>
  <si>
    <t>momentum</t>
  </si>
  <si>
    <t>weight decay</t>
  </si>
  <si>
    <t>regularizer, reduces the model's straining error</t>
  </si>
  <si>
    <t>2007-1</t>
  </si>
  <si>
    <t>Robert M. Bell, Yehuda Koren (AT&amp;T)</t>
  </si>
  <si>
    <t>https://ailibrary.s3.amazonaws.com/Lessons+from+the+Netflix+Prize+Challenge+-+Bell+and+Koren+2007.pdf</t>
  </si>
  <si>
    <t>Lessons from the Netflix Prize Challenge. ACM SIGKDD Explor. Newsl. 9, 2 (2007), 75–79.</t>
  </si>
  <si>
    <t>https://www.image-net.org/challenges/LSVRC/2010/index.php</t>
  </si>
  <si>
    <t>https://www.image-net.org/challenges/LSVRC/2012/index.php</t>
  </si>
  <si>
    <t>https://link.springer.com/content/pdf/10.1023/a:1010933404324.pdf</t>
  </si>
  <si>
    <t>Leo Breiman, UC Berkeley</t>
  </si>
  <si>
    <t>Random Forests. Mach Learn 2001(45):5-32</t>
  </si>
  <si>
    <t>Alex Krizhevsky, Ilya Sutskever, Geoffrey E Hinton</t>
  </si>
  <si>
    <t>Imagenet classification with deep convolutional neural networks. Communications of the ACM 2017. Originally presented NIPS 2012.</t>
  </si>
  <si>
    <t>Summary</t>
  </si>
  <si>
    <t>Berg, A., Deng, J., Fei-Fei, L. Large scale visual recognition challenge 2010</t>
  </si>
  <si>
    <t>2011-1</t>
  </si>
  <si>
    <t>High-Performance Neural Networks for Visual Object Classification. arXiv 2/1/2011.</t>
  </si>
  <si>
    <t>Dan C. Ciresan, Ueli Meier, Jonathan Masci, Luca M. Gambardella, Jurgen Schmidhuber (IDSIA)</t>
  </si>
  <si>
    <t>https://arxiv.org/pdf/1102.0183.pdf</t>
  </si>
  <si>
    <t>2012-4</t>
  </si>
  <si>
    <t>Multi-column Deep Neural Networks for Image Classification</t>
  </si>
  <si>
    <t>https://arxiv.org/pdf/1202.2745.pdf</t>
  </si>
  <si>
    <t>Dan Ciresan, Ueli Meier, Jurgen Schmidhuber</t>
  </si>
  <si>
    <t>ImageNet: A large-scale hierarchical image database. IEEE Conf Comput Vis Patt Recog 2009</t>
  </si>
  <si>
    <t>Jia Deng, Wei Dong, Richard Socher, Li-Jia Li, Kai Li, Li Fei-Fei (Princeton)</t>
  </si>
  <si>
    <t>https://ailibrary.s3.amazonaws.com/ImageNet+-+A+Large-Scale+Hierarchical+Image+Database+-+Deng+et+al+2009.pdf</t>
  </si>
  <si>
    <t>2009-3</t>
  </si>
  <si>
    <t>Tortoise</t>
  </si>
  <si>
    <t>SpearTTS</t>
  </si>
  <si>
    <t>https://google-research.github.io/seanet/speartts/examples/</t>
  </si>
  <si>
    <t>https://github.com/lucidrains/spear-tts-pytorch</t>
  </si>
  <si>
    <t>SoundStorm</t>
  </si>
  <si>
    <t>Minsky.ai</t>
  </si>
  <si>
    <t>https://ailibrary.s3.amazonaws.com/Learning+Generative+Visual+Models+from+Few+Training+Examples+-+An+Incremental+Bayesian+Approach+Tested+on+101+Object+Categories+-+Fei-Fei+et+al+CVPR+2004.pdf</t>
  </si>
  <si>
    <t>2004-2</t>
  </si>
  <si>
    <t>Li Fei-Fei (Caltech), Rob Fergus, Pietro Perona</t>
  </si>
  <si>
    <t>Learning Generative Visual Models from Few Training Examples: An Incremental Bayesian Approach Tested on 101 Object Categories. CVPRW 2004. Comput. Vision Image Understanding 106, 1 (2007), 59–70.</t>
  </si>
  <si>
    <t>https://ailibrary.s3.amazonaws.com/Learning+generative+visual+models+from+few+training+examples+-+An+incremental+Bayesian+approach+tested+on+101+object+categories.+Fei-Fei+et+al.+2007.pdf</t>
  </si>
  <si>
    <t>1980-1</t>
  </si>
  <si>
    <t>https://ailibrary.s3.amazonaws.com/Neocognitron+-+Fukushima+1980.pdf</t>
  </si>
  <si>
    <t>Read</t>
  </si>
  <si>
    <t>Fukushima, K</t>
  </si>
  <si>
    <t>Neocognitron: A self-organizing neural network model for a mechanism of pattern recognition unaffected by shift in position. Biol. Cybern. 36, 4 (1980), 193–202.</t>
  </si>
  <si>
    <t>Ashish Vaswani, Noam Shazeer, Niki Parmar, Jakob Uszkoreit, Llion Jones, Aidan Gomez, Lukasz Kaiser, Illia Polosukhin. (Google)</t>
  </si>
  <si>
    <t>Attention Is All You Need. arXiv December 2017. Adv NIPS 2017, 6000-6010.</t>
  </si>
  <si>
    <t>Greg Griffin, Alex Holub, Pietro Perona</t>
  </si>
  <si>
    <t>Caltech-256 Object Recognition Dataset. 2007.</t>
  </si>
  <si>
    <t>https://ailibrary.s3.amazonaws.com/Caltech-256+Object+Recognition+Dataset+2007.pdf</t>
  </si>
  <si>
    <t>2007-2</t>
  </si>
  <si>
    <t>Deep Residual Learning for Image Recognition</t>
  </si>
  <si>
    <t>https://arxiv.org/pdf/1512.03385.pdf</t>
  </si>
  <si>
    <t>Kaiming He, Xiangyu Zhang, Shaoqing Ren, Jian Sun</t>
  </si>
  <si>
    <t>2015-8</t>
  </si>
  <si>
    <t>2012-5</t>
  </si>
  <si>
    <t>https://arxiv.org/pdf/1207.0580.pdf</t>
  </si>
  <si>
    <t>Geoffrey E. Hinton, N. Srivastava, A. Krizhevsky, Ilya Sutskever, RR Salakhutdinov</t>
  </si>
  <si>
    <t>Improving neural networks by prevening co-adaptation of deature detectors. arXiv 7/3/2012.</t>
  </si>
  <si>
    <t>https://ailibrary.s3.amazonaws.com/What+is+the+best+multi-stage+architecture+for+object+recognition+-+Jarrett+ICCV+2009.pdf</t>
  </si>
  <si>
    <t>What is the best multi-stage architecture for object recognition?</t>
  </si>
  <si>
    <t>Kevin Jarrett, Koray Kavukcuoglu, Marc Aurelio Ranzato, Yann LeCun (NYU)</t>
  </si>
  <si>
    <t>2009-4</t>
  </si>
  <si>
    <t>Sold DNN Research to Google. Hinton PhD.</t>
  </si>
  <si>
    <t>Convolutional Deep Belief Networks on CIFAR-10</t>
  </si>
  <si>
    <t>https://www.cs.toronto.edu/~kriz/conv-cifar10-aug2010.pdf</t>
  </si>
  <si>
    <t>2010-5</t>
  </si>
  <si>
    <t>Using Very Deep Autoencoders for Content-Based Image Retrieval</t>
  </si>
  <si>
    <t>https://www.cs.toronto.edu/~hinton/absps/esann-deep-final.pdf</t>
  </si>
  <si>
    <t>Alex Krizhevsky, Geoffrey E Hinton</t>
  </si>
  <si>
    <t>2011-2</t>
  </si>
  <si>
    <t>Handwritten Digit Recognition with a Back-Propagation Network.</t>
  </si>
  <si>
    <t>https://proceedings.neurips.cc/paper/1989/file/53c3bce66e43be4f209556518c2fcb54-Paper.pdf</t>
  </si>
  <si>
    <t>Yann LeCun, B. Boser, JS Denker, D Henderson, RE Howard, W Hubbard, LD Jackel (Bell Labs)</t>
  </si>
  <si>
    <t>1990-2</t>
  </si>
  <si>
    <t>Learning Methods for Generic Object Recognition with Invariance to Pose and Lighting. CVPR 2004.</t>
  </si>
  <si>
    <t>Yann LeCun, Fu Jie Huang, Leon Bottou</t>
  </si>
  <si>
    <t>https://ailibrary.s3.amazonaws.com/Learning+Methods+for+Generic+Object+Recognition+with+Invariance+to+Pose+and+Lighting+-+LeCun+2004.pdf</t>
  </si>
  <si>
    <t>2004-3</t>
  </si>
  <si>
    <t>Not AI, just a drug company</t>
  </si>
  <si>
    <t>Harrison.ai</t>
  </si>
  <si>
    <t>Atomico, Intel Capital, Global Brain Corporation, Balderton Capital, b2venture, Amadeus Capital, Jonathan Milner</t>
  </si>
  <si>
    <t>Gideon Mendels, Nimrod Lahav</t>
  </si>
  <si>
    <t>StormForge</t>
  </si>
  <si>
    <t>OpenView, Two Sigma, Trilogy Equity Partners, Scale Venture Partners</t>
  </si>
  <si>
    <t>OpenView</t>
  </si>
  <si>
    <t>Trilogy Equity Partners</t>
  </si>
  <si>
    <t>Scale, Trilogy, Two Sigma</t>
  </si>
  <si>
    <t>Two Sigma, Trilogy, Founders' Co-Op</t>
  </si>
  <si>
    <t>Founders' Co-op</t>
  </si>
  <si>
    <t>Trilogy, Union Bay, Two Sigma, Techstars, Founders' Co-op, Fathom Capital</t>
  </si>
  <si>
    <t>Union Bay Partners</t>
  </si>
  <si>
    <t>Amazon Alexa Fund, Techstars</t>
  </si>
  <si>
    <t>Last Update</t>
  </si>
  <si>
    <t>https://github.com/neonbjb/tortoise-tts</t>
  </si>
  <si>
    <t>Tortoise Fast</t>
  </si>
  <si>
    <t>https://github.com/152334H/tortoise-tts-fast</t>
  </si>
  <si>
    <t>KV Cache, New Diffusion Model</t>
  </si>
  <si>
    <t>Repo</t>
  </si>
  <si>
    <t>Rime</t>
  </si>
  <si>
    <t>https://github.com/jaywalnut310/vits</t>
  </si>
  <si>
    <t>SC-VITS</t>
  </si>
  <si>
    <t>https://github.com/hcy71o/SC-VITS</t>
  </si>
  <si>
    <t>VITS-fast-fine-tuning</t>
  </si>
  <si>
    <t>https://github.com/Plachtaa/VITS-fast-fine-tuning</t>
  </si>
  <si>
    <t>So-Vits-SVC</t>
  </si>
  <si>
    <t>https://github.com/svc-develop-team/so-vits-svc</t>
  </si>
  <si>
    <t>Unofficial</t>
  </si>
  <si>
    <t>mimic3</t>
  </si>
  <si>
    <t>https://github.com/MycroftAI/mimic3</t>
  </si>
  <si>
    <t>Expert Robotics LLC</t>
  </si>
  <si>
    <t>lawgtp.com</t>
  </si>
  <si>
    <t>Dalai</t>
  </si>
  <si>
    <t>https://github.com/cocktailpeanut/dalai</t>
  </si>
  <si>
    <t>DeepSpeed</t>
  </si>
  <si>
    <t>https://github.com/microsoft/DeepSpeed</t>
  </si>
  <si>
    <t>FastChat</t>
  </si>
  <si>
    <t>https://github.com/lm-sys/FastChat</t>
  </si>
  <si>
    <t>vLLM</t>
  </si>
  <si>
    <t>https://github.com/vllm-project/vllm</t>
  </si>
  <si>
    <t>LangChain</t>
  </si>
  <si>
    <t>https://github.com/hwchase17/langchain</t>
  </si>
  <si>
    <t>LLaMA.cpp</t>
  </si>
  <si>
    <t>https://github.com/ggerganov/llama.cpp</t>
  </si>
  <si>
    <t>Gerganov</t>
  </si>
  <si>
    <t>http://code.google.com/p/cuda-convnet/.</t>
  </si>
  <si>
    <t>CUDA-Convnet</t>
  </si>
  <si>
    <t>Harvard (MBA)</t>
  </si>
  <si>
    <t>NYU (MBA)</t>
  </si>
  <si>
    <t>Scale lead. Execution lead for GPT-4</t>
  </si>
  <si>
    <t>ex-Rigetti</t>
  </si>
  <si>
    <t>Stanford (PhD, Physics)</t>
  </si>
  <si>
    <t>ex-Nvidia</t>
  </si>
  <si>
    <t>Harvard (PhD, CS)</t>
  </si>
  <si>
    <t>MIT (BS)</t>
  </si>
  <si>
    <t>Former Head of Infrastructure &amp; Founding Engineer</t>
  </si>
  <si>
    <t>ex-Duolingo</t>
  </si>
  <si>
    <t>CMU (BS)</t>
  </si>
  <si>
    <t>ex-Intel</t>
  </si>
  <si>
    <t>U Toronto (PhD CS)</t>
  </si>
  <si>
    <t>Toki Sherbakov</t>
  </si>
  <si>
    <t>ex-Palantir</t>
  </si>
  <si>
    <t>ex-Stuntbot</t>
  </si>
  <si>
    <t>ex-WhatsApp, Google</t>
  </si>
  <si>
    <t>Co-founded Robotics team</t>
  </si>
  <si>
    <t>ex-Tesla</t>
  </si>
  <si>
    <t>ex-YC</t>
  </si>
  <si>
    <t>Rubik's Cube (10/16/19), https://twitter.com/l32zhang?lang=en</t>
  </si>
  <si>
    <t>https://leiz86.github.io/</t>
  </si>
  <si>
    <t>ex-Nanoleaf</t>
  </si>
  <si>
    <t>Co-Founder of Deepmind</t>
  </si>
  <si>
    <t>Alexander Watson, Ali Golshan, John Myers, Laszlo Bock</t>
  </si>
  <si>
    <t>Section 32, Moonshots Capital, Greylock, Anthos Capital</t>
  </si>
  <si>
    <t>Anthos Capital</t>
  </si>
  <si>
    <t>Gretel.ai</t>
  </si>
  <si>
    <t>Moonshots Capital</t>
  </si>
  <si>
    <t>Greylock, Moonshots</t>
  </si>
  <si>
    <t>Village Global, Moonshots Capital</t>
  </si>
  <si>
    <t>Moonshots, Village, Greylock</t>
  </si>
  <si>
    <t>Convolutional Networks and Applications in Vision. IEEE Int Symp Circ Sys (ISCAS 2010)</t>
  </si>
  <si>
    <t>Yann LeCun, Koray Kavukcuoglu, Clement Farabet</t>
  </si>
  <si>
    <t>https://ailibrary.s3.amazonaws.com/Convolutional+Networks+and+Applications+in+Vision+-+LeCun+2010.pdf</t>
  </si>
  <si>
    <t>2010-6</t>
  </si>
  <si>
    <t>https://web.eecs.umich.edu/~honglak/icml09-ConvolutionalDeepBeliefNetworks.pdf</t>
  </si>
  <si>
    <t>Convolutional Deep Belief Networks for Scalable Unsupervised Learning of Hierarchical Representations</t>
  </si>
  <si>
    <t>Honglak Lee, Roger Grosse, Rajesh Ranganath, Andrew Y Ng (Stanford)</t>
  </si>
  <si>
    <t>2009-5</t>
  </si>
  <si>
    <t>1976-1</t>
  </si>
  <si>
    <t>Seppo Linnainmaa</t>
  </si>
  <si>
    <t>Taylor expansion of the accumulated rounding error. Bit 16 (1976), 146-160</t>
  </si>
  <si>
    <t>https://ailibrary.s3.amazonaws.com/Taylor+expansion+of+the+accumulated+rounding+error+-+Linnainmaa+1976.pdf</t>
  </si>
  <si>
    <t>Gordon Wilson, Jack Kendall, Juan Nino</t>
  </si>
  <si>
    <t>Jobbatical</t>
  </si>
  <si>
    <t>In-memory + memristor</t>
  </si>
  <si>
    <t>Prosperity7 Ventures, Pioneer Fund, Loup Ventures, Helium-3 Ventures, Gaingels, Buckley Ventures, Vishal Rao, Guillaume Glaunes, George Godula</t>
  </si>
  <si>
    <t>Prosperity7 Ventures</t>
  </si>
  <si>
    <t>Rain.ai</t>
  </si>
  <si>
    <t>Pioneer Fund</t>
  </si>
  <si>
    <t>Loup Ventures</t>
  </si>
  <si>
    <t>Helium-3 Ventures</t>
  </si>
  <si>
    <t>10X Capital, George Godula</t>
  </si>
  <si>
    <t>Asymmetry Ventures</t>
  </si>
  <si>
    <t>Four Cities Capital</t>
  </si>
  <si>
    <t>Y Combinator, Soma Capital, Pegasus Tech Ventures, Loup Ventures, Liquid 2 Ventures, FundersClub, FoundersX Ventures, Airbus Ventures</t>
  </si>
  <si>
    <t>Rain</t>
  </si>
  <si>
    <t>FundersClub</t>
  </si>
  <si>
    <t>FoundersX Ventures</t>
  </si>
  <si>
    <t>Airbus Ventures</t>
  </si>
  <si>
    <t>instruction fine-tuning</t>
  </si>
  <si>
    <t>Supervised learning technique endows LLM with instruction-following capability. Widely-used example is Alpaca 52k.</t>
  </si>
  <si>
    <t>https://lichang-chen.github.io/AlpaGasus/</t>
  </si>
  <si>
    <t>AlpaGasus</t>
  </si>
  <si>
    <t>WizardLM</t>
  </si>
  <si>
    <t>Koala</t>
  </si>
  <si>
    <t>Vicuna</t>
  </si>
  <si>
    <t>Armada</t>
  </si>
  <si>
    <t>armada.ai</t>
  </si>
  <si>
    <t>Stable Beluga 2</t>
  </si>
  <si>
    <t>https://huggingface.co/stabilityai/StableBeluga2</t>
  </si>
  <si>
    <t>Generative Agents</t>
  </si>
  <si>
    <t>https://github.com/joonspk-research/generative_agents</t>
  </si>
  <si>
    <t>Text-davinci-003 teacher on LLaMa</t>
  </si>
  <si>
    <t>https://github.com/gururise/AlpacaDataCleaned/</t>
  </si>
  <si>
    <t>AlpacaDataCleaned</t>
  </si>
  <si>
    <t>Stars</t>
  </si>
  <si>
    <t>Alpaca</t>
  </si>
  <si>
    <t>https://github.com/tatsu-lab/stanford_alpaca</t>
  </si>
  <si>
    <t>https://huggingface.co/EleutherAI/gpt-j-6b</t>
  </si>
  <si>
    <t>https://github.com/nlpxucan/WizardLM</t>
  </si>
  <si>
    <t>https://github.com/young-geng/EasyLM/tree/main</t>
  </si>
  <si>
    <t>https://huggingface.co/lmsys/vicuna-13b-delta-v1.1</t>
  </si>
  <si>
    <t>Davinci</t>
  </si>
  <si>
    <t>Early OpenAI model</t>
  </si>
  <si>
    <t>Anthropic LLM</t>
  </si>
  <si>
    <t>Bard</t>
  </si>
  <si>
    <t>Chen et al.</t>
  </si>
  <si>
    <t>https://arxiv.org/abs/2307.08701</t>
  </si>
  <si>
    <t>Hong Wang, Xuan Luo, Weizhi Wang, and Xifeng Yan</t>
  </si>
  <si>
    <t>PaLM 2 Technical Report arXiv 5/17/23</t>
  </si>
  <si>
    <t>Anil et al. (Google)</t>
  </si>
  <si>
    <t>https://arxiv.org/abs/2305.10403</t>
  </si>
  <si>
    <t>https://arxiv.org/abs/2305.06424</t>
  </si>
  <si>
    <t>2023-PaLM2</t>
  </si>
  <si>
    <t>2023-Alpagasus</t>
  </si>
  <si>
    <t>https://www.aiweirdness.com/optimum-tic-tac-toe/</t>
  </si>
  <si>
    <t>https://arxiv.org/pdf/2112.00861.pdf</t>
  </si>
  <si>
    <t>Askell et al. (Anthropic)</t>
  </si>
  <si>
    <t>https://arxiv.org/pdf/2212.08073.pdf</t>
  </si>
  <si>
    <t>Bai et al.</t>
  </si>
  <si>
    <t>Constituional AI: Harmlessness from AI feedback. arXiv 12/15/2022</t>
  </si>
  <si>
    <t>Ayush Kaushal and Kyle Mahowald</t>
  </si>
  <si>
    <t>2023-PaLM2, 2021-Anthropic, 2022-Anthropic</t>
  </si>
  <si>
    <t>Bisk et al.</t>
  </si>
  <si>
    <t>PIQA: Reasoning about Physical Commonsense in Natural Language. arXiv 11/26/2019</t>
  </si>
  <si>
    <t>https://arxiv.org/abs/1911.11641</t>
  </si>
  <si>
    <t>https://www.researchgate.net/publication/369233842_It_Takes_One_to_Tango_but_More_Make_Trouble_In-Context_Training_with_Different_Number_of_Demonstrations/fulltext/64113655a1b72772e4fad48c/It-Takes-One-to-Tango-but-More-Make-Trouble-In-Context-Training-with-Different-Number-of-Demonstrations.pdf</t>
  </si>
  <si>
    <t>It Takes One to Tango but More Make Trouble?: In-Context Training with Different Number of Demonstrations. ResearchGate 3/14/2023</t>
  </si>
  <si>
    <t>SaneBox</t>
  </si>
  <si>
    <t>Olympia</t>
  </si>
  <si>
    <t>Sam Liang, Yun Fu</t>
  </si>
  <si>
    <t>Treeswift</t>
  </si>
  <si>
    <t>Spectrum Equity, Slow Ventures, NTT Docomo, Horizons Ventures, H. Barton, Gutbrain, GGV, Fusion Fund, Duke Angel, Draper</t>
  </si>
  <si>
    <t>Spectrum Equity</t>
  </si>
  <si>
    <t>Horizons Ventures</t>
  </si>
  <si>
    <t>Gutbrain Ventures</t>
  </si>
  <si>
    <t>Duke Angel Network</t>
  </si>
  <si>
    <t>Meeting transcription</t>
  </si>
  <si>
    <t>Horizons Ventures, Draper, Bridgewater, Bart Swanson</t>
  </si>
  <si>
    <t>Bridgewater</t>
  </si>
  <si>
    <t>Draper, Slow Ventures, SV Tech Ventures, 500 Global, DHVC, Edith Yeung, David Cheriton</t>
  </si>
  <si>
    <t>SV Tech Ventures</t>
  </si>
  <si>
    <t>DHVC</t>
  </si>
  <si>
    <t>www.arthur.ai</t>
  </si>
  <si>
    <t>Adam Wenchel, John Dickerson, Liz O’Sullivan, Priscilla Alexander</t>
  </si>
  <si>
    <t>ML Monitoring</t>
  </si>
  <si>
    <t>Greycroft, Acrew Capital, Work-Bench, Plexo Capital, Index Ventures, BAM Elevate</t>
  </si>
  <si>
    <t>Acrew</t>
  </si>
  <si>
    <t>Work-Bench</t>
  </si>
  <si>
    <t>Plexo Capital</t>
  </si>
  <si>
    <t>Index Ventures, Plexo Capital, Work-Bench, Homebrew, AME Ventures, Acrew Capital</t>
  </si>
  <si>
    <t>A.M.E. Ventures</t>
  </si>
  <si>
    <t>Work-Bench, Index Ventures, Hunter Walk, Jerry Yang</t>
  </si>
  <si>
    <t>www.leapyear.io</t>
  </si>
  <si>
    <t>Not ML/AI</t>
  </si>
  <si>
    <t>Acquired by SnowFlake</t>
  </si>
  <si>
    <t>www.springdiscovery.com</t>
  </si>
  <si>
    <t>www.paralleldomain.com</t>
  </si>
  <si>
    <t>www.impira.com</t>
  </si>
  <si>
    <t>AI life sciences tools</t>
  </si>
  <si>
    <t>Life Sciences</t>
  </si>
  <si>
    <t>Ben Kamens</t>
  </si>
  <si>
    <t>General Catalyst, First Round Capital, ZhenFund, The Longevity Fund, Susa Ventures, SciFi VC, Quiet Capital, Felicis, Caffeinated Capital, Elad Gil, Chloe Sladden</t>
  </si>
  <si>
    <t>The Longevity Fund</t>
  </si>
  <si>
    <t>Susa Ventures</t>
  </si>
  <si>
    <t>SciFi VC</t>
  </si>
  <si>
    <t>The Longevity Fund, Sam Altman, Joe Betts-Lacroix, Greg Brockman, General Catalyst, First Round Capital, Felicis, Elad Gil, Caffeinated Capital, Avichal Garg</t>
  </si>
  <si>
    <t>Adam Kamor, Andrew Colombi, Ian Coe, Karl Hanson</t>
  </si>
  <si>
    <t>www.tonic.ai</t>
  </si>
  <si>
    <t>Insight Partners, Octave, Heavybit</t>
  </si>
  <si>
    <t>Octave</t>
  </si>
  <si>
    <t>Tonic.ai</t>
  </si>
  <si>
    <t>Heavybit</t>
  </si>
  <si>
    <t>GGV Capital, Xfund, Silicon Valley CISO Investments, Octave, Heavybit, Bloomberg Bta, Augusto Marietti, Assaf Wand, Anthony Goldbloom</t>
  </si>
  <si>
    <t>Xfund</t>
  </si>
  <si>
    <t>Silicon Valley CISO Investments</t>
  </si>
  <si>
    <t>Xfund, Octave, Heavybit, Bloomberg Beta</t>
  </si>
  <si>
    <t>Kevin McNamara</t>
  </si>
  <si>
    <t>Data</t>
  </si>
  <si>
    <t>March Capital, Ubiquity Ventures, Foundry Group, Costanoa Ventures, Calibrate Ventures</t>
  </si>
  <si>
    <t>Foundry Group, Toyota Ventures, Costanoa Ventures, Calibrate Ventures, Ubiquity Ventures</t>
  </si>
  <si>
    <t>Ubiquity Ventures</t>
  </si>
  <si>
    <t>Foundry Group</t>
  </si>
  <si>
    <t>Calibrate Ventures</t>
  </si>
  <si>
    <t>Ubiquity, Costanoa, Toyota, RRE Ventures</t>
  </si>
  <si>
    <t>Auto-related?</t>
  </si>
  <si>
    <t>RRE Ventures</t>
  </si>
  <si>
    <t>Ankur Goyal, Richard Stebbing</t>
  </si>
  <si>
    <t>NoCode</t>
  </si>
  <si>
    <t>Ran out of $?</t>
  </si>
  <si>
    <t>Lightspeed, General Catalyst, Coatue, Next Play Capital</t>
  </si>
  <si>
    <t>Next Play Ventures/Capital</t>
  </si>
  <si>
    <t>Lightspeed, General Catalyst, Human Capital</t>
  </si>
  <si>
    <t>https://arxiv.org/abs/2306.03082</t>
  </si>
  <si>
    <t>Chen et al</t>
  </si>
  <si>
    <t>Nguyen-Phuoc et al</t>
  </si>
  <si>
    <t>https://arxiv.org/abs/2305.19245</t>
  </si>
  <si>
    <t>AlteredAvatar: Stylizing Dynamic 3D Avatars with Fast Style Adaptation. arXiv 5/30/2023.</t>
  </si>
  <si>
    <t>https://arxiv.org/abs/2305.10601</t>
  </si>
  <si>
    <t>https://arxiv.org/abs/2303.12712</t>
  </si>
  <si>
    <t>Sparks of Artificial General Intelligence: Early experiments with GPT-4,” 3/22/2023, arXiv:2303.12712</t>
  </si>
  <si>
    <t>https://arxiv.org/pdf/2306.01930.pdf</t>
  </si>
  <si>
    <t>https://arxiv.org/abs/2305.02424</t>
  </si>
  <si>
    <t>PTP: Boosting Stability and Performance of Prompt Tuning with Perturbation-Based Regularizer. 5/3/2023, arXiv</t>
  </si>
  <si>
    <t>https://arxiv.org/abs/2305.02423</t>
  </si>
  <si>
    <t>INSTRUCTEVAL: Towards Holistic Evaluation of Instruction-Tuned Large Language Models. arXiv 6/7/2023</t>
  </si>
  <si>
    <t>InstructZero: Efficient Instruction Optimization for Black-Box Large Language Models. arXiv 6/5/2023</t>
  </si>
  <si>
    <t>Chia et al</t>
  </si>
  <si>
    <t>https://arxiv.org/abs/2306.04757</t>
  </si>
  <si>
    <t>https://lmsys.org/blog/2023-03-30-vicuna/</t>
  </si>
  <si>
    <t>https://bpb-us-w2.wpmucdn.com/sites.gatech.edu/dist/b/1653/files/2020/10/data-cleaning-sigmod-tutorial.pdf</t>
  </si>
  <si>
    <t>Chu et al.</t>
  </si>
  <si>
    <t>Data Cleaning: Overview and Emerging Challenges. SIGMOD 2016.</t>
  </si>
  <si>
    <t>Scaling Instruction-Finetuned Language Models. arXiv 10/20/2022</t>
  </si>
  <si>
    <t>Chung et al</t>
  </si>
  <si>
    <t>https://arxiv.org/abs/2210.11416</t>
  </si>
  <si>
    <t>What do tokens know about their characters and how do they know it?”, 6/6/2022, arXiv:2206.02608</t>
  </si>
  <si>
    <t>https://arxiv.org/abs/2206.02608</t>
  </si>
  <si>
    <t>Aakanksha Chowdhery, Sharan Narang, Jacob Devlin, Maarten Bosma, Gaurav Mishra, Adam Roberts, Paul Barham, Hyung Won Chung, Charles Sutton, Sebastian Gehrmann, Parker Schuh, Kensen Shi, Sasha Tsvyashchenko, Joshua Maynez, Abhishek Rao, Parker Barnes, Yi T</t>
  </si>
  <si>
    <t>Switch transformers: scaling to trillion parameter models with simple and efficient sparsity. arXiv 1/11/2021, two revisions</t>
  </si>
  <si>
    <t>https://arxiv.org/abs/2101.03961</t>
  </si>
  <si>
    <t>Palm: scaling language modeling with pathways. arXiv 4/5/2022</t>
  </si>
  <si>
    <t>A General Language Assistant as a Laboratory for Alignment. arXiv 12/1/2021</t>
  </si>
  <si>
    <t>Enhancing Chat Language Models by Scaling High-quality Instructional Conversations. arXiv 5/23/2023</t>
  </si>
  <si>
    <t>Ding et al</t>
  </si>
  <si>
    <t>https://arxiv.org/abs/2305.14233</t>
  </si>
  <si>
    <t>Dolly</t>
  </si>
  <si>
    <t>https://www.databricks.com/blog/2023/04/12/dolly-first-open-commercially-viable-instruction-tuned-llm</t>
  </si>
  <si>
    <t>AlpacaFarm: A Simulation Framework for Methods that Learn from Human Feedback. arXiv 5/22/2023</t>
  </si>
  <si>
    <t>Dubois et al.</t>
  </si>
  <si>
    <t>https://arxiv.org/abs/2305.14387</t>
  </si>
  <si>
    <t>LM Evaluation Harness</t>
  </si>
  <si>
    <t>https://github.com/EleutherAI/lm-evaluation-harness/tree/v0.3.0</t>
  </si>
  <si>
    <t>Leo Gao, John Schulman, Jacob Hilton (OpenAI)</t>
  </si>
  <si>
    <t>Scaling Laws for Reward Model Overoptimization. arXiv 10/19/2022</t>
  </si>
  <si>
    <t>https://arxiv.org/abs/2210.10760</t>
  </si>
  <si>
    <t>https://bair.berkeley.edu/blog/2023/04/03/koala/</t>
  </si>
  <si>
    <t>A Path Towards Autonomous Machine Intelligence. Openreview.net V0.9.2, 6/27/2022</t>
  </si>
  <si>
    <t>Data-Centric AI Requires Rethinking Data Notion. arXiv 10/6/2021</t>
  </si>
  <si>
    <t>Hajij et al</t>
  </si>
  <si>
    <t>https://arxiv.org/abs/2110.02491</t>
  </si>
  <si>
    <t>Deep learning with Python, 2nd Edition. Manning 2021.</t>
  </si>
  <si>
    <t>https://ailibrary.s3.amazonaws.com/Franc%CC%A7ois+Chollet+-+Deep+Learning+with+Python-Manning+Publications+(2021).pdf</t>
  </si>
  <si>
    <t>https://arxiv.org/abs/2102.12092</t>
  </si>
  <si>
    <t>Zero-shot text-to-image generation. arXiv 2/24/2021</t>
  </si>
  <si>
    <t>Measuring Massive Multitask Language Understanding. arXiv 9/7/2020</t>
  </si>
  <si>
    <t>Hendrycks et al.</t>
  </si>
  <si>
    <t>https://arxiv.org/abs/2009.03300</t>
  </si>
  <si>
    <t>https://arxiv.org/abs/1908.08530</t>
  </si>
  <si>
    <t>VL-BERT: Pre-training of Generic Visual-Linguistic Representations. arXiv 8/22/2019</t>
  </si>
  <si>
    <t>https://arxiv.org/abs/1910.10683</t>
  </si>
  <si>
    <t>Exploring the limits of transfer learning with a unified text-to-text transformer. arXiv 10/23/2019</t>
  </si>
  <si>
    <t>Dota 2 with large scale deep reinforcement learning. arXiv preprint arXiv:1912.06680, 12/13/2019</t>
  </si>
  <si>
    <t>Look at the First Sentence: Position Bias in Question Answering. arXiv 4/30/20</t>
  </si>
  <si>
    <t>Ko et al.</t>
  </si>
  <si>
    <t>https://arxiv.org/abs/2004.14602</t>
  </si>
  <si>
    <t>OpenAssistant Conversations -- Democratizing LLM Alignment. arXiv 4/14/2023</t>
  </si>
  <si>
    <t>Backdoor Learning on Sequence to Sequence Models. arXiv 5/3/2023</t>
  </si>
  <si>
    <t>Kopf et al</t>
  </si>
  <si>
    <t>https://arxiv.org/abs/2304.07327</t>
  </si>
  <si>
    <t>https://github.com/tatsu-lab/alpaca_eval</t>
  </si>
  <si>
    <t>Alpaca-Eval</t>
  </si>
  <si>
    <t>Liang et al</t>
  </si>
  <si>
    <t>https://arxiv.org/abs/2211.09110</t>
  </si>
  <si>
    <t>Holistic Evaluation of Language Models. arXiv 11/16/2022</t>
  </si>
  <si>
    <t>Liu et al</t>
  </si>
  <si>
    <t>https://arxiv.org/abs/1907.11692</t>
  </si>
  <si>
    <t>Longpre et al</t>
  </si>
  <si>
    <t>https://arxiv.org/abs/2301.13688</t>
  </si>
  <si>
    <t>WizardCoder: Empowering Code LLMs with Evol-Instruct. arXiv 6/14/2023</t>
  </si>
  <si>
    <t>Alpagasus - Training a Better Alpaca with Fewer Data. Arxiv 7/17/2023</t>
  </si>
  <si>
    <t>Luo et al</t>
  </si>
  <si>
    <t>https://arxiv.org/abs/2306.08568</t>
  </si>
  <si>
    <t>Janelle Shane</t>
  </si>
  <si>
    <t>Optimum tic-tac-toe. email newsletter received 5/26/2023.</t>
  </si>
  <si>
    <t>The Five-Dollar Model: Generating Game Maps and Sprites from Sentence Embeddings. arXiv 8/8/2023</t>
  </si>
  <si>
    <t>https://arxiv.org/abs/2308.04052</t>
  </si>
  <si>
    <t>Merino et al</t>
  </si>
  <si>
    <t>RoBERTa: A Robustly Optimized BERT Pretraining Approach. arXiv 7/26/2019</t>
  </si>
  <si>
    <t>Superhuman AI for multiplayer poker. Science, 365(6456):
885–890, 7/11/2019</t>
  </si>
  <si>
    <t>A Data-Centric Approach for Training DNNs with Less Data. arXiv 10/7/2021</t>
  </si>
  <si>
    <t>Motamedi et al.</t>
  </si>
  <si>
    <t>https://arxiv.org/abs/2110.03613</t>
  </si>
  <si>
    <t>GPT-4 Technical Report. arXiv 3/15/2023</t>
  </si>
  <si>
    <t>https://arxiv.org/abs/2303.08774</t>
  </si>
  <si>
    <t>Training language models to follow instructions with human feedback. arXiv 3/4/2022</t>
  </si>
  <si>
    <t>Ouyang et al</t>
  </si>
  <si>
    <t>https://arxiv.org/abs/2203.02155</t>
  </si>
  <si>
    <t>Peng et al</t>
  </si>
  <si>
    <t>https://arxiv.org/abs/2304.03277</t>
  </si>
  <si>
    <t>Instruction Tuning with GPT-4. arXiv 4/6/2023</t>
  </si>
  <si>
    <t>ShareGPT</t>
  </si>
  <si>
    <t>The Flan Collection: Designing Data and Methods for Effective Instruction Tuning. arXiv 1/31/2023</t>
  </si>
  <si>
    <t>LLaMA: Open and Efficient Foundation Language Models. arXiv 2/27/2023</t>
  </si>
  <si>
    <t>https://arxiv.org/abs/2302.13971</t>
  </si>
  <si>
    <t>Touvron et al.</t>
  </si>
  <si>
    <t>LLMs are not fair evaluators. arXiv 5/29/2023</t>
  </si>
  <si>
    <t>Wang et al</t>
  </si>
  <si>
    <t>https://arxiv.org/abs/2305.17926</t>
  </si>
  <si>
    <t>Wang et al. (Google)</t>
  </si>
  <si>
    <t>Wang et al.</t>
  </si>
  <si>
    <t>https://arxiv.org/abs/2212.10560</t>
  </si>
  <si>
    <t>WizardLM: Empowering LLMs to Follow Complex Instructions. arXiv 4/24/2023</t>
  </si>
  <si>
    <t>https://arxiv.org/abs/2304.12244</t>
  </si>
  <si>
    <t>Xu et al</t>
  </si>
  <si>
    <t>Data-centric AI: A Survey. arXiv 3/17/2023</t>
  </si>
  <si>
    <t>Zha et al</t>
  </si>
  <si>
    <t>https://arxiv.org/abs/2303.10158</t>
  </si>
  <si>
    <t>Judging LLM-as-a-judge with MT-Bench and Chatbot Arena. arXiv 6/9/2023</t>
  </si>
  <si>
    <t>Zheng et al</t>
  </si>
  <si>
    <t>https://arxiv.org/abs/2306.05685</t>
  </si>
  <si>
    <t>LIMA: Less is More for Alignment. arXiv 5/18/2023</t>
  </si>
  <si>
    <t>https://arxiv.org/abs/2305.11206</t>
  </si>
  <si>
    <t>Marketing Messaging/Copy</t>
  </si>
  <si>
    <t>www.anyword.com</t>
  </si>
  <si>
    <t>Arnon Joseph, Yaniv Makover</t>
  </si>
  <si>
    <t>Marketing</t>
  </si>
  <si>
    <t>Innovation Endeavors, Matias Ventures, Gandyr Group, Tomer Tagrin, Tomer Cohen, Omer Kaplan, Nir Eyal, Michael Ronan, Howard Lerman, Amir Orad</t>
  </si>
  <si>
    <t>Innovation Endeavors</t>
  </si>
  <si>
    <t>Gandyr Group</t>
  </si>
  <si>
    <t>Innovation Endeavors, Marker, UpWest, New York Times, Gandyr Group</t>
  </si>
  <si>
    <t>Marker</t>
  </si>
  <si>
    <t>New York Times</t>
  </si>
  <si>
    <t>UpWest</t>
  </si>
  <si>
    <t>Vienna, Austria</t>
  </si>
  <si>
    <t>www.mostly.ai</t>
  </si>
  <si>
    <t>Prewave</t>
  </si>
  <si>
    <t>Klaudius Kalcher, Michael Platzer, Roland Boubela</t>
  </si>
  <si>
    <t>Molten Ventures, Earlybird Venture, Citi Ventures, 42CAP</t>
  </si>
  <si>
    <t>Earlybird Venture Capital</t>
  </si>
  <si>
    <t>42CAP</t>
  </si>
  <si>
    <t>Earlybird, PUSH Ventures, 42CAP</t>
  </si>
  <si>
    <t>PUSH Ventures</t>
  </si>
  <si>
    <t>42CAP, PUSH Ventures</t>
  </si>
  <si>
    <t>You know what it is</t>
  </si>
  <si>
    <t>Chunting Zhou, Pengfei Liu, Puxin Xu, Srini Iyer, Jiao Sun, Yuning Mao, Xuezhe Ma, Avia Efrat, Ping Yu, Lili Yu, Susan Zhang, Gargi Ghosh, Mike Lewis, Luke Zettlemoyer, Omer Levy. (Meta AI)</t>
  </si>
  <si>
    <t>Title</t>
  </si>
  <si>
    <t>Omer Levy</t>
  </si>
  <si>
    <t>AlteredAvatar (5/2023)</t>
  </si>
  <si>
    <t>LIMA: Less Is More for Alignment (5/18/2023)</t>
  </si>
  <si>
    <t>Luke Zettlemoyer</t>
  </si>
  <si>
    <t>Mike Lewis</t>
  </si>
  <si>
    <t>Gargi Ghosh</t>
  </si>
  <si>
    <t>Susan Zhang</t>
  </si>
  <si>
    <t>Lily Yu</t>
  </si>
  <si>
    <t>Ping Yu</t>
  </si>
  <si>
    <t>Yuning Mao</t>
  </si>
  <si>
    <t>Srini Iyer</t>
  </si>
  <si>
    <t>Puxin Xu</t>
  </si>
  <si>
    <t>Chunting Zhou</t>
  </si>
  <si>
    <t>https://arxiv.org/abs/2204.05862</t>
  </si>
  <si>
    <t>Bai et al. (Anthropic)</t>
  </si>
  <si>
    <t>Training a Helpful and Harmless Assistant with Reinforcement Learning from Human Feedback. arXiv 4/12/2022</t>
  </si>
  <si>
    <t>2022-Anthropic-Training-A-Helpful, 2022-Anthropic-Constitutional-AI</t>
  </si>
  <si>
    <t>Position Bias Estimation for Unbiased Learning to Rank in Personal Search. WSDM 2018.</t>
  </si>
  <si>
    <t>https://research.google/pubs/pub46485/</t>
  </si>
  <si>
    <t>https://arxiv.org/abs/1912.01703</t>
  </si>
  <si>
    <t>Pytorch: An imperative style, high-performance deep learning library. arXiv 12/3/2019, NeurIPS 2019.</t>
  </si>
  <si>
    <t>Qure</t>
  </si>
  <si>
    <t>Qure.ai</t>
  </si>
  <si>
    <t>Adam Paszke, Sam Gross, Francisco Massa, Adam Lerer, James Bradbury, Gregory Chanan, Trevor Killeen, Zeming Lin, Natalia Gimelshein, Luca Antiga, Alban Desmaison, Andreas Kopf, Edward Yang, Zachary DeVito, Martin Raison, Alykhan Tejani, Sasank Chilamkurthy, Benoit Steiner, Lu Fang, Junjie Bai, Soumith Chintala (Facebook, Google, Nvidia)</t>
  </si>
  <si>
    <t>Xamla</t>
  </si>
  <si>
    <t>PAC</t>
  </si>
  <si>
    <t>ERM</t>
  </si>
  <si>
    <t>Empirical Risk Minimization learning rules</t>
  </si>
  <si>
    <t>SRM</t>
  </si>
  <si>
    <t>Structural Risk Minimization learning rule</t>
  </si>
  <si>
    <t>MDL</t>
  </si>
  <si>
    <t>Minimum Description Length learning rule</t>
  </si>
  <si>
    <t>inductive bias</t>
  </si>
  <si>
    <t>incorporation of prior knowledge biases learning mechanisms</t>
  </si>
  <si>
    <t>HQ Country</t>
  </si>
  <si>
    <t>HQ State (if US)</t>
  </si>
  <si>
    <t>HQ City</t>
  </si>
  <si>
    <t>USA</t>
  </si>
  <si>
    <t>China</t>
  </si>
  <si>
    <t>Washington</t>
  </si>
  <si>
    <t>California</t>
  </si>
  <si>
    <t>Texas</t>
  </si>
  <si>
    <t>Colorado</t>
  </si>
  <si>
    <t>New Jersey</t>
  </si>
  <si>
    <t>Massachusetts</t>
  </si>
  <si>
    <t>New York</t>
  </si>
  <si>
    <t>Sunnyvale</t>
  </si>
  <si>
    <t>Palo Alto</t>
  </si>
  <si>
    <t>Mountain View</t>
  </si>
  <si>
    <t>Fremont</t>
  </si>
  <si>
    <t>Hoboken</t>
  </si>
  <si>
    <t>Anhui</t>
  </si>
  <si>
    <t>Denver</t>
  </si>
  <si>
    <t>Beijing</t>
  </si>
  <si>
    <t>Menlo Park</t>
  </si>
  <si>
    <t>Santa Clara</t>
  </si>
  <si>
    <t>Redmond</t>
  </si>
  <si>
    <t>Redwood City</t>
  </si>
  <si>
    <t>Bristol</t>
  </si>
  <si>
    <t>San Diego</t>
  </si>
  <si>
    <t>Cupertino</t>
  </si>
  <si>
    <t>France</t>
  </si>
  <si>
    <t>United Kingdom</t>
  </si>
  <si>
    <t>Canada</t>
  </si>
  <si>
    <t>Abhi Sharma, Leila Golchehreh</t>
  </si>
  <si>
    <t>Privacy/Compliance</t>
  </si>
  <si>
    <t>www.relyance.ai</t>
  </si>
  <si>
    <t>Unusual Ventures, Menlo Ventures, Susan Hintze, Meredith Halama, Henry Ward, Dev Ittycheria, Ashok Banerjee</t>
  </si>
  <si>
    <t>Compliance</t>
  </si>
  <si>
    <t>www.hebbia.ai</t>
  </si>
  <si>
    <t>Chat with your documents</t>
  </si>
  <si>
    <t>George Sivulka</t>
  </si>
  <si>
    <t>Index Ventures, Radical Ventures, Abstract Ventures, Stanley Druckenmiller, Ram Shriram, Martin Chavez, Kevin Warsh, Jerry Wang</t>
  </si>
  <si>
    <t>Abstract Ventures</t>
  </si>
  <si>
    <t>Floodgate, Peter Thiel, Naval Ravikant, Kevin Hartz</t>
  </si>
  <si>
    <t>Wilmington</t>
  </si>
  <si>
    <t>Santa Monica</t>
  </si>
  <si>
    <t>Wisconsin</t>
  </si>
  <si>
    <t>Eau Claire</t>
  </si>
  <si>
    <t>Birmingham</t>
  </si>
  <si>
    <t>Stockholm</t>
  </si>
  <si>
    <t>Sydney</t>
  </si>
  <si>
    <t>Australia</t>
  </si>
  <si>
    <t>Berkeley</t>
  </si>
  <si>
    <t>Middletown</t>
  </si>
  <si>
    <t>Bothell</t>
  </si>
  <si>
    <t>Josh Tobin, Vicki Cheung</t>
  </si>
  <si>
    <t>Analyzes ML Performance</t>
  </si>
  <si>
    <t>Ex-OpenAI</t>
  </si>
  <si>
    <t>Coatue, Amplify, Greg Brockman, Pieter Abbeel</t>
  </si>
  <si>
    <t>www.superb-ai.com</t>
  </si>
  <si>
    <t>San Mateo</t>
  </si>
  <si>
    <t>Hyun Kim, Hyundong Lee, Jonghyuk Lee, Jung Kwon Lee, Moonsu Cha</t>
  </si>
  <si>
    <t>Korea Development Bank, Premier Partners, KT Investment, KT&amp;G Corporation, Halla Holdings, Duke</t>
  </si>
  <si>
    <t>Korea Development Bank</t>
  </si>
  <si>
    <t>Premier Partners</t>
  </si>
  <si>
    <t>KT Investment</t>
  </si>
  <si>
    <t>KT&amp;G Corporation</t>
  </si>
  <si>
    <t>Halla Holdings</t>
  </si>
  <si>
    <t>Duke University</t>
  </si>
  <si>
    <t>Atinum Investment, Stonebridge Ventures, Premier, Murex Partners, KT Investment, Duke Angel Network</t>
  </si>
  <si>
    <t>active learning</t>
  </si>
  <si>
    <t>paradigm where the learner interacts with the environment at training time</t>
  </si>
  <si>
    <t>passive learning</t>
  </si>
  <si>
    <t>paradigm where the learner does not interact with the environment at training time</t>
  </si>
  <si>
    <t>Atinum Investment</t>
  </si>
  <si>
    <t>Murex Partners</t>
  </si>
  <si>
    <t>Y Combinator, VentureSouq, Sequoia Scout, Pegasus Tech Ventures, Murex, KT Investment, Duke Angel Network</t>
  </si>
  <si>
    <t>Garry Tan</t>
  </si>
  <si>
    <t>VentureSouq</t>
  </si>
  <si>
    <t>Baidu Ventures (public)</t>
  </si>
  <si>
    <t>Honeywell (public)</t>
  </si>
  <si>
    <t>CV Labeling, Curating, Labeling</t>
  </si>
  <si>
    <t>www.writer.com</t>
  </si>
  <si>
    <t>May Habib, Waseem AlShikh</t>
  </si>
  <si>
    <t>Reclaim</t>
  </si>
  <si>
    <t>Palmyra LLM</t>
  </si>
  <si>
    <t>Insight Partners, GTMfund, Gradient Ventures, The Todd &amp; Rahul Angel Fund, Vivek Sodera, Packy McCormick, Oliver Jay, Lenny Rachitsky, Julia Lipton, James Beshara, Jack Altman, Camille Ricketts, Austin Rief, Ankur Nagpal, Allison Pickens, Alex MacCaw</t>
  </si>
  <si>
    <t>Writer</t>
  </si>
  <si>
    <t>Nasdaq (public)</t>
  </si>
  <si>
    <t>HCA (public)</t>
  </si>
  <si>
    <t>Barclays (public)</t>
  </si>
  <si>
    <t>Upfront Ventures, ValueStream Ventures, Broadway Angels, Aspect Ventures</t>
  </si>
  <si>
    <t>Upfront Ventures</t>
  </si>
  <si>
    <t>ValueStream Ventures</t>
  </si>
  <si>
    <t>Broadway Angels</t>
  </si>
  <si>
    <t>Aspect Ventures</t>
  </si>
  <si>
    <t>Citi Ventures (public)</t>
  </si>
  <si>
    <t>Xplorer Capital</t>
  </si>
  <si>
    <t>Guidewire (public)</t>
  </si>
  <si>
    <t>BMW (public)</t>
  </si>
  <si>
    <t>Metaflow</t>
  </si>
  <si>
    <t>Oleg Avdeev, Savin Goyal, Ville Tuulos</t>
  </si>
  <si>
    <t>www.outerbounds.com</t>
  </si>
  <si>
    <t>ex-Netflix</t>
  </si>
  <si>
    <t>Greenoaks, Foundation Capital, Costanoa Ventures, Amplify Partners</t>
  </si>
  <si>
    <t>Foundation, Costanoa, Amplify</t>
  </si>
  <si>
    <t>www.coiled.io</t>
  </si>
  <si>
    <t>Hosted Dask</t>
  </si>
  <si>
    <t>Matthew Rocklin</t>
  </si>
  <si>
    <t>Inpher.io</t>
  </si>
  <si>
    <t>Agile Stacks</t>
  </si>
  <si>
    <t>Bessemer Venture Partners, IA Ventures, FirstMark, Costanoa</t>
  </si>
  <si>
    <t>Matt Turck</t>
  </si>
  <si>
    <t>Point72 Ventures (hedge VC)</t>
  </si>
  <si>
    <t>Nvidia (NVDA)</t>
  </si>
  <si>
    <t>Greg Sands, Tony Liu</t>
  </si>
  <si>
    <t>Brad Gillespie</t>
  </si>
  <si>
    <t>Costanoa, Techammer, IA, Ben Hamner, Anthony Goldbloom</t>
  </si>
  <si>
    <t>Techammer</t>
  </si>
  <si>
    <t>Voicify</t>
  </si>
  <si>
    <t>Tom Ngo</t>
  </si>
  <si>
    <t>Pasadena</t>
  </si>
  <si>
    <t>www.lumin.ai</t>
  </si>
  <si>
    <t>Customer agents</t>
  </si>
  <si>
    <t>Scop Network - Scope AI (Nexxiot)</t>
  </si>
  <si>
    <t>RNA deep learning</t>
  </si>
  <si>
    <t>Pharma</t>
  </si>
  <si>
    <t>www.inceptive.life</t>
  </si>
  <si>
    <t>Jakob Uszkoreit, Rhiju Das</t>
  </si>
  <si>
    <t>www.bardeen.ai</t>
  </si>
  <si>
    <t>Artem Harutyunyan, Pascal Weinberger</t>
  </si>
  <si>
    <t>No-Code browser extension for automation</t>
  </si>
  <si>
    <t>Insight Partners, FirstMark</t>
  </si>
  <si>
    <t>Praveen Akkiraju</t>
  </si>
  <si>
    <t>FirstMark, 468 Capital, Zachary Bogue, Matthew Ocko, Lukasz Gadowski, Illusian Family Office, Ilkka Paananen, Felix Haas, Carsten Thoma, Brent Hoberman</t>
  </si>
  <si>
    <t>Illusian Family Office</t>
  </si>
  <si>
    <t>Database</t>
  </si>
  <si>
    <t>Elvis Pranskevichus, Yuru Selivanov</t>
  </si>
  <si>
    <t>Graph-relational database</t>
  </si>
  <si>
    <t>www.edgedb.com</t>
  </si>
  <si>
    <t>Nava Ventures, Accel, Vercel, OpenAI, Netlify, ICONIQ, IBM, GitHub, Firebase</t>
  </si>
  <si>
    <t>Pear VC, SVA</t>
  </si>
  <si>
    <t>CNTK</t>
  </si>
  <si>
    <t>older ML framework</t>
  </si>
  <si>
    <t>A general reinforcement learning algorithm that masters chess, shogi, and go through self-play. Science 2018.</t>
  </si>
  <si>
    <t>https://ailibrary.s3.amazonaws.com/A+general+RL+algorithm+that+masters+chess%2C+shogi+and+go+through+self-play+-+Silver+2018.pdf</t>
  </si>
  <si>
    <t>https://ailibrary.s3.amazonaws.com/Grandmaster+level+in+StarCraft+II+using+multi-agent+RL+-+Vinyals+2019.pdf</t>
  </si>
  <si>
    <t>https://arxiv.org/abs/1905.11946</t>
  </si>
  <si>
    <t>2019-1</t>
  </si>
  <si>
    <t>Audiostack.ai</t>
  </si>
  <si>
    <t>https://ailibrary.s3.amazonaws.com/Superhuman+AI+for+multiplayer+poker+-+Brown+Science+2019.pdf</t>
  </si>
  <si>
    <t>Chaindesk.ai</t>
  </si>
  <si>
    <t>www.northbeam.io</t>
  </si>
  <si>
    <t>Measures marketing performance using ML</t>
  </si>
  <si>
    <t>Not really an ML company</t>
  </si>
  <si>
    <t>Silversmith Capital, Lormier Ventures</t>
  </si>
  <si>
    <t>macOS search, record</t>
  </si>
  <si>
    <t>Reflectly</t>
  </si>
  <si>
    <t>ERIN</t>
  </si>
  <si>
    <t>Brett Bejcek, Dan Siroker</t>
  </si>
  <si>
    <t>a16z, Vela, First Round</t>
  </si>
  <si>
    <t>www.rewind.ai</t>
  </si>
  <si>
    <t>Rewind AI</t>
  </si>
  <si>
    <t>Israel</t>
  </si>
  <si>
    <t>www.clear.ml</t>
  </si>
  <si>
    <t>Gil Westrich, Moses Guttman, Nir Bar-Lev</t>
  </si>
  <si>
    <t>ClearML (fka Allegro AI)</t>
  </si>
  <si>
    <t>ClearML MLOps</t>
  </si>
  <si>
    <t>MizMaa Ventures, Samsung Catalyst, Dynamic Loop, Bosch Ventures</t>
  </si>
  <si>
    <t>MizMaa Ventures</t>
  </si>
  <si>
    <t>Allegro.AI</t>
  </si>
  <si>
    <t>Dynamic Loop Capital</t>
  </si>
  <si>
    <t>2020-1</t>
  </si>
  <si>
    <t>2020-2</t>
  </si>
  <si>
    <t>2019-2</t>
  </si>
  <si>
    <t>2019-3</t>
  </si>
  <si>
    <t>2019-4</t>
  </si>
  <si>
    <t>2019-5</t>
  </si>
  <si>
    <t>2019-6</t>
  </si>
  <si>
    <t>2019-7</t>
  </si>
  <si>
    <t>2019-8</t>
  </si>
  <si>
    <t>2019-9</t>
  </si>
  <si>
    <t>2021-2</t>
  </si>
  <si>
    <t>2021-3</t>
  </si>
  <si>
    <t>2021-4</t>
  </si>
  <si>
    <t>2021-5</t>
  </si>
  <si>
    <t>2021-6</t>
  </si>
  <si>
    <t>https://arxiv.org/abs/2204.02311</t>
  </si>
  <si>
    <t>Self-Instruct: Aligning Language Models with Self-Generated Instructions. arXiv 12/20/2022</t>
  </si>
  <si>
    <t>2022-1</t>
  </si>
  <si>
    <t>2022-2</t>
  </si>
  <si>
    <t>2022-3</t>
  </si>
  <si>
    <t>2022-4</t>
  </si>
  <si>
    <t>2022-5</t>
  </si>
  <si>
    <t>2022-Anthropic-Constitutional-AI, 2022-6</t>
  </si>
  <si>
    <t>2022-Anthropic-Training-A-Helpful, 2022-7</t>
  </si>
  <si>
    <t>2022-8</t>
  </si>
  <si>
    <t>2022-9</t>
  </si>
  <si>
    <t>2022-10</t>
  </si>
  <si>
    <t>Large Language Models Converge on Brain-Like Word Representations, 6/2/2023, arXiv:2306.01930</t>
  </si>
  <si>
    <t>2023-1</t>
  </si>
  <si>
    <t>2023-2</t>
  </si>
  <si>
    <t>Tree of Thoughts: Deliberate Problem Solving with Large Language Models, 5/17/2023, arXiv:2305.10601</t>
  </si>
  <si>
    <t>Bot or Human? Detecting ChatGPT Imposters with A Single Question, 5/10/2023, arXiv:2305.06424</t>
  </si>
  <si>
    <t>Multi-level Temporal-channel Speaker Retrieval for Robust Zero-shot Voice Conversion, arXiv 5/12/2023</t>
  </si>
  <si>
    <t>https://arxiv.org/abs/2305.07204</t>
  </si>
  <si>
    <t>Cisco Investments (public)</t>
  </si>
  <si>
    <t>Moore (hedge fund)</t>
  </si>
  <si>
    <t>D1 Capital (hedge fund)</t>
  </si>
  <si>
    <t>Morgan Stanley (public)</t>
  </si>
  <si>
    <t>Elad Gil (angel)</t>
  </si>
  <si>
    <t>2018-1</t>
  </si>
  <si>
    <t>2018-2</t>
  </si>
  <si>
    <t>2018-3</t>
  </si>
  <si>
    <t>2018-4</t>
  </si>
  <si>
    <t>2018-5</t>
  </si>
  <si>
    <t>https://ailibrary.s3.amazonaws.com/Mastering+the+game+of+Go+without+human+knowledge+-+Silver+et+al+2017.pdf</t>
  </si>
  <si>
    <t>https://www.cs.cmu.edu/~sandholm/dynamicThresholding.aaai17.pdf</t>
  </si>
  <si>
    <t>https://science.org/doi/epdf/10.1126/science.aao1733</t>
  </si>
  <si>
    <t>2017-3</t>
  </si>
  <si>
    <t>2017-4</t>
  </si>
  <si>
    <t>2017-5</t>
  </si>
  <si>
    <t>2017-6</t>
  </si>
  <si>
    <t>ICCL - International Conference on Computational Linguistics</t>
  </si>
  <si>
    <t>Alan Akbik, Duncan Blythe, Roland Vollgraf (Zalando)</t>
  </si>
  <si>
    <t>https://aclanthology.org/C18-1139.pdf</t>
  </si>
  <si>
    <t>Contextual String Embeddings for Sequence Labeling. ICCL 2018.</t>
  </si>
  <si>
    <t>2018-6</t>
  </si>
  <si>
    <t>https://arxiv.org/abs/1808.04444</t>
  </si>
  <si>
    <t>Al-Rfou, Choe, Constant, Guo, Jones et al.</t>
  </si>
  <si>
    <t>Character-Level Language Modeling with Deeper Self-Attention. arXiv 8/9/2018</t>
  </si>
  <si>
    <t>2018-7</t>
  </si>
  <si>
    <t>2005-1</t>
  </si>
  <si>
    <t>A Framework for Learning Predictive Structures from Multiple Tasks and Unlabeled Data</t>
  </si>
  <si>
    <t>Rie Kubota Ando (IBM), Tong Zhang (Yahoo)</t>
  </si>
  <si>
    <t>https://www.jmlr.org/papers/volume6/ando05a/ando05a.pdf</t>
  </si>
  <si>
    <t>2009-6</t>
  </si>
  <si>
    <t>Luisa Bentivogli, Ido Dagan, Hoa Trang Dang (NIST), Danilo Giampiccolo, Bernardo Magnini</t>
  </si>
  <si>
    <t>https://tac.nist.gov//publications/2009/additional.papers/RTE5_overview.proceedings.pdf</t>
  </si>
  <si>
    <t>The Fifth PASCAL Recognizing Textual Entailment Challenge. TAC 2009.</t>
  </si>
  <si>
    <t>EMNLP - Empirical Methods in NLP</t>
  </si>
  <si>
    <t>2006-4</t>
  </si>
  <si>
    <t>John Blitzer, Ryan McDonald, Fernando Pereira</t>
  </si>
  <si>
    <t>https://aclanthology.org/W06-1615.pdf</t>
  </si>
  <si>
    <t>Domain Adaptation with Structural Correspondence Learning. EMNLP 2006.</t>
  </si>
  <si>
    <t>A large annotated corpus for learning natural language inference. arXiv 8/21/15</t>
  </si>
  <si>
    <t>Bowman et al.</t>
  </si>
  <si>
    <t>https://arxiv.org/abs/1508.05326</t>
  </si>
  <si>
    <t>2015-9</t>
  </si>
  <si>
    <t>1992-2</t>
  </si>
  <si>
    <t>Peter F. Brown, Peter V. deSouza, Robert Mercer, Vincent J Della Pietra, Jenifer C Lai (IBM)</t>
  </si>
  <si>
    <t>https://dl.acm.org/doi/pdf/10.5555/176313.176316</t>
  </si>
  <si>
    <t>Class-Based n-gram Models of Natural Language. Comput Ling 1992.</t>
  </si>
  <si>
    <t>SemEval-2017 Task 1: Semantic Textual Similarity Multilingual and Crosslingual Focused Evaluation. SemEval 2017</t>
  </si>
  <si>
    <t>Cer et al.</t>
  </si>
  <si>
    <t>https://aclanthology.org/S17-2001.pdf</t>
  </si>
  <si>
    <t>2017-7</t>
  </si>
  <si>
    <t>2013-6</t>
  </si>
  <si>
    <t>One Billion Word Benchmark for Measuring Progress in Statistical Language Modeling</t>
  </si>
  <si>
    <t>Chelba et al.</t>
  </si>
  <si>
    <t>https://arxiv.org/abs/1312.3005</t>
  </si>
  <si>
    <t>https://arxiv.org/abs/1710.10723</t>
  </si>
  <si>
    <t>Simple and Effective Multi-Paragraph Reading Comprehension. arXiv 10/29/17</t>
  </si>
  <si>
    <t>Christopher Clark, Matt Gardner</t>
  </si>
  <si>
    <t>2017-8</t>
  </si>
  <si>
    <t>https://arxiv.org/abs/1809.08370</t>
  </si>
  <si>
    <t>Kevin Clark, Minh-Thang Luong, Christopher Manning, Quoc Le</t>
  </si>
  <si>
    <t>Semi-Supervised Sequence Modeling with Cross-View Training. arXiv 9/22/2018</t>
  </si>
  <si>
    <t>2018-8</t>
  </si>
  <si>
    <t>2008-2</t>
  </si>
  <si>
    <t>A Unified Architecture for NLP: Deep Neural Networks with Multitask Learning. ICML 2008.</t>
  </si>
  <si>
    <t>Ronan Collobert, Jason Weston (NEC)</t>
  </si>
  <si>
    <t>http://machinelearning.org/archive/icml2008/papers/391.pdf</t>
  </si>
  <si>
    <t>Supervised Learning of Universal Sentence Representations from Natural Language Inference Data. arXiv 5/5/2017</t>
  </si>
  <si>
    <t>Conneau et al.</t>
  </si>
  <si>
    <t>https://arxiv.org/abs/1705.02364</t>
  </si>
  <si>
    <t>2017-9</t>
  </si>
  <si>
    <t>Semi-supervised Sequence Learning. arXiv 11/4/2015</t>
  </si>
  <si>
    <t>Andrew M. Dai, Quoc V. Le</t>
  </si>
  <si>
    <t>https://arxiv.org/abs/1511.01432</t>
  </si>
  <si>
    <t>2015-10</t>
  </si>
  <si>
    <t>IWP - International Workshop on Paraphrasing</t>
  </si>
  <si>
    <t>2005-2</t>
  </si>
  <si>
    <t>Automatically Constructing a Corpus of Sentential Paraphrases. IWP2005.</t>
  </si>
  <si>
    <t>https://aclanthology.org/I05-5002.pdf</t>
  </si>
  <si>
    <t>William B. Dolan, Chris Brockett (Microsoft)</t>
  </si>
  <si>
    <t>MaskGAN: Better Text Generation via Filling in the ____. arXiv 1/23/2018</t>
  </si>
  <si>
    <t>William Fedus, Ian Goodfellow, Andrew M. Dai</t>
  </si>
  <si>
    <t>https://arxiv.org/abs/1801.07736</t>
  </si>
  <si>
    <t>2018-9</t>
  </si>
  <si>
    <t>Bridging Nonlinearities and Stochastic Regularizers with Gaussian Error Linear Units</t>
  </si>
  <si>
    <t>Dan Hendrycks, Kevin Gimpel</t>
  </si>
  <si>
    <t>https://openreview.net/pdf?id=Bk0MRI5lg</t>
  </si>
  <si>
    <t>An overview of gradient descent optimization algorithms. arXiv 2016.</t>
  </si>
  <si>
    <t>S Ruder</t>
  </si>
  <si>
    <t>https://arxiv.org/abs/1609.04747</t>
  </si>
  <si>
    <t>Layer normalization. arXiv 2016.</t>
  </si>
  <si>
    <t>JL Ba, JR Kiros, Geoffrey E Hinton</t>
  </si>
  <si>
    <t>2016-6</t>
  </si>
  <si>
    <t>2016-7</t>
  </si>
  <si>
    <t>F. Hill et al.</t>
  </si>
  <si>
    <t>https://arxiv.org/abs/1602.03483</t>
  </si>
  <si>
    <t>2016-8</t>
  </si>
  <si>
    <t>Universal Language Model Fine-tuning for Text Classification</t>
  </si>
  <si>
    <t>https://arxiv.org/abs/1801.06146</t>
  </si>
  <si>
    <t>Jeremy Howard, Sebastian Ruder</t>
  </si>
  <si>
    <t>2018-10</t>
  </si>
  <si>
    <t>Reinforced Mnemonic Reader for Machine Reading Comprehension. arXiv 5/8/17</t>
  </si>
  <si>
    <t>https://arxiv.org/abs/1705.02798</t>
  </si>
  <si>
    <t>Hu et al.</t>
  </si>
  <si>
    <t>2017-10</t>
  </si>
  <si>
    <t>https://arxiv.org/abs/1705.00557</t>
  </si>
  <si>
    <t>Discourse-based objectives for fast Fast Unsupervised Sentence Representation Learning. arXiv 2017.</t>
  </si>
  <si>
    <t>Jernite et al.</t>
  </si>
  <si>
    <t>2017-11</t>
  </si>
  <si>
    <t>TriviaQA: A Large Scale Distantly Supervised Challenge Dataset for Reading Comprehension</t>
  </si>
  <si>
    <t>Joshi et al.</t>
  </si>
  <si>
    <t>https://aclanthology.org/P17-1147.pdf</t>
  </si>
  <si>
    <t>2017-12</t>
  </si>
  <si>
    <t>Skip-Thought Vectors. arXiv 6/22/2015</t>
  </si>
  <si>
    <t>Kiros et al.</t>
  </si>
  <si>
    <t>https://arxiv.org/abs/1506.06726</t>
  </si>
  <si>
    <t>2015-11</t>
  </si>
  <si>
    <t>Distributed Representations of Sentences and Documents</t>
  </si>
  <si>
    <t>Quoc V. Le, Tomas Mikolov</t>
  </si>
  <si>
    <t>https://arxiv.org/abs/1405.4053</t>
  </si>
  <si>
    <t>2016-2, 1985-1, 2012-5, 2015-9, 2014-8, 2015-8, 2015-10, 2009-4, 2015-3, 1987-1</t>
  </si>
  <si>
    <t>2007-1, 2007-2, 2001-1, 2011-2, 1985-2, 2012-4, 2009-1, 2004-2, 1980-1, 2015-1, 2012-2, 2009-2, 2010-6, 2011-3, 1990-2, 2004-3, 2010-4, 2009-3, 2009-4, 1976-1</t>
  </si>
  <si>
    <t>2011-3</t>
  </si>
  <si>
    <t>Levesque, Davis, Morgenstern</t>
  </si>
  <si>
    <t>https://cdn.aaai.org/ocs/4492/4492-21843-1-PB.pdf</t>
  </si>
  <si>
    <t>The Winograd Schema Challenge. ICPKRR 2011.</t>
  </si>
  <si>
    <t>ICPKRR - Principles of Knowledge Representation and Reasoning</t>
  </si>
  <si>
    <t>https://arxiv.org/abs/1803.02893</t>
  </si>
  <si>
    <t>Logeswaran, Lee.</t>
  </si>
  <si>
    <t>An efficient framework for learning sentence representations. arXiv 3/7/2018</t>
  </si>
  <si>
    <t>2018-11</t>
  </si>
  <si>
    <t>Learned in Translation: Contextualized Word Vectors</t>
  </si>
  <si>
    <t>https://arxiv.org/abs/1708.00107</t>
  </si>
  <si>
    <t>McCann et al.</t>
  </si>
  <si>
    <t>2017-13</t>
  </si>
  <si>
    <t>CNLL - SIGNLL Conference on Computational Natural Language Learning</t>
  </si>
  <si>
    <t>2016-9</t>
  </si>
  <si>
    <t>https://aclanthology.org/K16-1006.pdf</t>
  </si>
  <si>
    <t>context2vec: Learning Generic Context Embedding with Bidirectional LSTM</t>
  </si>
  <si>
    <t>Melamud et al.</t>
  </si>
  <si>
    <t>2009-7</t>
  </si>
  <si>
    <t>A Scalable Hierarchical Distributed Language Model</t>
  </si>
  <si>
    <t>Andriy Mnih, Geoffrey Hinton (U Toronto)</t>
  </si>
  <si>
    <t>A Decomposable Attention Model for Natural Language Inference. arXiv 6/6/2016</t>
  </si>
  <si>
    <t>Learning Distributed Representations of Sentences from Unlabelled Data. arXiv 2/10/2016</t>
  </si>
  <si>
    <t>https://arxiv.org/abs/1606.01933</t>
  </si>
  <si>
    <t>Parikh et al.</t>
  </si>
  <si>
    <t>2016-10</t>
  </si>
  <si>
    <t>GloVe: Global Vectors for Word Representation. EMNLP 2014.</t>
  </si>
  <si>
    <t>Jeffrey Pennington, Richard Socher, Christopher D. Manning (Stanford)</t>
  </si>
  <si>
    <t>2014-GloVe</t>
  </si>
  <si>
    <t>https://nlp.stanford.edu/pubs/glove.pdf</t>
  </si>
  <si>
    <t>Semi-Supervised sequence tagging with bidirectional language models. arXiv 4/29/2017</t>
  </si>
  <si>
    <t>https://arxiv.org/abs/1705.00108</t>
  </si>
  <si>
    <t>Peters et al.</t>
  </si>
  <si>
    <t>2017-8.5</t>
  </si>
  <si>
    <t>2018-2.5</t>
  </si>
  <si>
    <t>Deep Contextualized Word Representations. arXiv 2/15/2018</t>
  </si>
  <si>
    <t>https://arxiv.org/abs/1802.05365</t>
  </si>
  <si>
    <t>Peters et al. (Allen)</t>
  </si>
  <si>
    <t>https://ailibrary.s3.amazonaws.com/Reinforcement+Learning%2C+An+Introduction+-+Adaptive+Computation+and+Machine+Learning+-+Richard+S.+Sutton%2C+Andrew+G.+Barto+-+The+MIT+Press+(2018).pdf</t>
  </si>
  <si>
    <t>2017-1, 2018-9, 2018-10, 2005-1, 2009-7, 2006-4, 2015-6, 1992-2, 2017-5, 2013-6, 2018-11, 2008-2, 2017-4, 2015-9, 2009-1, 2005-2, 2018-8, 2016-6, 2016-8, 2018-4, 2017-11, 2017-12, 2017-6, 2015-7, 2014-6, 2011-1, 2018-7, 2017-8, 2016-9, 2013-1, 2009-5, 2016-7, 2014-GloVe, 2017-8.5, 2018-2.5</t>
  </si>
  <si>
    <t>https://ailibrary.s3.amazonaws.com/Foundations+of+Machine+Learning+-+Mehryar+Mohri%2C+Afshin+Rostamizadeh%2C+Ameet+Talwalkar+-+The+MIT+Press+(2018).pdf</t>
  </si>
  <si>
    <t>structured prediction problems</t>
  </si>
  <si>
    <t>Context-free parsing, dependency parsing, named-entity recognition, part-of-speech tagging</t>
  </si>
  <si>
    <t>classification</t>
  </si>
  <si>
    <t>typical ML goal</t>
  </si>
  <si>
    <t>regression</t>
  </si>
  <si>
    <t>canonical ML task</t>
  </si>
  <si>
    <t>ranking</t>
  </si>
  <si>
    <t>typical ML task</t>
  </si>
  <si>
    <t>clustering</t>
  </si>
  <si>
    <t>canonical ML task of partitioning a set into homogeneous subsets</t>
  </si>
  <si>
    <t>dimensionality reduction</t>
  </si>
  <si>
    <t>zero-one loss</t>
  </si>
  <si>
    <t>also known as the misclassification loss function</t>
  </si>
  <si>
    <t>squared loss</t>
  </si>
  <si>
    <t>hypothesis set</t>
  </si>
  <si>
    <t>set of functions mapping features to labels</t>
  </si>
  <si>
    <t>training set includes both labeled and unlabeled data</t>
  </si>
  <si>
    <t>transductive inference</t>
  </si>
  <si>
    <t>Training data is labeled and unlabeled test points, but the objective is to predict labels only for unlabeled test points and not unseen test set data.</t>
  </si>
  <si>
    <t>online learning</t>
  </si>
  <si>
    <t>Multiple rounds of mixed training/testing phases</t>
  </si>
  <si>
    <t>exploration vs exploitation dilemma</t>
  </si>
  <si>
    <t>Reinforcement learning issue</t>
  </si>
  <si>
    <t xml:space="preserve">poor generalization due to a small sample size and complex function </t>
  </si>
  <si>
    <t>underfitting</t>
  </si>
  <si>
    <t>too simple function to achieve sufficiency predictive power</t>
  </si>
  <si>
    <t>Probably Approximately Correct learning model/framework</t>
  </si>
  <si>
    <t>Donald O Hebb (McGill)</t>
  </si>
  <si>
    <t>The Organization of Behavior (Wiley)</t>
  </si>
  <si>
    <t>Donald Hebb</t>
  </si>
  <si>
    <t>Wrote "The Organization of Behavior" in 1949, introduced the "Hebb synapse"</t>
  </si>
  <si>
    <t>Lorente de No</t>
  </si>
  <si>
    <t>Influenced Hebb</t>
  </si>
  <si>
    <t>Comment</t>
  </si>
  <si>
    <t>Hebb and Darwin. P Adams. J Theor Biol 1998;195:419-438.</t>
  </si>
  <si>
    <t>The influence of environment and experience on neural grafts. Dobrossy &amp; Dunnett. Nat Rev Neurosci 2001;2:871-879.</t>
  </si>
  <si>
    <t>The 'direct' inhibitory pathway in the spinal cord. Eccles et al. Aus J Sci 1954;16:130-134.</t>
  </si>
  <si>
    <t>D.O. Hebb and the developmental organization of behavior. JC Fentress. Dev Psychobiol 1987;20:103-109.</t>
  </si>
  <si>
    <t>The organization of behavior revisited. JC Fentress. Can J Exp Psychol 1999;53:8-19.</t>
  </si>
  <si>
    <t>The neurobiology of slow synaptic transmission. P Greengard. Science 2001;294:1024-1030.</t>
  </si>
  <si>
    <t>Conditioned and unconditioned reflexes and inhibition. DO Hebb. MA Thesis 1932, McGill.</t>
  </si>
  <si>
    <t>The interpretation of experimental data on neural action. DO Hebb, Unpublished 1934.</t>
  </si>
  <si>
    <t>The innate orgranization of visual perception in the rat. DO Hebb, Unpublished 1936.</t>
  </si>
  <si>
    <t>The Hebb legacy. RM Klein. Can J Exp Psychol 1999.</t>
  </si>
  <si>
    <t>Beyond Hebb: Exclusive-OR and biological learning. Klemm et al. Phys Rev Lett 2000;84:3013-3016.</t>
  </si>
  <si>
    <t>The mind and Donald O. Hebb. PM Milner. Sci Am 1993;268:124-129.</t>
  </si>
  <si>
    <t>The Autonomous Brain. PM Milner 1999.</t>
  </si>
  <si>
    <t>How do cell assemblies encode information in the brain? Y Sakurai. Neurosci Biobehav Rev 1999.</t>
  </si>
  <si>
    <t>Half a century of Hebb. HS Seung. Nat Neurosci Suppl 2000.</t>
  </si>
  <si>
    <t>Linking Hebb's coincidence-detection to memory formation. JZ Tsien. Curr Opin Neurobiol 2000;10:266-273.</t>
  </si>
  <si>
    <t>D.O. Hebb: father of cognitive psychobiology: 1904-1985. S Harnad. Behav Brain Sci 1985.</t>
  </si>
  <si>
    <t>The nature of thought: Essays in honor of D.O. Hebb, 1981.</t>
  </si>
  <si>
    <t>Donald Olding Hebb: 1904-1985. P Milner. Proc R Soc Can 1985.</t>
  </si>
  <si>
    <t>Donald Olding Hebb (1904-1985). P Milner. Trends Neurosci 1986.</t>
  </si>
  <si>
    <t>Donald Olding Hebb: 1904-1985. P Milner &amp; B Milner. Biograph Mem R Soc Lond 1996.</t>
  </si>
  <si>
    <t>Obituaries. Donald Olding Hebb:1904-1985. GJ Mogenson. Canad Psychol 1988.</t>
  </si>
  <si>
    <t>Powerful work on physiological psychology. Interestingly, JCR Licklider read the manuscript.</t>
  </si>
  <si>
    <t>1953-1</t>
  </si>
  <si>
    <t>First used term AI in 1956, made the "Dartmouth Summer" proposal in 1955 with Minsky, Rochester and Shannon.</t>
  </si>
  <si>
    <t>Mathematical Theory of Communication published in 1948. Part of the Dartmouth Summer team in 1955.</t>
  </si>
  <si>
    <t>Nathaniel Rochester</t>
  </si>
  <si>
    <t>IBM worker, part of the Dartmouth 1955 summer team.</t>
  </si>
  <si>
    <t>www.heyday.ai</t>
  </si>
  <si>
    <t>Avoma</t>
  </si>
  <si>
    <t>Heyday</t>
  </si>
  <si>
    <t>Innovobot</t>
  </si>
  <si>
    <t>Desjardins</t>
  </si>
  <si>
    <t>Innovobot, Desjardins</t>
  </si>
  <si>
    <t>L-SPARK, Anges Quebec</t>
  </si>
  <si>
    <t>CRM chatbot</t>
  </si>
  <si>
    <t>David Bordeleau, Hugues Rousseau, Steve Desjarlais, Étienne Mérineau</t>
  </si>
  <si>
    <t>www.regie.ai</t>
  </si>
  <si>
    <t>Matt Millen, Srinath Sridhar</t>
  </si>
  <si>
    <t>Khosla, Scale Venture Partners, South Park Commons, Foundation Capital, Day One Ventures</t>
  </si>
  <si>
    <t>Sales co-pilot</t>
  </si>
  <si>
    <t>South Park Commons, Foundation Capital, Day One Ventures</t>
  </si>
  <si>
    <t>Quantum guy</t>
  </si>
  <si>
    <t>Left Google Brain for OpenAI</t>
  </si>
  <si>
    <t>Jason Weston</t>
  </si>
  <si>
    <t>barretzoph@google.com, barretzoph@gmail.com</t>
  </si>
  <si>
    <t>https://github.com/barretzoph</t>
  </si>
  <si>
    <t>Chief of Staff</t>
  </si>
  <si>
    <t>ex-Stripe, Facebook, Google, Airbnb</t>
  </si>
  <si>
    <t>https://bryanbanisaba.com/</t>
  </si>
  <si>
    <t>Juston Forte</t>
  </si>
  <si>
    <t>Applied AI, GTM</t>
  </si>
  <si>
    <t>ex-Neo, ex-a16z</t>
  </si>
  <si>
    <t>https://shyamal.me/</t>
  </si>
  <si>
    <t>https://github.com/shyamal-anadkat</t>
  </si>
  <si>
    <t>Duke</t>
  </si>
  <si>
    <t>shyamal.anadkat@duke.edu</t>
  </si>
  <si>
    <t>Masayoshi Son</t>
  </si>
  <si>
    <t>Alex Clavel</t>
  </si>
  <si>
    <t>geoIQ</t>
  </si>
  <si>
    <t>DeepCardio</t>
  </si>
  <si>
    <t>Priya Saiprasad</t>
  </si>
  <si>
    <t>Only 4 total investments in 2023, none AI</t>
  </si>
  <si>
    <t>Douglas Del Bene</t>
  </si>
  <si>
    <t>Justin Nam</t>
  </si>
  <si>
    <t>Jaime Ocampo</t>
  </si>
  <si>
    <t>Alejandra Osorio</t>
  </si>
  <si>
    <t>James Sweeney</t>
  </si>
  <si>
    <t>Justin Shen</t>
  </si>
  <si>
    <t>Robert Kaplan (Labelbox)</t>
  </si>
  <si>
    <t>Peter Levine (Labelbox)</t>
  </si>
  <si>
    <t>Matt Bornstein (Replicate)</t>
  </si>
  <si>
    <t>Martin Casado (Replicate)</t>
  </si>
  <si>
    <t>Stuart Russell, Peter Norvig</t>
  </si>
  <si>
    <t>UC Berkeley professor with AI textbook</t>
  </si>
  <si>
    <t>Google, co-wrote textbook with Russell</t>
  </si>
  <si>
    <t>Artificial Intelligence: a modern approach, 3rd Edition.</t>
  </si>
  <si>
    <t>Artificial Intelligence: A Modern Approach, 3rd Edition</t>
  </si>
  <si>
    <t>Thomas Bayes</t>
  </si>
  <si>
    <t>Born</t>
  </si>
  <si>
    <t>Died</t>
  </si>
  <si>
    <t>Nils Nilsson</t>
  </si>
  <si>
    <t>Shakey</t>
  </si>
  <si>
    <t>Charles Rosen</t>
  </si>
  <si>
    <t>Worked on Shakey</t>
  </si>
  <si>
    <t>Geoffrey Hinton</t>
  </si>
  <si>
    <t>Co-Founder OpenAI, Hinton disciple, ex-Google</t>
  </si>
  <si>
    <t>Age</t>
  </si>
  <si>
    <t>Google, OpenAI, Google, Apple, Google</t>
  </si>
  <si>
    <t>jba@cs.toronto.edu</t>
  </si>
  <si>
    <t>Turing Test</t>
  </si>
  <si>
    <t>Proposed in 1950</t>
  </si>
  <si>
    <t>natural language processing (NLP)</t>
  </si>
  <si>
    <t>The field of studying how computers can be made to communicate in human language</t>
  </si>
  <si>
    <t>knowledge representation</t>
  </si>
  <si>
    <t>Storing knowledge and understanding for computers</t>
  </si>
  <si>
    <t>total Turing test</t>
  </si>
  <si>
    <t>a modified Turing Test requiring computer vision</t>
  </si>
  <si>
    <t>cognitive science</t>
  </si>
  <si>
    <t>similar to neuroscience?</t>
  </si>
  <si>
    <t>GPS</t>
  </si>
  <si>
    <t>General Problem Solver, created in 1957.</t>
  </si>
  <si>
    <t>Herbert A. Simon</t>
  </si>
  <si>
    <t>Alan Newell</t>
  </si>
  <si>
    <t>Worked on GPS with Herbert Simon and JC Shaw</t>
  </si>
  <si>
    <t>JC Shaw</t>
  </si>
  <si>
    <t>Worked on GPS with Herbert Simon and Allen Newell</t>
  </si>
  <si>
    <t>Thomas Hobbes</t>
  </si>
  <si>
    <t>Leonardo da Vinci</t>
  </si>
  <si>
    <t>Designed a calculator which would have worked</t>
  </si>
  <si>
    <t>Blaise Pascal</t>
  </si>
  <si>
    <t>Built Pascaline, a working calculator</t>
  </si>
  <si>
    <t>Gottfried Wilhelm Leibniz</t>
  </si>
  <si>
    <t>Was interested and built logical machines</t>
  </si>
  <si>
    <t>Wrote on reasoning, Leviathan (1651)</t>
  </si>
  <si>
    <t>Rene Descartes</t>
  </si>
  <si>
    <t>Rationalist, dualist</t>
  </si>
  <si>
    <t>dualism</t>
  </si>
  <si>
    <t>materialist</t>
  </si>
  <si>
    <t>The brain operates according to the laws of physics, including the mind</t>
  </si>
  <si>
    <t>empiricism</t>
  </si>
  <si>
    <t>Francis Bacon and John Locke's movement held the senses are responsible for understanding</t>
  </si>
  <si>
    <t>Tiger, Altimeter, Sutter Hill, Salesforce, HMC Capital, Franklin Templeton, Counterpoint Global - 6B valuation</t>
  </si>
  <si>
    <t>Huge markdown private markets from 6B</t>
  </si>
  <si>
    <t>Huge markdown private markets from 4.4B</t>
  </si>
  <si>
    <t>Huge mark down from 4.1B</t>
  </si>
  <si>
    <t>could be in trouble, huge markdown in private markets from 1.5B last</t>
  </si>
  <si>
    <t>Stanford spinout, huge markdown from 1.5B</t>
  </si>
  <si>
    <t>huge markdown from 1.6B</t>
  </si>
  <si>
    <t>3.6B valuation dropped</t>
  </si>
  <si>
    <t>Worked on GPS with JC Shaw and Allen Newell. Simon predicted AI would be the world chess champion in 10 years (he was 30 years off),</t>
  </si>
  <si>
    <t>DENDRAL</t>
  </si>
  <si>
    <t>Mass spectrometry program for predicting compounds in 1969.</t>
  </si>
  <si>
    <t>Ed Feigenbaum</t>
  </si>
  <si>
    <t>Historical</t>
  </si>
  <si>
    <t>Peter Brown</t>
  </si>
  <si>
    <t>Student of Herbert Simon</t>
  </si>
  <si>
    <t>Classical AI approach hard-codes world knowledge, eg Cyc, DENDRAL</t>
  </si>
  <si>
    <t>Heuristic Programming Project</t>
  </si>
  <si>
    <t>effort at Stanford by Feigenbaum to extend expert systems</t>
  </si>
  <si>
    <t>expert system</t>
  </si>
  <si>
    <t>see knowledge base. A rule-based system for determining answers, an older AI methodology</t>
  </si>
  <si>
    <t>MYCIN</t>
  </si>
  <si>
    <t>450 rule expert system for medicine</t>
  </si>
  <si>
    <t>Eugene Charniak</t>
  </si>
  <si>
    <t>-</t>
  </si>
  <si>
    <t>Graduate student of Winograd and Minsky at MIT</t>
  </si>
  <si>
    <t>Vinod Nair</t>
  </si>
  <si>
    <t>Dhruv Mahajan</t>
  </si>
  <si>
    <t>Ravi Ramamoorthi</t>
  </si>
  <si>
    <t>Manmohan</t>
  </si>
  <si>
    <t>Chandraker</t>
  </si>
  <si>
    <t>Yi-Hsuan Tsai</t>
  </si>
  <si>
    <t>Aaron Courville</t>
  </si>
  <si>
    <t>Kyunghyun Cho</t>
  </si>
  <si>
    <t>Pascal Vincent</t>
  </si>
  <si>
    <t>Caglar Gulcehre</t>
  </si>
  <si>
    <t>Dzmitry Bahdanau</t>
  </si>
  <si>
    <t>David Warde-Farley</t>
  </si>
  <si>
    <t>Mehdi Mirza</t>
  </si>
  <si>
    <t>Sherjil Ozair</t>
  </si>
  <si>
    <t>Leon Bottou</t>
  </si>
  <si>
    <t>Xavier Glorot</t>
  </si>
  <si>
    <t>Anirudh Goyal</t>
  </si>
  <si>
    <t>Razvan Pascanu</t>
  </si>
  <si>
    <t>James Bergstra</t>
  </si>
  <si>
    <t>Bing Xu</t>
  </si>
  <si>
    <t>Jean Pouget-Abadie</t>
  </si>
  <si>
    <t>Chris Pal</t>
  </si>
  <si>
    <t>Holger Schwenk</t>
  </si>
  <si>
    <t>Terrence Sejnowski</t>
  </si>
  <si>
    <t>George E Dahl</t>
  </si>
  <si>
    <t>Abdelrahman Mohamed</t>
  </si>
  <si>
    <t>Radford Neal</t>
  </si>
  <si>
    <t>Sidney Fels</t>
  </si>
  <si>
    <t>Chris Williams</t>
  </si>
  <si>
    <t>Robert Tibshirani</t>
  </si>
  <si>
    <t>Demetri Terzopoulos</t>
  </si>
  <si>
    <t>Steven L Small</t>
  </si>
  <si>
    <t>Alessandro Sordoni</t>
  </si>
  <si>
    <t>Prolog</t>
  </si>
  <si>
    <t>PLANNER</t>
  </si>
  <si>
    <t>Knowledge representation scheme</t>
  </si>
  <si>
    <t>frames</t>
  </si>
  <si>
    <t>Minsky idea</t>
  </si>
  <si>
    <t>R1</t>
  </si>
  <si>
    <t>Early expert system deployed by DEC in the 1980s</t>
  </si>
  <si>
    <t>Fifth Generation</t>
  </si>
  <si>
    <t>Japanese project announced in 1981</t>
  </si>
  <si>
    <t>MCC</t>
  </si>
  <si>
    <t>Microelectronics and Computer Technology Corporation, a US research consortium</t>
  </si>
  <si>
    <t>The Symbolic Species</t>
  </si>
  <si>
    <t>Terrence Deacon</t>
  </si>
  <si>
    <t>1997-1</t>
  </si>
  <si>
    <t>hidden Markov models</t>
  </si>
  <si>
    <t>1988-1</t>
  </si>
  <si>
    <t>Probabilistic Reasoning in Intelligent Systems</t>
  </si>
  <si>
    <t>SOAR</t>
  </si>
  <si>
    <t>agent architecture by Newell, Laird and Rosenbloom</t>
  </si>
  <si>
    <t>Patrick Winston</t>
  </si>
  <si>
    <t>Ray Solomonoff</t>
  </si>
  <si>
    <t>1956 attendee</t>
  </si>
  <si>
    <t>STANLEY</t>
  </si>
  <si>
    <t>Winner of DARPA Grand Challenge</t>
  </si>
  <si>
    <t>BOSS</t>
  </si>
  <si>
    <t>CMU car which won DARPA Urban Challenge</t>
  </si>
  <si>
    <t>DART</t>
  </si>
  <si>
    <t>DARPA logistics program</t>
  </si>
  <si>
    <t>The Sciences of the Artificial</t>
  </si>
  <si>
    <t>Herb Simon</t>
  </si>
  <si>
    <t>Loebner Prize</t>
  </si>
  <si>
    <t>Turing Test competition</t>
  </si>
  <si>
    <t>Artificial Intelligence: The Very Idea</t>
  </si>
  <si>
    <t>John Haugeland</t>
  </si>
  <si>
    <t>1985-x</t>
  </si>
  <si>
    <t>The Encyclopedia of AI</t>
  </si>
  <si>
    <t>Shapiro</t>
  </si>
  <si>
    <t>1992-x</t>
  </si>
  <si>
    <t>IJCAI - International Joint Conference on AI</t>
  </si>
  <si>
    <t>ECAI - European Conference on AI</t>
  </si>
  <si>
    <t xml:space="preserve">AAAI - </t>
  </si>
  <si>
    <t>Artif Intel</t>
  </si>
  <si>
    <t>IEEE Intel Sys</t>
  </si>
  <si>
    <t>Comput Intel</t>
  </si>
  <si>
    <t>SIGART</t>
  </si>
  <si>
    <t>J Artif Intel Res</t>
  </si>
  <si>
    <t>AISB</t>
  </si>
  <si>
    <t>AI Magazine</t>
  </si>
  <si>
    <t>https://ailibrary.s3.amazonaws.com/A+Proposal+for+the+Dartmouth+Summer+Research+Project+on+AI+-+McCarthy+1955.pdf</t>
  </si>
  <si>
    <t>Computing Machinery And Intelligence. Mind 1950.</t>
  </si>
  <si>
    <t>https://ailibrary.s3.amazonaws.com/Computing+Machinery+and+Intelligence+-+Turing+1950.pdf</t>
  </si>
  <si>
    <t>1950-1</t>
  </si>
  <si>
    <t>1951-1</t>
  </si>
  <si>
    <t>Intelligent Machinery: A Heretical Idea</t>
  </si>
  <si>
    <t>https://ailibrary.s3.amazonaws.com/Intelligent+Machinery+-+a+Heretical+Theory+-+Turing+1951.pdf</t>
  </si>
  <si>
    <t>1872-1</t>
  </si>
  <si>
    <t>Erewhon</t>
  </si>
  <si>
    <t>Samuel Butler</t>
  </si>
  <si>
    <t>1936-1</t>
  </si>
  <si>
    <t>An Unsolvable Problem of Elementary Number Theory. Am J Math 1936;58:345-363</t>
  </si>
  <si>
    <t>Alonzo Church</t>
  </si>
  <si>
    <t>1931-1</t>
  </si>
  <si>
    <t>Uber formal unentscheildbare Satze der Principia Mathematica und verwandter Systeme, I. Monatshefle fur Math und Phys 1931;173-189</t>
  </si>
  <si>
    <t>Kurt Godel</t>
  </si>
  <si>
    <t>1949-2</t>
  </si>
  <si>
    <t>Calculating Instruments and Machines</t>
  </si>
  <si>
    <t>DR Hartree</t>
  </si>
  <si>
    <t>1935-1</t>
  </si>
  <si>
    <t>General Recursive Functions of Natural Numbers. Am J Math 1935;57:153-173,219-244</t>
  </si>
  <si>
    <t>SC Kleene</t>
  </si>
  <si>
    <t>1949-3</t>
  </si>
  <si>
    <t>The Mind of Mechnical Man. BMJ 1949</t>
  </si>
  <si>
    <t>G Jefferson</t>
  </si>
  <si>
    <t>1842-1</t>
  </si>
  <si>
    <t>Countess of Lovelace</t>
  </si>
  <si>
    <t>Translator's notes to an article on Babbage's Analytical Engiro. Scientific Memoirs 1842</t>
  </si>
  <si>
    <t>1940-1</t>
  </si>
  <si>
    <t>History of Western Philosophy</t>
  </si>
  <si>
    <t>Bertrand Russell</t>
  </si>
  <si>
    <t>1937-1</t>
  </si>
  <si>
    <t>On Computable Numbers, with an Application to the Entscheidungsproblem. Proc London Math Soc 1937;42:230-265</t>
  </si>
  <si>
    <t>1872-1, 1936-1, 1931-1, 1949-2, 1935-1, 1949-3, 1842-1, 1940-1, 1937-1</t>
  </si>
  <si>
    <t>META</t>
  </si>
  <si>
    <t>www.whylabs.ai</t>
  </si>
  <si>
    <t>Alessya Visnjic, Andy Dang, Maria Karaivanova, Sam Gracie</t>
  </si>
  <si>
    <t>Logging and observability</t>
  </si>
  <si>
    <t>CUDA, Omniverse, GET3D</t>
  </si>
  <si>
    <t>Ali Ghodsi, Andy Konwinski, Arsalan Tavakoli-Shiraji, Ion Stoica, Matei Zaharia, Patrick Wendell, Reynold Xin</t>
  </si>
  <si>
    <t>Counterpoint Global, Whale Rock, UC Investments, T. Rowe Price, Tiger, a16z, NEA, Franklin Templeton, Morgan Stanley, The House Fund, Race Capital, Octahedron Capital, Insight Partners, Greenoaks, Blackrock, CPPIB, ClearBridge, Coatue, Discovery Capital, Dragoneer, Fidelity</t>
  </si>
  <si>
    <t>Franklin Templeton, Whale Rock, T. Rowe Price, Tiger, Salesforce, NEA, Microsoft</t>
  </si>
  <si>
    <t>a16z, T Rowe, Tiger, NEA, Microsoft, Coatue, Blackrock</t>
  </si>
  <si>
    <t>a16z, Microsoft, NEA, Founders Future, Coatue, Unbound</t>
  </si>
  <si>
    <t>Boomer AI</t>
  </si>
  <si>
    <t>Super important</t>
  </si>
  <si>
    <t>Allen Institute spinout</t>
  </si>
  <si>
    <t>Defy.vc, AI Fund, Madrona, Bezos Expeditions</t>
  </si>
  <si>
    <t>Madrona, Defy.vc, Bezos Expeditions, Ascend, Allen Institute</t>
  </si>
  <si>
    <t>Sylvera</t>
  </si>
  <si>
    <t>Feedzai</t>
  </si>
  <si>
    <t>Nanonets</t>
  </si>
  <si>
    <t>Experiment tracking</t>
  </si>
  <si>
    <t>Piotr Niedzwiedz</t>
  </si>
  <si>
    <t>Almaz Capital, Rheingau Founders</t>
  </si>
  <si>
    <t>B2venture, TDJ Pitango, Rheingau, Mateusz Malinowski, Marek Cygan, Grzegorz Swirszcz</t>
  </si>
  <si>
    <t>TDJ Pitango</t>
  </si>
  <si>
    <t>Mazowieckie</t>
  </si>
  <si>
    <t>Warsaw</t>
  </si>
  <si>
    <t>www.neptune.ai</t>
  </si>
  <si>
    <t>Ad creative content</t>
  </si>
  <si>
    <t>Hikari Senju</t>
  </si>
  <si>
    <t>Lennox Capital Partners, Ethos VC, DG Daiwa Ventures, Orbit Venture Partners, John Donovan</t>
  </si>
  <si>
    <t>Village Global, Kohlmann &amp; Co, Hyphen Capital, FAST by GETTYLAB, Deepcore, Tien Tzuo, Shai Goldman, Richard Socher, Naguib Sawiris, John Donovan, Jeremy Bondy, Jennifer Kaehms, Grant Gittlin, Gene Farrell, Evan Stites-Clayton, Darius Contractor, Craig Kostelic, Charlie Feng, Bruno Faviero, Brianne Kimmel, Avi Flombaum</t>
  </si>
  <si>
    <t>www.omnekey.com</t>
  </si>
  <si>
    <t>Tim Porter</t>
  </si>
  <si>
    <t>Madrona (VC)</t>
  </si>
  <si>
    <t>Neptune.ai</t>
  </si>
  <si>
    <t>Databricks (private)</t>
  </si>
  <si>
    <t>Omnekey</t>
  </si>
  <si>
    <t>Defy.vc</t>
  </si>
  <si>
    <t>Bezos Expeditions</t>
  </si>
  <si>
    <t>Almaz Capital</t>
  </si>
  <si>
    <t>Rheingau Founders</t>
  </si>
  <si>
    <t>Kohlmann &amp; Co</t>
  </si>
  <si>
    <t>Hyphen Capital</t>
  </si>
  <si>
    <t>FAST by GETTYLAB</t>
  </si>
  <si>
    <t>Orbit Venture Partners</t>
  </si>
  <si>
    <t>Lennox Capital Partners</t>
  </si>
  <si>
    <t>Ethos VC</t>
  </si>
  <si>
    <t>DG Daiwa Ventures</t>
  </si>
  <si>
    <t>Lisp</t>
  </si>
  <si>
    <t>John McCarthy's AI programming language</t>
  </si>
  <si>
    <t>Logic Theorist</t>
  </si>
  <si>
    <t>Newell, Simon early AI program</t>
  </si>
  <si>
    <t>logical positivism</t>
  </si>
  <si>
    <t>Rudolf Carnap idea holding all knowledge can be characterized by logical theories connected to observation sentences that correspond to sensory inputs</t>
  </si>
  <si>
    <t>perceptron convergence theorem</t>
  </si>
  <si>
    <t>learning algorithm can adjust the connection strengths of a perceptron to match any input data</t>
  </si>
  <si>
    <t>physical symbol system</t>
  </si>
  <si>
    <t>any system exhibiting intelligence is manipulating symbol-based data structures</t>
  </si>
  <si>
    <t>SHRDLU</t>
  </si>
  <si>
    <t>1972 program by Terry Winograd</t>
  </si>
  <si>
    <t>SAINT</t>
  </si>
  <si>
    <t>1963 program by James Slagle for integration</t>
  </si>
  <si>
    <t>1948-1</t>
  </si>
  <si>
    <t>Cybernetics</t>
  </si>
  <si>
    <t>Norbert Weiner</t>
  </si>
  <si>
    <t>Mathematica</t>
  </si>
  <si>
    <t>Determined how to update probabilities with new information</t>
  </si>
  <si>
    <t>Herbert Gelernter</t>
  </si>
  <si>
    <t>Geometry Thoerem Prover program in 1959</t>
  </si>
  <si>
    <t>Cordell Green</t>
  </si>
  <si>
    <t>Question-answering and planning systems</t>
  </si>
  <si>
    <t>Arthur Samuel</t>
  </si>
  <si>
    <t>Checkers program in 1952 at IBM. One of the first AI programs.</t>
  </si>
  <si>
    <t>Warren McCulloch</t>
  </si>
  <si>
    <t>Perceptron</t>
  </si>
  <si>
    <t>Walter Pitts</t>
  </si>
  <si>
    <t>George Boole</t>
  </si>
  <si>
    <t>Gottlob Frege</t>
  </si>
  <si>
    <t>extended Boole to create first-order logic</t>
  </si>
  <si>
    <t>Alfred Tarski</t>
  </si>
  <si>
    <t>Nicolas Rashevsky</t>
  </si>
  <si>
    <t>Mathematical models of the nervous system</t>
  </si>
  <si>
    <t>Richard Bellman</t>
  </si>
  <si>
    <t>Steven Cook</t>
  </si>
  <si>
    <t>NP-completeness pioneer</t>
  </si>
  <si>
    <t>Richard Karp</t>
  </si>
  <si>
    <t>sliding-block puzzles</t>
  </si>
  <si>
    <t>nxn matrices with one blank tile, initial state is random, goal state is ordered</t>
  </si>
  <si>
    <t>Fei-Fei Li</t>
  </si>
  <si>
    <t>Female</t>
  </si>
  <si>
    <t>Gender</t>
  </si>
  <si>
    <t>Race</t>
  </si>
  <si>
    <t>White</t>
  </si>
  <si>
    <t>Asian</t>
  </si>
  <si>
    <t>https://www.cs.toronto.edu/~hinton/</t>
  </si>
  <si>
    <t>Website</t>
  </si>
  <si>
    <t>geoffrey.hinton@gmail.com</t>
  </si>
  <si>
    <t>Affiliation</t>
  </si>
  <si>
    <t>U Toronto</t>
  </si>
  <si>
    <t>Deep learning. LeCun, Bengio, Hinton. Nature 2015.</t>
  </si>
  <si>
    <t>MILA</t>
  </si>
  <si>
    <t>Kirkland</t>
  </si>
  <si>
    <t>www.docugami.com</t>
  </si>
  <si>
    <t>Andrew Begun, Jean Paoli, Martin Sawicki, Mike Palmer, Taqi Jaffri</t>
  </si>
  <si>
    <t>Orai</t>
  </si>
  <si>
    <t>SignalFire, NextWorld Capital, Grammarly, Fenwick &amp; West, Acequia Capital (AceCap), Sunil Chhaya, Shishir Mehrotra, Sarah Imbach, Marc Jalabert, Kevin Riegelsberger, Hank Vigil, Thomas Reardon, Greg Badros, Ellen Levy, Bob Muglia, Barry Abbott, Alan Smith</t>
  </si>
  <si>
    <t>Fenwick &amp; West</t>
  </si>
  <si>
    <t>Document engineering, analysis</t>
  </si>
  <si>
    <t>Journal</t>
  </si>
  <si>
    <t>Mind</t>
  </si>
  <si>
    <t>Computing Machinery And Intelligence</t>
  </si>
  <si>
    <t>Learning representations by back-propagating errors</t>
  </si>
  <si>
    <t>David E. Rumelhart, Geoffrey E. Hinton, Ronald J. Williams</t>
  </si>
  <si>
    <t>Book</t>
  </si>
  <si>
    <t>Adaptation in Natural and Artificial systems: an introductory analysis with applications to biology, control and artificial intelligence</t>
  </si>
  <si>
    <t>a16z (#1 VC)</t>
  </si>
  <si>
    <t>Tiger (#2 VC)</t>
  </si>
  <si>
    <t>Lightspeed Venture Partners (#3)</t>
  </si>
  <si>
    <t>Coatue (#4 VC)</t>
  </si>
  <si>
    <t>General Catalyst (#5 VC)</t>
  </si>
  <si>
    <t>Insight Partners (#6 VC)</t>
  </si>
  <si>
    <t>NEA (#7 VC)</t>
  </si>
  <si>
    <t>Sequoia, Sequoia Scout (#8 VC)</t>
  </si>
  <si>
    <t>Greylock (#9 VC)</t>
  </si>
  <si>
    <t>Jacob Andreou</t>
  </si>
  <si>
    <t>Shaun Maguire</t>
  </si>
  <si>
    <t>smaguire@sequoiacap.com</t>
  </si>
  <si>
    <t>truename.ai</t>
  </si>
  <si>
    <t>Investment research</t>
  </si>
  <si>
    <t>www.truename.ai</t>
  </si>
  <si>
    <t>www.kinetix.tech</t>
  </si>
  <si>
    <t>Henri Mirande, Yassine Tahi</t>
  </si>
  <si>
    <t>Mashgin</t>
  </si>
  <si>
    <t>Ripjar</t>
  </si>
  <si>
    <t>SDK for emotions/animations</t>
  </si>
  <si>
    <t>Top Harvest, Zepeto, The Sandbox, Sparkle Ventures, Entrepreneur First, Naver Z, Animoca Brands, Xavier Niel, Rand Hindi, Bill O'Farrell, Alexandre Yazdi, MetaVision International, Deimos</t>
  </si>
  <si>
    <t>Animoca Brands</t>
  </si>
  <si>
    <t>Zepeto</t>
  </si>
  <si>
    <t>The Sandbox</t>
  </si>
  <si>
    <t>Sparkle Ventures</t>
  </si>
  <si>
    <t>Naver (Naver Z)</t>
  </si>
  <si>
    <t>www.seldon.io</t>
  </si>
  <si>
    <t>Alex Housley</t>
  </si>
  <si>
    <t>BigML</t>
  </si>
  <si>
    <t>PredictNow.ai</t>
  </si>
  <si>
    <t>Enhencer</t>
  </si>
  <si>
    <t>Bright Pixel, Cambridge Innovation Capital, Amadeus Capital, AlbionVC</t>
  </si>
  <si>
    <t>Bright Pixel</t>
  </si>
  <si>
    <t>Cambridge Innovation Capital</t>
  </si>
  <si>
    <t>AlbionVC</t>
  </si>
  <si>
    <t>AlbionVC, Cambridge Innovation Capital, Techstars, Amadeus Capital, AlbionVC, Global Brain Corporation, Chris Adelsbach</t>
  </si>
  <si>
    <t>Currently unavailable for investment.</t>
  </si>
  <si>
    <t>Amadeus, Techstars, Global Brain, Chris Adelsbach</t>
  </si>
  <si>
    <t>Rewired, Will Martin, Will Brooks, Techstars, Playfair Capital</t>
  </si>
  <si>
    <t>Preseed</t>
  </si>
  <si>
    <t>m8 Capital</t>
  </si>
  <si>
    <t>Platform, deployment</t>
  </si>
  <si>
    <t>Manasi Vartak</t>
  </si>
  <si>
    <t>Intel Capital, General Catalyst</t>
  </si>
  <si>
    <t>www.verta.ai</t>
  </si>
  <si>
    <t>CGI</t>
  </si>
  <si>
    <t>www.wonderdynamics.com</t>
  </si>
  <si>
    <t>Nikola Todorovic, Tye Sheridan</t>
  </si>
  <si>
    <t>Horizons Ventures, Samsung NEXT, MaC Venture Capital, Founders Fund, Epic Games</t>
  </si>
  <si>
    <t>Actor from ready player one, Spielberg advisor</t>
  </si>
  <si>
    <t>MaC Venture Capital</t>
  </si>
  <si>
    <t>Epic Games</t>
  </si>
  <si>
    <t>Realize Tech Fund</t>
  </si>
  <si>
    <t>Capital Factory</t>
  </si>
  <si>
    <t>Founders Fund, Realize Tech Fund, MaC Venture Capital, Capital Factory, Robert Schwab, Cyan Banister</t>
  </si>
  <si>
    <t>WellSaid Labs</t>
  </si>
  <si>
    <t>Cost/month</t>
  </si>
  <si>
    <t>www.wellsaidlabs.com</t>
  </si>
  <si>
    <t>Matt Hocking, Michael Petrochuk</t>
  </si>
  <si>
    <t>Affectiva</t>
  </si>
  <si>
    <t>FUSE, Voyager Capital, Qualcomm Ventures, Good Friends</t>
  </si>
  <si>
    <t>Good Friends</t>
  </si>
  <si>
    <t>DeepDub</t>
  </si>
  <si>
    <t>Voice.ai</t>
  </si>
  <si>
    <t>MURF.ai</t>
  </si>
  <si>
    <t>www.swapp.net</t>
  </si>
  <si>
    <t>Adi Shavit, Eitan Tsarfati, Noam Gat</t>
  </si>
  <si>
    <t>Construction, architecture</t>
  </si>
  <si>
    <t>fka BuildOS</t>
  </si>
  <si>
    <t>Eurazeo, XTX Ventures, Entrée Capital, Activum</t>
  </si>
  <si>
    <t>Entrée Capital</t>
  </si>
  <si>
    <t>Activum</t>
  </si>
  <si>
    <t>Point72 Ventures, Entrée Capital</t>
  </si>
  <si>
    <t>Waveline Ventures, The Junction</t>
  </si>
  <si>
    <t>Kaskada (DataStax)</t>
  </si>
  <si>
    <t>Kaskade.cloud</t>
  </si>
  <si>
    <t>DataStax</t>
  </si>
  <si>
    <t>Male</t>
  </si>
  <si>
    <t>Sovereign wealth fund</t>
  </si>
  <si>
    <t>Private equity</t>
  </si>
  <si>
    <t>Sovereign Wealth Fund</t>
  </si>
  <si>
    <t>Tiger Cub hedge/VC</t>
  </si>
  <si>
    <t>Car company</t>
  </si>
  <si>
    <t>Chinese behemoth</t>
  </si>
  <si>
    <t>Chinese social+video game behemoth</t>
  </si>
  <si>
    <t>Addition (#10 VC)</t>
  </si>
  <si>
    <t>Tiger cub hedge/VC</t>
  </si>
  <si>
    <t>Index Ventures (#11 VC)</t>
  </si>
  <si>
    <t>Spark Capital (#12 VC)</t>
  </si>
  <si>
    <t>Chip company</t>
  </si>
  <si>
    <t>IVP (#13 VC)</t>
  </si>
  <si>
    <t>Sapphire Ventures (#14 VC)</t>
  </si>
  <si>
    <t>Founders Fund (#15 VC)</t>
  </si>
  <si>
    <t>CRM software</t>
  </si>
  <si>
    <t>Large asset allocator</t>
  </si>
  <si>
    <t>Andreessen Horowitz Fund III-A, L.P.</t>
  </si>
  <si>
    <t>Andreessen Horowitz Fund II, L.P.</t>
  </si>
  <si>
    <t>Andreessen Horowitz Fund II-A, L.P.</t>
  </si>
  <si>
    <t>Andreessen Horowitz Fund II-B, L.P.</t>
  </si>
  <si>
    <t>AH Parallel Fund, L.P.</t>
  </si>
  <si>
    <t>Andreessen Horowitz Fund III, L.P.</t>
  </si>
  <si>
    <t>Andreessen Horowitz Fund III-B, L.P.</t>
  </si>
  <si>
    <t>Andreessen Horowitz Fund III-Q, L.P.</t>
  </si>
  <si>
    <t>AH Parallel Fund III-A, L.P.</t>
  </si>
  <si>
    <t>AH Parallel Fund III, L.P.</t>
  </si>
  <si>
    <t>AH Equity Partners III, L.L.C.</t>
  </si>
  <si>
    <t>Andreessen Horowitz Fund I, L.P.</t>
  </si>
  <si>
    <t>Andreessen Horowitz Fund I-A, L.P.</t>
  </si>
  <si>
    <t>Andreessen Horowitz Fund I-B, L.P.</t>
  </si>
  <si>
    <t>AH Equity Partners II, L.L.C.</t>
  </si>
  <si>
    <t>AH Equity Partners I, L.L.C.</t>
  </si>
  <si>
    <t>AH Equity Partners LSV III, L.L.C.</t>
  </si>
  <si>
    <t>Andreessen Horowitz Fund IV-A, L.P.</t>
  </si>
  <si>
    <t>Andreessen Horowitz Fund IV-B, L.P.</t>
  </si>
  <si>
    <t>Andreessen Horowitz Fund IV-Q, L.P.</t>
  </si>
  <si>
    <t>AH Bio Fund II, L.P.</t>
  </si>
  <si>
    <t>AH Bio Fund II-B, L.P.</t>
  </si>
  <si>
    <t>a16z Seed-III, LLC</t>
  </si>
  <si>
    <t>AH Capital Management, L.L.C.</t>
  </si>
  <si>
    <t>Scott Kupor (first employee, COO)</t>
  </si>
  <si>
    <t>Fund I - $300m, 2009, 44% IRR, via Skype, Okta (200x)</t>
  </si>
  <si>
    <t>Fund II - $600m, 2010, Pinterest (9% stake 12/31/19, ~2B), AirBnB (7.7% stake 12/31/20 ~8B), Facebook, Twitter, Groupon, Slack (Tiny Speck)</t>
  </si>
  <si>
    <t>Fund III - $1.5B 2012, Github, Coinbase, Oculus</t>
  </si>
  <si>
    <t>Fund IV - 1.5B - Reddit, BuzzFeed, Instacart, Magic Leap</t>
  </si>
  <si>
    <t>Fund V - 1.5B - Roblox</t>
  </si>
  <si>
    <t>No AI related investments in 2023</t>
  </si>
  <si>
    <t>Greenscreens AI</t>
  </si>
  <si>
    <t>Treble.ai</t>
  </si>
  <si>
    <t>Butlr</t>
  </si>
  <si>
    <t>Vivun</t>
  </si>
  <si>
    <t>Beam</t>
  </si>
  <si>
    <t>Diligent Robotics</t>
  </si>
  <si>
    <t>Viz</t>
  </si>
  <si>
    <t>Cialfo</t>
  </si>
  <si>
    <t>Devron</t>
  </si>
  <si>
    <t>Avataar</t>
  </si>
  <si>
    <t>Scott Schleifer</t>
  </si>
  <si>
    <t>Barry Eggers, Christopher Schaepe, Peter Nieh, Ravi Mhatre</t>
  </si>
  <si>
    <t>Moritz Baier-Lentz (gaming)</t>
  </si>
  <si>
    <t>Michael Mignano (Tome)</t>
  </si>
  <si>
    <t>Galym Imanbayev (Fathom)</t>
  </si>
  <si>
    <t>Smartex.ai</t>
  </si>
  <si>
    <t>Paul Murphy (Smartex.ai)</t>
  </si>
  <si>
    <t>Dev Khare (Portkey)</t>
  </si>
  <si>
    <t>Portkey</t>
  </si>
  <si>
    <t>NyquistAI</t>
  </si>
  <si>
    <t>Nextbillion.ai</t>
  </si>
  <si>
    <t>Ravi Mhatre (Typeface, Glean)</t>
  </si>
  <si>
    <t>Arif Janmohamed (Xembly)</t>
  </si>
  <si>
    <t>Gaurav Gupta (Stability AI)</t>
  </si>
  <si>
    <t>Big mutual fund - crossover only</t>
  </si>
  <si>
    <t>Will do early stage</t>
  </si>
  <si>
    <t>Connor Love</t>
  </si>
  <si>
    <t>Will Kohler</t>
  </si>
  <si>
    <t>Janus Health</t>
  </si>
  <si>
    <t>www.janus-ai.com</t>
  </si>
  <si>
    <t>Brendan Downing, Brian Kaufman</t>
  </si>
  <si>
    <t>Illinois</t>
  </si>
  <si>
    <t>Chicago</t>
  </si>
  <si>
    <t>Enhanced Healthcare Partners</t>
  </si>
  <si>
    <t>Ensemble Health Partners, Caduceus Capital Partners</t>
  </si>
  <si>
    <t>Revenue lifecycle</t>
  </si>
  <si>
    <t>Caryn Marooney</t>
  </si>
  <si>
    <t>Malachi Price</t>
  </si>
  <si>
    <t>Jessica Brown</t>
  </si>
  <si>
    <t>Vibhor Khanna</t>
  </si>
  <si>
    <t>https://www.deepmind.com/blog/wavenet-a-generative-model-for-raw-audio</t>
  </si>
  <si>
    <t>2016-WaveNet</t>
  </si>
  <si>
    <t>WaveNet: A Generative Model for Raw Audio</t>
  </si>
  <si>
    <t>Oord et al.</t>
  </si>
  <si>
    <t>https://arxiv.org/pdf/1609.03499.pdf</t>
  </si>
  <si>
    <t>Neural-based vocoder by Deepmind in 2016.</t>
  </si>
  <si>
    <t>PixelCNN</t>
  </si>
  <si>
    <t>Wavenet (2016)</t>
  </si>
  <si>
    <t>Karen Simonyan</t>
  </si>
  <si>
    <t>simonyan@google.com</t>
  </si>
  <si>
    <t>Nal Kalchbrenner</t>
  </si>
  <si>
    <t>nalk@google.com</t>
  </si>
  <si>
    <t>Sander Dieleman</t>
  </si>
  <si>
    <t>sedielem@google.com</t>
  </si>
  <si>
    <t>TensorFlow (2015), Distilling the Knowledge (2015), WaveNet (2016)</t>
  </si>
  <si>
    <t>Team Lead for DL, ex Google Brain</t>
  </si>
  <si>
    <t>UC Berkeley</t>
  </si>
  <si>
    <t>Deep autoregressive NN from 2016, beat SOTA parametric and concatenative systems.</t>
  </si>
  <si>
    <t>Andrew Senior</t>
  </si>
  <si>
    <t>andrewsenior@google.com</t>
  </si>
  <si>
    <t>Left to start Character AI</t>
  </si>
  <si>
    <t>Heiga Zen</t>
  </si>
  <si>
    <t>heigazen@google.com</t>
  </si>
  <si>
    <t>Playing Atari (2013), WaveNet (2016)</t>
  </si>
  <si>
    <t>alex.graves@deepmind.com ; gravesa@google.com</t>
  </si>
  <si>
    <t>David Lee</t>
  </si>
  <si>
    <t>Dziri et al (Allen AI)</t>
  </si>
  <si>
    <t>https://arxiv.org/pdf/2305.18654.pdf</t>
  </si>
  <si>
    <t>www.copysmith.ai</t>
  </si>
  <si>
    <t>Anna Wang, Jasmine Wang</t>
  </si>
  <si>
    <t>eCommerce content</t>
  </si>
  <si>
    <t>PSG Equity, Harmony Venture Labs</t>
  </si>
  <si>
    <t>Harmony Venture Labs</t>
  </si>
  <si>
    <t>PSG Equity</t>
  </si>
  <si>
    <t>www.rosebud.ai</t>
  </si>
  <si>
    <t>Lisha Li</t>
  </si>
  <si>
    <t>Game Tools</t>
  </si>
  <si>
    <t>Game assets</t>
  </si>
  <si>
    <t>fka PixelVibe</t>
  </si>
  <si>
    <t>Jeff Dean, Adam D'Angelo</t>
  </si>
  <si>
    <t>Foothill Ventures</t>
  </si>
  <si>
    <t>YC, Lux, Khosla, Amplify, Kevin Lin, Ilya Sutskever, David Carrico, Andrej Karpathy</t>
  </si>
  <si>
    <t>Rosebud AI</t>
  </si>
  <si>
    <t>DeepMotion</t>
  </si>
  <si>
    <t>www.deepmotion.com</t>
  </si>
  <si>
    <t>Kevin He</t>
  </si>
  <si>
    <t>Voice moderator</t>
  </si>
  <si>
    <t>Scrum Ventures, TSVC, Samsung</t>
  </si>
  <si>
    <t>Motion tracking</t>
  </si>
  <si>
    <t>Scrum Ventures</t>
  </si>
  <si>
    <t>Inventory management CV</t>
  </si>
  <si>
    <t>www.fellowai.com</t>
  </si>
  <si>
    <t>Dan Barry, James Fahn, Marco Mascorro, Thavidu Ranatunga</t>
  </si>
  <si>
    <t>Jay Chen</t>
  </si>
  <si>
    <t>Philippe Laffont</t>
  </si>
  <si>
    <t>Roelof Botha</t>
  </si>
  <si>
    <t>Asheem Chandna</t>
  </si>
  <si>
    <t>jacob@greylock.com</t>
  </si>
  <si>
    <t>achandna@greylock.com</t>
  </si>
  <si>
    <t>Jerry Chen</t>
  </si>
  <si>
    <t>jerry.chen@greylock.com</t>
  </si>
  <si>
    <t>Mike Duboe</t>
  </si>
  <si>
    <t>mduboe@greylock.com</t>
  </si>
  <si>
    <t>Reid Hoffman</t>
  </si>
  <si>
    <t>rhoffman@greylock.com</t>
  </si>
  <si>
    <t>Saam Motamedi</t>
  </si>
  <si>
    <t>smotamedi@greylock.com</t>
  </si>
  <si>
    <t>Corinne Riley</t>
  </si>
  <si>
    <t>corinne@greylock.com</t>
  </si>
  <si>
    <t>Jason Risch</t>
  </si>
  <si>
    <t>jrisch@greylock.com</t>
  </si>
  <si>
    <t>Seth Rosenberg</t>
  </si>
  <si>
    <t>srosenberg@greylock.com</t>
  </si>
  <si>
    <t>Brooklyn</t>
  </si>
  <si>
    <t>www.hiddendoor.co</t>
  </si>
  <si>
    <t>Hilary Mason, Matt Brandwein</t>
  </si>
  <si>
    <t>Game</t>
  </si>
  <si>
    <t>AI text RPG</t>
  </si>
  <si>
    <t>Makers Fund, Northzone, Betaworks</t>
  </si>
  <si>
    <t>Makers Fund</t>
  </si>
  <si>
    <t>Northzone</t>
  </si>
  <si>
    <t>Looks shitty</t>
  </si>
  <si>
    <t>Northzone, Makers Fund, Homebrew, Brooklyn Bridge Ventures, Betaworks, Joschua Schachter, Daniel Sturman</t>
  </si>
  <si>
    <t>Hedge Fund</t>
  </si>
  <si>
    <t>Twilio (Nasdaq: TWLO)</t>
  </si>
  <si>
    <t>Brooklyn Bridge Ventures</t>
  </si>
  <si>
    <t>Optimized BERT. 88.5 on GLUE.</t>
  </si>
  <si>
    <t>XLNet-Large</t>
  </si>
  <si>
    <t>former GLUE leader</t>
  </si>
  <si>
    <t>We pass</t>
  </si>
  <si>
    <t>Need intro</t>
  </si>
  <si>
    <t>We Pass</t>
  </si>
  <si>
    <t>large mutual fund</t>
  </si>
  <si>
    <t>Goldman Sachs (GS)</t>
  </si>
  <si>
    <t>car company</t>
  </si>
  <si>
    <t>out of business?</t>
  </si>
  <si>
    <t>hedge fund</t>
  </si>
  <si>
    <t>Layer.ai</t>
  </si>
  <si>
    <t>Fast Diffusion Model. arXiv 6/12/2023</t>
  </si>
  <si>
    <t>Zike Wu et al</t>
  </si>
  <si>
    <t>https://arxiv.org/abs/2306.06991</t>
  </si>
  <si>
    <t>forward difussion</t>
  </si>
  <si>
    <t>In diffusion models, maps data to noise by gradually perturbing the input data, using Gaussian diffusion kernel.</t>
  </si>
  <si>
    <t>parametrized reverse process</t>
  </si>
  <si>
    <t>In diffusion models, undoes forward diffusion and performs iterative denoising. Converts random noise into realistic data.</t>
  </si>
  <si>
    <t>Forward diffusion process where X_t is sample condition on X_t-1 using a Gaussian distribution with mean ((1 - B_t)^0.5)*x_t-1 and variance B_t</t>
  </si>
  <si>
    <t>B_t is usually predefined and fixed, T is total number of diffusion steps.</t>
  </si>
  <si>
    <t>Reverse generative process (denoising) has denoising distribution of P_theta*(x_t-1 | x_t), a Gaussian whose mean is</t>
  </si>
  <si>
    <t>defined using a trainable neural network mu_theta(x_t, t), with variance preset</t>
  </si>
  <si>
    <t>stochastic differential equation (SDE)</t>
  </si>
  <si>
    <t>example of fixed forward SDE, transforms sample into noise</t>
  </si>
  <si>
    <t>2021-x</t>
  </si>
  <si>
    <t>https://arxiv.org/abs/2106.05931</t>
  </si>
  <si>
    <t>Vahdat et al (Nvidia)</t>
  </si>
  <si>
    <t>Score-based Generative Modeling in Latent Space. arXiv 6/10/2021, revised 12/2/2021</t>
  </si>
  <si>
    <t>2020-Diffusion</t>
  </si>
  <si>
    <t>Denoising Diffusion Probabilistic Models. arXiv 6/19/2020</t>
  </si>
  <si>
    <t>Jonathan Ho, Ajay Jain, Pieter Abbeel</t>
  </si>
  <si>
    <t>https://arxiv.org/abs/2006.11239</t>
  </si>
  <si>
    <t>Genmo</t>
  </si>
  <si>
    <t>Ideogram</t>
  </si>
  <si>
    <t>FID</t>
  </si>
  <si>
    <t>Langevin dynamics</t>
  </si>
  <si>
    <t>2021-y</t>
  </si>
  <si>
    <t>Score-based Generative Modeling with Critically-Damped Langevin Diffusion</t>
  </si>
  <si>
    <t>Dockhorn et al</t>
  </si>
  <si>
    <t>https://arxiv.org/abs/2112.07068</t>
  </si>
  <si>
    <t>GSNs: generative stochastic networks. arXiv 2015. Information and Inference: A Journal of the IMA 2016.</t>
  </si>
  <si>
    <t>Learning to Generate Samples from Noise through Infusion Training. arXiv 3/20/17.</t>
  </si>
  <si>
    <t>Bordes et al.</t>
  </si>
  <si>
    <t>https://arxiv.org/abs/1703.06975</t>
  </si>
  <si>
    <t>2017-14</t>
  </si>
  <si>
    <t>2015-9, 2017-14</t>
  </si>
  <si>
    <t>Andrew Brock et al.</t>
  </si>
  <si>
    <t>Large Scale GAN Training for High Fidelity Natural Image Synthesis</t>
  </si>
  <si>
    <t>2018-x</t>
  </si>
  <si>
    <t>https://arxiv.org/abs/1809.11096</t>
  </si>
  <si>
    <t>Technology</t>
  </si>
  <si>
    <t>Inception</t>
  </si>
  <si>
    <t>Eren Golge, Reuben Morais</t>
  </si>
  <si>
    <t>Financing</t>
  </si>
  <si>
    <t>3.3m</t>
  </si>
  <si>
    <t>Piotr Dabkowski, Mati Staniszewski</t>
  </si>
  <si>
    <t>Credits</t>
  </si>
  <si>
    <t>Price/hour</t>
  </si>
  <si>
    <t>180k seconds; 50 hours low quality, 25 hours high quality</t>
  </si>
  <si>
    <t>1.0m</t>
  </si>
  <si>
    <t>www.coqui.ai</t>
  </si>
  <si>
    <t>Lily Clifford</t>
  </si>
  <si>
    <t>3.1m</t>
  </si>
  <si>
    <t>Unclear</t>
  </si>
  <si>
    <t>www.rime.ai</t>
  </si>
  <si>
    <t>225 hours</t>
  </si>
  <si>
    <t>1m chars (20 hours)</t>
  </si>
  <si>
    <t>750*5000, 3.75m</t>
  </si>
  <si>
    <t>10m</t>
  </si>
  <si>
    <t>Matt Hocking, Michael Petrochuk, Martin Ramirez</t>
  </si>
  <si>
    <t>Tacotron and pushed it even further</t>
  </si>
  <si>
    <t>Q322 30k hours of voice content, Martin Ramirez. Allen AI spinout. Runs on a CPU!? "Using 20 hours of data per person"</t>
  </si>
  <si>
    <t>Google TTS</t>
  </si>
  <si>
    <t>IBM</t>
  </si>
  <si>
    <t>text-to-video</t>
  </si>
  <si>
    <t>Cliff Weitzman, Tyler Weitzman</t>
  </si>
  <si>
    <t>4 hours</t>
  </si>
  <si>
    <t>Ankur Edkie, Divyanshu Pandey, Sneha Roy</t>
  </si>
  <si>
    <t>11.5m</t>
  </si>
  <si>
    <t>very low quality</t>
  </si>
  <si>
    <t>625m chars, 12.5k hours</t>
  </si>
  <si>
    <t>No cloning, a little robotic, but great.</t>
  </si>
  <si>
    <t>SW 28day</t>
  </si>
  <si>
    <t>Voice changer, not TTS</t>
  </si>
  <si>
    <t>no API?</t>
  </si>
  <si>
    <t>www.unrealspeech.com</t>
  </si>
  <si>
    <t>Eric</t>
  </si>
  <si>
    <t>www.speechify.com</t>
  </si>
  <si>
    <t>1 second</t>
  </si>
  <si>
    <t>www.voicemod.net</t>
  </si>
  <si>
    <t>1m API calls for $1400</t>
  </si>
  <si>
    <t>text-to-video only</t>
  </si>
  <si>
    <t>1.5m</t>
  </si>
  <si>
    <t>Alex Serdiuk</t>
  </si>
  <si>
    <t>wtf price, no API</t>
  </si>
  <si>
    <t>Non-TTS, no API or 1st-gen</t>
  </si>
  <si>
    <t>real-time voice changer</t>
  </si>
  <si>
    <t>10k characters</t>
  </si>
  <si>
    <t>120/hr for an audiobook, no API</t>
  </si>
  <si>
    <t>download only</t>
  </si>
  <si>
    <t>transcription (STT) only</t>
  </si>
  <si>
    <t>ASR suite</t>
  </si>
  <si>
    <t>STT</t>
  </si>
  <si>
    <t>no api, talkbot for customer service</t>
  </si>
  <si>
    <t>20m</t>
  </si>
  <si>
    <t>Voiser</t>
  </si>
  <si>
    <t>20 hours</t>
  </si>
  <si>
    <t>very slow.</t>
  </si>
  <si>
    <t>600k chars/mo</t>
  </si>
  <si>
    <t>67 one-time</t>
  </si>
  <si>
    <t>www.replicastudios.com</t>
  </si>
  <si>
    <t>www.voiceovermaker.io</t>
  </si>
  <si>
    <t>300k chars, 6 hours</t>
  </si>
  <si>
    <t>Nemo</t>
  </si>
  <si>
    <t>https://docs.nvidia.com/deeplearning/nemo/user-guide/docs/en/stable/tts/intro.html</t>
  </si>
  <si>
    <t>Bark</t>
  </si>
  <si>
    <t>www.synthesys.io</t>
  </si>
  <si>
    <t>30 hours</t>
  </si>
  <si>
    <t>ttsconverter.io</t>
  </si>
  <si>
    <t>ttsfree.com</t>
  </si>
  <si>
    <t>iSpeech</t>
  </si>
  <si>
    <t>www.ispeech.org</t>
  </si>
  <si>
    <t>https://www.vocalware.com/index/pricing</t>
  </si>
  <si>
    <t>Vocalware</t>
  </si>
  <si>
    <t>Astica.ai</t>
  </si>
  <si>
    <t>1 word</t>
  </si>
  <si>
    <t>output layer</t>
  </si>
  <si>
    <t>final layer which requires modulation to achieve correct form of inference</t>
  </si>
  <si>
    <t>Output layer activation function.</t>
  </si>
  <si>
    <t>minima</t>
  </si>
  <si>
    <t>Finding whether a minima is local or global in a NN is challenging</t>
  </si>
  <si>
    <t>critical hyperparameter when training networks</t>
  </si>
  <si>
    <t>line search</t>
  </si>
  <si>
    <t>settings/parameters which do not change during training and are not related to training data, and therefore, external to the learning algorithm; for example, learning rate.</t>
  </si>
  <si>
    <t>trust region</t>
  </si>
  <si>
    <t>numerical optimization idea</t>
  </si>
  <si>
    <t>steepest descent</t>
  </si>
  <si>
    <t>Newton direction</t>
  </si>
  <si>
    <t>Hessian</t>
  </si>
  <si>
    <t>Taylor expansion</t>
  </si>
  <si>
    <t>Class of line-search optimization algorithms for neural network learning.</t>
  </si>
  <si>
    <t>40 hours /2m chars</t>
  </si>
  <si>
    <t>Gemelo.ai</t>
  </si>
  <si>
    <t>24 hours</t>
  </si>
  <si>
    <r>
      <t xml:space="preserve">Neural-based </t>
    </r>
    <r>
      <rPr>
        <b/>
        <sz val="10"/>
        <color theme="1"/>
        <rFont val="Arial"/>
        <family val="2"/>
      </rPr>
      <t>vocoder</t>
    </r>
  </si>
  <si>
    <r>
      <t xml:space="preserve">Also known as </t>
    </r>
    <r>
      <rPr>
        <b/>
        <sz val="10"/>
        <color theme="1"/>
        <rFont val="Arial"/>
        <family val="2"/>
      </rPr>
      <t>manifold learning</t>
    </r>
    <r>
      <rPr>
        <sz val="10"/>
        <color theme="1"/>
        <rFont val="Arial"/>
        <family val="2"/>
      </rPr>
      <t>, a canonical ML task which transforms an initial representation into a lower-dimensional one with preserved properties</t>
    </r>
  </si>
  <si>
    <t>latent variable</t>
  </si>
  <si>
    <t>cannot be observed directly, must be inferred from statistical models</t>
  </si>
  <si>
    <r>
      <t xml:space="preserve">Deep learning is a subgroup of </t>
    </r>
    <r>
      <rPr>
        <b/>
        <sz val="10"/>
        <color theme="1"/>
        <rFont val="Arial"/>
        <family val="2"/>
      </rPr>
      <t>machine learning</t>
    </r>
    <r>
      <rPr>
        <sz val="10"/>
        <color theme="1"/>
        <rFont val="Arial"/>
        <family val="2"/>
      </rPr>
      <t xml:space="preserve"> that allows representations to be composed of other, simpler representations. The quintessential example is the</t>
    </r>
    <r>
      <rPr>
        <b/>
        <sz val="10"/>
        <color theme="1"/>
        <rFont val="Arial"/>
        <family val="2"/>
      </rPr>
      <t xml:space="preserve"> feedforward deep network</t>
    </r>
    <r>
      <rPr>
        <sz val="10"/>
        <color theme="1"/>
        <rFont val="Arial"/>
        <family val="2"/>
      </rPr>
      <t xml:space="preserve">, or </t>
    </r>
    <r>
      <rPr>
        <b/>
        <sz val="10"/>
        <color theme="1"/>
        <rFont val="Arial"/>
        <family val="2"/>
      </rPr>
      <t>multilayer perceptron</t>
    </r>
    <r>
      <rPr>
        <sz val="10"/>
        <color theme="1"/>
        <rFont val="Arial"/>
        <family val="2"/>
      </rPr>
      <t>.</t>
    </r>
  </si>
  <si>
    <t>diffusion process</t>
  </si>
  <si>
    <t>Data are progressively noised</t>
  </si>
  <si>
    <t>Cartesian idea that the mind is outside the laws of nature.</t>
  </si>
  <si>
    <t>reverse diffusion process</t>
  </si>
  <si>
    <t>Kullback-Leibler divergence</t>
  </si>
  <si>
    <t>Statistical distance for probability distributions</t>
  </si>
  <si>
    <t>U-Net</t>
  </si>
  <si>
    <t>LMNT</t>
  </si>
  <si>
    <t>www.lmnt.com</t>
  </si>
  <si>
    <t>30k chars, 0.6hrs (35min?)</t>
  </si>
  <si>
    <t>10/mo/clone</t>
  </si>
  <si>
    <t>www.deepdub.ai</t>
  </si>
  <si>
    <t>www.gemelo.ai</t>
  </si>
  <si>
    <t>www.voiser.net</t>
  </si>
  <si>
    <t>SIGNED EO PLEDGE</t>
  </si>
  <si>
    <t>Great firm.</t>
  </si>
  <si>
    <t>Great firm, Connor and Mike super nice.</t>
  </si>
  <si>
    <t>AVOID AT ALL COSTS.</t>
  </si>
  <si>
    <t>Created the toxic EO BS.</t>
  </si>
  <si>
    <t>Not even that activate in the space…</t>
  </si>
  <si>
    <t>did two deals this year, both in healthcare</t>
  </si>
  <si>
    <t>AVOID: Signed toxic EO pledge.</t>
  </si>
  <si>
    <t>Great firm. Seem distancing from Inflection.</t>
  </si>
  <si>
    <t>7wire Ventures</t>
  </si>
  <si>
    <t>Latest Fund</t>
  </si>
  <si>
    <t>Focus</t>
  </si>
  <si>
    <t>AI Investments</t>
  </si>
  <si>
    <t>None</t>
  </si>
  <si>
    <t>Antler</t>
  </si>
  <si>
    <t>Artisanal Ventures</t>
  </si>
  <si>
    <t>Base10</t>
  </si>
  <si>
    <t>Bain Capital Ventures</t>
  </si>
  <si>
    <t>Brave</t>
  </si>
  <si>
    <t>City Light</t>
  </si>
  <si>
    <t>Democracy</t>
  </si>
  <si>
    <t>DataPower Ventures</t>
  </si>
  <si>
    <t>ex/ante</t>
  </si>
  <si>
    <t>Felicis Ventures</t>
  </si>
  <si>
    <t>General Atlantic</t>
  </si>
  <si>
    <t>Generation Investment</t>
  </si>
  <si>
    <t>IVP</t>
  </si>
  <si>
    <t>Kinnevik</t>
  </si>
  <si>
    <t>Matchstick Ventures</t>
  </si>
  <si>
    <t>Paladin Capital</t>
  </si>
  <si>
    <t>Phoenix Court Group</t>
  </si>
  <si>
    <t>Ribbit Capital</t>
  </si>
  <si>
    <t>Riceberg Ventures</t>
  </si>
  <si>
    <t>Roadster Capital</t>
  </si>
  <si>
    <t>Westly Group</t>
  </si>
  <si>
    <t>Tola Capital</t>
  </si>
  <si>
    <t>Beware he who would deny you access to information, for in his heart, he dreams himself your master.</t>
  </si>
  <si>
    <t>Cowboy Ventures</t>
  </si>
  <si>
    <t>Avaana Capital</t>
  </si>
  <si>
    <t>Samsara</t>
  </si>
  <si>
    <t>Altana AI, Optimal Dynamics</t>
  </si>
  <si>
    <t>Seldon, Diffblue, Speechmatics, PerchPeek</t>
  </si>
  <si>
    <t>Healthcare, SaaS</t>
  </si>
  <si>
    <t>Activate Capital Partners</t>
  </si>
  <si>
    <t>Industrials</t>
  </si>
  <si>
    <t>Hundreds of deals: Fero, Tidalflow, Katalis AI, MuchBetter, Persona, Agenta, Quacks.ai, Factory AI</t>
  </si>
  <si>
    <t>Who Knows</t>
  </si>
  <si>
    <t>Rodeo, Metaphor, Twosense.ai</t>
  </si>
  <si>
    <t>Intello Labs, AarogyaAI</t>
  </si>
  <si>
    <t>Climate, Healthcare</t>
  </si>
  <si>
    <t xml:space="preserve">Akkio, Unstructured Technologies, Granica, Contextual AI, Holocron Technologies, EvenUp, Nightfall AI, Tecton, </t>
  </si>
  <si>
    <t>Muir AI, Prins Artificial Intelligence, SuperAnnotate</t>
  </si>
  <si>
    <t>Sixfold AI, Coactive AI, DeepL, Spot AI, Jasper</t>
  </si>
  <si>
    <t>Doomers</t>
  </si>
  <si>
    <t>https://twitter.com/AlyssaJoyJaffee</t>
  </si>
  <si>
    <t>https://twitter.com/7wireventures</t>
  </si>
  <si>
    <t>https://twitter.com/annaring</t>
  </si>
  <si>
    <t>https://twitter.com/albionvc</t>
  </si>
  <si>
    <t>https://twitter.com/lauren__apost</t>
  </si>
  <si>
    <t>https://twitter.com/drmolsg</t>
  </si>
  <si>
    <t>https://twitter.com/paullehair</t>
  </si>
  <si>
    <t>https://twitter.com/goldie_oz</t>
  </si>
  <si>
    <t>https://twitter.com/RichFeloni</t>
  </si>
  <si>
    <t>https://twitter.com/rak_garg/</t>
  </si>
  <si>
    <t>"leadership" according to Sam</t>
  </si>
  <si>
    <t>Hannah</t>
  </si>
  <si>
    <t>leadership according to Sam</t>
  </si>
  <si>
    <t>leadership according to sam</t>
  </si>
  <si>
    <t>leadership?</t>
  </si>
  <si>
    <t>leadership</t>
  </si>
  <si>
    <t>leadership Rubik's Cube (10/16/19)</t>
  </si>
  <si>
    <t>leadership, Codex (at least 7/14/21)</t>
  </si>
  <si>
    <t>Pat</t>
  </si>
  <si>
    <t>Aleksander</t>
  </si>
  <si>
    <t>PagedAttention</t>
  </si>
  <si>
    <t>Efficient management of attention key and value memory</t>
  </si>
  <si>
    <t>continuous batching</t>
  </si>
  <si>
    <t>tensor parallelism</t>
  </si>
  <si>
    <t>Together</t>
  </si>
  <si>
    <t>Perplexity</t>
  </si>
  <si>
    <t>DeepInfra</t>
  </si>
  <si>
    <t>Fireworks</t>
  </si>
  <si>
    <t>Neets</t>
  </si>
  <si>
    <t>model parallelism, inference-customized kernels, MoQ quantization</t>
  </si>
  <si>
    <t>OpenRouter</t>
  </si>
  <si>
    <t>openrouter.ai</t>
  </si>
  <si>
    <t>Gemini Price</t>
  </si>
  <si>
    <t>0.25/0.50</t>
  </si>
  <si>
    <t>Mixtral</t>
  </si>
  <si>
    <t>Free</t>
  </si>
  <si>
    <t>Nous Capybara 7B</t>
  </si>
  <si>
    <t>8.00/24.00</t>
  </si>
  <si>
    <t>Nuvalab.ai</t>
  </si>
  <si>
    <t>Storytelling platform</t>
  </si>
  <si>
    <t>StyleTTS2</t>
  </si>
  <si>
    <t>https://github.com/yl4579/StyleTTS2</t>
  </si>
  <si>
    <t>https://github.com/aliutkus/speechmetrics</t>
  </si>
  <si>
    <t>Speechmetrics</t>
  </si>
  <si>
    <t>Series I</t>
  </si>
  <si>
    <t>Alan Tu</t>
  </si>
  <si>
    <t>Sanabil (Saudi Sovereign)</t>
  </si>
  <si>
    <t>Octahedron</t>
  </si>
  <si>
    <t>Ghisallo</t>
  </si>
  <si>
    <t>Eastlink Capital</t>
  </si>
  <si>
    <t>AT&amp;T Ventures</t>
  </si>
  <si>
    <t>Amazon (AWS)</t>
  </si>
  <si>
    <t>Whale Rock</t>
  </si>
  <si>
    <t>UC Investments</t>
  </si>
  <si>
    <t>Race Capital</t>
  </si>
  <si>
    <t>Green Bay Ventures</t>
  </si>
  <si>
    <t>Flucas Ventures</t>
  </si>
  <si>
    <t>Discovery Capital</t>
  </si>
  <si>
    <t>Alta Park Capital</t>
  </si>
  <si>
    <t>BAM Elevate (hedge VC)</t>
  </si>
  <si>
    <t>T Rowe, Tiger, Sanabil, QIA, Ontario, Octahedron, Nvidia, MSFT, GIC, Ghiasallo, Gaingels, Franklin Templeton, Fidelity, Eastlink, Counterpoint, ClearBridge, Capital One, Google, Baillie, AT&amp;T, a16z, AWS</t>
  </si>
  <si>
    <t>Walmart</t>
  </si>
  <si>
    <t>Microsoft, GM, Honda</t>
  </si>
  <si>
    <t>Honda</t>
  </si>
  <si>
    <t>Neom Investment Fund</t>
  </si>
  <si>
    <t>Qualcomm (QCOM)</t>
  </si>
  <si>
    <t>Snowflake (SNOW)</t>
  </si>
  <si>
    <t>Intel Capital (INTC)</t>
  </si>
  <si>
    <t>AMD</t>
  </si>
  <si>
    <t>Salesforce, Sound, QCOM, NVDA, INTC, IBM, GOOG, AMD, AMZN</t>
  </si>
  <si>
    <t>Model repos, HuggingChat, Woke stuff, Transformers, Accelerate, TGI</t>
  </si>
  <si>
    <t>Coreweave</t>
  </si>
  <si>
    <t>Fidelity, NEA, Drive, Bond</t>
  </si>
  <si>
    <t>CEO is sketchy, rapidly going out of business</t>
  </si>
  <si>
    <t>Convert</t>
  </si>
  <si>
    <t>Ashton Kutcher</t>
  </si>
  <si>
    <t>Intel, Sound Capital</t>
  </si>
  <si>
    <t>US Innovative Technology Fund, Snowpoint, Riot Ventures, Disruptive, Ark</t>
  </si>
  <si>
    <t>Rogue VC, Google, Salesforce, Nvidia</t>
  </si>
  <si>
    <t>Arizona</t>
  </si>
  <si>
    <t>Scottsdale</t>
  </si>
  <si>
    <t>Guangdong</t>
  </si>
  <si>
    <t>Campbell</t>
  </si>
  <si>
    <t>Emeryville</t>
  </si>
  <si>
    <t>Columbus</t>
  </si>
  <si>
    <t>Uses GPT, probably biggest wrapper company, $50m+ in revenue</t>
  </si>
  <si>
    <t>Whisper</t>
  </si>
  <si>
    <t>Ocotillo</t>
  </si>
  <si>
    <t>Series E-2</t>
  </si>
  <si>
    <t>Valor Equity, Primary Ventures, PICO, Max Ventures, Marcy Venture Partners, Mangrove, LTS Investments, Cedars Sinai, BoxGroup</t>
  </si>
  <si>
    <t>Cedars Sinai</t>
  </si>
  <si>
    <t>Shanghai International Group, Shanghai GuoHe Capital, China Fintech Fund, Yuntai, Wuyuefeng, Tencent, Ruian Datai, Redpoint, Pudong, Meitu, Hundreds Capital, Hehe, Guoxin, Guofang, GF Qianhe</t>
  </si>
  <si>
    <t>Nat Friedman, Daniel Gross, Sapphire Ventures, Octave, Insight Partners, Felicis, Coatue, Bond, Bloomberg Beta</t>
  </si>
  <si>
    <t>Nat Friedman Firm</t>
  </si>
  <si>
    <t>Lightspeed, GV, M12, Menlo Ventures, Salesforce</t>
  </si>
  <si>
    <t>Trying to raise at $5B. Noam invented transformers.</t>
  </si>
  <si>
    <t>Raised more capital, 30m+ in revenue</t>
  </si>
  <si>
    <t xml:space="preserve">INTC, CMCSA, </t>
  </si>
  <si>
    <t>Parrot (tryparrotai.com)</t>
  </si>
  <si>
    <t>Parrot.ai</t>
  </si>
  <si>
    <t>Spleeter</t>
  </si>
  <si>
    <t>Adept, Hippocratic</t>
  </si>
  <si>
    <t>2022-x</t>
  </si>
  <si>
    <t>BigVGAN: A Universal Neural Vocoder with Large-Scale Training, 6/9/22, arXiv:2206.04658</t>
  </si>
  <si>
    <t>Sang-gil Lee, Wei Ping, Boris Ginsburg, Bryan Catanzaro, Sungroh Yoon (Seoul National U, Nvidia)</t>
  </si>
  <si>
    <t>https://arxiv.org/abs/2206.04658</t>
  </si>
  <si>
    <t>generative adversarial network (GAN)</t>
  </si>
  <si>
    <t>TensorRT</t>
  </si>
  <si>
    <t>BigVGAN</t>
  </si>
  <si>
    <t>https://github.com/NVIDIA/BigVGAN</t>
  </si>
  <si>
    <t>sample</t>
  </si>
  <si>
    <t>number of samples per second, such as 44,100</t>
  </si>
  <si>
    <t>Fourier transform</t>
  </si>
  <si>
    <t>converts time into frequency</t>
  </si>
  <si>
    <t>spectrum</t>
  </si>
  <si>
    <t>plotted on spectrogram, amplitude of audio at different frequencies</t>
  </si>
  <si>
    <t>spectrogram</t>
  </si>
  <si>
    <t>mel scale</t>
  </si>
  <si>
    <t>stft</t>
  </si>
  <si>
    <t>short-term fourier transform</t>
  </si>
  <si>
    <t>1937 semi-log scale named after 'melody'</t>
  </si>
  <si>
    <t>Vocoders</t>
  </si>
  <si>
    <t>UnivNet</t>
  </si>
  <si>
    <t>PowerInfer</t>
  </si>
  <si>
    <t>HiFi-GAN</t>
  </si>
  <si>
    <t>StyleTTS</t>
  </si>
  <si>
    <t>HiFTNet</t>
  </si>
  <si>
    <t>iSTFTNet</t>
  </si>
  <si>
    <t>Columbia</t>
  </si>
  <si>
    <t>Geshkovski, et al.</t>
  </si>
  <si>
    <t>https://arxiv.org/abs/2312.10794</t>
  </si>
  <si>
    <t>residual neural network</t>
  </si>
  <si>
    <t>aka ResNet, continuous</t>
  </si>
  <si>
    <t>https://www.kecl.ntt.co.jp/people/kaneko.takuhiro/projects/istftnet2/</t>
  </si>
  <si>
    <t>torch.nn</t>
  </si>
  <si>
    <t>torch.fx</t>
  </si>
  <si>
    <t>torch.futures</t>
  </si>
  <si>
    <t>torch.func</t>
  </si>
  <si>
    <t>torch.compile</t>
  </si>
  <si>
    <t>torch.autograd</t>
  </si>
  <si>
    <t>torch.amp</t>
  </si>
  <si>
    <t>mixed precision</t>
  </si>
  <si>
    <t>Very important</t>
  </si>
  <si>
    <t>torch.cuda</t>
  </si>
  <si>
    <t>torch.distributed</t>
  </si>
  <si>
    <t>torch.onnx</t>
  </si>
  <si>
    <t>torch.random</t>
  </si>
  <si>
    <t>torch.utils.benchmark</t>
  </si>
  <si>
    <t>LightVoc</t>
  </si>
  <si>
    <t>https://www.isca-speech.org/archive/pdfs/interspeech_2023/dang23b_interspeech.pdf</t>
  </si>
  <si>
    <t>Accelerate</t>
  </si>
  <si>
    <t>https://huggingface.co/docs/accelerate/index</t>
  </si>
  <si>
    <t>https://docs.google.com/document/d/1GgvOe7C8_NVOMLOCwDaYV1mXXyHMXY7ExoewHqooxrs/edit?pli=1#heading=h.fh8zzonyw8ng</t>
  </si>
  <si>
    <t>AdaIN (Adaptive Instance Normalization)</t>
  </si>
  <si>
    <t>Conv1d</t>
  </si>
  <si>
    <t>AdaNorm (Adaptive Normalization)</t>
  </si>
  <si>
    <t>H-Transformer-1D</t>
  </si>
  <si>
    <t>ResBlock</t>
  </si>
  <si>
    <t>FeedForward</t>
  </si>
  <si>
    <t>GEGLU</t>
  </si>
  <si>
    <t>Transformer</t>
  </si>
  <si>
    <t>https://pytorch.org/docs/stable/generated/torch.compile.html</t>
  </si>
  <si>
    <t>PnGBERT</t>
  </si>
  <si>
    <t>2019-x</t>
  </si>
  <si>
    <t>ZeRO: Memory Optimizations Toward Training Trillion Parameter Models</t>
  </si>
  <si>
    <t>Rajbhandari et al.</t>
  </si>
  <si>
    <t>https://arxiv.org/abs/1910.02054</t>
  </si>
  <si>
    <t>Created by John Hopfield in 1982, also known as Hopfield networks or associative neural networks. LSTMs emerged from RNNs. Can be bidirectional. Can be gated (LSTM).</t>
  </si>
  <si>
    <t>Hadamard product</t>
  </si>
  <si>
    <t>Sigmoid σ bounds output between 0 and 1.</t>
  </si>
  <si>
    <r>
      <rPr>
        <sz val="12"/>
        <rFont val="KaTeX_Math"/>
      </rPr>
      <t xml:space="preserve">  Input gate:</t>
    </r>
    <r>
      <rPr>
        <i/>
        <sz val="12"/>
        <rFont val="KaTeX_Math"/>
      </rPr>
      <t xml:space="preserve"> σ</t>
    </r>
    <r>
      <rPr>
        <sz val="12"/>
        <rFont val="Times New Roman"/>
        <family val="1"/>
      </rPr>
      <t>(</t>
    </r>
    <r>
      <rPr>
        <i/>
        <sz val="12"/>
        <rFont val="KaTeX_Math"/>
      </rPr>
      <t>W</t>
    </r>
    <r>
      <rPr>
        <i/>
        <vertAlign val="subscript"/>
        <sz val="12"/>
        <rFont val="Calibri Light"/>
        <family val="2"/>
      </rPr>
      <t>ii</t>
    </r>
    <r>
      <rPr>
        <vertAlign val="subscript"/>
        <sz val="12"/>
        <rFont val="Calibri Light"/>
        <family val="2"/>
      </rPr>
      <t>​</t>
    </r>
    <r>
      <rPr>
        <i/>
        <sz val="12"/>
        <rFont val="KaTeX_Math"/>
      </rPr>
      <t>x</t>
    </r>
    <r>
      <rPr>
        <i/>
        <vertAlign val="subscript"/>
        <sz val="12"/>
        <rFont val="Calibri Light"/>
        <family val="2"/>
      </rPr>
      <t>t</t>
    </r>
    <r>
      <rPr>
        <vertAlign val="subscript"/>
        <sz val="12"/>
        <rFont val="Calibri Light"/>
        <family val="2"/>
      </rPr>
      <t>​</t>
    </r>
    <r>
      <rPr>
        <sz val="12"/>
        <rFont val="Times New Roman"/>
        <family val="1"/>
      </rPr>
      <t>+</t>
    </r>
    <r>
      <rPr>
        <i/>
        <sz val="12"/>
        <rFont val="KaTeX_Math"/>
      </rPr>
      <t>b</t>
    </r>
    <r>
      <rPr>
        <i/>
        <vertAlign val="subscript"/>
        <sz val="12"/>
        <rFont val="KaTeX_Math"/>
      </rPr>
      <t>ii</t>
    </r>
    <r>
      <rPr>
        <sz val="12"/>
        <rFont val="Times New Roman"/>
        <family val="1"/>
      </rPr>
      <t>​+</t>
    </r>
    <r>
      <rPr>
        <i/>
        <sz val="12"/>
        <rFont val="KaTeX_Math"/>
      </rPr>
      <t>W</t>
    </r>
    <r>
      <rPr>
        <i/>
        <vertAlign val="subscript"/>
        <sz val="12"/>
        <rFont val="Calibri Light"/>
        <family val="2"/>
      </rPr>
      <t>hi</t>
    </r>
    <r>
      <rPr>
        <vertAlign val="subscript"/>
        <sz val="12"/>
        <rFont val="Calibri Light"/>
        <family val="2"/>
      </rPr>
      <t>​</t>
    </r>
    <r>
      <rPr>
        <i/>
        <sz val="12"/>
        <rFont val="KaTeX_Math"/>
      </rPr>
      <t>h</t>
    </r>
    <r>
      <rPr>
        <i/>
        <vertAlign val="subscript"/>
        <sz val="12"/>
        <rFont val="KaTeX_Math"/>
      </rPr>
      <t>t</t>
    </r>
    <r>
      <rPr>
        <vertAlign val="subscript"/>
        <sz val="12"/>
        <rFont val="Times New Roman"/>
        <family val="1"/>
      </rPr>
      <t>−1</t>
    </r>
    <r>
      <rPr>
        <sz val="12"/>
        <rFont val="Times New Roman"/>
        <family val="1"/>
      </rPr>
      <t>​+</t>
    </r>
    <r>
      <rPr>
        <i/>
        <sz val="12"/>
        <rFont val="KaTeX_Math"/>
      </rPr>
      <t>b</t>
    </r>
    <r>
      <rPr>
        <i/>
        <vertAlign val="subscript"/>
        <sz val="12"/>
        <rFont val="KaTeX_Math"/>
      </rPr>
      <t>hi</t>
    </r>
    <r>
      <rPr>
        <sz val="12"/>
        <rFont val="Times New Roman"/>
        <family val="1"/>
      </rPr>
      <t>​)</t>
    </r>
  </si>
  <si>
    <r>
      <rPr>
        <sz val="12"/>
        <rFont val="KaTeX_Math"/>
      </rPr>
      <t>Forget gate:</t>
    </r>
    <r>
      <rPr>
        <i/>
        <sz val="12"/>
        <rFont val="KaTeX_Math"/>
      </rPr>
      <t xml:space="preserve"> σ</t>
    </r>
    <r>
      <rPr>
        <sz val="12"/>
        <rFont val="Times New Roman"/>
        <family val="1"/>
      </rPr>
      <t>(</t>
    </r>
    <r>
      <rPr>
        <i/>
        <sz val="12"/>
        <rFont val="KaTeX_Math"/>
      </rPr>
      <t>W</t>
    </r>
    <r>
      <rPr>
        <i/>
        <vertAlign val="subscript"/>
        <sz val="12"/>
        <rFont val="KaTeX_Math"/>
      </rPr>
      <t>if</t>
    </r>
    <r>
      <rPr>
        <sz val="12"/>
        <rFont val="Times New Roman"/>
        <family val="1"/>
      </rPr>
      <t>​</t>
    </r>
    <r>
      <rPr>
        <i/>
        <sz val="12"/>
        <rFont val="KaTeX_Math"/>
      </rPr>
      <t>x</t>
    </r>
    <r>
      <rPr>
        <i/>
        <vertAlign val="subscript"/>
        <sz val="12"/>
        <rFont val="Calibri Light"/>
        <family val="2"/>
      </rPr>
      <t>t</t>
    </r>
    <r>
      <rPr>
        <vertAlign val="subscript"/>
        <sz val="12"/>
        <rFont val="Calibri Light"/>
        <family val="2"/>
      </rPr>
      <t>​</t>
    </r>
    <r>
      <rPr>
        <sz val="12"/>
        <rFont val="Times New Roman"/>
        <family val="1"/>
      </rPr>
      <t>+</t>
    </r>
    <r>
      <rPr>
        <i/>
        <sz val="12"/>
        <rFont val="KaTeX_Math"/>
      </rPr>
      <t>b</t>
    </r>
    <r>
      <rPr>
        <i/>
        <vertAlign val="subscript"/>
        <sz val="12"/>
        <rFont val="KaTeX_Math"/>
      </rPr>
      <t>if</t>
    </r>
    <r>
      <rPr>
        <sz val="12"/>
        <rFont val="Times New Roman"/>
        <family val="1"/>
      </rPr>
      <t>​+</t>
    </r>
    <r>
      <rPr>
        <i/>
        <sz val="12"/>
        <rFont val="KaTeX_Math"/>
      </rPr>
      <t>W</t>
    </r>
    <r>
      <rPr>
        <i/>
        <vertAlign val="subscript"/>
        <sz val="12"/>
        <rFont val="KaTeX_Math"/>
      </rPr>
      <t>hf</t>
    </r>
    <r>
      <rPr>
        <sz val="12"/>
        <rFont val="Times New Roman"/>
        <family val="1"/>
      </rPr>
      <t>​</t>
    </r>
    <r>
      <rPr>
        <i/>
        <sz val="12"/>
        <rFont val="KaTeX_Math"/>
      </rPr>
      <t>h</t>
    </r>
    <r>
      <rPr>
        <i/>
        <vertAlign val="subscript"/>
        <sz val="12"/>
        <rFont val="KaTeX_Math"/>
      </rPr>
      <t>t</t>
    </r>
    <r>
      <rPr>
        <vertAlign val="subscript"/>
        <sz val="12"/>
        <rFont val="Times New Roman"/>
        <family val="1"/>
      </rPr>
      <t>−1</t>
    </r>
    <r>
      <rPr>
        <sz val="12"/>
        <rFont val="Times New Roman"/>
        <family val="1"/>
      </rPr>
      <t>​+</t>
    </r>
    <r>
      <rPr>
        <i/>
        <sz val="12"/>
        <rFont val="KaTeX_Math"/>
      </rPr>
      <t>b</t>
    </r>
    <r>
      <rPr>
        <i/>
        <vertAlign val="subscript"/>
        <sz val="12"/>
        <rFont val="KaTeX_Math"/>
      </rPr>
      <t>hf</t>
    </r>
    <r>
      <rPr>
        <sz val="12"/>
        <rFont val="Times New Roman"/>
        <family val="1"/>
      </rPr>
      <t>​)</t>
    </r>
  </si>
  <si>
    <r>
      <rPr>
        <sz val="12"/>
        <rFont val="KaTeX_Math"/>
      </rPr>
      <t xml:space="preserve">    Cell Gate: </t>
    </r>
    <r>
      <rPr>
        <sz val="12"/>
        <rFont val="Times New Roman"/>
        <family val="1"/>
      </rPr>
      <t>tanh(</t>
    </r>
    <r>
      <rPr>
        <i/>
        <sz val="12"/>
        <rFont val="KaTeX_Math"/>
      </rPr>
      <t>W</t>
    </r>
    <r>
      <rPr>
        <i/>
        <vertAlign val="subscript"/>
        <sz val="12"/>
        <rFont val="Calibri Light"/>
        <family val="2"/>
      </rPr>
      <t>ig</t>
    </r>
    <r>
      <rPr>
        <vertAlign val="subscript"/>
        <sz val="12"/>
        <rFont val="Calibri Light"/>
        <family val="2"/>
      </rPr>
      <t>​</t>
    </r>
    <r>
      <rPr>
        <i/>
        <sz val="12"/>
        <rFont val="KaTeX_Math"/>
      </rPr>
      <t>x</t>
    </r>
    <r>
      <rPr>
        <i/>
        <vertAlign val="subscript"/>
        <sz val="12"/>
        <rFont val="Calibri Light"/>
        <family val="2"/>
      </rPr>
      <t>t</t>
    </r>
    <r>
      <rPr>
        <vertAlign val="subscript"/>
        <sz val="12"/>
        <rFont val="Calibri Light"/>
        <family val="2"/>
      </rPr>
      <t>​</t>
    </r>
    <r>
      <rPr>
        <sz val="12"/>
        <rFont val="Times New Roman"/>
        <family val="1"/>
      </rPr>
      <t>+</t>
    </r>
    <r>
      <rPr>
        <i/>
        <sz val="12"/>
        <rFont val="KaTeX_Math"/>
      </rPr>
      <t>b</t>
    </r>
    <r>
      <rPr>
        <i/>
        <vertAlign val="subscript"/>
        <sz val="12"/>
        <rFont val="KaTeX_Math"/>
      </rPr>
      <t>ig</t>
    </r>
    <r>
      <rPr>
        <sz val="12"/>
        <rFont val="Times New Roman"/>
        <family val="1"/>
      </rPr>
      <t>​+</t>
    </r>
    <r>
      <rPr>
        <i/>
        <sz val="12"/>
        <rFont val="KaTeX_Math"/>
      </rPr>
      <t>W</t>
    </r>
    <r>
      <rPr>
        <i/>
        <vertAlign val="subscript"/>
        <sz val="12"/>
        <rFont val="Calibri Light"/>
        <family val="2"/>
      </rPr>
      <t>hg</t>
    </r>
    <r>
      <rPr>
        <vertAlign val="subscript"/>
        <sz val="12"/>
        <rFont val="Calibri Light"/>
        <family val="2"/>
      </rPr>
      <t>​</t>
    </r>
    <r>
      <rPr>
        <i/>
        <sz val="12"/>
        <rFont val="KaTeX_Math"/>
      </rPr>
      <t>h</t>
    </r>
    <r>
      <rPr>
        <i/>
        <vertAlign val="subscript"/>
        <sz val="12"/>
        <rFont val="KaTeX_Math"/>
      </rPr>
      <t>t</t>
    </r>
    <r>
      <rPr>
        <vertAlign val="subscript"/>
        <sz val="12"/>
        <rFont val="Times New Roman"/>
        <family val="1"/>
      </rPr>
      <t>−1</t>
    </r>
    <r>
      <rPr>
        <sz val="12"/>
        <rFont val="Times New Roman"/>
        <family val="1"/>
      </rPr>
      <t>​+</t>
    </r>
    <r>
      <rPr>
        <i/>
        <sz val="12"/>
        <rFont val="KaTeX_Math"/>
      </rPr>
      <t>b</t>
    </r>
    <r>
      <rPr>
        <i/>
        <vertAlign val="subscript"/>
        <sz val="12"/>
        <rFont val="Calibri Light"/>
        <family val="2"/>
      </rPr>
      <t>hg</t>
    </r>
    <r>
      <rPr>
        <vertAlign val="subscript"/>
        <sz val="12"/>
        <rFont val="Calibri Light"/>
        <family val="2"/>
      </rPr>
      <t>​</t>
    </r>
    <r>
      <rPr>
        <sz val="12"/>
        <rFont val="Times New Roman"/>
        <family val="1"/>
      </rPr>
      <t>)</t>
    </r>
  </si>
  <si>
    <r>
      <rPr>
        <sz val="12"/>
        <rFont val="KaTeX_Math"/>
      </rPr>
      <t>Output Gate</t>
    </r>
    <r>
      <rPr>
        <i/>
        <sz val="12"/>
        <rFont val="KaTeX_Math"/>
      </rPr>
      <t>: σ</t>
    </r>
    <r>
      <rPr>
        <sz val="12"/>
        <rFont val="Times New Roman"/>
        <family val="1"/>
      </rPr>
      <t>(</t>
    </r>
    <r>
      <rPr>
        <i/>
        <sz val="12"/>
        <rFont val="KaTeX_Math"/>
      </rPr>
      <t>W</t>
    </r>
    <r>
      <rPr>
        <i/>
        <vertAlign val="subscript"/>
        <sz val="12"/>
        <rFont val="Calibri Light"/>
        <family val="2"/>
      </rPr>
      <t>io</t>
    </r>
    <r>
      <rPr>
        <vertAlign val="subscript"/>
        <sz val="12"/>
        <rFont val="Calibri Light"/>
        <family val="2"/>
      </rPr>
      <t>​</t>
    </r>
    <r>
      <rPr>
        <i/>
        <sz val="12"/>
        <rFont val="KaTeX_Math"/>
      </rPr>
      <t>x</t>
    </r>
    <r>
      <rPr>
        <i/>
        <vertAlign val="subscript"/>
        <sz val="12"/>
        <rFont val="KaTeX_Math"/>
      </rPr>
      <t>t</t>
    </r>
    <r>
      <rPr>
        <sz val="12"/>
        <rFont val="Times New Roman"/>
        <family val="1"/>
      </rPr>
      <t>​+</t>
    </r>
    <r>
      <rPr>
        <i/>
        <sz val="12"/>
        <rFont val="KaTeX_Math"/>
      </rPr>
      <t>b</t>
    </r>
    <r>
      <rPr>
        <i/>
        <vertAlign val="subscript"/>
        <sz val="12"/>
        <rFont val="KaTeX_Math"/>
      </rPr>
      <t>io</t>
    </r>
    <r>
      <rPr>
        <sz val="12"/>
        <rFont val="Times New Roman"/>
        <family val="1"/>
      </rPr>
      <t>​+</t>
    </r>
    <r>
      <rPr>
        <i/>
        <sz val="12"/>
        <rFont val="KaTeX_Math"/>
      </rPr>
      <t>W</t>
    </r>
    <r>
      <rPr>
        <i/>
        <vertAlign val="subscript"/>
        <sz val="12"/>
        <rFont val="KaTeX_Math"/>
      </rPr>
      <t>ho</t>
    </r>
    <r>
      <rPr>
        <sz val="12"/>
        <rFont val="Times New Roman"/>
        <family val="1"/>
      </rPr>
      <t>​</t>
    </r>
    <r>
      <rPr>
        <i/>
        <sz val="12"/>
        <rFont val="KaTeX_Math"/>
      </rPr>
      <t>h</t>
    </r>
    <r>
      <rPr>
        <i/>
        <vertAlign val="subscript"/>
        <sz val="12"/>
        <rFont val="KaTeX_Math"/>
      </rPr>
      <t>t</t>
    </r>
    <r>
      <rPr>
        <vertAlign val="subscript"/>
        <sz val="12"/>
        <rFont val="Times New Roman"/>
        <family val="1"/>
      </rPr>
      <t>−1​</t>
    </r>
    <r>
      <rPr>
        <sz val="12"/>
        <rFont val="Times New Roman"/>
        <family val="1"/>
      </rPr>
      <t>+</t>
    </r>
    <r>
      <rPr>
        <i/>
        <sz val="12"/>
        <rFont val="KaTeX_Math"/>
      </rPr>
      <t>b</t>
    </r>
    <r>
      <rPr>
        <i/>
        <vertAlign val="subscript"/>
        <sz val="12"/>
        <rFont val="Calibri Light"/>
        <family val="2"/>
      </rPr>
      <t>ho</t>
    </r>
    <r>
      <rPr>
        <vertAlign val="subscript"/>
        <sz val="12"/>
        <rFont val="Calibri Light"/>
        <family val="2"/>
      </rPr>
      <t>​</t>
    </r>
    <r>
      <rPr>
        <sz val="12"/>
        <rFont val="Times New Roman"/>
        <family val="1"/>
      </rPr>
      <t>)</t>
    </r>
  </si>
  <si>
    <t>Creates vector of new candidate values for updating cell state. Tanh normalizes values between -1 and 1.</t>
  </si>
  <si>
    <t>Combines the old state and new candidate values using Hadamard product.</t>
  </si>
  <si>
    <t>Used in LSTMs, element-wise multiplication.</t>
  </si>
  <si>
    <r>
      <rPr>
        <sz val="12"/>
        <rFont val="KaTeX_Math"/>
      </rPr>
      <t>Cell State Update</t>
    </r>
    <r>
      <rPr>
        <i/>
        <sz val="12"/>
        <rFont val="KaTeX_Math"/>
      </rPr>
      <t>: f</t>
    </r>
    <r>
      <rPr>
        <i/>
        <vertAlign val="subscript"/>
        <sz val="12"/>
        <rFont val="KaTeX_Math"/>
      </rPr>
      <t>t</t>
    </r>
    <r>
      <rPr>
        <sz val="12"/>
        <rFont val="Times New Roman"/>
        <family val="1"/>
      </rPr>
      <t>​⊙</t>
    </r>
    <r>
      <rPr>
        <i/>
        <sz val="12"/>
        <rFont val="KaTeX_Math"/>
      </rPr>
      <t>c</t>
    </r>
    <r>
      <rPr>
        <i/>
        <vertAlign val="subscript"/>
        <sz val="12"/>
        <rFont val="KaTeX_Math"/>
      </rPr>
      <t>t</t>
    </r>
    <r>
      <rPr>
        <sz val="12"/>
        <rFont val="Times New Roman"/>
        <family val="1"/>
      </rPr>
      <t>−1​+</t>
    </r>
    <r>
      <rPr>
        <i/>
        <sz val="12"/>
        <rFont val="KaTeX_Math"/>
      </rPr>
      <t>i</t>
    </r>
    <r>
      <rPr>
        <i/>
        <vertAlign val="subscript"/>
        <sz val="12"/>
        <rFont val="KaTeX_Math"/>
      </rPr>
      <t>t</t>
    </r>
    <r>
      <rPr>
        <sz val="12"/>
        <rFont val="Times New Roman"/>
        <family val="1"/>
      </rPr>
      <t>​⊙</t>
    </r>
    <r>
      <rPr>
        <i/>
        <sz val="12"/>
        <rFont val="KaTeX_Math"/>
      </rPr>
      <t>g</t>
    </r>
    <r>
      <rPr>
        <i/>
        <vertAlign val="subscript"/>
        <sz val="12"/>
        <rFont val="Calibri Light"/>
        <family val="2"/>
      </rPr>
      <t>t</t>
    </r>
    <r>
      <rPr>
        <vertAlign val="subscript"/>
        <sz val="12"/>
        <rFont val="Calibri Light"/>
        <family val="2"/>
      </rPr>
      <t>​</t>
    </r>
  </si>
  <si>
    <r>
      <rPr>
        <sz val="12"/>
        <rFont val="KaTeX_Math"/>
      </rPr>
      <t>Hidden State Update:</t>
    </r>
    <r>
      <rPr>
        <i/>
        <sz val="12"/>
        <rFont val="KaTeX_Math"/>
      </rPr>
      <t xml:space="preserve"> o</t>
    </r>
    <r>
      <rPr>
        <i/>
        <vertAlign val="subscript"/>
        <sz val="12"/>
        <rFont val="KaTeX_Math"/>
      </rPr>
      <t>t</t>
    </r>
    <r>
      <rPr>
        <sz val="12"/>
        <rFont val="Times New Roman"/>
        <family val="1"/>
      </rPr>
      <t>​⊙tanh(</t>
    </r>
    <r>
      <rPr>
        <i/>
        <sz val="12"/>
        <rFont val="KaTeX_Math"/>
      </rPr>
      <t>c</t>
    </r>
    <r>
      <rPr>
        <i/>
        <vertAlign val="subscript"/>
        <sz val="12"/>
        <rFont val="KaTeX_Math"/>
      </rPr>
      <t>t</t>
    </r>
    <r>
      <rPr>
        <sz val="12"/>
        <rFont val="Times New Roman"/>
        <family val="1"/>
      </rPr>
      <t>​)</t>
    </r>
  </si>
  <si>
    <t>vanishing gradient problem</t>
  </si>
  <si>
    <t>Activating function used in hidden layers. Also known as tanh = (exp(2a)-1) / (exp(2a)+1), creates [-1, 1] bound; this is a saturating non-linearity which is slower than Relu. Equivalent to sinh(x)/cosh(x). Tanh has a stronger gradient than sigmoid, so it can be faster, but still suffers from vanishing gradient problem. Tanh is zero-centered, which makes it easier to learn data centered around zero, especially in non-output layers.</t>
  </si>
  <si>
    <t>Gradients become very small during backpropagation.</t>
  </si>
  <si>
    <r>
      <t xml:space="preserve">Regularization method that limits </t>
    </r>
    <r>
      <rPr>
        <b/>
        <sz val="10"/>
        <color theme="1"/>
        <rFont val="Arial"/>
        <family val="2"/>
      </rPr>
      <t>overfitting</t>
    </r>
    <r>
      <rPr>
        <sz val="10"/>
        <color theme="1"/>
        <rFont val="Arial"/>
        <family val="2"/>
      </rPr>
      <t xml:space="preserve"> by setting to zero a subset of features by multiplying them with a Bernoulli random variable.</t>
    </r>
  </si>
  <si>
    <t>projection</t>
  </si>
  <si>
    <t>Reducing dimensionality to simplify data, improve performance, etc. See LCA, LDA.</t>
  </si>
  <si>
    <t>bidirectional LSTM (BiLSTM)</t>
  </si>
  <si>
    <t>BiLSTM processes both forward and backward directions simultaneously using forward and backward pass.</t>
  </si>
  <si>
    <t>Myshell.ai</t>
  </si>
  <si>
    <t>Mango, ScaleX</t>
  </si>
  <si>
    <t>https://www.voicemod.net/</t>
  </si>
  <si>
    <t>Spain</t>
  </si>
  <si>
    <t>Valencia</t>
  </si>
  <si>
    <t>Fernando Bosch, Jaime Bosch, Juan Bosch</t>
  </si>
  <si>
    <t>3.3m MAU</t>
  </si>
  <si>
    <t>Series A-2</t>
  </si>
  <si>
    <t>Voice modulation</t>
  </si>
  <si>
    <t>Leadwind, The Mini Fund, K Fund, Bitkraft Ventures</t>
  </si>
  <si>
    <t>Bitkraft Ventures, Abacon Capital</t>
  </si>
  <si>
    <t>https://github.com/mozilla/DeepSpeech</t>
  </si>
  <si>
    <t>DeepSpeech</t>
  </si>
  <si>
    <t>Conditional Variational Autoencoder with Adversarial Learning for End-To-End Text-to-Speech</t>
  </si>
  <si>
    <t>Jaehyeon Kim, Jungil Kong, Juhee Son</t>
  </si>
  <si>
    <t>https://arxiv.org/abs/2106.06103</t>
  </si>
  <si>
    <t>This approach replaces a division with a multiplication, which can be beneficial from a performance standpoint. However, in the context of Python and PyTorch, the speedup might not be significant due to various optimizations already in place. As always, if performance is a critical aspect of your application, it's a good idea to profile your code with both methods and see if there is a noteworthy difference. Remember, such micro-optimizations should be considered after addressing more significant performance bottlenecks.</t>
  </si>
  <si>
    <t>Pheme: Efficient and Conversational Speech Generation</t>
  </si>
  <si>
    <t>Poly-ai.com</t>
  </si>
  <si>
    <t>Towards ASR Robust Spoken Language Understanding Through In-Context Learning with Word Confusion Networks</t>
  </si>
  <si>
    <t>Perceiver: General Perception with Iterative Attention</t>
  </si>
  <si>
    <t>https://arxiv.org/abs/2103.03206</t>
  </si>
  <si>
    <t>Neural Codec Language Models are Zero-Shot Text to Speech Synthesizers (Vall-E)</t>
  </si>
  <si>
    <t>https://arxiv.org/abs/2301.02111</t>
  </si>
  <si>
    <t>VITS2: Improving Quality and Efficiency of Single-Stage Text-to-Speech with Adversarial Learning and Architecture Design</t>
  </si>
  <si>
    <t>https://arxiv.org/abs/2307.16430</t>
  </si>
  <si>
    <t>Natural TTS Synthesis by Conditioning Wavenet on MEL Spectrogram Predictions (Tacotron 2)</t>
  </si>
  <si>
    <t>https://arxiv.org/abs/1712.05884</t>
  </si>
  <si>
    <t>Google: Jonathan Shen, Ruoming Pang, Ron J. Weiss, Mike Schuster, Navdeep Jaitly, Zongheng Yang, Zhifeng Chen, Yu Zhang, Yuxuan Wang, RJ Skerry-Ryan, Rif A. Saurous, Yannis Agiomyrgiannakis, Yonghui Wu</t>
  </si>
  <si>
    <t>Microsoft: Chengyi Wang, Sanyuan Chen, Yu Wu, Ziqiang Zhang, Long Zhou, Shujie Liu, Zhuo Chen, Yanqing Liu, Huaming Wang, Jinyu Li, Lei He, Sheng Zhao, Furu Wei</t>
  </si>
  <si>
    <t>Google: Andrew Jaegle, Felix Gimeno, Andrew Brock, Andrew Zisserman, Oriol Vinyals, Joao Carreira</t>
  </si>
  <si>
    <t>SK Telecom: Jungil Kong, Jihoon Park, Beomjeong Kim, Jeongmin Kim, Dohee Kong, Sangjin Kim</t>
  </si>
  <si>
    <t>Amazon: Kevin Everson et al, Amazon.</t>
  </si>
  <si>
    <t>https://arxiv.org/abs/2401.02921</t>
  </si>
  <si>
    <t>Poly AI: Paweł Budzianowski, Taras Sereda, Tomasz Cichy, Ivan Vulic</t>
  </si>
  <si>
    <t>https://arxiv.org/pdf/2401.02839.pdf</t>
  </si>
  <si>
    <t>Neural Speech Synthesis with Transformer Network</t>
  </si>
  <si>
    <t>https://arxiv.org/abs/1809.08895</t>
  </si>
  <si>
    <t>Microsoft: Naihan Li, Shujie Liu, Yanqing Liu, Sheng Zhao, Ming Liu, Ming Zhou</t>
  </si>
  <si>
    <t>FastSpeech: Fast, Robust and Controllable Text to Speech</t>
  </si>
  <si>
    <t>Microsoft: Yi Ren, Yangjun Ruan, Xu Tan, Tao Qin, Sheng Zhao, Zhou Zhao, Tie-Yan Liu</t>
  </si>
  <si>
    <t>https://arxiv.org/abs/1905.09263</t>
  </si>
  <si>
    <t>Glow-TTS: A Generative Flow for Text-to-Speech via Monotonic Alignment Search</t>
  </si>
  <si>
    <t>https://arxiv.org/abs/2005.11129</t>
  </si>
  <si>
    <t>Kakao: Jaehyeon Kim, Sungwon Kim, Jungil Kong, Sungroh Yoon</t>
  </si>
  <si>
    <t>Flowtron: an Autoregressive Flow-based Generative Network for Text-to-Speech Synthesis</t>
  </si>
  <si>
    <t>Nvidia: Rafael Valle, Kevin Shih, Ryan Prenger, Bryan Catanzaro</t>
  </si>
  <si>
    <t>https://arxiv.org/abs/2005.05957</t>
  </si>
  <si>
    <t>Grad-TTS: A Diffusion Probabilistic Model for Text-to-Speech</t>
  </si>
  <si>
    <t>https://arxiv.org/abs/2105.06337</t>
  </si>
  <si>
    <t>Huawei: Vadim Popov, Ivan Vovk, Vladimir Gogoryan, Tasnima Sadekova, Mikhail Kudinov</t>
  </si>
  <si>
    <t>FastSpeech 2: Fast and High-Quality End-to-End Text to Speech</t>
  </si>
  <si>
    <t>https://arxiv.org/abs/2006.04558</t>
  </si>
  <si>
    <t>Deep Speech: Scaling up end-to-end speech recognition</t>
  </si>
  <si>
    <t>https://arxiv.org/abs/1412.5567</t>
  </si>
  <si>
    <t>Baidu: Awni Hannun, Carl Case, Jared Casper, Bryan Catanzaro, Greg Diamos, Erich Elsen, Ryan Prenger, Sanjeev Satheesh, Shubho Sengupta, Adam Coates, Andrew Y. Ng</t>
  </si>
  <si>
    <t>Microsoft: Yi Ren, Chenxu Hu, Xu Tan, Tao Qin, Sheng Zhao, Zhou Zhao, Tie-Yan Liu</t>
  </si>
  <si>
    <t>Google: Aaron van den Oord, Sander Dieleman, Heiga Zen, Karen Simonyan, Oriol Vinyals, Alex Graves, Nal Kalchbrenner, Andrew Senior, Koray Kavukcuoglu</t>
  </si>
  <si>
    <t>https://arxiv.org/abs/1609.03499</t>
  </si>
  <si>
    <t>Efficient Neural Audio Synthesis</t>
  </si>
  <si>
    <t>https://arxiv.org/abs/1802.08435</t>
  </si>
  <si>
    <t>WaveGlow: A Flow-based Generative Network for Speech Synthesis</t>
  </si>
  <si>
    <t>Google: Nal Kalchbrenner, Erich Elsen, Karen Simonyan, Seb Noury, Norman Casagrande, Edward Lockhart, Florian Stimberg, Aaron van den Oord, Sander Dieleman, Koray Kavukcuoglu</t>
  </si>
  <si>
    <t>Ryan Prenger, Rafael Valle, Bryan Catanzaro</t>
  </si>
  <si>
    <t>https://arxiv.org/abs/1811.00002</t>
  </si>
  <si>
    <t>T5 (Microsoft)</t>
  </si>
  <si>
    <t>www.nonint.com</t>
  </si>
  <si>
    <t>Piper</t>
  </si>
  <si>
    <t>https://github.com/rhasspy/piper</t>
  </si>
  <si>
    <t>Representation Mixing for TTS Synthesis</t>
  </si>
  <si>
    <t>Mila: Kyle Kastner, et al.</t>
  </si>
  <si>
    <t>Unit selection in a concatenative speech synthesis system using a large speech database</t>
  </si>
  <si>
    <t>AJ Hunt, AW Black</t>
  </si>
  <si>
    <t>https://mila.quebec/wp-content/uploads/2017/02/end-end-speech.pdf</t>
  </si>
  <si>
    <t>Char2Wav: End-To-End Speech Synthesis</t>
  </si>
  <si>
    <t>Mila: Jose Sotelo, et al.</t>
  </si>
  <si>
    <t>James Betker</t>
  </si>
  <si>
    <t>https://arxiv.org/abs/2305.07243</t>
  </si>
  <si>
    <t>Used by Tortoise</t>
  </si>
  <si>
    <t>https://github.com/yl4579/StyleTTS</t>
  </si>
  <si>
    <t>https://github.com/NVIDIA/NeMo</t>
  </si>
  <si>
    <t>Not specifically TTS</t>
  </si>
  <si>
    <t>https://github.com/suno-ai/bark</t>
  </si>
  <si>
    <t>119m</t>
  </si>
  <si>
    <t>Price/1k</t>
  </si>
  <si>
    <t>Has celebrities? Accepts SSML, Spanish, German. Impossible to sign up.</t>
  </si>
  <si>
    <t>Balabolka</t>
  </si>
  <si>
    <t>Voice Dream Reader</t>
  </si>
  <si>
    <t>IBM Watson</t>
  </si>
  <si>
    <t>cringe</t>
  </si>
  <si>
    <t>Nvidia: Tero Karras, Miika Aittala, Timo Aila, Samuli Laine</t>
  </si>
  <si>
    <t>Elucidating the Design Space of Diffusion-Based Generative Models, 10/11/2022, arXiv</t>
  </si>
  <si>
    <t>https://arxiv.org/abs/2206.00364</t>
  </si>
  <si>
    <t>Nvidia: Tero Karras</t>
  </si>
  <si>
    <t>https://arxiv.org/abs/2312.02696</t>
  </si>
  <si>
    <r>
      <t xml:space="preserve">Also known as </t>
    </r>
    <r>
      <rPr>
        <b/>
        <sz val="10"/>
        <color theme="1"/>
        <rFont val="Arial"/>
        <family val="2"/>
      </rPr>
      <t>diffusion probabilistic models</t>
    </r>
    <r>
      <rPr>
        <sz val="10"/>
        <color theme="1"/>
        <rFont val="Arial"/>
        <family val="2"/>
      </rPr>
      <t xml:space="preserve">, a class of </t>
    </r>
    <r>
      <rPr>
        <b/>
        <sz val="10"/>
        <color theme="1"/>
        <rFont val="Arial"/>
        <family val="2"/>
      </rPr>
      <t>latent variable</t>
    </r>
    <r>
      <rPr>
        <sz val="10"/>
        <color theme="1"/>
        <rFont val="Arial"/>
        <family val="2"/>
      </rPr>
      <t xml:space="preserve"> models which outperform GANs. Also known as </t>
    </r>
    <r>
      <rPr>
        <b/>
        <sz val="10"/>
        <color theme="1"/>
        <rFont val="Arial"/>
        <family val="2"/>
      </rPr>
      <t>denoising diffusion models</t>
    </r>
    <r>
      <rPr>
        <sz val="10"/>
        <color theme="1"/>
        <rFont val="Arial"/>
        <family val="2"/>
      </rPr>
      <t xml:space="preserve"> or </t>
    </r>
    <r>
      <rPr>
        <b/>
        <sz val="10"/>
        <color theme="1"/>
        <rFont val="Arial"/>
        <family val="2"/>
      </rPr>
      <t>score-based generative models</t>
    </r>
    <r>
      <rPr>
        <sz val="10"/>
        <color theme="1"/>
        <rFont val="Arial"/>
        <family val="2"/>
      </rPr>
      <t xml:space="preserve">. Diffusion models are </t>
    </r>
    <r>
      <rPr>
        <b/>
        <sz val="10"/>
        <color theme="1"/>
        <rFont val="Arial"/>
        <family val="2"/>
      </rPr>
      <t>parameterized Markov chains</t>
    </r>
    <r>
      <rPr>
        <sz val="10"/>
        <color theme="1"/>
        <rFont val="Arial"/>
        <family val="2"/>
      </rPr>
      <t xml:space="preserve"> using two processes: </t>
    </r>
    <r>
      <rPr>
        <b/>
        <sz val="10"/>
        <color theme="1"/>
        <rFont val="Arial"/>
        <family val="2"/>
      </rPr>
      <t>forward diffusion</t>
    </r>
    <r>
      <rPr>
        <sz val="10"/>
        <color theme="1"/>
        <rFont val="Arial"/>
        <family val="2"/>
      </rPr>
      <t xml:space="preserve"> and </t>
    </r>
    <r>
      <rPr>
        <b/>
        <sz val="10"/>
        <color theme="1"/>
        <rFont val="Arial"/>
        <family val="2"/>
      </rPr>
      <t>parametrized reverse</t>
    </r>
    <r>
      <rPr>
        <sz val="10"/>
        <color theme="1"/>
        <rFont val="Arial"/>
        <family val="2"/>
      </rPr>
      <t>. The forward diffusion process passes randomly sample noise with Gaussian noise and then reverses through the "</t>
    </r>
    <r>
      <rPr>
        <b/>
        <sz val="10"/>
        <color theme="1"/>
        <rFont val="Arial"/>
        <family val="2"/>
      </rPr>
      <t>learned</t>
    </r>
    <r>
      <rPr>
        <sz val="10"/>
        <color theme="1"/>
        <rFont val="Arial"/>
        <family val="2"/>
      </rPr>
      <t xml:space="preserve"> </t>
    </r>
    <r>
      <rPr>
        <b/>
        <sz val="10"/>
        <color theme="1"/>
        <rFont val="Arial"/>
        <family val="2"/>
      </rPr>
      <t>denoising</t>
    </r>
    <r>
      <rPr>
        <sz val="10"/>
        <color theme="1"/>
        <rFont val="Arial"/>
        <family val="2"/>
      </rPr>
      <t xml:space="preserve"> </t>
    </r>
    <r>
      <rPr>
        <b/>
        <sz val="10"/>
        <color theme="1"/>
        <rFont val="Arial"/>
        <family val="2"/>
      </rPr>
      <t>process</t>
    </r>
    <r>
      <rPr>
        <sz val="10"/>
        <color theme="1"/>
        <rFont val="Arial"/>
        <family val="2"/>
      </rPr>
      <t xml:space="preserve">". Diffusion models map latent space using a </t>
    </r>
    <r>
      <rPr>
        <b/>
        <sz val="10"/>
        <color theme="1"/>
        <rFont val="Arial"/>
        <family val="2"/>
      </rPr>
      <t>fixed Markov chain</t>
    </r>
    <r>
      <rPr>
        <sz val="10"/>
        <color theme="1"/>
        <rFont val="Arial"/>
        <family val="2"/>
      </rPr>
      <t>,</t>
    </r>
    <r>
      <rPr>
        <b/>
        <sz val="10"/>
        <color theme="1"/>
        <rFont val="Arial"/>
        <family val="2"/>
      </rPr>
      <t xml:space="preserve"> </t>
    </r>
    <r>
      <rPr>
        <sz val="10"/>
        <color theme="1"/>
        <rFont val="Arial"/>
        <family val="2"/>
      </rPr>
      <t>which adds noise. Training a diffusion model requires finding reverse Markov transitions that maximize the likelihood of the training data.</t>
    </r>
    <r>
      <rPr>
        <sz val="10"/>
        <color theme="1"/>
        <rFont val="Arial"/>
        <family val="2"/>
      </rPr>
      <t xml:space="preserve"> Diffusion models scale well to large datasets for image synthesis.</t>
    </r>
  </si>
  <si>
    <t>ADM</t>
  </si>
  <si>
    <t>Ablated diffusion model</t>
  </si>
  <si>
    <t>Diffusion Models Beat GANs on Image Synthesis. arXiv 6/1/2021</t>
  </si>
  <si>
    <t>OpenAI: Prafulla Dhariwal, Alex Nichol</t>
  </si>
  <si>
    <t>Co-creator of DALLE-2. Codex, Shap-E, Guided Diffusion</t>
  </si>
  <si>
    <t>Gotta Learn Fast (4/23/18), Reptile, Guided Diffusion (6/1/21)</t>
  </si>
  <si>
    <t>prafulla@openai.com</t>
  </si>
  <si>
    <t>Diffusion Models Beat GANs (6/1/21), Language Models are Few-Shot Learners (7/22/2020), OpenAI Baselines (5/24/2017)</t>
  </si>
  <si>
    <t>gated recurrent unit, a gating mechanism in RNNs</t>
  </si>
  <si>
    <t>ReDi (Zhang et al.), Retrieval-based Diffusion sampling. Using a precomputed knowledge base, ReDi retrieves a. trajectory similar to the partially generated trajectory at an early stage of generation.</t>
  </si>
  <si>
    <t>https://github.com/zkx06111/ReDiffusion</t>
  </si>
  <si>
    <t>Tacotron 2</t>
  </si>
  <si>
    <t>Sequence-to-sequence, acoustic feature prediction + WaveNet vocoder.</t>
  </si>
  <si>
    <t>AR vocoders were too slow, which led to early GANs such as WaveGAN &amp; MelGAN. HifiGAN was the breakthrough.</t>
  </si>
  <si>
    <t>Neural Voice Cloning with a Few Samples</t>
  </si>
  <si>
    <t>Baidu: Sercan Arik et al</t>
  </si>
  <si>
    <t>https://arxiv.org/abs/1802.06006</t>
  </si>
  <si>
    <t>High quality, lightweight and adaptable TTS using LPCNet</t>
  </si>
  <si>
    <t>https://arxiv.org/abs/1905.00590</t>
  </si>
  <si>
    <t>IBM: Zvi Kons et al.</t>
  </si>
  <si>
    <t>Deep Speaker: an End-to-End Neural Speaker Embedding System</t>
  </si>
  <si>
    <t>https://arxiv.org/abs/1705.02304</t>
  </si>
  <si>
    <t>Baidu: Chao Li et al.</t>
  </si>
  <si>
    <t>Sample Efficient Adaptive Text-to-Speech</t>
  </si>
  <si>
    <t>https://arxiv.org/abs/1809.10460</t>
  </si>
  <si>
    <t>Google: Chen et al.</t>
  </si>
  <si>
    <t>Boffin TTS: Few-Shot Speaker Adaptation by Bayesian Optimization</t>
  </si>
  <si>
    <t>Amazon: Henry Moss et al.</t>
  </si>
  <si>
    <t>https://arxiv.org/abs/2002.01953</t>
  </si>
  <si>
    <t>AdaDurIAN: Few-shot Adaptation for Neural Text-to-Speech with DurIAN</t>
  </si>
  <si>
    <t>https://arxiv.org/abs/2005.05642</t>
  </si>
  <si>
    <t>Tencent: Zewang Zhang et al.</t>
  </si>
  <si>
    <t>Zero-Shot Multi-Speaker Text-to--Speech with State-of-the-art Neural Speaker Embeddings</t>
  </si>
  <si>
    <t>Erica Cooper et al.</t>
  </si>
  <si>
    <t>https://arxiv.org/abs/1910.10838</t>
  </si>
  <si>
    <t>Generalized End-to-End Loss for Speaker Verification</t>
  </si>
  <si>
    <t>https://arxiv.org/abs/1710.10467</t>
  </si>
  <si>
    <t>Google: Li Wan et al.</t>
  </si>
  <si>
    <t>Towards End-to-End Prosody Transfer for Expressive Speech Synthesis with Tacotron</t>
  </si>
  <si>
    <t>https://arxiv.org/abs/1803.09047</t>
  </si>
  <si>
    <t>Google: RJ Skerry-Ryan et al</t>
  </si>
  <si>
    <t>Style Tokens: Unsupervised Style Modeling, Control and Transfer in End-to-End Speech Synthesis</t>
  </si>
  <si>
    <t>https://arxiv.org/abs/1803.09017</t>
  </si>
  <si>
    <t>Google: Yuxuan Wang et al.</t>
  </si>
  <si>
    <t>Front-end factor analysis for speaker verification. IEEE Transact Audio Speech Lang Process</t>
  </si>
  <si>
    <t>https://ieeexplore.ieee.org/document/5545402</t>
  </si>
  <si>
    <t>Dehak et al.</t>
  </si>
  <si>
    <t>Non-parallel voice conversion using i-vector PLDA: towards unifying speaker verification and transformation</t>
  </si>
  <si>
    <t>https://ieeexplore.ieee.org/document/7953215</t>
  </si>
  <si>
    <t>Kinnunen et al.</t>
  </si>
  <si>
    <t>Speaker diarization with LSTM</t>
  </si>
  <si>
    <t>https://arxiv.org/abs/1710.10468</t>
  </si>
  <si>
    <t>Google: Quan Wang et al.</t>
  </si>
  <si>
    <t>Transfer Learning from Speaker Verification to Multispeaker Text-To-Speech Synthesis</t>
  </si>
  <si>
    <t>https://arxiv.org/abs/1806.04558</t>
  </si>
  <si>
    <t>Google: Ye Jia et al.</t>
  </si>
  <si>
    <t>Deep Neural Network Embeddings for Text-Independent Speaker Verification</t>
  </si>
  <si>
    <t>Snyder et al.</t>
  </si>
  <si>
    <t>https://www.danielpovey.com/files/2017_interspeech_embeddings.pdf</t>
  </si>
  <si>
    <t>Parallel WaveGAN: a fast waveform generation model based on generative adversarial networks with multi-resolution spectrogram</t>
  </si>
  <si>
    <t>Yamamoto et al.</t>
  </si>
  <si>
    <t>ICASSP - IEEE Conf on Acoustics Speech Signal Processing</t>
  </si>
  <si>
    <t>MelGAN: Generative Adversarial Networks for Conditional Waveform Synthesis</t>
  </si>
  <si>
    <t>https://arxiv.org/abs/1910.06711</t>
  </si>
  <si>
    <t>Mila, Lyrebird: Kumar et al.</t>
  </si>
  <si>
    <t>HiFi-GAN: Generative Adversarial Networks for Efficient and High Fidelity Speech Synthesis</t>
  </si>
  <si>
    <t>https://arxiv.org/abs/2010.05646</t>
  </si>
  <si>
    <t>Kakao: Kong et al.</t>
  </si>
  <si>
    <t>Learning Phrase Representations using RNN Encoder-Decoder for Statistical Machine Translation</t>
  </si>
  <si>
    <t>https://arxiv.org/abs/1406.1078</t>
  </si>
  <si>
    <t>Umontreal: Cho et al.</t>
  </si>
  <si>
    <t>Sequence to sequence learning with neural networks. NIPS 2014.</t>
  </si>
  <si>
    <t>2017-x</t>
  </si>
  <si>
    <t>Mobilenets: efficient convolutional neural networks for mobile vision applications</t>
  </si>
  <si>
    <t>AG Howard et al.</t>
  </si>
  <si>
    <t>2016-x</t>
  </si>
  <si>
    <t>Weight normalization: a simple reparameterization to accelerate training of deep neural networks. NIPS 2016.</t>
  </si>
  <si>
    <t>Salimans &amp; Kingma</t>
  </si>
  <si>
    <t>Spectral Normalization for Generative Adversarial Networks</t>
  </si>
  <si>
    <t>Miyato et al.</t>
  </si>
  <si>
    <t>https://arxiv.org/abs/1802.05957</t>
  </si>
  <si>
    <t>Librispeech: an ASR corpus based on public domain audio books.</t>
  </si>
  <si>
    <t>https://arxiv.org/abs/2105.05233</t>
  </si>
  <si>
    <t>2021-1</t>
  </si>
  <si>
    <t>Deep Learning with Python (Manning), Keras, TensorFlow</t>
  </si>
  <si>
    <t>https://cloud.yandex.com/en/services/speechkit</t>
  </si>
  <si>
    <t>SpeechKit</t>
  </si>
  <si>
    <t>Generative Spoken Dialogue Language Modeling</t>
  </si>
  <si>
    <t>Meta: Tu Anh Nguyen, Eugene Kharitonov, Jade Copet, Yossi Adi, Wei-Ning Hsu, Ali Elkahky, Paden Tomasello, Robin Algayres, Benoit Sagot, Abdelrahman Mohamed, Emmanuel Dupoux</t>
  </si>
  <si>
    <t>https://arxiv.org/abs/2203.16502</t>
  </si>
  <si>
    <t>kernel methods</t>
  </si>
  <si>
    <t>random forest</t>
  </si>
  <si>
    <t>gradient boosting machine</t>
  </si>
  <si>
    <t>greedily</t>
  </si>
  <si>
    <t>learning representations jointly instead of in succession</t>
  </si>
  <si>
    <t>2016-y</t>
  </si>
  <si>
    <t>Unsupervised Representation Learning with Deep Convolutional Generative Adversarial Networks.</t>
  </si>
  <si>
    <t>Alec Radford, Luke Metz, Soumith Chintala</t>
  </si>
  <si>
    <t>https://arxiv.org/pdf/1511.06434.pdf</t>
  </si>
  <si>
    <t>Soumith Chintala</t>
  </si>
  <si>
    <t>soumith@fb.com</t>
  </si>
  <si>
    <t>Implementation</t>
  </si>
  <si>
    <t>Limited, retrain</t>
  </si>
  <si>
    <t>Production</t>
  </si>
  <si>
    <t>Fast but not expressive</t>
  </si>
  <si>
    <t>Seamless</t>
  </si>
  <si>
    <t>VITS-2</t>
  </si>
  <si>
    <t>https://github.com/daniilrobnikov/vits2</t>
  </si>
  <si>
    <t>Unofficial repo</t>
  </si>
  <si>
    <t>Audiobox</t>
  </si>
  <si>
    <t>Resources</t>
  </si>
  <si>
    <t>https://course.fast.ai/Resources/book.html</t>
  </si>
  <si>
    <t>https://github.com/fastai/fastbook</t>
  </si>
  <si>
    <t>https://arxiv.org/pdf/2309.02285.pdf</t>
  </si>
  <si>
    <t>Microsoft: Leng et al.</t>
  </si>
  <si>
    <t>PromptTTS 2: Describing and Generating Voices with Text Prompt</t>
  </si>
  <si>
    <t>speechki</t>
  </si>
  <si>
    <t>TTSFree</t>
  </si>
  <si>
    <t>Speakatoo</t>
  </si>
  <si>
    <t>aiVoov</t>
  </si>
  <si>
    <t>Speechgen</t>
  </si>
  <si>
    <t>Narakeet</t>
  </si>
  <si>
    <t>EVA-GAN: Enhanced Various Audio Generation via Scalable GANs</t>
  </si>
  <si>
    <t>https://arxiv.org/pdf/2402.00892.pdf</t>
  </si>
  <si>
    <t>https://double-blind-eva-gan.cc/</t>
  </si>
  <si>
    <t>Link2</t>
  </si>
  <si>
    <t>EVA-GAN</t>
  </si>
  <si>
    <t>44.1kHz</t>
  </si>
  <si>
    <t>PSQM</t>
  </si>
  <si>
    <t>Metavoice</t>
  </si>
  <si>
    <t>https://github.com/metavoiceio/metavoice-src</t>
  </si>
  <si>
    <t>Rask.ai</t>
  </si>
  <si>
    <t>https://azure.microsoft.com/en-us/pricing/details/cognitive-services/speech-services/</t>
  </si>
  <si>
    <t>Typecast</t>
  </si>
  <si>
    <t>Neets.ai</t>
  </si>
  <si>
    <t>Sierra</t>
  </si>
  <si>
    <t>Azure (Neural)</t>
  </si>
  <si>
    <t>Ping: My name is dog.</t>
  </si>
  <si>
    <t>BASE TTS</t>
  </si>
  <si>
    <t>YourTTS</t>
  </si>
  <si>
    <t>NaturalSpeech 2</t>
  </si>
  <si>
    <t>https://arxiv.org/pdf/2304.09116.pdf</t>
  </si>
  <si>
    <t>Amazon Polly (standard)</t>
  </si>
  <si>
    <t>Amazon Polly (neural)</t>
  </si>
  <si>
    <t>NaturalSpeech</t>
  </si>
  <si>
    <t>https://speechresearch.github.io/naturalspeech/</t>
  </si>
  <si>
    <t>2021-z</t>
  </si>
  <si>
    <t>https://arxiv.org/pdf/2102.09672.pdf</t>
  </si>
  <si>
    <t>Improved Denoising Diffusion Probabilistic Models</t>
  </si>
  <si>
    <t>WavJourney: Compositional Audio Creation with LLMs</t>
  </si>
  <si>
    <t>Liu et al.</t>
  </si>
  <si>
    <t>Head of Research, was VP Research</t>
  </si>
  <si>
    <t>Aravind Srinivas</t>
  </si>
  <si>
    <t>leadership? Codex (at least 7/14/21), Rubik's Cube (10/16/19), Hindsight Experience Replay (7/10/2017)</t>
  </si>
  <si>
    <t>Hindsight Experience Replay (7/10/2017), Rubik's Cube (10/16/2019)</t>
  </si>
  <si>
    <t>marcin@openai.com</t>
  </si>
  <si>
    <t>Filip Wolski</t>
  </si>
  <si>
    <t>?</t>
  </si>
  <si>
    <t>Hindsight Experience Replay (7/10/2017)</t>
  </si>
  <si>
    <t>Hindsight Experience Replay (7/10/2017), Codex (7/14/21)</t>
  </si>
  <si>
    <t>2021?</t>
  </si>
  <si>
    <t>Rubik's Cube (10/16/19), Hindsight Experience Replay (7/10/2017)</t>
  </si>
  <si>
    <t>Rachel Fong</t>
  </si>
  <si>
    <t>Codex (at least 7/14/21), Rubik's Cube (10/16/19), Hindsight Experience Replay</t>
  </si>
  <si>
    <t>Josh Tobin</t>
  </si>
  <si>
    <t>Leadership</t>
  </si>
  <si>
    <t>Language Models are Few-Shot Learners (7/22/2020), Zero-Shot Text-to-Image Generation (2/26/21), DALL-E and Sora inventor</t>
  </si>
  <si>
    <t>Yung King</t>
  </si>
  <si>
    <t>OmniML (Nvidia)</t>
  </si>
  <si>
    <t>Will Manidis</t>
  </si>
  <si>
    <t>www.science.io</t>
  </si>
  <si>
    <t>Healthcare data, tools</t>
  </si>
  <si>
    <t>Toba Capital, The Todd &amp; Rahul Angel Fund, Swell Partners, Sinai Capital Partners, Section 32, Quiet Capital, Not Boring, Highbury Group, Earl Grey Capital, Dorm Room Fund, Buckley Ventures, Banana Capital, Todd Goldberg, Scott Belsky, Rahul Vohra, Packy McCormick, Oliver Cameron, Neal Khosla, Lachy Groom, Jude Gomila, Josh Buckley, Jeff Silverstein, Jack Altman, Harry Hurst, Austin Rief, Ankur Nagpal</t>
  </si>
  <si>
    <t>Toba Capital</t>
  </si>
  <si>
    <t>ScienceIO</t>
  </si>
  <si>
    <t>Swell Partners</t>
  </si>
  <si>
    <t>Sinai Capital Partners</t>
  </si>
  <si>
    <t>Highbury Group</t>
  </si>
  <si>
    <t>Earl Grey Capital</t>
  </si>
  <si>
    <t>Banana Capital</t>
  </si>
  <si>
    <t>Tractable</t>
  </si>
  <si>
    <t>First Paragraph Moby Dick</t>
  </si>
  <si>
    <t>www.neets.ai</t>
  </si>
  <si>
    <t>Multiple</t>
  </si>
  <si>
    <t>aws.amazon.com</t>
  </si>
  <si>
    <t>cloud.google.com</t>
  </si>
  <si>
    <t>OpenAI (tts-1)</t>
  </si>
  <si>
    <t>OpenAI (tts-1-hd)</t>
  </si>
  <si>
    <t>RIP</t>
  </si>
  <si>
    <t>Voiceovermaker</t>
  </si>
  <si>
    <t>https://github.com/justinjohn0306/so-vits-svc-4.0-v2</t>
  </si>
  <si>
    <t>So-Vits-SVC-4.0-v2</t>
  </si>
  <si>
    <t>Diffusion-SVC</t>
  </si>
  <si>
    <t>https://github.com/CNChTu/Diffusion-SVC/tree/v1_Stable</t>
  </si>
  <si>
    <t>https://github.com/ming024/FastSpeech2</t>
  </si>
  <si>
    <t>https://github.com/xcmyz/FastSpeech</t>
  </si>
  <si>
    <t>TTS (Coqui)</t>
  </si>
  <si>
    <t>https://github.com/coqui-ai/TTS</t>
  </si>
  <si>
    <t>SV TL TTS</t>
  </si>
  <si>
    <t>https://github.com/CorentinJ/Real-Time-Voice-Cloning</t>
  </si>
  <si>
    <t>Mockingbird (Chinese)</t>
  </si>
  <si>
    <t>https://github.com/babysor/MockingBird</t>
  </si>
  <si>
    <t>GPT-SoVITS</t>
  </si>
  <si>
    <t>https://github.com/RVC-Boss/GPT-SoVITS</t>
  </si>
  <si>
    <t>OpenVoice</t>
  </si>
  <si>
    <t>https://github.com/PaddlePaddle/PaddleSpeech</t>
  </si>
  <si>
    <t>PaddleSpeech</t>
  </si>
  <si>
    <t>Mozilla TTS</t>
  </si>
  <si>
    <t>https://github.com/mozilla/TTS</t>
  </si>
  <si>
    <t>VALL-E</t>
  </si>
  <si>
    <t>https://github.com/Plachtaa/VALL-E-X</t>
  </si>
  <si>
    <t>Bert-VITS2</t>
  </si>
  <si>
    <t>https://github.com/fishaudio/Bert-VITS2</t>
  </si>
  <si>
    <t>https://github.com/netease-youdao/EmotiVoice</t>
  </si>
  <si>
    <t>CloneVoice (Coqui fork)</t>
  </si>
  <si>
    <t>https://github.com/jianchang512/clone-voice</t>
  </si>
  <si>
    <t>https://github.com/wzpan/wukong-robot</t>
  </si>
  <si>
    <t>Wukong-Robot</t>
  </si>
  <si>
    <t>Silero</t>
  </si>
  <si>
    <t>https://github.com/snakers4/silero-models</t>
  </si>
  <si>
    <t>DiffSinger</t>
  </si>
  <si>
    <t>TensorFlowTTS</t>
  </si>
  <si>
    <t>WhisperSpeech</t>
  </si>
  <si>
    <t>Tacotron</t>
  </si>
  <si>
    <t>Unofficial Implementation</t>
  </si>
  <si>
    <t>EdgeTTS</t>
  </si>
  <si>
    <t>MaryTTS</t>
  </si>
  <si>
    <t>https://github.com/jik876/hifi-gan</t>
  </si>
  <si>
    <t>2.5m</t>
  </si>
  <si>
    <t>https://github.com/openai/whisper</t>
  </si>
  <si>
    <t>Kaldi</t>
  </si>
  <si>
    <t>https://github.com/kaldi-asr/kaldi</t>
  </si>
  <si>
    <t>https://github.com/facebookresearch/seamless_communication</t>
  </si>
  <si>
    <t>AudioGPT</t>
  </si>
  <si>
    <t>https://github.com/AIGC-Audio/AudioGPT</t>
  </si>
  <si>
    <t>whisperX</t>
  </si>
  <si>
    <t>https://github.com/m-bain/whisperX</t>
  </si>
  <si>
    <t>Uberi SR</t>
  </si>
  <si>
    <t>https://github.com/Uberi/speech_recognition</t>
  </si>
  <si>
    <t>Espnet</t>
  </si>
  <si>
    <t>https://github.com/espnet/espnet</t>
  </si>
  <si>
    <t>https://github.com/nl8590687/ASRT_SpeechRecognition</t>
  </si>
  <si>
    <t>ASRT</t>
  </si>
  <si>
    <t>SpeechBrain</t>
  </si>
  <si>
    <t>https://github.com/speechbrain/speechbrain</t>
  </si>
  <si>
    <t>PaddlePaddle</t>
  </si>
  <si>
    <t>https://github.com/PaddlePaddle/models</t>
  </si>
  <si>
    <t>Vosk API</t>
  </si>
  <si>
    <t>https://github.com/alphacep/vosk-api</t>
  </si>
  <si>
    <t>Annyang</t>
  </si>
  <si>
    <t>https://github.com/TalAter/annyang</t>
  </si>
  <si>
    <t>https://github.com/Const-me/Whisper</t>
  </si>
  <si>
    <t>C++ Whisper</t>
  </si>
  <si>
    <t>wav2letter</t>
  </si>
  <si>
    <t>https://github.com/flashlight/wav2letter</t>
  </si>
  <si>
    <t>EmotiVoice (Netease)</t>
  </si>
  <si>
    <t>Pyannote</t>
  </si>
  <si>
    <t>https://github.com/pyannote/pyannote-audio</t>
  </si>
  <si>
    <t>https://github.com/google/lyra</t>
  </si>
  <si>
    <t>Lyra</t>
  </si>
  <si>
    <t>https://github.com/buriburisuri/speech-to-text-wavenet</t>
  </si>
  <si>
    <t>STT WaveNet</t>
  </si>
  <si>
    <t>wenet</t>
  </si>
  <si>
    <t>https://github.com/wenet-e2e/wenet</t>
  </si>
  <si>
    <t>https://github.com/open-mmlab/Amphion</t>
  </si>
  <si>
    <t>Amphion</t>
  </si>
  <si>
    <t>https://github.com/keithito/tacotron</t>
  </si>
  <si>
    <t>TF ASR Mandarin/Eng</t>
  </si>
  <si>
    <t>https://github.com/zzw922cn/Automatic_Speech_Recognition</t>
  </si>
  <si>
    <t>https://github.com/espeak-ng/espeak-ng</t>
  </si>
  <si>
    <t>eSpeak</t>
  </si>
  <si>
    <t>JuliusJS</t>
  </si>
  <si>
    <t>https://github.com/zzmp/juliusjs</t>
  </si>
  <si>
    <t>FunASR</t>
  </si>
  <si>
    <t>https://github.com/alibaba-damo-academy/FunASR</t>
  </si>
  <si>
    <t>https://github.com/readbeyond/aeneas</t>
  </si>
  <si>
    <t>aeneas</t>
  </si>
  <si>
    <t>pytorch-kaldi</t>
  </si>
  <si>
    <t>pytorch/audio</t>
  </si>
  <si>
    <t>https://github.com/mravanelli/pytorch-kaldi</t>
  </si>
  <si>
    <t>https://github.com/pytorch/audio</t>
  </si>
  <si>
    <t>Python Speech Features</t>
  </si>
  <si>
    <t>https://github.com/jameslyons/python_speech_features</t>
  </si>
  <si>
    <t>https://github.com/r9y9/wavenet_vocoder</t>
  </si>
  <si>
    <t>https://github.com/NVIDIA/waveglow</t>
  </si>
  <si>
    <t>Waveglow</t>
  </si>
  <si>
    <t>https://github.com/marytts/marytts</t>
  </si>
  <si>
    <t>https://github.com/pannous/tensorflow-speech-recognition</t>
  </si>
  <si>
    <t>TF SR</t>
  </si>
  <si>
    <t>https://github.com/haoheliu/AudioLDM</t>
  </si>
  <si>
    <t>AudioLDM</t>
  </si>
  <si>
    <t>gTTS</t>
  </si>
  <si>
    <t>DeepSpeech 2</t>
  </si>
  <si>
    <t>https://github.com/SeanNaren/deepspeech.pytorch</t>
  </si>
  <si>
    <t>https://github.com/pndurette/gTTS</t>
  </si>
  <si>
    <t>Coqui STT</t>
  </si>
  <si>
    <t>https://github.com/coqui-ai/STT</t>
  </si>
  <si>
    <t>https://github.com/s3prl/s3prl</t>
  </si>
  <si>
    <t>S3PRL</t>
  </si>
  <si>
    <t>https://github.com/r9y9/deepvoice3_pytorch</t>
  </si>
  <si>
    <t>DeepVoice3</t>
  </si>
  <si>
    <t>Bark VC</t>
  </si>
  <si>
    <t>https://github.com/KevinWang676/Bark-Voice-Cloning</t>
  </si>
  <si>
    <t>pyTTSx3</t>
  </si>
  <si>
    <t>https://github.com/nateshmbhat/pyttsx3</t>
  </si>
  <si>
    <t>TF Tacotron</t>
  </si>
  <si>
    <t>https://github.com/Kyubyong/tacotron</t>
  </si>
  <si>
    <t>mASR</t>
  </si>
  <si>
    <t>https://github.com/nobody132/masr</t>
  </si>
  <si>
    <t>Julius</t>
  </si>
  <si>
    <t>https://github.com/julius-speech/julius</t>
  </si>
  <si>
    <t>Deep Filter Net</t>
  </si>
  <si>
    <t>https://github.com/Rikorose/DeepFilterNet</t>
  </si>
  <si>
    <t>https://github.com/lifeiteng/vall-e</t>
  </si>
  <si>
    <t>https://github.com/MahmoudAshraf97/whisper-diarization</t>
  </si>
  <si>
    <t>whisper-diarization</t>
  </si>
  <si>
    <t>elevenlabs python</t>
  </si>
  <si>
    <t>https://github.com/elevenlabs/elevenlabs-python</t>
  </si>
  <si>
    <t>soloud</t>
  </si>
  <si>
    <t>https://github.com/jarikomppa/soloud</t>
  </si>
  <si>
    <t>delta</t>
  </si>
  <si>
    <t>https://github.com/Delta-ML/delta</t>
  </si>
  <si>
    <t>OpenSeq2Seq</t>
  </si>
  <si>
    <t>https://github.com/NVIDIA/OpenSeq2Seq</t>
  </si>
  <si>
    <t>https://github.com/facebookresearch/denoiser</t>
  </si>
  <si>
    <t>Denoiser (FB)</t>
  </si>
  <si>
    <t>PocketSphinx.js</t>
  </si>
  <si>
    <t>https://github.com/syl22-00/pocketsphinx.js</t>
  </si>
  <si>
    <t>https://github.com/Marak/say.js</t>
  </si>
  <si>
    <t>Say.JS</t>
  </si>
  <si>
    <t>https://github.com/mdn/web-speech-api</t>
  </si>
  <si>
    <t>Web Speech API</t>
  </si>
  <si>
    <t>https://github.com/google/live-transcribe-speech-engine</t>
  </si>
  <si>
    <t>Live Transcribe</t>
  </si>
  <si>
    <t>Java ASR</t>
  </si>
  <si>
    <t>https://github.com/cmusphinx/sphinx4</t>
  </si>
  <si>
    <t>RHVoice</t>
  </si>
  <si>
    <t>https://github.com/RHVoice/RHVoice</t>
  </si>
  <si>
    <t>https://github.com/zenorocha/voice-elements</t>
  </si>
  <si>
    <t>Voice Elements</t>
  </si>
  <si>
    <t>Praat</t>
  </si>
  <si>
    <t>https://github.com/praat/praat</t>
  </si>
  <si>
    <t>https://github.com/linto-ai/whisper-timestamped</t>
  </si>
  <si>
    <t>Whisper Timestamp</t>
  </si>
  <si>
    <t>eSpeak JS</t>
  </si>
  <si>
    <t>https://github.com/kripken/speak.js</t>
  </si>
  <si>
    <t>Noise Reduce Py</t>
  </si>
  <si>
    <t>https://github.com/timsainb/noisereduce</t>
  </si>
  <si>
    <t>NeuralSpeech (MSFT)</t>
  </si>
  <si>
    <t>https://github.com/microsoft/NeuralSpeech</t>
  </si>
  <si>
    <t>Artyom</t>
  </si>
  <si>
    <t>https://github.com/sdkcarlos/artyom.js</t>
  </si>
  <si>
    <t>Whisper-plus</t>
  </si>
  <si>
    <t>https://github.com/kadirnar/whisper-plus</t>
  </si>
  <si>
    <t>https://github.com/MiteshPuthran/Speech-Emotion-Analyzer</t>
  </si>
  <si>
    <t>Speech Emotion Analyzer</t>
  </si>
  <si>
    <t>Whisper Apple Silicon</t>
  </si>
  <si>
    <t>https://github.com/argmaxinc/WhisperKit</t>
  </si>
  <si>
    <t>https://github.com/coqui-ai/open-speech-corpora</t>
  </si>
  <si>
    <t>Speech Corpora</t>
  </si>
  <si>
    <t>XZVoice</t>
  </si>
  <si>
    <t>https://github.com/bawangxx/XZVoice</t>
  </si>
  <si>
    <t>https://github.com/sc0ty/subsync</t>
  </si>
  <si>
    <t>Subsync</t>
  </si>
  <si>
    <t>https://github.com/Kyubyong/dc_tts</t>
  </si>
  <si>
    <t>DC TTS</t>
  </si>
  <si>
    <t>https://github.com/s-macke/SAM</t>
  </si>
  <si>
    <t>SAM</t>
  </si>
  <si>
    <t>https://github.com/lucidrains/naturalspeech2-pytorch</t>
  </si>
  <si>
    <t>VOSK TTS</t>
  </si>
  <si>
    <t>https://github.com/ideasman42/nerd-dictation</t>
  </si>
  <si>
    <t>World</t>
  </si>
  <si>
    <t>https://github.com/mmorise/World</t>
  </si>
  <si>
    <t>LPCNet</t>
  </si>
  <si>
    <t>https://github.com/xiph/LPCNet</t>
  </si>
  <si>
    <t>TransformerTTS</t>
  </si>
  <si>
    <t>https://github.com/as-ideas/TransformerTTS</t>
  </si>
  <si>
    <t>https://github.com/synesthesiam/voice2json</t>
  </si>
  <si>
    <t>Voice2JSON</t>
  </si>
  <si>
    <t>Ekho</t>
  </si>
  <si>
    <t>https://github.com/hgneng/ekho</t>
  </si>
  <si>
    <t>VITS Chinese</t>
  </si>
  <si>
    <t>https://github.com/PlayVoice/vits_chinese</t>
  </si>
  <si>
    <t>HierSpeechpp</t>
  </si>
  <si>
    <t>https://github.com/sh-lee-prml/HierSpeechpp</t>
  </si>
  <si>
    <t>pyKaldi</t>
  </si>
  <si>
    <t>MoeTTS</t>
  </si>
  <si>
    <t>Botium</t>
  </si>
  <si>
    <t>https://github.com/microsoft/SpeechT5</t>
  </si>
  <si>
    <t>https://github.com/luoyily/MoeTTS</t>
  </si>
  <si>
    <t>https://github.com/pykaldi/pykaldi</t>
  </si>
  <si>
    <t>https://github.com/codeforequity-at/botium-speech-processing</t>
  </si>
  <si>
    <t>NATSpeech</t>
  </si>
  <si>
    <t>https://github.com/NATSpeech/NATSpeech</t>
  </si>
  <si>
    <t>https://github.com/kuangdd/ttskit</t>
  </si>
  <si>
    <t>Asia TTSKit</t>
  </si>
  <si>
    <t>Espresso</t>
  </si>
  <si>
    <t>https://github.com/freewym/espresso</t>
  </si>
  <si>
    <t>Athena</t>
  </si>
  <si>
    <t>https://github.com/athena-team/athena</t>
  </si>
  <si>
    <t>https://github.com/descriptinc/melgan-neurips</t>
  </si>
  <si>
    <t>Quillman</t>
  </si>
  <si>
    <t>https://github.com/modal-labs/quillman</t>
  </si>
  <si>
    <t>Vonage</t>
  </si>
  <si>
    <t>https://github.com/Vonage/vonage-php-sdk-core</t>
  </si>
  <si>
    <t>TensorFlow ASR</t>
  </si>
  <si>
    <t>https://github.com/TensorSpeech/TensorFlowASR</t>
  </si>
  <si>
    <t>Flowtron</t>
  </si>
  <si>
    <t>SpeechPy</t>
  </si>
  <si>
    <t>https://github.com/astorfi/speechpy</t>
  </si>
  <si>
    <t>https://github.com/NVIDIA/flowtron</t>
  </si>
  <si>
    <t>https://github.com/facebookarchive/loop</t>
  </si>
  <si>
    <t>Loop (FB)</t>
  </si>
  <si>
    <t>Voicefixer</t>
  </si>
  <si>
    <t>https://github.com/haoheliu/voicefixer</t>
  </si>
  <si>
    <t>Conformer ASR</t>
  </si>
  <si>
    <t>SpeechGPT</t>
  </si>
  <si>
    <t>https://github.com/0nutation/SpeechGPT</t>
  </si>
  <si>
    <t>https://github.com/sooftware/conformer</t>
  </si>
  <si>
    <t>https://github.com/rhasspy/larynx</t>
  </si>
  <si>
    <t>Vosk Server</t>
  </si>
  <si>
    <t>https://github.com/alphacep/vosk-server</t>
  </si>
  <si>
    <t>VAD Toolkit</t>
  </si>
  <si>
    <t>https://github.com/jtkim-kaist/VAD</t>
  </si>
  <si>
    <t>https://github.com/Renovamen/Speech-Emotion-Recognition</t>
  </si>
  <si>
    <t>Emotion Recognition</t>
  </si>
  <si>
    <t>Lhotse</t>
  </si>
  <si>
    <t>https://github.com/lhotse-speech/lhotse</t>
  </si>
  <si>
    <t>Tencent Chinese Speech</t>
  </si>
  <si>
    <t>https://github.com/TencentGameMate/chinese_speech_pretrain</t>
  </si>
  <si>
    <t>RealtimeTTS</t>
  </si>
  <si>
    <t>https://github.com/KoljaB/RealtimeTTS</t>
  </si>
  <si>
    <t>Tacotron 2 multilingual</t>
  </si>
  <si>
    <t>https://github.com/Tomiinek/Multilingual_Text_to_Speech</t>
  </si>
  <si>
    <t>Segan</t>
  </si>
  <si>
    <t>https://github.com/santi-pdp/segan</t>
  </si>
  <si>
    <t>Flite</t>
  </si>
  <si>
    <t>https://github.com/festvox/flite</t>
  </si>
  <si>
    <t>OpenTTS</t>
  </si>
  <si>
    <t>https://github.com/synesthesiam/opentts</t>
  </si>
  <si>
    <t>Speech Transformer Chinese</t>
  </si>
  <si>
    <t>https://github.com/kaituoxu/Speech-Transformer</t>
  </si>
  <si>
    <t>https://github.com/bytedance/SALMONN</t>
  </si>
  <si>
    <t>SALMONN (ByteDanse)</t>
  </si>
  <si>
    <t>https://github.com/yeyupiaoling/PPASR</t>
  </si>
  <si>
    <t>PPASR</t>
  </si>
  <si>
    <t>AV Hubert</t>
  </si>
  <si>
    <t>https://github.com/facebookresearch/av_hubert</t>
  </si>
  <si>
    <t>Awni PySpeech</t>
  </si>
  <si>
    <t>Sherpa NCNN</t>
  </si>
  <si>
    <t>https://github.com/awni/speech</t>
  </si>
  <si>
    <t>https://github.com/k2-fsa/sherpa-ncnn</t>
  </si>
  <si>
    <t>DiffWave</t>
  </si>
  <si>
    <t>https://github.com/lmnt-com/diffwave</t>
  </si>
  <si>
    <t>FishSpeech</t>
  </si>
  <si>
    <t>https://github.com/fishaudio/fish-speech</t>
  </si>
  <si>
    <t>Resemble Enhance</t>
  </si>
  <si>
    <t>https://github.com/resemble-ai/resemble-enhance</t>
  </si>
  <si>
    <t>Whisper Streaming</t>
  </si>
  <si>
    <t>https://github.com/ufal/whisper_streaming</t>
  </si>
  <si>
    <t>LibreASR</t>
  </si>
  <si>
    <t>https://github.com/iceychris/LibreASR</t>
  </si>
  <si>
    <t>Speech Segmenter</t>
  </si>
  <si>
    <t>https://github.com/ina-foss/inaSpeechSegmenter</t>
  </si>
  <si>
    <t>https://github.com/szechyjs/dsd</t>
  </si>
  <si>
    <t>DSD</t>
  </si>
  <si>
    <t>Denoising</t>
  </si>
  <si>
    <t>https://github.com/drethage/speech-denoising-wavenet</t>
  </si>
  <si>
    <t>https://github.com/openspeech-team/openspeech</t>
  </si>
  <si>
    <t>OpenSpeech</t>
  </si>
  <si>
    <t>https://github.com/DemisEom/SpecAugment</t>
  </si>
  <si>
    <t>SpecAugment</t>
  </si>
  <si>
    <t>https://github.com/cboard-org/cboard</t>
  </si>
  <si>
    <t>Cboard</t>
  </si>
  <si>
    <t>https://github.com/facebookresearch/WavAugment</t>
  </si>
  <si>
    <t>WavAugment</t>
  </si>
  <si>
    <t>https://github.com/soobinseo/Transformer-TTS</t>
  </si>
  <si>
    <t>https://github.com/kaituoxu/Conv-TasNet</t>
  </si>
  <si>
    <t>Conv-TasNet</t>
  </si>
  <si>
    <t>https://github.com/jaywalnut310/glow-tts</t>
  </si>
  <si>
    <t>Glow-TTS</t>
  </si>
  <si>
    <t>Voice-Builder</t>
  </si>
  <si>
    <t>https://github.com/google/voice-builder</t>
  </si>
  <si>
    <t>Parrot</t>
  </si>
  <si>
    <t>https://github.com/sotelo/parrot</t>
  </si>
  <si>
    <t>https://github.com/evancohen/sonus</t>
  </si>
  <si>
    <t>Sonus</t>
  </si>
  <si>
    <t>https://github.com/chengsokdara/use-whisper</t>
  </si>
  <si>
    <t>React Use Whisper</t>
  </si>
  <si>
    <t>Paddle-DeepSpeech</t>
  </si>
  <si>
    <t>https://github.com/yeyupiaoling/PaddlePaddle-DeepSpeech</t>
  </si>
  <si>
    <t>https://github.com/auspicious3000/SpeechSplit</t>
  </si>
  <si>
    <t>SpeechSplit</t>
  </si>
  <si>
    <t>https://github.com/PaddlePaddle/Parakeet</t>
  </si>
  <si>
    <t>Parakeet</t>
  </si>
  <si>
    <t>Codec2-dev</t>
  </si>
  <si>
    <t>https://github.com/drowe67/codec2-dev</t>
  </si>
  <si>
    <t>Rhino</t>
  </si>
  <si>
    <t>https://github.com/Picovoice/rhino</t>
  </si>
  <si>
    <t>https://github.com/hirofumi0810/neural_sp</t>
  </si>
  <si>
    <t>ASR/LM</t>
  </si>
  <si>
    <t>VisQOL</t>
  </si>
  <si>
    <t>https://github.com/google/visqol</t>
  </si>
  <si>
    <t>https://github.com/SpeechColab/GigaSpeech</t>
  </si>
  <si>
    <t>GigaSpeech</t>
  </si>
  <si>
    <t>Chinese Text Norm</t>
  </si>
  <si>
    <t>https://github.com/speechio/chinese_text_normalization</t>
  </si>
  <si>
    <t>Sonic</t>
  </si>
  <si>
    <t>https://github.com/JamesBrill/react-speech-recognition</t>
  </si>
  <si>
    <t>Audio Denoising</t>
  </si>
  <si>
    <t>https://github.com/vbelz/Speech-enhancement</t>
  </si>
  <si>
    <t>https://github.com/DanRuta/xVA-Synth</t>
  </si>
  <si>
    <t>xVA-Synth</t>
  </si>
  <si>
    <t>https://github.com/k2-fsa/sherpa-onnx</t>
  </si>
  <si>
    <t>Sherpa-Onnx</t>
  </si>
  <si>
    <t>KoSpeech</t>
  </si>
  <si>
    <t>https://github.com/sooftware/kospeech</t>
  </si>
  <si>
    <t>Wunjo AI</t>
  </si>
  <si>
    <t>https://github.com/wladradchenko/wunjo.wladradchenko.ru</t>
  </si>
  <si>
    <t>Cheetah</t>
  </si>
  <si>
    <t>https://github.com/Picovoice/cheetah</t>
  </si>
  <si>
    <t>https://github.com/gabrielmittag/NISQA</t>
  </si>
  <si>
    <t>NISQA</t>
  </si>
  <si>
    <t>https://github.com/breizhn/DTLN</t>
  </si>
  <si>
    <t>DTLN</t>
  </si>
  <si>
    <t>https://github.com/google/tacotron</t>
  </si>
  <si>
    <t>Samples only</t>
  </si>
  <si>
    <t>https://github.com/KoljaB/RealtimeSTT</t>
  </si>
  <si>
    <t>Realtime STT</t>
  </si>
  <si>
    <t>https://github.com/r9y9/gantts</t>
  </si>
  <si>
    <t>GANTTS</t>
  </si>
  <si>
    <t>Voice Converter</t>
  </si>
  <si>
    <t>https://github.com/leimao/Voice-Converter-CycleGAN</t>
  </si>
  <si>
    <t>Meta-voicebox (Speechify)</t>
  </si>
  <si>
    <t>https://github.com/SpeechifyInc/Meta-voicebox</t>
  </si>
  <si>
    <t>Termit</t>
  </si>
  <si>
    <t>https://github.com/pawurb/termit</t>
  </si>
  <si>
    <t>Huawei Speech Backbones</t>
  </si>
  <si>
    <t>https://github.com/huawei-noah/Speech-Backbones</t>
  </si>
  <si>
    <t>https://github.com/OlaWod/FreeVC</t>
  </si>
  <si>
    <t>FreeVC</t>
  </si>
  <si>
    <t>https://github.com/Audio-WestlakeU/FullSubNet</t>
  </si>
  <si>
    <t>FullSubNet</t>
  </si>
  <si>
    <t>https://github.com/x4nth055/emotion-recognition-using-speech</t>
  </si>
  <si>
    <t>Allosaurus</t>
  </si>
  <si>
    <t>https://github.com/xinjli/allosaurus</t>
  </si>
  <si>
    <t>Vox Populi</t>
  </si>
  <si>
    <t>https://github.com/facebookresearch/voxpopuli</t>
  </si>
  <si>
    <t>https://github.com/zcaceres/spec_augment</t>
  </si>
  <si>
    <t>VRCWizard</t>
  </si>
  <si>
    <t>https://github.com/VRCWizard/TTS-Voice-Wizard</t>
  </si>
  <si>
    <t>https://github.com/yeyupiaoling/MASR</t>
  </si>
  <si>
    <t>DeepXi</t>
  </si>
  <si>
    <t>https://github.com/anicolson/DeepXi</t>
  </si>
  <si>
    <t>uSpeech</t>
  </si>
  <si>
    <t>https://github.com/arjo129/uSpeech</t>
  </si>
  <si>
    <t>https://github.com/AwesomeTTS/awesometts-anki-addon</t>
  </si>
  <si>
    <t>AwesomeTTS for Anki</t>
  </si>
  <si>
    <t>https://github.com/xenova/whisper-web</t>
  </si>
  <si>
    <t>Whisper-Web</t>
  </si>
  <si>
    <t>VoiceBox</t>
  </si>
  <si>
    <t>https://github.com/lucidrains/voicebox-pytorch</t>
  </si>
  <si>
    <t>https://github.com/ludlows/PESQ</t>
  </si>
  <si>
    <t>PESQ</t>
  </si>
  <si>
    <t>https://github.com/yl4579/StarGANv2-VC</t>
  </si>
  <si>
    <t>StarGAN</t>
  </si>
  <si>
    <t>https://github.com/fgnt/nara_wpe</t>
  </si>
  <si>
    <t>WPE</t>
  </si>
  <si>
    <t>ASR</t>
  </si>
  <si>
    <t>https://github.com/gooofy/zamia-speech</t>
  </si>
  <si>
    <t>https://github.com/espressif/esp-sr</t>
  </si>
  <si>
    <t>CSS10</t>
  </si>
  <si>
    <t>https://github.com/Kyubyong/css10</t>
  </si>
  <si>
    <t>WenetSpeech</t>
  </si>
  <si>
    <t>https://github.com/wenet-e2e/WenetSpeech</t>
  </si>
  <si>
    <t>https://github.com/santi-pdp/pase</t>
  </si>
  <si>
    <t>PASE</t>
  </si>
  <si>
    <t>Stuttgart TTS</t>
  </si>
  <si>
    <t>https://github.com/DigitalPhonetics/IMS-Toucan</t>
  </si>
  <si>
    <t>https://github.com/ranchlai/mandarin-tts</t>
  </si>
  <si>
    <t>FastSpeech2 Mand</t>
  </si>
  <si>
    <t>https://github.com/r9y9/pysptk</t>
  </si>
  <si>
    <t>SPTK</t>
  </si>
  <si>
    <t>https://github.com/Rongjiehuang/ProDiff</t>
  </si>
  <si>
    <t>ProDiff</t>
  </si>
  <si>
    <t>Linux SR</t>
  </si>
  <si>
    <t>https://github.com/JamezQ/Palaver</t>
  </si>
  <si>
    <t>SwiftSpeech</t>
  </si>
  <si>
    <t>https://github.com/Cay-Zhang/SwiftSpeech</t>
  </si>
  <si>
    <t>https://github.com/DeutscheKI/tevr-asr-tool</t>
  </si>
  <si>
    <t>German ASR</t>
  </si>
  <si>
    <t>Kan-TTS</t>
  </si>
  <si>
    <t>https://github.com/alibaba-damo-academy/KAN-TTS</t>
  </si>
  <si>
    <t>PyCTCDecode</t>
  </si>
  <si>
    <t>https://github.com/kensho-technologies/pyctcdecode</t>
  </si>
  <si>
    <t>HuggingSound</t>
  </si>
  <si>
    <t>https://github.com/jonatasgrosman/huggingsound</t>
  </si>
  <si>
    <t>Leopard</t>
  </si>
  <si>
    <t>https://github.com/Picovoice/leopard</t>
  </si>
  <si>
    <t>WaveGrad</t>
  </si>
  <si>
    <t>https://github.com/ivanvovk/WaveGrad</t>
  </si>
  <si>
    <t>Sherpa</t>
  </si>
  <si>
    <t>https://github.com/r9y9/nnmnkwii</t>
  </si>
  <si>
    <t>https://github.com/k2-fsa/sherpa</t>
  </si>
  <si>
    <t>SS Systems</t>
  </si>
  <si>
    <t>ContentVec</t>
  </si>
  <si>
    <t>https://github.com/auspicious3000/contentvec</t>
  </si>
  <si>
    <t>Speech Enhancement with Kaldi</t>
  </si>
  <si>
    <t>https://github.com/funcwj/setk</t>
  </si>
  <si>
    <t>SPChat</t>
  </si>
  <si>
    <t>https://github.com/petewarden/spchcat</t>
  </si>
  <si>
    <t>https://github.com/llSourcell/tensorflow_speech_recognition_demo</t>
  </si>
  <si>
    <t>https://github.com/open-speech/speech-aligner</t>
  </si>
  <si>
    <t>Speech Aligner</t>
  </si>
  <si>
    <t>https://github.com/marcogdepinto/emotion-classification-from-audio-files</t>
  </si>
  <si>
    <t>NN VC</t>
  </si>
  <si>
    <t>https://github.com/bshall/knn-vc</t>
  </si>
  <si>
    <t>Dual Path RNN Pytorch</t>
  </si>
  <si>
    <t>https://github.com/JusperLee/Dual-Path-RNN-Pytorch</t>
  </si>
  <si>
    <t>https://github.com/xuanjihe/speech-emotion-recognition</t>
  </si>
  <si>
    <t>UniSpeech (MSFT)</t>
  </si>
  <si>
    <t>https://github.com/microsoft/UniSpeech</t>
  </si>
  <si>
    <t>ISTFT</t>
  </si>
  <si>
    <t>https://github.com/MasayaKawamura/MB-iSTFT-VITS</t>
  </si>
  <si>
    <t>https://github.com/mailong25/self-supervised-speech-recognition</t>
  </si>
  <si>
    <t>Self Supervised Speech</t>
  </si>
  <si>
    <t>https://github.com/santi-pdp/segan_pytorch</t>
  </si>
  <si>
    <t>https://github.com/Vonage/vonage-node-sdk</t>
  </si>
  <si>
    <t>https://github.com/ParhamP/Speech-Hacker</t>
  </si>
  <si>
    <t>Speech-Hacker</t>
  </si>
  <si>
    <t>pyTTSx</t>
  </si>
  <si>
    <t>https://github.com/RapidWareTech/pyttsx</t>
  </si>
  <si>
    <t>GST-Tacotron</t>
  </si>
  <si>
    <t>https://github.com/JusperLee/Conv-TasNet</t>
  </si>
  <si>
    <t>EmoTTS Attempt</t>
  </si>
  <si>
    <t>https://github.com/Emotional-Text-to-Speech/dl-for-emo-tts</t>
  </si>
  <si>
    <t>https://github.com/ZhengkunTian/OpenTransformer</t>
  </si>
  <si>
    <t>OpenTransformer</t>
  </si>
  <si>
    <t>Parrots</t>
  </si>
  <si>
    <t>https://github.com/shibing624/parrots</t>
  </si>
  <si>
    <t>Awesome Singing Voice</t>
  </si>
  <si>
    <t>https://github.com/guan-yuan/Awesome-Singing-Voice-Synthesis-and-Singing-Voice-Conversion</t>
  </si>
  <si>
    <t>https://github.com/dictation-toolbox/dragonfly</t>
  </si>
  <si>
    <t>Dragonfly</t>
  </si>
  <si>
    <t>https://github.com/sp-uhh/sgmse</t>
  </si>
  <si>
    <t>Dereverb</t>
  </si>
  <si>
    <t>https://github.com/speechbrain/speechbrain.github.io</t>
  </si>
  <si>
    <t>https://github.com/alphacep/vosk</t>
  </si>
  <si>
    <t>VOSK</t>
  </si>
  <si>
    <t>DeepVoicer</t>
  </si>
  <si>
    <t>https://github.com/israelg99/deepvoice</t>
  </si>
  <si>
    <t>TikTok-TTS</t>
  </si>
  <si>
    <t>https://github.com/Weilbyte/tiktok-tts</t>
  </si>
  <si>
    <t>https://github.com/Demfier/multimodal-speech-emotion-recognition</t>
  </si>
  <si>
    <t>Soft VC</t>
  </si>
  <si>
    <t>https://github.com/bshall/soft-vc</t>
  </si>
  <si>
    <t>https://github.com/KinglittleQ/GST-Tacotron</t>
  </si>
  <si>
    <t>https://github.com/schmiph2/pysepm</t>
  </si>
  <si>
    <t>PySEPM</t>
  </si>
  <si>
    <t>Speech Resynth</t>
  </si>
  <si>
    <t>https://github.com/facebookresearch/speech-resynthesis</t>
  </si>
  <si>
    <t>Festival</t>
  </si>
  <si>
    <t>https://github.com/festvox/festival</t>
  </si>
  <si>
    <t>Pika</t>
  </si>
  <si>
    <t>https://github.com/tencent-ailab/pika</t>
  </si>
  <si>
    <t>https://github.com/filippogiruzzi/voice_activity_detection</t>
  </si>
  <si>
    <t>VAD</t>
  </si>
  <si>
    <t>WETTS</t>
  </si>
  <si>
    <t>https://github.com/wenet-e2e/wetts</t>
  </si>
  <si>
    <t>https://github.com/double22a/speech_dataset</t>
  </si>
  <si>
    <t>ASR Speech Dataset</t>
  </si>
  <si>
    <t>https://github.com/keonlee9420/PortaSpeech</t>
  </si>
  <si>
    <t>PortaSpeech</t>
  </si>
  <si>
    <t>https://github.com/huggingface/speechbox</t>
  </si>
  <si>
    <t>Speechbox</t>
  </si>
  <si>
    <t>CoVoST</t>
  </si>
  <si>
    <t>https://github.com/facebookresearch/covost</t>
  </si>
  <si>
    <t>VQMIVC</t>
  </si>
  <si>
    <t>https://github.com/Wendison/VQMIVC</t>
  </si>
  <si>
    <t>DisVoice</t>
  </si>
  <si>
    <t>https://github.com/jcvasquezc/DisVoice</t>
  </si>
  <si>
    <t>https://github.com/ccoreilly/vosk-browser</t>
  </si>
  <si>
    <t>Vosk</t>
  </si>
  <si>
    <t>https://github.com/1heisuzuki/speech-to-text-webcam-overlay</t>
  </si>
  <si>
    <t>STT Webcam</t>
  </si>
  <si>
    <t>https://github.com/AppleHolic/source_separation</t>
  </si>
  <si>
    <t>Source Separation</t>
  </si>
  <si>
    <t>HanTTS</t>
  </si>
  <si>
    <t>https://github.com/AASHISHAG/deepspeech-german</t>
  </si>
  <si>
    <t>https://github.com/junzew/HanTTS</t>
  </si>
  <si>
    <t>https://github.com/RoyJames/room-impulse-responses</t>
  </si>
  <si>
    <t>Room Impulse Corpus</t>
  </si>
  <si>
    <t>Transformer TTS</t>
  </si>
  <si>
    <t>https://github.com/keonlee9420/Comprehensive-Transformer-TTS</t>
  </si>
  <si>
    <t>https://github.com/SergeyShk/Speech-to-Text-Russian</t>
  </si>
  <si>
    <t>STT Russian</t>
  </si>
  <si>
    <t>https://github.com/bshall/ZeroSpeech</t>
  </si>
  <si>
    <t>ZeroSpeech</t>
  </si>
  <si>
    <t>https://github.com/swasun/VQ-VAE-Speech</t>
  </si>
  <si>
    <t>VQVAE</t>
  </si>
  <si>
    <t>https://github.com/facebookresearch/SONAR</t>
  </si>
  <si>
    <t>SONAR</t>
  </si>
  <si>
    <t>https://github.com/neonbjb/ocotillo</t>
  </si>
  <si>
    <t>BDDM</t>
  </si>
  <si>
    <t>https://github.com/tencent-ailab/bddm</t>
  </si>
  <si>
    <t>https://github.com/numediart/MBROLA</t>
  </si>
  <si>
    <t>MBROLA</t>
  </si>
  <si>
    <t>https://github.com/X-LANCE/VoiceFlow-TTS</t>
  </si>
  <si>
    <t>VoiceFlow TTS</t>
  </si>
  <si>
    <t>https://github.com/mpv-player/mpv</t>
  </si>
  <si>
    <t>MPV</t>
  </si>
  <si>
    <t>Audiocraft</t>
  </si>
  <si>
    <t>https://github.com/facebookresearch/audiocraft</t>
  </si>
  <si>
    <t>https://github.com/Anjok07/ultimatevocalremovergui</t>
  </si>
  <si>
    <t>Vocal Remover</t>
  </si>
  <si>
    <t>https://github.com/PaddlePaddle/PaddleHub</t>
  </si>
  <si>
    <t>PaddleHub</t>
  </si>
  <si>
    <t>https://github.com/jiaaro/pydub</t>
  </si>
  <si>
    <t>PyDub</t>
  </si>
  <si>
    <t>https://github.com/openai/jukebox</t>
  </si>
  <si>
    <t>Jukebox</t>
  </si>
  <si>
    <t>https://github.com/librosa/librosa</t>
  </si>
  <si>
    <t>Librosa</t>
  </si>
  <si>
    <t>https://github.com/tyiannak/pyAudioAnalysis</t>
  </si>
  <si>
    <t>Py Audio Analysis</t>
  </si>
  <si>
    <t>https://github.com/spotify/pedalboard</t>
  </si>
  <si>
    <t>Pedalboard</t>
  </si>
  <si>
    <t>https://github.com/voicepaw/so-vits-svc-fork</t>
  </si>
  <si>
    <t>so-vits-svc</t>
  </si>
  <si>
    <t>diff-svc</t>
  </si>
  <si>
    <t>https://github.com/prophesier/diff-svc</t>
  </si>
  <si>
    <t>https://github.com/PlayVoice/so-vits-svc-5.0</t>
  </si>
  <si>
    <t>so-vits-svc-5.0</t>
  </si>
  <si>
    <t>https://github.com/yxlllc/DDSP-SVC</t>
  </si>
  <si>
    <t>DDSP-SVC</t>
  </si>
  <si>
    <t>https://github.com/RVC-Project/Retrieval-based-Voice-Conversion-WebUI</t>
  </si>
  <si>
    <t>https://github.com/FFmpeg/Ffmpeg</t>
  </si>
  <si>
    <t>Common utility for audio.</t>
  </si>
  <si>
    <t>TTS/TTA library, doesn't work well.</t>
  </si>
  <si>
    <t>https://github.com/myshell-ai/OpenVoice</t>
  </si>
  <si>
    <t>Coqui (RIP)</t>
  </si>
  <si>
    <t>Mozilla</t>
  </si>
  <si>
    <t>Terminal audio output.</t>
  </si>
  <si>
    <t>https://arxiv.org/abs/1811.07240</t>
  </si>
  <si>
    <t>Resemble AI employee cloning tool, outdated.</t>
  </si>
  <si>
    <t>Corentin Jemine</t>
  </si>
  <si>
    <t>FFmpeg</t>
  </si>
  <si>
    <t>Fabrice Bellard, Bobby Bingham</t>
  </si>
  <si>
    <t>Suno</t>
  </si>
  <si>
    <t>Slow, need to speed up diffuser. Used in ElevenLabs, Play.ht.</t>
  </si>
  <si>
    <t>Chinese fork of Corentin's repo</t>
  </si>
  <si>
    <t>Large OS project</t>
  </si>
  <si>
    <t>doesn't work well</t>
  </si>
  <si>
    <t>Spotify</t>
  </si>
  <si>
    <t>Aaron</t>
  </si>
  <si>
    <t>Chinese Anon</t>
  </si>
  <si>
    <t>Chinese OS Anons</t>
  </si>
  <si>
    <t>Labeling software we use</t>
  </si>
  <si>
    <t xml:space="preserve"> </t>
  </si>
  <si>
    <t>Vapi</t>
  </si>
  <si>
    <t>Recogni</t>
  </si>
  <si>
    <t>Quiet Capital, Parcel B</t>
  </si>
  <si>
    <t>United States</t>
  </si>
  <si>
    <t>Mass</t>
  </si>
  <si>
    <t>SW 2/22/24 L28V</t>
  </si>
  <si>
    <t>SW 2/22/24 D</t>
  </si>
  <si>
    <t>26:19</t>
  </si>
  <si>
    <t>Accident &amp; Disaster Recovery</t>
  </si>
  <si>
    <t>www.tractable.ai</t>
  </si>
  <si>
    <t>Adrien Cohen, Alexandre Dalyac, Razvan Ranca</t>
  </si>
  <si>
    <t>Softbank, Insight, Georgian</t>
  </si>
  <si>
    <t>Nahoko Hoshino (Tractable)</t>
  </si>
  <si>
    <t>Lonne Jaffe (Tractable)</t>
  </si>
  <si>
    <t>Insight, Georgian</t>
  </si>
  <si>
    <t>Plug and Play, Georgian, Insight Partners, Ignition Partners, Acequia Capital</t>
  </si>
  <si>
    <t>Ignition</t>
  </si>
  <si>
    <t>Insight, Zetta, Plug and Play, Ignition, Acequia Capital, Kamal Kirpalani</t>
  </si>
  <si>
    <t>Ignition, Zetta, Isomer Capital, Entrepreneur First, 415, Andrew Homer, Greg Gladwell, Scott Roza, Stuart Bartlett, Tony Emms</t>
  </si>
  <si>
    <t>Isomer Capital</t>
  </si>
  <si>
    <t>415</t>
  </si>
  <si>
    <t>up next?</t>
  </si>
  <si>
    <t>0:44</t>
  </si>
  <si>
    <t>2:46</t>
  </si>
  <si>
    <t>1:17</t>
  </si>
  <si>
    <t>0:06</t>
  </si>
  <si>
    <t>0:34</t>
  </si>
  <si>
    <t>0:11</t>
  </si>
  <si>
    <t>www.imbue.com</t>
  </si>
  <si>
    <t>Bioptimus</t>
  </si>
  <si>
    <t>A Comparison of Discrete and Soft Speech Units for Improved Voice Conversion</t>
  </si>
  <si>
    <t>https://arxiv.org/abs/2111.02392</t>
  </si>
  <si>
    <t>Ubisoft: van Niekerk et al.</t>
  </si>
  <si>
    <t>Towards audio language modeling - an overview</t>
  </si>
  <si>
    <t>Wu et al.</t>
  </si>
  <si>
    <t>https://arxiv.org/pdf/2402.13236.pdf</t>
  </si>
  <si>
    <t>Audioshake.ai</t>
  </si>
  <si>
    <t>ContentVec: An Improved Self-Supervised Speech Representation by Disentangling Speakers</t>
  </si>
  <si>
    <t>https://arxiv.org/abs/2204.09224</t>
  </si>
  <si>
    <t>Qian et al.</t>
  </si>
  <si>
    <t>Disentangling speakers with SSL</t>
  </si>
  <si>
    <t>https://arxiv.org/pdf/2204.09224.pdf</t>
  </si>
  <si>
    <t>https://docs.nvidia.com/cuda/parallel-thread-execution/</t>
  </si>
  <si>
    <t>PrometheanAI</t>
  </si>
  <si>
    <t>https://docs.nvidia.com/gameworks/content/developertools/desktop/ptx_sass_assembly_debugging.htm</t>
  </si>
  <si>
    <t>https://www.youtube.com/playlist?list=PL_iWQOsE6TfVmKkQHucjPAoRtIJYt8a5A</t>
  </si>
  <si>
    <t>https://research.facebook.com/publications/voicebox-text-guided-multilingual-universal-speech-generation-at-scale/</t>
  </si>
  <si>
    <t>2022-y</t>
  </si>
  <si>
    <t>2022-z</t>
  </si>
  <si>
    <t>Flow Matching for Generative Modeling, 10/6/22, arXiv</t>
  </si>
  <si>
    <t>Meta: Yaron Lipman et al.</t>
  </si>
  <si>
    <t>https://arxiv.org/abs/2210.02747</t>
  </si>
  <si>
    <t>2018-y</t>
  </si>
  <si>
    <t>Recurrent World Models Facilitate Policy Evolution - NIPS 2018</t>
  </si>
  <si>
    <t>https://worldmodels.github.io/</t>
  </si>
  <si>
    <t>David Ha &amp; Jurgen Schmidhuber</t>
  </si>
  <si>
    <t>2010-x</t>
  </si>
  <si>
    <t>A Reduction of Imitation Learning and Structured Prediction to No-Regret Online Learning</t>
  </si>
  <si>
    <t>Stephane Ross et al.</t>
  </si>
  <si>
    <t>https://arxiv.org/abs/1011.0686</t>
  </si>
  <si>
    <t>https://www.xiaoice.com/</t>
  </si>
  <si>
    <t>https://www.chaocanshu.cn/</t>
  </si>
  <si>
    <t>www.hyro.ai</t>
  </si>
  <si>
    <t>www.paravision.ai</t>
  </si>
  <si>
    <t>www.hosinc.co/</t>
  </si>
  <si>
    <t>www.replika.com</t>
  </si>
  <si>
    <t>www.axioshq.com/</t>
  </si>
  <si>
    <t>www.prezent.ai</t>
  </si>
  <si>
    <t>www.wysa.com</t>
  </si>
  <si>
    <t>www.utilidata.com</t>
  </si>
  <si>
    <t>www.hireez.com</t>
  </si>
  <si>
    <t>www.piecestech.com</t>
  </si>
  <si>
    <t>www.navina.ai</t>
  </si>
  <si>
    <t>www.pactum.com</t>
  </si>
  <si>
    <t>www.wiz.ai</t>
  </si>
  <si>
    <t>www.daloopa.com</t>
  </si>
  <si>
    <t>www.two.ai</t>
  </si>
  <si>
    <t>www.roboflow.com</t>
  </si>
  <si>
    <t>www.rasgoml.com</t>
  </si>
  <si>
    <t>www.enchanted.tools</t>
  </si>
  <si>
    <t>NY</t>
  </si>
  <si>
    <t>www.trychroma.com</t>
  </si>
  <si>
    <t>www.synthesis.ai</t>
  </si>
  <si>
    <t>www.alethea.ai/</t>
  </si>
  <si>
    <t>www.torre.ai</t>
  </si>
  <si>
    <t>www.neuralmagic.com</t>
  </si>
  <si>
    <t>www.nuva.ai</t>
  </si>
  <si>
    <t>www.facet.ai</t>
  </si>
  <si>
    <t>www.enchargeai.com</t>
  </si>
  <si>
    <t>www.ava.me</t>
  </si>
  <si>
    <t>www.zeroeyes.com</t>
  </si>
  <si>
    <t>www.essential.ai/</t>
  </si>
  <si>
    <t>www.tabnine.com</t>
  </si>
  <si>
    <t>www.noogata.com</t>
  </si>
  <si>
    <t>www.botpress.com</t>
  </si>
  <si>
    <t>www.spellbook.legal</t>
  </si>
  <si>
    <t>www.xembly.com</t>
  </si>
  <si>
    <t>www.abridge.com</t>
  </si>
  <si>
    <t>www.gan.ai</t>
  </si>
  <si>
    <t>www.tenyx.com</t>
  </si>
  <si>
    <t>www.encord.com</t>
  </si>
  <si>
    <t>www.superannotate.com</t>
  </si>
  <si>
    <t>www.graft.com</t>
  </si>
  <si>
    <t>www.zowie.ai</t>
  </si>
  <si>
    <t>www.mindfoundry.ai</t>
  </si>
  <si>
    <t>www.haiper.ai</t>
  </si>
  <si>
    <t>www.hume.ai</t>
  </si>
  <si>
    <t>www.bridgewise.com</t>
  </si>
  <si>
    <t>www.vectice.com</t>
  </si>
  <si>
    <t>www.numbersstation.ai</t>
  </si>
  <si>
    <t>www.replicate.com</t>
  </si>
  <si>
    <t>www.credo.ai</t>
  </si>
  <si>
    <t>www.voxel51.com</t>
  </si>
  <si>
    <t>www.synthetaic.com</t>
  </si>
  <si>
    <t>www.faros.ai</t>
  </si>
  <si>
    <t>www.paperspace.com</t>
  </si>
  <si>
    <t>www.baseten.co</t>
  </si>
  <si>
    <t>www.latticeflow.ai</t>
  </si>
  <si>
    <t>www.fixie.ai</t>
  </si>
  <si>
    <t>www.copy.ai</t>
  </si>
  <si>
    <t>www.lavender.ai</t>
  </si>
  <si>
    <t>www.rephrase.ai</t>
  </si>
  <si>
    <t>M2UGen: Multi-modal Music Understanding and Generation with the Power of LLMs</t>
  </si>
  <si>
    <t>Hussain et al.</t>
  </si>
  <si>
    <t>https://arxiv.org/pdf/2311.11255.pdf</t>
  </si>
  <si>
    <t>SpeechX: Neural Codec Language Model as a Versatile Speech Transformer</t>
  </si>
  <si>
    <t>https://arxiv.org/pdf/2308.06873.pdf</t>
  </si>
  <si>
    <t>Microsoft: Wang et al.</t>
  </si>
  <si>
    <t>TANGO: Text-to-Audio Generation using Instruction-Tuned LLM and Latent Diffusion Model</t>
  </si>
  <si>
    <t>Ghosal et al.</t>
  </si>
  <si>
    <t>https://arxiv.org/abs/2304.13731</t>
  </si>
  <si>
    <t>Diverse and Vivid Sound Generation from Text Descriptions</t>
  </si>
  <si>
    <t>Li et al.</t>
  </si>
  <si>
    <t>https://arxiv.org/pdf/2305.01980.pdf</t>
  </si>
  <si>
    <t>NaturalSpeech 2: Latent Diffusion Models are Natural and Zero-Shot Speech and Singing Synthesizers</t>
  </si>
  <si>
    <t>Microsoft: Shen et al.</t>
  </si>
  <si>
    <t>AUDIT: Audio Editing by Following Instructions with Latent Diffusion Models</t>
  </si>
  <si>
    <t>https://arxiv.org/pdf/2304.00830.pdf</t>
  </si>
  <si>
    <t>Physics-Driven Diffusion Models for Impact Sound Synthesis from Videos</t>
  </si>
  <si>
    <t>Su et al.</t>
  </si>
  <si>
    <t>https://arxiv.org/pdf/2303.16897.pdf</t>
  </si>
  <si>
    <t>FoundationTTS: Text-to-Speech for ASR Customization with Generative Language Model</t>
  </si>
  <si>
    <t>https://arxiv.org/pdf/2303.02939v3.pdf</t>
  </si>
  <si>
    <t>Xue et al.</t>
  </si>
  <si>
    <t>Speak Foreign Languages with Your Own Voice: Cross-Lingual Neural Codec Language Modeling (VALL-E X)</t>
  </si>
  <si>
    <t>https://arxiv.org/pdf/2303.03926.pdf</t>
  </si>
  <si>
    <t>Microsoft: Zhang et al.</t>
  </si>
  <si>
    <t>Meta: Copet et al.</t>
  </si>
  <si>
    <t>https://arxiv.org/pdf/2306.05284.pdf</t>
  </si>
  <si>
    <t>MusicGen: Simple and Controllable Music Generation</t>
  </si>
  <si>
    <t>Efficient Neural Music Generation</t>
  </si>
  <si>
    <t>ByteDance: Lam et al.</t>
  </si>
  <si>
    <t>https://arxiv.org/pdf/2305.15719.pdf</t>
  </si>
  <si>
    <t>ERNIE-Music: Text-to-Waveform Music Generation with Diffusion Models</t>
  </si>
  <si>
    <t>Baidu: Zhu et al.</t>
  </si>
  <si>
    <t>https://arxiv.org/pdf/2302.04456.pdf</t>
  </si>
  <si>
    <t>Noise2Music: Text-conditioned Music Generation with Diffusion Models</t>
  </si>
  <si>
    <t>https://arxiv.org/pdf/2302.03917.pdf</t>
  </si>
  <si>
    <t>Google: Huang et al.</t>
  </si>
  <si>
    <t>https://arxiv.org/abs/2302.03540</t>
  </si>
  <si>
    <t>Google: Kharitonov et al.</t>
  </si>
  <si>
    <t>Spear-TTS: Speak, Read and Prompt: High-Fidelity Text-to-Speech with Minimal Supervision</t>
  </si>
  <si>
    <t>SingSong: Generating musical accompaniments from singing</t>
  </si>
  <si>
    <t>Google: Donahue et al.</t>
  </si>
  <si>
    <t>https://arxiv.org/pdf/2301.12662.pdf</t>
  </si>
  <si>
    <t>MusicLM: Generating Music From Text</t>
  </si>
  <si>
    <t>Google: Agostinelli et al.</t>
  </si>
  <si>
    <t>https://arxiv.org/pdf/2301.11325.pdf</t>
  </si>
  <si>
    <t>InstructTTS: Modelling Expressive TTS in Discrete Latent Space with Natural Language Style Prompt</t>
  </si>
  <si>
    <t>Yang et al.</t>
  </si>
  <si>
    <t>https://arxiv.org/pdf/2301.13662.pdf</t>
  </si>
  <si>
    <t>Make-An-Audio 2: Temporal-Enhanced Text-to-Audio Generation</t>
  </si>
  <si>
    <t>Huang et al.</t>
  </si>
  <si>
    <t>https://arxiv.org/pdf/2305.18474.pdf</t>
  </si>
  <si>
    <t>AudioLDM: Text-to-Audio Generation with Latent Diffusion Models</t>
  </si>
  <si>
    <t>https://arxiv.org/pdf/2301.12503.pdf</t>
  </si>
  <si>
    <t>Mousai: Efficient Text-to-Music Diffusion Models</t>
  </si>
  <si>
    <t>https://arxiv.org/pdf/2301.11757.pdf</t>
  </si>
  <si>
    <t>https://arxiv.org/abs/2301.12661</t>
  </si>
  <si>
    <t>Make-An-Audio: Text-To-Audio Generation with Prompt-Enhanced Diffusion Models</t>
  </si>
  <si>
    <t>ArchiSound: Audio Generation with Diffusion</t>
  </si>
  <si>
    <t>https://arxiv.org/abs/2301.13267</t>
  </si>
  <si>
    <t>Flavio Schneider</t>
  </si>
  <si>
    <t>PromptTTS: Controllable TTS with Text Descriptions</t>
  </si>
  <si>
    <t>https://arxiv.org/pdf/2211.12171.pdf</t>
  </si>
  <si>
    <t>Guo et al.</t>
  </si>
  <si>
    <t>Diffsound: Discrete Diffusion Model for Text-to-sound Generation</t>
  </si>
  <si>
    <t>Yang et al</t>
  </si>
  <si>
    <t>https://arxiv.org/pdf/2207.09983v1.pdf</t>
  </si>
  <si>
    <t>Picsart</t>
  </si>
  <si>
    <t>Sanas</t>
  </si>
  <si>
    <t>Gemelo</t>
  </si>
  <si>
    <t>www.codium.ai</t>
  </si>
  <si>
    <t>www.robinai.com</t>
  </si>
  <si>
    <t>Qwen-Audio: Advancing Universal Audio Understanding via Unified Large-Scale Audio-Language Models</t>
  </si>
  <si>
    <t>https://github.com/QwenLM/Qwen-Audio</t>
  </si>
  <si>
    <t>Qwen-Audio</t>
  </si>
  <si>
    <t>Alibaba: Chu et al.</t>
  </si>
  <si>
    <t>https://arxiv.org/pdf/2311.07919v1.pdf</t>
  </si>
  <si>
    <t>UniAudio: An Audio Foundation Model toward Universal Audio Generation</t>
  </si>
  <si>
    <t>(CMU/Microsoft) Yang et al.</t>
  </si>
  <si>
    <t>UniAudio</t>
  </si>
  <si>
    <t>https://uniaudio666.github.io/demo_UniAudio/</t>
  </si>
  <si>
    <t>SpeechTokenizer: Unified Speech Tokenizer for Speech Language Models</t>
  </si>
  <si>
    <t>Zhang et al.</t>
  </si>
  <si>
    <t>https://arxiv.org/pdf/2308.16692.pdf</t>
  </si>
  <si>
    <t>SpeechTokenizer</t>
  </si>
  <si>
    <t>https://0nutation.github.io/SpeechTokenizer.github.io/</t>
  </si>
  <si>
    <t>SoundStorm: Efficient Parallel Audio Generation</t>
  </si>
  <si>
    <t>Tortoise: Better speech synthesis through scaling</t>
  </si>
  <si>
    <t>Google: Zalan Borsos, et al.</t>
  </si>
  <si>
    <t>https://arxiv.org/pdf/2305.09636.pdf</t>
  </si>
  <si>
    <t>AudioGPT: Understanding and Generating Speech, Mussic, Sound, and Talking Head</t>
  </si>
  <si>
    <t>https://arxiv.org/pdf/2304.12995.pdf</t>
  </si>
  <si>
    <t>AudioPaLM: A Large Language Model That Can Speak and Listen</t>
  </si>
  <si>
    <t>Google: Rubenstein et al.</t>
  </si>
  <si>
    <t>https://arxiv.org/pdf/2306.12925.pdf</t>
  </si>
  <si>
    <t>Pengi: An Audio Language Model for Audio Tasks</t>
  </si>
  <si>
    <t>Microsoft: Deshmukh et al.</t>
  </si>
  <si>
    <t>https://arxiv.org/pdf/2305.11834.pdf</t>
  </si>
  <si>
    <t>Pengi</t>
  </si>
  <si>
    <t>https://github.com/microsoft/Pengi</t>
  </si>
  <si>
    <t>AudioLM: a Language Modeling Approach to Audio Generation</t>
  </si>
  <si>
    <t>Google: Zalan Borsos et al.</t>
  </si>
  <si>
    <t>https://arxiv.org/pdf/2209.03143.pdf</t>
  </si>
  <si>
    <t>VQ-wav2vec: Self-supervised learning of discrete speech representations</t>
  </si>
  <si>
    <t>Facebook: Baevski et al.</t>
  </si>
  <si>
    <t>https://arxiv.org/pdf/1910.05453.pdf</t>
  </si>
  <si>
    <t>wav2vec 2.0: A Framework for Self-Supervised Learning of Speech Representations</t>
  </si>
  <si>
    <t>https://arxiv.org/pdf/2006.11477.pdf</t>
  </si>
  <si>
    <t>W2V-BERT: Combining Contrastive Learning and Masked Language Modeling for Self-Supervised Speech Pre-Training</t>
  </si>
  <si>
    <t>Google: Chung et al.</t>
  </si>
  <si>
    <t>https://arxiv.org/pdf/2108.06209.pdf</t>
  </si>
  <si>
    <t>HuBERT: Self-Supervised Speech Representation Learning by Masked Prediction of Hidden Units</t>
  </si>
  <si>
    <t>https://arxiv.org/pdf/2106.07447.pdf</t>
  </si>
  <si>
    <t>Meta: Hsu et al.</t>
  </si>
  <si>
    <t>https://github.com/facebookresearch/fairseq/tree/main/examples/hubert</t>
  </si>
  <si>
    <t>data2vec: A General Framework for Self-supervised Learning in Speech, Vision and Language</t>
  </si>
  <si>
    <t>https://arxiv.org/pdf/2202.03555.pdf</t>
  </si>
  <si>
    <t>Meta: Baevski et al.</t>
  </si>
  <si>
    <t>MT4SSL: Boosting Self-Supervised Speech Representation Learning by Integrating Multiple Targets</t>
  </si>
  <si>
    <t>Ma et al.</t>
  </si>
  <si>
    <t>https://arxiv.org/pdf/2211.07321.pdf</t>
  </si>
  <si>
    <t>Efficient Self-supervised Learning with Contextualized Target Representations for Vision, Speech and Language</t>
  </si>
  <si>
    <t>https://arxiv.org/pdf/2212.07525.pdf</t>
  </si>
  <si>
    <t>Mulan: A Joint Embedding of Music Audio and Natural Language</t>
  </si>
  <si>
    <t>https://arxiv.org/pdf/2208.12415.pdf</t>
  </si>
  <si>
    <t>ETH Zurich: Schneider et al.</t>
  </si>
  <si>
    <t>An introduction to the application of the theory of probabilistic functions of a Markov process to automatic speech recognition</t>
  </si>
  <si>
    <t>Nokia Bell Labs: Levinson, Rabiner, Sondhi</t>
  </si>
  <si>
    <t>https://ieeexplore.ieee.org/document/6768244</t>
  </si>
  <si>
    <t>A Maximum Likelihood Approach to Continuous Speech Recognition</t>
  </si>
  <si>
    <t>Bahl, Jelinek, Mercer</t>
  </si>
  <si>
    <t>https://ieeexplore.ieee.org/document/4767370</t>
  </si>
  <si>
    <t>Heterogeneous Acoustic Measurements and Multiple Classifiers for Speech Recognition</t>
  </si>
  <si>
    <t>Halberstadt</t>
  </si>
  <si>
    <t>https://groups.csail.mit.edu/sls/publications/1998/phdthesis-drew.pdf</t>
  </si>
  <si>
    <t>Bahl, Brown, de Souza, Mercer</t>
  </si>
  <si>
    <t>https://ieeexplore.ieee.org/document/1169179</t>
  </si>
  <si>
    <t>Maximum mutual information estimation of hidden Markov model parameters for speech recognition</t>
  </si>
  <si>
    <t>A Tutorial on Hidden Markov Models and Selected Applications in Speech Recognition. Proc IEEE</t>
  </si>
  <si>
    <t>L Rabiner</t>
  </si>
  <si>
    <t>https://www.semanticscholar.org/paper/A-tutorial-on-hidden-Markov-models-and-selected-in-Rabiner/8fe2ea0a67954f1380b3387e3262f1cdb9f9b3e5?p2df</t>
  </si>
  <si>
    <t>Phoneme recognition using time-delay neural networks. IEEE Transact</t>
  </si>
  <si>
    <t>https://www.semanticscholar.org/paper/Phoneme-recognition-using-time-delay-neural-Waibel-Hanazawa/cd62c9976534a6a2096a38244f6cbb03635a127e?p2df</t>
  </si>
  <si>
    <t>Waibel, Hinton et al.</t>
  </si>
  <si>
    <t>Hidden Markov Models for Speech Recognition</t>
  </si>
  <si>
    <t>AT&amp;T Bell Labs: LR Rabiner, BH Juang</t>
  </si>
  <si>
    <t>https://www.jstor.org/stable/1268779</t>
  </si>
  <si>
    <t>Review of TDNN (time delay neural network) architectures for speech recognition</t>
  </si>
  <si>
    <t>https://www.semanticscholar.org/paper/Review-of-TDNN-%28time-delay-neural-network%29-for-Sugiyama-Sawai/073b6128f04fe4b88b88ae297615af289c308753?p2df</t>
  </si>
  <si>
    <t>M. Sugiyama, H. Sawai, A. Waibel</t>
  </si>
  <si>
    <t>Connectionist Speech Recognition: A Hybrid Approach</t>
  </si>
  <si>
    <t>Herve Bourlard, Nelson Morgan</t>
  </si>
  <si>
    <t>https://www.researchgate.net/publication/230875873_Connectionist_Speech_Recognition_A_Hybrid_Approach</t>
  </si>
  <si>
    <t>A post-processing system to yield reduced word error rates: Recognizer Output Voting Error Reduction (ROVER)</t>
  </si>
  <si>
    <t>NIST: JG Fiscus</t>
  </si>
  <si>
    <t>https://ieeexplore.ieee.org/document/659110/authors#authors</t>
  </si>
  <si>
    <t>Speech recognition with weighted finite-state transducers</t>
  </si>
  <si>
    <t>Mohri, M., Pereira, F., Riley, M.</t>
  </si>
  <si>
    <t>Links</t>
  </si>
  <si>
    <t>https://link.springer.com/chapter/10.1007/978-3-540-49127-9_28</t>
  </si>
  <si>
    <t>Framewise phoneme classification with bidirectional LSTM and other neural network architectures. Neural Networks.</t>
  </si>
  <si>
    <t>Graves &amp; Schmidhuber</t>
  </si>
  <si>
    <t>https://www.sciencedirect.com/science/article/abs/pii/S0893608005001206</t>
  </si>
  <si>
    <t>Connectionist temporal classification: labelling unsegmented sequence data with recurrent neural networks</t>
  </si>
  <si>
    <t>Graves et al.</t>
  </si>
  <si>
    <t>https://www.cs.toronto.edu/~graves/icml_2006.pdf</t>
  </si>
  <si>
    <t>The Kaldi Speech Recognition Toolkit</t>
  </si>
  <si>
    <t>Daniel Povey et al.</t>
  </si>
  <si>
    <t>https://publications.idiap.ch/downloads/reports/2011/Povey_Idiap-RR-04-2012.pdf</t>
  </si>
  <si>
    <t>Applying Convolutional Neural Networks concepts to hybrid NN-HMM model for speech recognition. IEEE Int Conf</t>
  </si>
  <si>
    <t>Abdel-Hamid et al.</t>
  </si>
  <si>
    <t>https://ieeexplore.ieee.org/document/6288864</t>
  </si>
  <si>
    <t>Context-Dependent Pre-Trained Deep Neural Networks for Large-Vocabulary Speech Recognition</t>
  </si>
  <si>
    <t>Dahl et al.</t>
  </si>
  <si>
    <t>https://ieeexplore.ieee.org/document/5740583?part=1</t>
  </si>
  <si>
    <t>Deep Neural Networks for Acoustic Modeling in Speech Recognition: The Shared Views of Four Research Groups</t>
  </si>
  <si>
    <t>Hinton et al.</t>
  </si>
  <si>
    <t>https://ieeexplore.ieee.org/document/6296526</t>
  </si>
  <si>
    <t>Sequence Transduction with Recurrent Neural Networks</t>
  </si>
  <si>
    <t>https://arxiv.org/pdf/1211.3711.pdf</t>
  </si>
  <si>
    <t>Deep convolutional neural networks for LVCSR</t>
  </si>
  <si>
    <t>Sainath et al.</t>
  </si>
  <si>
    <t>https://ieeexplore.ieee.org/document/6639347</t>
  </si>
  <si>
    <t>Improving deep neural networks for LVCSR using rectified linear units and dropout</t>
  </si>
  <si>
    <t>https://ieeexplore.ieee.org/document/6639346/</t>
  </si>
  <si>
    <t>Improving low-resource CD-DNN-HMM using dropout and multilingual DNN training</t>
  </si>
  <si>
    <t>Miao et al.</t>
  </si>
  <si>
    <t>https://www.semanticscholar.org/paper/Improving-low-resource-CD-DNN-HMM-using-dropout-and-Miao-Metze/0992d407001c6a681bd4cb571a777d2c2dc274fd?p2df</t>
  </si>
  <si>
    <t>Improvements to Deep Convolutional Neural Networks for LVCSR</t>
  </si>
  <si>
    <t>Sainath et al</t>
  </si>
  <si>
    <t>https://www.semanticscholar.org/paper/Improvements-to-Deep-Convolutional-Neural-Networks-Sainath-Kingsbury/709e40a2614846a48d8e25f114eb2fa6ece853cc?p2df</t>
  </si>
  <si>
    <t>Machine Learning Paradigms for Speech Recognition: An Overview</t>
  </si>
  <si>
    <t>Microsoft: Li Deng and Xiao Li</t>
  </si>
  <si>
    <t>https://ieeexplore.ieee.org/document/6423821</t>
  </si>
  <si>
    <t>Recent advances in deep learning for speech research at Microsoft</t>
  </si>
  <si>
    <t>Microsoft: Deng et al.</t>
  </si>
  <si>
    <t>https://ieeexplore.ieee.org/document/6639345</t>
  </si>
  <si>
    <t>Speech recognition with deep recurrent neural networks</t>
  </si>
  <si>
    <t>https://ieeexplore.ieee.org/document/6638947</t>
  </si>
  <si>
    <t>Convolutional deep maxout networks for phone recognition</t>
  </si>
  <si>
    <t>Toth et al.</t>
  </si>
  <si>
    <t>https://www.semanticscholar.org/paper/Convolutional-deep-maxout-networks-for-phone-T%C3%B3th/0a245098455a6663f922a83d318f7b61d357ab1f?p2df</t>
  </si>
  <si>
    <t>Convolutional Neural Networks for Speceh Recognition</t>
  </si>
  <si>
    <t>https://ieeexplore.ieee.org/document/6857341</t>
  </si>
  <si>
    <t>Combining time- and frequency-domain convolution in convolutional neural network-based phone recognition</t>
  </si>
  <si>
    <t>Laszlo Toth</t>
  </si>
  <si>
    <t>https://ieeexplore.ieee.org/document/6853584</t>
  </si>
  <si>
    <t>Chorowski et al.</t>
  </si>
  <si>
    <t>https://arxiv.org/pdf/1412.1602.pdf</t>
  </si>
  <si>
    <t>Hannun et al.</t>
  </si>
  <si>
    <t>https://arxiv.org/pdf/1408.2873.pdf</t>
  </si>
  <si>
    <t>Long short-term memory recurrent neural network architectures for large scale acoustic modeling</t>
  </si>
  <si>
    <t>Sak et al.</t>
  </si>
  <si>
    <t>https://www.semanticscholar.org/paper/Long-short-term-memory-recurrent-neural-network-for-Sak-Senior/067e07b725ab012c80aa2f87857f6791c1407f6d?p2df</t>
  </si>
  <si>
    <t>Robust CNN-based speech recognition with Gabor filter kernels</t>
  </si>
  <si>
    <t>Chang et al.</t>
  </si>
  <si>
    <t>https://www.semanticscholar.org/paper/Robust-CNN-based-speech-recognition-with-Gabor-Chang-Morgan/1d340fe19026b0359bde23fcd7299a99a240bd15?p2df</t>
  </si>
  <si>
    <t>Cai et al.</t>
  </si>
  <si>
    <t>https://ieeexplore.ieee.org/document/6854204</t>
  </si>
  <si>
    <t>Towards End-To-End Speech Recognition with Recurrent Neural Networks</t>
  </si>
  <si>
    <t>Ciations</t>
  </si>
  <si>
    <t>https://www.semanticscholar.org/paper/Towards-End-To-End-Speech-Recognition-with-Neural-Graves-Jaitly/0fa553cfa0cf3cbdf7a913aa2ae789a757dfb32f?p2df</t>
  </si>
  <si>
    <t>A Neural Transducer</t>
  </si>
  <si>
    <t>https://arxiv.org/pdf/1511.04868.pdf</t>
  </si>
  <si>
    <t>Google: Jaitly et al.</t>
  </si>
  <si>
    <t>Attention-Based Models for Speech Recognition</t>
  </si>
  <si>
    <t>https://www.semanticscholar.org/paper/Attention-Based-Models-for-Speech-Recognition-Chorowski-Bahdanau/b624504240fa52ab76167acfe3156150ca01cf3b?p2df</t>
  </si>
  <si>
    <t>2015</t>
  </si>
  <si>
    <t>Analysis of CNN-based speech recognition system using raw speech as input</t>
  </si>
  <si>
    <t>https://www.semanticscholar.org/paper/Analysis-of-CNN-based-speech-recognition-system-raw-Palaz-Magimai-Doss/0f94b1b699f1320a5fadbb34d29e8e255da8942f?p2df</t>
  </si>
  <si>
    <t>Palaz et al.</t>
  </si>
  <si>
    <t>Convolutional, Long Short-Term Memory, fully connected Deep Neural Networks</t>
  </si>
  <si>
    <t>https://ieeexplore.ieee.org/document/7178838</t>
  </si>
  <si>
    <t>Deep convolutional neural networks for acoustic modeling in low resource languages</t>
  </si>
  <si>
    <t>William Chan</t>
  </si>
  <si>
    <t>https://ieeexplore.ieee.org/document/7178332</t>
  </si>
  <si>
    <t>Deep Neural Networks for Single-Channel Multi-Talker Speech Recognition</t>
  </si>
  <si>
    <t>Weng et al.</t>
  </si>
  <si>
    <t>https://ieeexplore.ieee.org/document/7122291</t>
  </si>
  <si>
    <t>EESEN: End-to-end speech recognition using Deep RNN models and WFST-based decoding</t>
  </si>
  <si>
    <t>CMU: Miao et al.</t>
  </si>
  <si>
    <t>https://arxiv.org/pdf/1507.08240.pdf</t>
  </si>
  <si>
    <t>Fast and accurate recurrent neural network acoustic models for speech recognition</t>
  </si>
  <si>
    <t>https://www.semanticscholar.org/paper/Fast-and-accurate-recurrent-neural-network-acoustic-Sak-Senior/9fca2af9a0e3f2c5c3ed47abb3ebd21b7265ac2b?p2df</t>
  </si>
  <si>
    <t>Lexicon-Free Conversational Speech Recognition with Neural Networks</t>
  </si>
  <si>
    <t>Maas et al.</t>
  </si>
  <si>
    <t>https://www.semanticscholar.org/paper/Lexicon-Free-Conversational-Speech-Recognition-with-Maas-Xie/55ee875b9039febd378a3f8ac4e3d7603f83d57c?p2df</t>
  </si>
  <si>
    <t>https://arxiv.org/pdf/1511.06841.pdf</t>
  </si>
  <si>
    <t>Hwang &amp; Sung.</t>
  </si>
  <si>
    <t>Online Sequence Training of Recurrent Neural Networks with Connectionist Temporal Classification</t>
  </si>
  <si>
    <t>Advances in All-Neural Speech Recognition</t>
  </si>
  <si>
    <t>Microsoft: Zweig et al.</t>
  </si>
  <si>
    <t>https://arxiv.org/pdf/1609.05935.pdf</t>
  </si>
  <si>
    <t>Advances in Very Deep Convolutional Neural Networks for LVCSR</t>
  </si>
  <si>
    <t>Sercu et al.</t>
  </si>
  <si>
    <t>https://www.semanticscholar.org/paper/Advances-in-Very-Deep-Convolutional-Neural-Networks-Sercu-Goel/76b1791f2d2776c4d3dd671b7e4f2a9fb3575703?p2df</t>
  </si>
  <si>
    <t>End-to-end attention-based large vocabulary speech recognition</t>
  </si>
  <si>
    <t>Bahdanau et al.</t>
  </si>
  <si>
    <t>https://ieeexplore.ieee.org/document/7472618</t>
  </si>
  <si>
    <t>Deep Convolutional Neural Networks with Layer-Wise Context Expansion and Attention</t>
  </si>
  <si>
    <t>Yu et al.</t>
  </si>
  <si>
    <t>https://www.semanticscholar.org/paper/Deep-Convolutional-Neural-Networks-with-Layer-Wise-Yu-Xiong/716e60cbbdacf01b3148e91a555358a96308b770?p2df</t>
  </si>
  <si>
    <t>Deep Speech 2: End-to-End Speech Recognition in English and Mandarin</t>
  </si>
  <si>
    <t>https://www.semanticscholar.org/paper/Deep-Speech-2-%3A-End-to-End-Speech-Recognition-in-Amodei-Ananthanarayanan/13497bd108d4412d02050e646235f456568cf822?p2df</t>
  </si>
  <si>
    <t>Baidu: Amodei et al.</t>
  </si>
  <si>
    <t>End-to-end Attention-Based Distant Speech Recognition with Highway LSTM</t>
  </si>
  <si>
    <t>Hassan Taherian</t>
  </si>
  <si>
    <t>https://arxiv.org/pdf/1610.05361.pdf</t>
  </si>
  <si>
    <t>Joint CTC-Attention Based End-to-End Speech Recognition Using Multi-Task Learning</t>
  </si>
  <si>
    <t>Kim et al.</t>
  </si>
  <si>
    <t>https://arxiv.org/pdf/1609.06773.pdf</t>
  </si>
  <si>
    <t>Listen, attend and spell: A neural network for large vocabulary conversational speech recognition</t>
  </si>
  <si>
    <t>Chan et al.</t>
  </si>
  <si>
    <t>https://ieeexplore.ieee.org/document/7472621</t>
  </si>
  <si>
    <t>Latent Sequence Decompositions</t>
  </si>
  <si>
    <t>https://arxiv.org/pdf/1610.03035.pdf</t>
  </si>
  <si>
    <t>Modeling Time-Frequency Patterns with LSTM vs. Convolutional Architectures for LVCSR Tasks</t>
  </si>
  <si>
    <t>Google: Tara Sainath, Bo Li</t>
  </si>
  <si>
    <t>https://static.googleusercontent.com/media/research.google.com/zh-CN//pubs/archive/45401.pdf</t>
  </si>
  <si>
    <t>Recurrent Models for Auditory Attention in Multi-Microphone Distant Speech Recognition</t>
  </si>
  <si>
    <t>https://www.semanticscholar.org/paper/Recurrent-Models-for-Auditory-Attention-in-Distant-Kim-Lane/d35d6aa39d3932e3e2217f6fde4f2f0bf1969dbb?p2df</t>
  </si>
  <si>
    <t>Segmental Recurrent Neural Networks for End-to-End Speech Recognition.</t>
  </si>
  <si>
    <t>Lu et al.</t>
  </si>
  <si>
    <t>https://www.semanticscholar.org/paper/Segmental-Recurrent-Neural-Networks-for-End-to-End-Lu-Kong/aedffcebea081138a0f2bf2454f872700237fbf6?p2df</t>
  </si>
  <si>
    <t>Towards better decoding and language model integration in sequence to sequence models</t>
  </si>
  <si>
    <t>Google: Jan Chorowski, Navdeep Jaitly</t>
  </si>
  <si>
    <t>https://arxiv.org/pdf/1612.02695.pdf</t>
  </si>
  <si>
    <t>Very Deep CNNs for Noise Robust Speech Recognition</t>
  </si>
  <si>
    <t>https://ieeexplore.ieee.org/document/7552554</t>
  </si>
  <si>
    <t>Very Deep CNNs for End-to-End Speech Recognition</t>
  </si>
  <si>
    <t>Zhang et al</t>
  </si>
  <si>
    <t>https://arxiv.org/pdf/1610.03022.pdf</t>
  </si>
  <si>
    <t>Very deep multilingual CNNs for LVCSR</t>
  </si>
  <si>
    <t>https://ieeexplore.ieee.org/document/7472620</t>
  </si>
  <si>
    <t>Wav2Letter: an End-to-End ConvNet-based Speech Recognition System</t>
  </si>
  <si>
    <t>Facebook: Collobert, et al.</t>
  </si>
  <si>
    <t>https://arxiv.org/pdf/1609.03193.pdf</t>
  </si>
  <si>
    <t>Attentive CNN based Speech Emotion Recognition: A Study on the Impact of Input Features, Signal Length and Acted Speech</t>
  </si>
  <si>
    <t>Neumann et al.</t>
  </si>
  <si>
    <t>https://arxiv.org/pdf/1706.00612.pdf</t>
  </si>
  <si>
    <t>An enhanced ASR system for Arabic</t>
  </si>
  <si>
    <t>Menacer et al.</t>
  </si>
  <si>
    <t>https://www.semanticscholar.org/paper/An-enhanced-automatic-speech-recognition-system-for-Menacer-Mella/f4aed9743c034a98493002c128d4662217f54e17?p2df</t>
  </si>
  <si>
    <t>Advances in Joint CTC-Attention based End-to-End Speech Recognition with a Deep CNN Encoder and RNN-LM</t>
  </si>
  <si>
    <t>Hori et al.</t>
  </si>
  <si>
    <t>https://github.com/zzw922cn/awesome-speech-recognition-speech-synthesis-papers?tab=readme-ov-file</t>
  </si>
  <si>
    <t>A Network Of Deep Neural Networks for Distant Speech Recognition</t>
  </si>
  <si>
    <t>https://arxiv.org/pdf/1703.08002.pdf</t>
  </si>
  <si>
    <t>Ravanelli et al.</t>
  </si>
  <si>
    <t>An online sequence-to-sequence model for noisy speech recognition</t>
  </si>
  <si>
    <t>Chung-Cheng Chiu</t>
  </si>
  <si>
    <t>https://arxiv.org/pdf/1706.06428.pdf</t>
  </si>
  <si>
    <t>An Unsupervised Speaker Clustering Technique based on SOM and I-vectors for Speech Recognition Systems</t>
  </si>
  <si>
    <t>Ahmed et al.</t>
  </si>
  <si>
    <t>https://www.semanticscholar.org/paper/An-Unsupervised-Speaker-Clustering-Technique-based-Ahmed-Elaraby/f5be2cb9d37e5e54c5d20644ff7025cdee14995f?p2df</t>
  </si>
  <si>
    <t>Attention-based end-to-end speech recognition on Voice Search</t>
  </si>
  <si>
    <t>Shan et al.</t>
  </si>
  <si>
    <t>https://arxiv.org/pdf/1707.07167.pdf</t>
  </si>
  <si>
    <t>Increasing DNN Acoustic Model Size for Large Vocabulary Continuous Speech Recognition</t>
  </si>
  <si>
    <t>https://www.semanticscholar.org/paper/Increasing-Deep-Neural-Network-Acoustic-Model-Size-Maas-Hannun/ff7b9fbbbdc78d874fa93134d643a5a0295f648f?p2df</t>
  </si>
  <si>
    <t>Direct Acoustics-to-Word Models for English Conversational Speech Recognition</t>
  </si>
  <si>
    <t>IBM: Audhkhasi et al.</t>
  </si>
  <si>
    <t>https://arxiv.org/pdf/1703.07754.pdf</t>
  </si>
  <si>
    <t>Deep Learning for Environmentally Robust Speech Recognition: An Overview of Recent Developments</t>
  </si>
  <si>
    <t>https://arxiv.org/pdf/1705.10874.pdf</t>
  </si>
  <si>
    <t>English Conversational Telephone Speech Recognition by Humans and Machines</t>
  </si>
  <si>
    <t>IBM: Saon et al.</t>
  </si>
  <si>
    <t>https://arxiv.org/pdf/1703.02136.pdf</t>
  </si>
  <si>
    <t>ESE: Efficient Speech Recognition Engine with Sparse LSTM on FPGA</t>
  </si>
  <si>
    <t>Han et al.</t>
  </si>
  <si>
    <t>https://dl.acm.org/doi/10.1145/3020078.3021745</t>
  </si>
  <si>
    <t>Exploring Speech Enhancement With Generative Adversarial Networks for Robust Speech Recognition</t>
  </si>
  <si>
    <t>First-Pass Large Vocabulary Continuous Speech Recognition using Bi-Directional Recurrent DNNs</t>
  </si>
  <si>
    <t>End-to-end Continuous Speech Recognition using Attention-based Recurrent NN: First Results</t>
  </si>
  <si>
    <t>Deep LSTM for Large Vocabulary Continuous Speech Recognition</t>
  </si>
  <si>
    <t>Alibaba: Tian et al.</t>
  </si>
  <si>
    <t>Dynamic Layer Normalization for Adaptive Neural Acoustic Modeling in Speech Recognition</t>
  </si>
  <si>
    <t>https://arxiv.org/pdf/1707.06065v1.pdf</t>
  </si>
  <si>
    <t>Gram-CTC: Automatic Unit Selection and Target Decomposition for Sequence Labeling</t>
  </si>
  <si>
    <t>https://arxiv.org/pdf/1703.00096.pdf</t>
  </si>
  <si>
    <t>Baidu: Liu et al.</t>
  </si>
  <si>
    <t>Improving the performance of Online Neural Transducer Models</t>
  </si>
  <si>
    <t>Google: Tara Sainath et al.</t>
  </si>
  <si>
    <t>https://arxiv.org/pdf/1712.01807.pdf</t>
  </si>
  <si>
    <t>Stochastic pooling maxout networks for low-resource speech recognition</t>
  </si>
  <si>
    <t>Learning Filterbanks from Raw Speech for Phone Recognition</t>
  </si>
  <si>
    <t>Facebook: Neil Zeghidour et al.</t>
  </si>
  <si>
    <t>https://arxiv.org/pdf/1711.01161.pdf</t>
  </si>
  <si>
    <t>Multichannel End-to-end Speech Recognition</t>
  </si>
  <si>
    <t>Multitask Learning with CTC and Segmental CRF for Speech Recognition</t>
  </si>
  <si>
    <t>https://arxiv.org/pdf/1702.06378.pdf</t>
  </si>
  <si>
    <t>Multichannel Signal Processing with DNNs for ASR</t>
  </si>
  <si>
    <t>https://ieeexplore.ieee.org/document/7859320</t>
  </si>
  <si>
    <t>Multilingual Speech Recognition with a Single End-to-End Model</t>
  </si>
  <si>
    <t>Shubham Toshinwal &amp; Google</t>
  </si>
  <si>
    <t>https://arxiv.org/pdf/1711.01694.pdf</t>
  </si>
  <si>
    <t>Optimizing Expected Word Error Rate via Sampling for Speech Recognition</t>
  </si>
  <si>
    <t>Google: Matt Shannon</t>
  </si>
  <si>
    <t>https://arxiv.org/pdf/1706.02776.pdf</t>
  </si>
  <si>
    <t>Residual Convolutional CTC Networks for ASR</t>
  </si>
  <si>
    <t>Tencent: Wang et al.</t>
  </si>
  <si>
    <t>https://arxiv.org/pdf/1702.07793.pdf</t>
  </si>
  <si>
    <t>Residual LSTM: Design of a Deep Recurrent Architecture for Distant Speech Recognition</t>
  </si>
  <si>
    <t>https://arxiv.org/pdf/1701.03360.pdf</t>
  </si>
  <si>
    <t>Reducing Bias in Production Speech Models</t>
  </si>
  <si>
    <t>Baidu: Battenberg et al.</t>
  </si>
  <si>
    <t>https://arxiv.org/pdf/1705.04400.pdf</t>
  </si>
  <si>
    <t>Robust Speech Recognition Using GANs</t>
  </si>
  <si>
    <t>Baidu: Sriram et al.</t>
  </si>
  <si>
    <t>https://arxiv.org/pdf/1711.01567.pdf</t>
  </si>
  <si>
    <t>State-of-the-art Speech Recognition with Sequence-to-Sequence Models</t>
  </si>
  <si>
    <t>Google: Chung-Cheng Chiu et al.</t>
  </si>
  <si>
    <t>https://arxiv.org/pdf/1712.01769.pdf</t>
  </si>
  <si>
    <t>Towards Language-Universal End-to-End Speech Recognition</t>
  </si>
  <si>
    <t>https://arxiv.org/pdf/1711.02207.pdf</t>
  </si>
  <si>
    <t>Accelerating Recurrent Neural Network Language Model Based Online Speech Recognition System</t>
  </si>
  <si>
    <t>Samsung: Lee et al.</t>
  </si>
  <si>
    <t>https://arxiv.org/pdf/1801.09866.pdf</t>
  </si>
  <si>
    <t>An Improved Hybrid CTC-Attention Model for Speech Recognition</t>
  </si>
  <si>
    <t>Cloudwalk: Yuan et al.</t>
  </si>
  <si>
    <t>https://arxiv.org/pdf/1810.12020.pdf</t>
  </si>
  <si>
    <t>Hybrid CTC-Attention based End-to-End Speech Recognition using Subword Units</t>
  </si>
  <si>
    <t>Xiao et al.</t>
  </si>
  <si>
    <t>https://arxiv.org/pdf/1807.04978.pdf</t>
  </si>
  <si>
    <t>SpecAugment: A Simple Data Augmentation Method for ASR</t>
  </si>
  <si>
    <t>Google: Park et al.</t>
  </si>
  <si>
    <t>https://arxiv.org/pdf/1904.08779.pdf</t>
  </si>
  <si>
    <t>Effectiveness of Self-Supervised Pre-Training for Speech Recognition</t>
  </si>
  <si>
    <t>https://arxiv.org/pdf/1911.03912.pdf</t>
  </si>
  <si>
    <t>Improved Noisy Student Training for ASR</t>
  </si>
  <si>
    <t>https://arxiv.org/pdf/2005.09629.pdf</t>
  </si>
  <si>
    <t>ContextNet: Improving Convolutional Neural Networks for ASR with Global Context</t>
  </si>
  <si>
    <t>https://arxiv.org/pdf/2005.03191.pdf</t>
  </si>
  <si>
    <t>Google: Han et al.</t>
  </si>
  <si>
    <t>Conformer: Convolution-augmented Transformer for Speech Recognition</t>
  </si>
  <si>
    <t>Google: Gulati et al.</t>
  </si>
  <si>
    <t>https://arxiv.org/pdf/2005.08100v1.pdf</t>
  </si>
  <si>
    <t>On the Comparison of Popular End-to-End Models for Large Scale Speech Recognition</t>
  </si>
  <si>
    <t>Microsoft: Li et al.</t>
  </si>
  <si>
    <t>https://arxiv.org/pdf/2005.14327.pdf</t>
  </si>
  <si>
    <t>Augmented Contrastive Self-Supervised Learning for Audio Invariant Representations</t>
  </si>
  <si>
    <t>Emami et al.</t>
  </si>
  <si>
    <t>https://arxiv.org/pdf/2112.10950.pdf</t>
  </si>
  <si>
    <t>Efficient Training of Audio Transformers with Patchout</t>
  </si>
  <si>
    <t>Koutini et al.</t>
  </si>
  <si>
    <t>https://arxiv.org/pdf/2110.05069.pdf</t>
  </si>
  <si>
    <t>Mixspeech: Data Augmentation for Low-Resource Automatic ASR</t>
  </si>
  <si>
    <t>LegalForce</t>
  </si>
  <si>
    <t>https://legalforce-cloud.com/</t>
  </si>
  <si>
    <t>Lucas Swisher</t>
  </si>
  <si>
    <t>Growth</t>
  </si>
  <si>
    <t>Dan Rose</t>
  </si>
  <si>
    <t>Nathan Urquhart</t>
  </si>
  <si>
    <t>Parag Jain</t>
  </si>
  <si>
    <t>Thomas Laffont</t>
  </si>
  <si>
    <t>Stability.ai</t>
  </si>
  <si>
    <t>Together AI (together.ai)</t>
  </si>
  <si>
    <t>Vipul Ved Prakash</t>
  </si>
  <si>
    <t>Lux, SVA, Susa Ventures, Robot Ventures, First Round, A.Capital, Cadenza, Common Metal, Definition, Long Journey, SCB 10X, Zach Frankel, Yi Sun, Songyee Yoon, Scott Banister, Mary-Catherine Lader, Marc Bhargava, Lip-Bu Tan, Jennifer Campbell, Jeff Hammerbacher, Jakob Uszkoreit, Dawn Song, Chase Lochmiller, Chafic Kazoun, Alex Atallah, Dave Eisenberg</t>
  </si>
  <si>
    <t>Together AI</t>
  </si>
  <si>
    <t>Emergence Capital</t>
  </si>
  <si>
    <t>Kleiner Perkins, NVDA, NEA, Prosperity 7, Greycroft, 137 Ventures, Lux, Definition, Long Journey, SCB10X, SV Angel, Factory, Emergence, Scott Banister</t>
  </si>
  <si>
    <t>Model hosting</t>
  </si>
  <si>
    <t>Salesforce Ventures, Coatue, Lux, Kleiner, Emergence, Prosperity7, NEA, Greycroft, Definition, Long Journey, Factory, SVA, Scott Bannister, Clem Delangue, Soumith Chintala.</t>
  </si>
  <si>
    <t>General Motors (GM)</t>
  </si>
  <si>
    <t>https://arxiv.org/pdf/2312.06837.pdf</t>
  </si>
  <si>
    <t>Spectral State Space Models; 2/7/2024, arXiv</t>
  </si>
  <si>
    <t>2019-1.5</t>
  </si>
  <si>
    <t>Language models are unsupervised multitask learners. OpenAI blog.</t>
  </si>
  <si>
    <t>https://d4mucfpksywv.cloudfront.net/better-language-models/language_models_are_unsupervised_multitask_learners.pdf</t>
  </si>
  <si>
    <t>Codex (at least 7/14/21), Language Models are Few-Shot Learners (7/22/2020), Language Models are Unsupervised Multitask Learners (2019), OpenAI Baselines (1/25/18), Proximal Policy Optimization Algorithms (7/19/17)</t>
  </si>
  <si>
    <t>Language Models are Few-Shot Learners (7/22/2020), Language Models are Unsupervised Multitask Learners (2019)</t>
  </si>
  <si>
    <t>Language Models are Unsupervised Multitask Learners (2019)</t>
  </si>
  <si>
    <t>Language Models are Unsupervised Multitask Learners (2019), Language Models are Few-Shot Learners (7/22/2020)</t>
  </si>
  <si>
    <t>OpenAI: Radford, Wu, Child, Luan, Amodei, Sutskever.</t>
  </si>
  <si>
    <t>This paper discloses GPT-2, trained on a corpus called "WebText".</t>
  </si>
  <si>
    <t>CoQa</t>
  </si>
  <si>
    <t>Stanford question answering dataset. https://stanfordnlp.github.io/coqa/</t>
  </si>
  <si>
    <t>F1</t>
  </si>
  <si>
    <t>Score with the highest lexical overlap.</t>
  </si>
  <si>
    <t>Sutskever, Vinyals, Le.</t>
  </si>
  <si>
    <t>https://arxiv.org/abs/1409.3215</t>
  </si>
  <si>
    <t>2014-5.5</t>
  </si>
  <si>
    <t>2016-DeepSpeech2</t>
  </si>
  <si>
    <t>https://arxiv.org/abs/1512.02595</t>
  </si>
  <si>
    <t>Baidu: Dario Amodei et al.</t>
  </si>
  <si>
    <t>2018-9.5</t>
  </si>
  <si>
    <t>Do CIFAR-10 Classifiers Generalize to CIFAR-10?</t>
  </si>
  <si>
    <t>UC Berkeley: Recht et al.</t>
  </si>
  <si>
    <t>https://arxiv.org/abs/1806.00451</t>
  </si>
  <si>
    <t>2017-3.5</t>
  </si>
  <si>
    <t>Overcoming catastrophic forgetting in neural networks. PNAS 2017.</t>
  </si>
  <si>
    <t>https://arxiv.org/abs/1612.00796</t>
  </si>
  <si>
    <t>DeepMind: Kirkpatrick et al.</t>
  </si>
  <si>
    <t>Building machines that learn and think like people. Behav Brain Sci 2017.</t>
  </si>
  <si>
    <t>https://www.cambridge.org/core/services/aop-cambridge-core/content/view/A9535B1D745A0377E16C590E14B94993/S0140525X16001837a.pdf/building-machines-that-learn-and-think-like-people.pdf</t>
  </si>
  <si>
    <t>Lake et al.</t>
  </si>
  <si>
    <t>2017-3.6</t>
  </si>
  <si>
    <t>disfluency</t>
  </si>
  <si>
    <t>includes broken-off word fragments, fillers and filled pauses</t>
  </si>
  <si>
    <t>stemming</t>
  </si>
  <si>
    <t>a simpler version of lemmatization</t>
  </si>
  <si>
    <t>code switching</t>
  </si>
  <si>
    <t>in linguistics, changing languages in the same utterance</t>
  </si>
  <si>
    <t>function words</t>
  </si>
  <si>
    <t>in linguistics, short words such as articles, pronouns and prepositions (the, and, I, to, of, a, you, my, that, in)</t>
  </si>
  <si>
    <t>top-down tokenization</t>
  </si>
  <si>
    <t>define a standard, implement rules</t>
  </si>
  <si>
    <t>bottom-up tokenization</t>
  </si>
  <si>
    <t>simple statistics of letter sequences break up words into subword tokens</t>
  </si>
  <si>
    <t>clitic</t>
  </si>
  <si>
    <t>in linguistics, a part of a word that can't stand on its own; a contraction such as what're or we're</t>
  </si>
  <si>
    <t>named entity recognition</t>
  </si>
  <si>
    <t>in NLP, the task of recognizing names, dates and organizations</t>
  </si>
  <si>
    <t>Penn Treebank tokenization</t>
  </si>
  <si>
    <t>a standard used for parsed corpora</t>
  </si>
  <si>
    <t>nltk</t>
  </si>
  <si>
    <t>Natural Language Toolkit, python library</t>
  </si>
  <si>
    <t>byte-pair encoding</t>
  </si>
  <si>
    <t>a bottom-up tokenization algorithm</t>
  </si>
  <si>
    <t>2018-z</t>
  </si>
  <si>
    <t>Hazan et al.</t>
  </si>
  <si>
    <t>https://arxiv.org/pdf/1802.03981.pdf</t>
  </si>
  <si>
    <t>Spectral Filtering for General Linear Dynamical Systems - arXiv 2/12/2018</t>
  </si>
  <si>
    <t>ReALM: Reference Resolution as Language Modeling; 3/29/2024, arXiv</t>
  </si>
  <si>
    <t>https://arxiv.org/pdf/2403.20329.pdf</t>
  </si>
  <si>
    <t>Apple: Moniz, et al.</t>
  </si>
  <si>
    <t>Sonauto.ai</t>
  </si>
  <si>
    <t>https://sonauto.ai/Home</t>
  </si>
  <si>
    <t>2022-w</t>
  </si>
  <si>
    <t>Efficient Training of Language Models to Fill in the Middle; 7/28/22, arXiv</t>
  </si>
  <si>
    <t>OpenAI: Bavarian et al.</t>
  </si>
  <si>
    <t>https://arxiv.org/pdf/2207.14255.pdf</t>
  </si>
  <si>
    <t>mobav@openai.com</t>
  </si>
  <si>
    <t>hee-woo@openai.com, heewoo@openai.com</t>
  </si>
  <si>
    <t>Efficient Training of LMs to Fill in the Middle (7/28/22)</t>
  </si>
  <si>
    <t>SDPA</t>
  </si>
  <si>
    <t>scaled dot product attention</t>
  </si>
  <si>
    <t>2016-z</t>
  </si>
  <si>
    <t>Unitary evolution recurrent neural networks; ICML 2016</t>
  </si>
  <si>
    <t>Arjovsky et al.</t>
  </si>
  <si>
    <t>2020-x</t>
  </si>
  <si>
    <t>Language Models are Few-Shot Learners; NIPS 2020</t>
  </si>
  <si>
    <t>Brown et al.</t>
  </si>
  <si>
    <t>Google: Naman Agarwal, Elad Hazan, et al.</t>
  </si>
  <si>
    <t>2022-v</t>
  </si>
  <si>
    <t>Hungry Hungry Hippos: Towards language modeling with state space models; arXiv</t>
  </si>
  <si>
    <t>Dao et al.</t>
  </si>
  <si>
    <t>2020-y</t>
  </si>
  <si>
    <t>Dosovitskiy et al.</t>
  </si>
  <si>
    <t>An image is worth 16x16 words: transformers for image recognition at scale; arXiv</t>
  </si>
  <si>
    <t>2016-z, 1994-1, 2020-x, 2014-5, 2022-v, 2020-y</t>
  </si>
  <si>
    <t>Meta: Michael Hassid et al.</t>
  </si>
  <si>
    <t>https://arxiv.org/abs/2305.13009</t>
  </si>
  <si>
    <t>Textually Pretrained Speech Language Models; arXiv 1/30/24 revision, original 5/22/23</t>
  </si>
  <si>
    <t>A mathematical perspective on Transformers; arXiv, 12/17/2023</t>
  </si>
  <si>
    <t>Analyzing and Improving the Training Dynamics of Diffusion Models; arXiv, 12/5/2023</t>
  </si>
  <si>
    <t>MARRS: Multimodal Reference Resolution System; arXiv 11/3/2023</t>
  </si>
  <si>
    <t>Apple: Ates, et al.</t>
  </si>
  <si>
    <t>https://arxiv.org/abs/2311.01650</t>
  </si>
  <si>
    <t>2023-MARRS</t>
  </si>
  <si>
    <t>2022-u</t>
  </si>
  <si>
    <t>METRO: Efficient Denoising Pretraining of Large Scale Autoencoding Language Models with Model Generated Signals</t>
  </si>
  <si>
    <t>Microsoft: Bajaj et al.</t>
  </si>
  <si>
    <t>https://arxiv.org/pdf/2204.06644.pdf</t>
  </si>
  <si>
    <t>Faith and Fate: Limits of Transformers on Compositionality; arXiv 10/31/23</t>
  </si>
  <si>
    <t>Referring to Screen Texts with Voice Assistants. arXiv 6/10/2023</t>
  </si>
  <si>
    <t>Apple: Bhargava et al.</t>
  </si>
  <si>
    <t>https://arxiv.org/pdf/2306.07298.pdf</t>
  </si>
  <si>
    <t>2023-GPT-4</t>
  </si>
  <si>
    <t>2023-Bhargava</t>
  </si>
  <si>
    <t>QLoRA: Efficient Finetuning of Quantized LLMs</t>
  </si>
  <si>
    <t>2023-QLORA</t>
  </si>
  <si>
    <t>https://arxiv.org/abs/2305.14314</t>
  </si>
  <si>
    <t>U Washington: Dettmers et al.</t>
  </si>
  <si>
    <t>2023-GPT-4, 2023-MARRS, 2022-u, 2020-x, 2023-Bhargava, 2023-QLORA, 2020-y</t>
  </si>
  <si>
    <t>Hegel</t>
  </si>
  <si>
    <t>www.hegel-ai.com</t>
  </si>
  <si>
    <t>www.obviously.ai</t>
  </si>
  <si>
    <t>Valley</t>
  </si>
  <si>
    <t>www.joinvalley.co</t>
  </si>
  <si>
    <t>www.wand.app</t>
  </si>
  <si>
    <t>2017-y</t>
  </si>
  <si>
    <t>One model to learn them all. arXiv;</t>
  </si>
  <si>
    <t>Kaiser et al.</t>
  </si>
  <si>
    <t>https://arxiv.org/abs/1706.05137</t>
  </si>
  <si>
    <t>Google: Lukasz Kaiser, Aidan Gomez, Noam Shazeer, Ashish Vaswani, Niki Parmar, Llion Jones, Jakob Uszkoreit</t>
  </si>
  <si>
    <t>Model-agnostic meta-learning for fast adaptation of deep networks. arXiv;</t>
  </si>
  <si>
    <t>https://arxiv.org/abs/1703.03400</t>
  </si>
  <si>
    <t>UCB Berkeley: Chelsea Finn, Pieter Abbeel, Sergey Levine</t>
  </si>
  <si>
    <t>2017-2.5</t>
  </si>
  <si>
    <t>2018-w</t>
  </si>
  <si>
    <t>The natural language decathlon: Multitask learning as question answering. arXiv</t>
  </si>
  <si>
    <t>https://arxiv.org/abs/1806.08730</t>
  </si>
  <si>
    <t>Salesforce: McCann et al.</t>
  </si>
  <si>
    <t>2018-v</t>
  </si>
  <si>
    <t xml:space="preserve">Can You Tell Me How to Get Past Sesame Street? Sentence-Level Pretraining Beyond Language Modeling. arXiv, </t>
  </si>
  <si>
    <t>https://arxiv.org/abs/1812.10860</t>
  </si>
  <si>
    <t>NYU: Wang, Bowman et al.</t>
  </si>
  <si>
    <t>1997-2</t>
  </si>
  <si>
    <t>Rich Caruana</t>
  </si>
  <si>
    <t>Multitask Learning. Machine Learning 28</t>
  </si>
  <si>
    <t>2011-4</t>
  </si>
  <si>
    <t>Natural language processing (almost) from scratch. J Mach Learn Res 2011.</t>
  </si>
  <si>
    <t>Collobert, et al.</t>
  </si>
  <si>
    <t>2018-u</t>
  </si>
  <si>
    <t>Strike (with) a pose: Neural networks are easily fooled by strange poses of familiar objects. arXiv</t>
  </si>
  <si>
    <t>Alcorn et al.</t>
  </si>
  <si>
    <t>https://arxiv.org/abs/1808.07042</t>
  </si>
  <si>
    <t>CoQA: A conversational question answering challenge. arXiv.</t>
  </si>
  <si>
    <t>Stanford: Reddy et al.</t>
  </si>
  <si>
    <t>2018-CoQA</t>
  </si>
  <si>
    <t>2012-1, 2014-5.5, 2016-DeepSpeech2, 2018-9.5, 2017-3.5, 2017-3.6, 2017-1, 2017-y, 2017-2.5, 2017-8, 2018-w, 1997-2, 2013-1, 2011-4, 2018-COQA</t>
  </si>
  <si>
    <t>Improving language understanding with unsupervised learning.</t>
  </si>
  <si>
    <t>OpenAI: Radford, Narasimhan, Salimans, Sutskever</t>
  </si>
  <si>
    <t>2018-OpenAI</t>
  </si>
  <si>
    <t>https://cdn.openai.com/research-covers/language-unsupervised/language_understanding_paper.pdf</t>
  </si>
  <si>
    <t>Karthik Narasimhan</t>
  </si>
  <si>
    <t>karthik@openai.com</t>
  </si>
  <si>
    <t>Improved Techniques for Training GANs (6/10/16), Improving Language Understanding by Generative Pre-Training (6/11/2018)</t>
  </si>
  <si>
    <t>Improving Language Understanding by Generative Pre-Training (6/11/2018)</t>
  </si>
  <si>
    <t>Trevor Blackwell</t>
  </si>
  <si>
    <t>Tenure</t>
  </si>
  <si>
    <t>Robotics guy</t>
  </si>
  <si>
    <t>Durk Kingma</t>
  </si>
  <si>
    <t>Pamela Vagata</t>
  </si>
  <si>
    <t>www.sierra.ai</t>
  </si>
  <si>
    <t>belief state</t>
  </si>
  <si>
    <t>a set of possible worlds</t>
  </si>
  <si>
    <t>state estimation</t>
  </si>
  <si>
    <t>maintaining the belief state</t>
  </si>
  <si>
    <t>David Hume</t>
  </si>
  <si>
    <t>proposed induction</t>
  </si>
  <si>
    <t>Co-authored book on Perceptrons with Papert in 1969. Part of the Dartmouth Summer 1955 team. Created the first neural network computer in 1950.</t>
  </si>
  <si>
    <t>Leopold Aschenbrenner</t>
  </si>
  <si>
    <t>Fired for being communist</t>
  </si>
  <si>
    <t>Pavel Izmailov</t>
  </si>
  <si>
    <t>stability.ai</t>
  </si>
  <si>
    <t>midjourney</t>
  </si>
  <si>
    <t>photo.ai</t>
  </si>
  <si>
    <t>civitai.com</t>
  </si>
  <si>
    <t>replicate.com</t>
  </si>
  <si>
    <t>clarityai.cc</t>
  </si>
  <si>
    <t>Great firm</t>
  </si>
  <si>
    <t>NIPS (Proc Advances in NIPS)</t>
  </si>
  <si>
    <t>DaVinci</t>
  </si>
  <si>
    <t>Stability</t>
  </si>
  <si>
    <t>Pricing</t>
  </si>
  <si>
    <t>davinci.ai</t>
  </si>
  <si>
    <t>A100 40GB 4.14/hr</t>
  </si>
  <si>
    <t>https://github.com/Stability-AI/StableSwarmUI</t>
  </si>
  <si>
    <t>https://comfyanonymous.github.io/ComfyUI_examples/lcm/</t>
  </si>
  <si>
    <t>https://github.com/comfyanonymous/ComfyUI</t>
  </si>
  <si>
    <t>photoai.com</t>
  </si>
  <si>
    <t>ideogram.ai</t>
  </si>
  <si>
    <t>https://beta.dreamstudio.ai/generate</t>
  </si>
  <si>
    <t>https://github.com/lllyasviel/Fooocus?tab=readme-ov-file</t>
  </si>
  <si>
    <t>Simple ML classifier algorithm. The "naïve" assumption is that the features in the input data are independent.</t>
  </si>
  <si>
    <t>Traffic (TT28D 000s)</t>
  </si>
  <si>
    <t>HuggingFace</t>
  </si>
  <si>
    <t>stablediffusionweb.com</t>
  </si>
  <si>
    <t>midjourney.com</t>
  </si>
  <si>
    <t>Canva</t>
  </si>
  <si>
    <t>Discord</t>
  </si>
  <si>
    <t>prompthero</t>
  </si>
  <si>
    <t>stable-diffusion-art.com</t>
  </si>
  <si>
    <t>playground</t>
  </si>
  <si>
    <t>flair.ai</t>
  </si>
  <si>
    <t>gencraft</t>
  </si>
  <si>
    <t>gencraft.com</t>
  </si>
  <si>
    <t>AITubo</t>
  </si>
  <si>
    <t>aitubo.ai</t>
  </si>
  <si>
    <t>playground.com</t>
  </si>
  <si>
    <t>hotpot</t>
  </si>
  <si>
    <t>hotpot.ai</t>
  </si>
  <si>
    <t>Leonardo</t>
  </si>
  <si>
    <t>leonardo.ai</t>
  </si>
  <si>
    <t>clipdrop.co</t>
  </si>
  <si>
    <t>lexica.art</t>
  </si>
  <si>
    <t>runwayml.com</t>
  </si>
  <si>
    <t>dreamstudio</t>
  </si>
  <si>
    <t>dreamstudio.ai</t>
  </si>
  <si>
    <t>CivitAI</t>
  </si>
  <si>
    <t>pika</t>
  </si>
  <si>
    <t>Australian investors</t>
  </si>
  <si>
    <t>Felicis, Google, Coatue</t>
  </si>
  <si>
    <t>Coatue, Lightspeed</t>
  </si>
  <si>
    <t>$20/mo for professionals</t>
  </si>
  <si>
    <t>$15, $45/mo</t>
  </si>
  <si>
    <t>best known kernel method, linear form invented by Vapnik and Chervonenkis in 1964, republished in 1995 by Vapnik with Cortes</t>
  </si>
  <si>
    <t>decision boundary</t>
  </si>
  <si>
    <t>separation hyperplane used in SVM classification</t>
  </si>
  <si>
    <t>group of classification algorithms which compute distances between points in representation hyperspace. Hard to scale for large data sets.</t>
  </si>
  <si>
    <t>decision tree</t>
  </si>
  <si>
    <t>Became a rival method to kernel methods in the 2000s-2010s. Methods include random forest.</t>
  </si>
  <si>
    <t>Decision tree method in ML where parameters learned are questions about the data.</t>
  </si>
  <si>
    <t>gradient boosting</t>
  </si>
  <si>
    <t>ML technique which trains new models that address weak points of previous models.</t>
  </si>
  <si>
    <t>Dan Ciresan</t>
  </si>
  <si>
    <t>IDSIA</t>
  </si>
  <si>
    <t>Received PhD under Geoffrey Hinton. Sold his startup, DNN Research, to Google (2013-2017). Left Google to join Dessa. Unclear what he is doing now, possibly venture, but not AI. Created CIFAR-10 and CIFAR-100, won ImageNet in 2012.</t>
  </si>
  <si>
    <t>Also known as convnets, invented by Le Cun in the 1980s. Based on persistent states that gather information layer-by-layer. They have fewer connections and parameters than standard NNs, and are easier to train.</t>
  </si>
  <si>
    <t>LightGBM</t>
  </si>
  <si>
    <t>XGBoost</t>
  </si>
  <si>
    <t>ML technique which superceded random forests and gained popularity in 2014. Ensembles decision trees and uses gradient boosting (gradient boosted trees).</t>
  </si>
  <si>
    <t>Developed in 1997, a type of RNN that is designed to remember information over extended time intervals. The hidden state defines the LSTM's memory cell. Four gates (input, forget, cell, output) are computed with the current input, prior hidden state and bias. Sigmoid and tanh add non-linearity. LSTMs can be multilayered or "stacked", where output layers become inputs to the next layer. LSTMs can incorporate projections. See also bidirectional LSTM.</t>
  </si>
  <si>
    <t>CUDA</t>
  </si>
  <si>
    <t>Launched in 2007 by Nvidia, a programming interface for GPUs.</t>
  </si>
  <si>
    <t>Image recognition database with 15 million high-res labeled images in 22k categories and contest. Krizhevsky, Sutskever and Hinton's CNN advanced SOTA in 2012 with a 60m parameter, 650k neuron 5-convolutional, 3-fully-connected layer model.</t>
  </si>
  <si>
    <t>Hopsworks (Logical Clocks)</t>
  </si>
  <si>
    <t>Ermias Gebremeskel, Gautier Berthou, Jim Dowling, Mahmoud Ismail, Salman Niazi, Seif Haridi, Theo Kakantousis</t>
  </si>
  <si>
    <t>https://www.hopsworks.ai/</t>
  </si>
  <si>
    <t>Vendep Capital, Inventure, Industrifonden</t>
  </si>
  <si>
    <t>Industrifonden</t>
  </si>
  <si>
    <t>Industrifonden, Inventure</t>
  </si>
  <si>
    <t>Enterprise Feature Store</t>
  </si>
  <si>
    <t>Inventure, Frontline Ventures, AI Seed</t>
  </si>
  <si>
    <t>AI Seed</t>
  </si>
  <si>
    <t>Kuano</t>
  </si>
  <si>
    <t>RoboK</t>
  </si>
  <si>
    <t>Odin Vision</t>
  </si>
  <si>
    <t>Ntropy Network</t>
  </si>
  <si>
    <t>Sociate</t>
  </si>
  <si>
    <t>Limbic</t>
  </si>
  <si>
    <t>Juno Bio</t>
  </si>
  <si>
    <t>Symbiotica</t>
  </si>
  <si>
    <t>LGN</t>
  </si>
  <si>
    <t>Rahko</t>
  </si>
  <si>
    <t>Vimma</t>
  </si>
  <si>
    <t>Arthronica</t>
  </si>
  <si>
    <t>Ai Build</t>
  </si>
  <si>
    <t>Kagenova</t>
  </si>
  <si>
    <t>Plural AI</t>
  </si>
  <si>
    <t>NumberEight</t>
  </si>
  <si>
    <t>GTN</t>
  </si>
  <si>
    <t>Liopa</t>
  </si>
  <si>
    <t>Facesoft</t>
  </si>
  <si>
    <t>ThinkSono</t>
  </si>
  <si>
    <t>Winning Minds</t>
  </si>
  <si>
    <t>Maxatta Limited</t>
  </si>
  <si>
    <t>Evolution AI</t>
  </si>
  <si>
    <t>Creative AI</t>
  </si>
  <si>
    <t>Observe Technologies</t>
  </si>
  <si>
    <t>Transformative AI</t>
  </si>
  <si>
    <t>Personalyze</t>
  </si>
  <si>
    <t>Vendep</t>
  </si>
  <si>
    <t>Modal Labs</t>
  </si>
  <si>
    <t>Akshat Bubna, Erik Bernhardsson</t>
  </si>
  <si>
    <t>www.modal.com</t>
  </si>
  <si>
    <t>$8/hr for H100!!</t>
  </si>
  <si>
    <t>Dream3D</t>
  </si>
  <si>
    <t>MLOps, inference/FT cloud provider</t>
  </si>
  <si>
    <t>Redpoint, Zero Prime, Quiet Capital, Lux, Howard University, Gaingels, Essence Fund, Eastlink Capital, Definition, Creandum, Amplify Partners, Tristan Handy, Tejas Manohar, Simon Eskildsen, Ry Walker, Neha Narkhede, Lindsay Pettingill, Julia Schottenstein, Josh Wills, Jordan Tigani, Jessie Frazelle, Jeff Hammerbacher, Iqram Magdon-Ismail, Hamel Hussain, Elad Gil, Christopher Re, Boris Jabes, Benn Stancil, Barry McCardel, Barr Moses, Arjun Narayan, Allison Pickens</t>
  </si>
  <si>
    <t>Zero Prime Ventures</t>
  </si>
  <si>
    <t>Josh Wolfe</t>
  </si>
  <si>
    <t>Howard University</t>
  </si>
  <si>
    <t>Essence Fund (China)</t>
  </si>
  <si>
    <t>essencefund.com</t>
  </si>
  <si>
    <t>Definition</t>
  </si>
  <si>
    <t>definitioncap.com</t>
  </si>
  <si>
    <t>Creandum (Sweden)</t>
  </si>
  <si>
    <t>Amplify, Leigh Marie Braswell, Karim Atiyeh, Bucky Moore</t>
  </si>
  <si>
    <t>www.blackbox.ai</t>
  </si>
  <si>
    <t>Ohad Rozewn, Roy Penn</t>
  </si>
  <si>
    <t>www.tymely.ai</t>
  </si>
  <si>
    <t>Navikenz</t>
  </si>
  <si>
    <t>Customer Service agents</t>
  </si>
  <si>
    <t>Hetz Ventures, DESCOvery, 97212 Ventures</t>
  </si>
  <si>
    <t>Israeli?</t>
  </si>
  <si>
    <t>Tymely AI</t>
  </si>
  <si>
    <t>Initialized, Max Levchin, Paul Graham, Aaron Levie, YC, Paul Buchheit, Ron Conway, Kyle Vogt, Balaji</t>
  </si>
  <si>
    <t>https://playground.com/blog/playground-v2-5</t>
  </si>
  <si>
    <t>Models</t>
  </si>
  <si>
    <t>gradient propagation</t>
  </si>
  <si>
    <t>the final calculation of a neuron's weights and biases. Examples include sigmoid, tanh, ReLU, GeLU, etc.</t>
  </si>
  <si>
    <t>weight initialization</t>
  </si>
  <si>
    <t>Important component of neural networks. Efforts started with layer-wise pretraining, which was abandoned.</t>
  </si>
  <si>
    <t>moving signal through increasing numbers of layers of neurons is difficult. Better activation functions, weight-initialization schemes and optimization schemes allowed deeper layers.</t>
  </si>
  <si>
    <t>DL technique which improved gradient propagation.</t>
  </si>
  <si>
    <t>Positional input embedding given to multi-headed attention output vector, improving gradient propagation in deep learning.</t>
  </si>
  <si>
    <t>depthwise separable convolution</t>
  </si>
  <si>
    <t>Xception</t>
  </si>
  <si>
    <t>dense layer</t>
  </si>
  <si>
    <t>a fully connected layer</t>
  </si>
  <si>
    <t>fully connected layer</t>
  </si>
  <si>
    <t>a dense layer</t>
  </si>
  <si>
    <t>optimizer</t>
  </si>
  <si>
    <t>The method which updates the model during training, an important component of neural networks. Examples include RMSProp and Adam.</t>
  </si>
  <si>
    <t>The function which calculates model performance on training data. Least squared error, logistic loss, hinge loss, cross-entropy, sum of the squared residuals are examples. A loss function calculates error distance.</t>
  </si>
  <si>
    <t>TikTok, AV models</t>
  </si>
  <si>
    <t>$10-$120/month (200-3600 images)</t>
  </si>
  <si>
    <t>$12 for 300-700 images</t>
  </si>
  <si>
    <t>$10 for 200-625 images, heavily NSFW</t>
  </si>
  <si>
    <t>WebApp</t>
  </si>
  <si>
    <t>NO</t>
  </si>
  <si>
    <t>YES</t>
  </si>
  <si>
    <t>imgnai.com</t>
  </si>
  <si>
    <t>imgn.ai</t>
  </si>
  <si>
    <t>Limited</t>
  </si>
  <si>
    <t>Augment</t>
  </si>
  <si>
    <t>lumalabs.ai</t>
  </si>
  <si>
    <t>Nebius</t>
  </si>
  <si>
    <t>nebius.ai</t>
  </si>
  <si>
    <t>rendernet</t>
  </si>
  <si>
    <t>rendernet.ai</t>
  </si>
  <si>
    <t>tensor.art</t>
  </si>
  <si>
    <t>TensorArt</t>
  </si>
  <si>
    <t>Flux</t>
  </si>
  <si>
    <t>flux.ai</t>
  </si>
  <si>
    <t>seamless.ai</t>
  </si>
  <si>
    <t>Wombo</t>
  </si>
  <si>
    <t>www.wombo.ai</t>
  </si>
  <si>
    <t>Akshat Jagga, Angad Arneja, Ben Zion Benkhin, Parshant Loungani, Paul Pavel, Vivek Bhakta</t>
  </si>
  <si>
    <t>Images</t>
  </si>
  <si>
    <t>Image generation</t>
  </si>
  <si>
    <t>Infinity Ventures Crypto, Spice Capital, Founders Inc.</t>
  </si>
  <si>
    <t>DESCOvery</t>
  </si>
  <si>
    <t>97212 Ventures</t>
  </si>
  <si>
    <t>Recognant</t>
  </si>
  <si>
    <t>universal approximation theorem</t>
  </si>
  <si>
    <t>MLPs can represent any Borel measurable function</t>
  </si>
  <si>
    <t>MLP</t>
  </si>
  <si>
    <t>multilayer perceptron</t>
  </si>
  <si>
    <t>A multi-layer perceptron, also known as a fully-connected feedforward neural network.</t>
  </si>
  <si>
    <t>Also known as MLP or fully-connected feedforward neural network.</t>
  </si>
  <si>
    <t>Normal neural network such as a MLP.</t>
  </si>
  <si>
    <t>MLP is an example. Activation functions are present on nodes (neurons), forming layers.</t>
  </si>
  <si>
    <t>Infinity Ventures Crypto</t>
  </si>
  <si>
    <t>Spice Capital</t>
  </si>
  <si>
    <t>Founders Inc</t>
  </si>
  <si>
    <t>Quadratic</t>
  </si>
  <si>
    <t>quadratichq.com</t>
  </si>
  <si>
    <t>Sofreh Capital, Global Founders Capital, Sound Ventures, MPGI, LaunchHouse, Flucas Ventures, Buckley Ventures, 500 Global, 468 Capital, Gabriel Leydon, Marc Baghadjian</t>
  </si>
  <si>
    <t>Sofreh Capital</t>
  </si>
  <si>
    <t>AVOID - Uber treatment was reprehensible</t>
  </si>
  <si>
    <t>MPGI</t>
  </si>
  <si>
    <t>LaunchHouse</t>
  </si>
  <si>
    <t>Chris Clark</t>
  </si>
  <si>
    <t>Former COO</t>
  </si>
  <si>
    <t>2016</t>
  </si>
  <si>
    <t>Director of Research, Principal of Research, ran optimization for GPT-4 pretraining, Evals</t>
  </si>
  <si>
    <t>StoryDiffusion: Consistent Self-Attention for Long-Range Image and Video Generation; 5/2/2024; arXiv</t>
  </si>
  <si>
    <t>ByteDance: Zhou, et al.</t>
  </si>
  <si>
    <t>SilverSmith</t>
  </si>
  <si>
    <t>DiffusionEngine: Diffusion Model is Scalable Data Engine for Object Detection. arXiv 9/7/2023</t>
  </si>
  <si>
    <t>ByteDance: Zhang et al.</t>
  </si>
  <si>
    <t>https://arxiv.org/abs/2309.03893</t>
  </si>
  <si>
    <t>MVDream: Multi-view Diffusion for 3D Generation. arXiv 4/18/24 revision, 8/31/23 original</t>
  </si>
  <si>
    <t>ByteDance: Shi et al.</t>
  </si>
  <si>
    <t>https://arxiv.org/abs/2308.16512</t>
  </si>
  <si>
    <t>MagicMix: Semantic Mixing with Diffusion Models. arXiv 10/28/22</t>
  </si>
  <si>
    <t>ByteDance: Liew et al.</t>
  </si>
  <si>
    <t>https://arxiv.org/abs/2210.16056</t>
  </si>
  <si>
    <t>Distilling Diffusion Models into Conditional GANs; arXiv 5/9/2024</t>
  </si>
  <si>
    <t>https://arxiv.org/abs/2405.05967</t>
  </si>
  <si>
    <t>Adobe: Kang et al.</t>
  </si>
  <si>
    <t>ControlNet</t>
  </si>
  <si>
    <t>Adding Conditional Control to Text-to-Image Diffusion Models - Zhang, et al. (Stanford), 11/26/2023.</t>
  </si>
  <si>
    <t>Diffusion for World Modeling: Visual Details Matter in Atari; arXiv 5/20/24</t>
  </si>
  <si>
    <t>Alonso et al.</t>
  </si>
  <si>
    <t>https://arxiv.org/abs/2405.12399</t>
  </si>
  <si>
    <t>Great seed/pre-seed fund.</t>
  </si>
  <si>
    <t>Jeff Weinstein</t>
  </si>
  <si>
    <t>Section</t>
  </si>
  <si>
    <t>2405 - Machine Learning</t>
  </si>
  <si>
    <t>Number</t>
  </si>
  <si>
    <t>Improved Particle Approximation Error for Mean Field Neural Networks</t>
  </si>
  <si>
    <t>Sparse Expansion and Neuronal Disentanglement</t>
  </si>
  <si>
    <t>CAFe: Cost and Age aware Federated Learning</t>
  </si>
  <si>
    <t>Sparse maximal update parameterization: A holistic approach to sparse training dynamics</t>
  </si>
  <si>
    <t>Neural Persistence Dynamics</t>
  </si>
  <si>
    <t>Understanding the differences in Foundation Models: Attention, State Space Models, and Recurrent Neural Networks</t>
  </si>
  <si>
    <t>Models That Prove Their Own Correctness</t>
  </si>
  <si>
    <t>Information-theoretic Generalization Analysis for Expected Calibration Error</t>
  </si>
  <si>
    <t>The Impact of Geometric Complexity on Neural Collapse in Transfer Learning</t>
  </si>
  <si>
    <t>The Road Less Scheduled</t>
  </si>
  <si>
    <t>Consistency of Neural Causal Partial Identification</t>
  </si>
  <si>
    <t>Class Machine Unlearning for Complex Data via Concepts Inference and Data Poisoning</t>
  </si>
  <si>
    <t>Harnessing Increased Client Participation with Cohort-Parallel Federated Learning</t>
  </si>
  <si>
    <t>Effective Confidence Region Prediction Using Probability Forecasters</t>
  </si>
  <si>
    <t>Federated Behavioural Planes: Explaining the Evolution of Client Behaviour in Federated Learning</t>
  </si>
  <si>
    <t>Inverse-RLignment: Inverse Reinforcement Learning from Demonstrations for LLM Alignment</t>
  </si>
  <si>
    <t>MLPs Learn In-Context</t>
  </si>
  <si>
    <t>Automatic Data Curation for Self-Supervised Learning: A Clustering-Based Approach</t>
  </si>
  <si>
    <t>Fast-PGM: Fast Probabilistic Graphical Model Learning and Inference</t>
  </si>
  <si>
    <t>Kronecker-Factored Approximate Curvature for Physics-Informed Neural Networks</t>
  </si>
  <si>
    <t>On the Computational Landscape of Replicable Learning</t>
  </si>
  <si>
    <t>MCDFN: Supply Chain Demand Forecasting via an Explainable Multi-Channel Data Fusion Network Model Integrating CNN, LSTM, and GRU</t>
  </si>
  <si>
    <t>MicroAdam: Accurate Adaptive Optimization with Low Space Overhead and Provable Convergence</t>
  </si>
  <si>
    <t>Efficient Adversarial Training in LLMs with Continuous Attacks</t>
  </si>
  <si>
    <t>DAGER: Exact Gradient Inversion for Large Language Models</t>
  </si>
  <si>
    <t>Transfer Learning with Informative Priors: Simple Baselines Better than Previously Reported</t>
  </si>
  <si>
    <t>Rethinking Independent Cross-Entropy Loss For Graph-Structured Data</t>
  </si>
  <si>
    <t>Learning from Linear Algebra: A Graph Neural Network Approach to Preconditioner Design for Conjugate Gradient Solvers</t>
  </si>
  <si>
    <t>Certifiably Robust RAG against Retrieval Corruption</t>
  </si>
  <si>
    <t>Thinking Forward: Memory-Efficient Federated Finetuning of Language Models</t>
  </si>
  <si>
    <t>Bundle Neural Networks for message diffusion on graphs</t>
  </si>
  <si>
    <t>ChatGPT Code Detection: Techniques for Uncovering the Source of Code</t>
  </si>
  <si>
    <t>Learning to Discretize Denoising Diffusion ODEs</t>
  </si>
  <si>
    <t>Revisiting Counterfactual Regression through the Lens of Gromov-Wasserstein Information Bottleneck</t>
  </si>
  <si>
    <t>Towards Natural Machine Unlearning</t>
  </si>
  <si>
    <t>Sparse Spectral Training and Inference on Euclidean and Hyperbolic Neural Networks</t>
  </si>
  <si>
    <t>Fundamental limits of weak learnability in high-dimensional multi-index models</t>
  </si>
  <si>
    <t>Editable Concept Bottleneck Models</t>
  </si>
  <si>
    <t>Unlearning during Learning: An Efficient Federated Machine Unlearning Method</t>
  </si>
  <si>
    <t>FedCal: Achieving Local and Global Calibration in Federated Learning via Aggregated Parameterized Scaler</t>
  </si>
  <si>
    <t>Mind the Gap: A Causal Perspective on Bias Amplification in Prediction &amp; Decision-Making</t>
  </si>
  <si>
    <t>HyperInterval: Hypernetwork approach to training weight interval regions in continual learning</t>
  </si>
  <si>
    <t>Fairness-Accuracy Trade-Offs: A Causal Perspective</t>
  </si>
  <si>
    <t>Counterexample-Guided Repair of Reinforcement Learning Systems Using Safety Critics</t>
  </si>
  <si>
    <t>E(n) Equivariant Topological Neural Networks</t>
  </si>
  <si>
    <t>Smoothed Online Classification can be Harder than Batch Classification</t>
  </si>
  <si>
    <t>Lost in the Averages: A New Specific Setup to Evaluate Membership Inference Attacks Against Machine Learning Models</t>
  </si>
  <si>
    <t>Model-free reinforcement learning with noisy actions for automated experimental control in optics</t>
  </si>
  <si>
    <t>Towards Client Driven Federated Learning</t>
  </si>
  <si>
    <t>Fine-Grained Dynamic Framework for Bias-Variance Joint Optimization on Data Missing Not at Random</t>
  </si>
  <si>
    <t>Tensor Frames -- How To Make Any Message Passing Network Equivariant</t>
  </si>
  <si>
    <t>Efficient Recurrent Off-Policy RL Requires a Context-Encoder-Specific Learning Rate</t>
  </si>
  <si>
    <t>Fast, accurate training and sampling of Restricted Boltzmann Machines</t>
  </si>
  <si>
    <t>Cross-Domain Policy Adaptation by Capturing Representation Mismatch</t>
  </si>
  <si>
    <t>Pipeline Parallelism with Controllable Memory</t>
  </si>
  <si>
    <t>Cross-Validated Off-Policy Evaluation</t>
  </si>
  <si>
    <t>Multi-Modal Recommendation Unlearning</t>
  </si>
  <si>
    <t>On the Identification of Temporally Causal Representation with Instantaneous Dependence</t>
  </si>
  <si>
    <t>NuwaTS: Mending Every Incomplete Time Series</t>
  </si>
  <si>
    <t>Decaf: Data Distribution Decompose Attack against Federated Learning</t>
  </si>
  <si>
    <t>Output-Constrained Decision Trees</t>
  </si>
  <si>
    <t>Resource-Efficient Heartbeat Classification Using Multi-Feature Fusion and Bidirectional LSTM</t>
  </si>
  <si>
    <t>Spectraformer: A Unified Random Feature Framework for Transformer</t>
  </si>
  <si>
    <t>Unlearning Concepts in Diffusion Model via Concept Domain Correction and Concept Preserving Gradient</t>
  </si>
  <si>
    <t>Trajectory-Based Multi-Objective Hyperparameter Optimization for Model Retraining</t>
  </si>
  <si>
    <t>Rankability-enhanced Revenue Uplift Modeling Framework for Online Marketing</t>
  </si>
  <si>
    <t>Towards a Probabilistic Fusion Approach for Robust Battery Prognostics</t>
  </si>
  <si>
    <t>Minimizing UCB: a Better Local Search Strategy in Local Bayesian Optimization</t>
  </si>
  <si>
    <t>Prompt Tuning Strikes Back: Customizing Foundation Models with Low-Rank Prompt Adaptation</t>
  </si>
  <si>
    <t>Towards a General Time Series Anomaly Detector with Adaptive Bottlenecks and Dual Adversarial Decoders</t>
  </si>
  <si>
    <t>ParamReL: Learning Parameter Space Representation via Progressively Encoding Bayesian Flow Networks</t>
  </si>
  <si>
    <t>FTMixer: Frequency and Time Domain Representations Fusion for Time Series Modeling</t>
  </si>
  <si>
    <t>Fast 3D Molecule Generation via Unified Geometric Optimal Transport</t>
  </si>
  <si>
    <t>Learning Antenna Pointing Correction in Operations: Efficient Calibration of a Black Box</t>
  </si>
  <si>
    <t>Cooperative Backdoor Attack in Decentralized Reinforcement Learning with Theoretical Guarantee</t>
  </si>
  <si>
    <t>Adversarial Attacks on Hidden Tasks in Multi-Task Learning</t>
  </si>
  <si>
    <t>Towards Real World Debiasing: A Fine-grained Analysis On Spurious Correlation</t>
  </si>
  <si>
    <t>Cardinality Estimation on Hyper-relational Knowledge Graphs</t>
  </si>
  <si>
    <t>Learning from True-False Labels via Multi-modal Prompt Retrieving</t>
  </si>
  <si>
    <t>AGS-GNN: Attribute-guided Sampling for Graph Neural Networks</t>
  </si>
  <si>
    <t>Denoising LM: Pushing the Limits of Error Correction Models for Speech Recognition</t>
  </si>
  <si>
    <t>Indexed Minimum Empirical Divergence-Based Algorithms for Linear Bandits</t>
  </si>
  <si>
    <t>Efficient Reinforcement Learning via Large Language Model-based Search</t>
  </si>
  <si>
    <t>Diffusion Actor-Critic with Entropy Regulator</t>
  </si>
  <si>
    <t>Enhancing Learning with Label Differential Privacy by Vector Approximation</t>
  </si>
  <si>
    <t>Intelligent Go-Explore: Standing on the Shoulders of Giant Foundation Models</t>
  </si>
  <si>
    <t>Better Membership Inference Privacy Measurement through Discrepancy</t>
  </si>
  <si>
    <t>Exploring the Evolution of Hidden Activations with Live-Update Visualization</t>
  </si>
  <si>
    <t>Scaling Law for Time Series Forecasting</t>
  </si>
  <si>
    <t>A Counterfactual Analysis of the Dishonest Casino</t>
  </si>
  <si>
    <t>Bayesian Optimization of Functions over Node Subsets in Graphs</t>
  </si>
  <si>
    <t>Quantifying the Gain in Weak-to-Strong Generalization</t>
  </si>
  <si>
    <t>Towards Better Understanding of In-Context Learning Ability from In-Context Uncertainty Quantification</t>
  </si>
  <si>
    <t>ULTRA-MC: A Unified Approach to Learning Mixtures of Markov Chains via Hitting Times</t>
  </si>
  <si>
    <t>Pure Exploration for Constrained Best Mixed Arm Identification with a Fixed Budget</t>
  </si>
  <si>
    <t>Distributed Harmonization: Federated Clustered Batch Effect Adjustment and Generalization</t>
  </si>
  <si>
    <t>A Survey of Distributed Learning in Cloud, Mobile, and Edge Setting</t>
  </si>
  <si>
    <t>Direct Preference Optimization With Unobserved Preference Heterogeneity</t>
  </si>
  <si>
    <t>A classification model based on a population of hypergraphs</t>
  </si>
  <si>
    <t>Model-Agnostic Utility-Preserving Biometric Information Anonymization</t>
  </si>
  <si>
    <t>Message-Passing Monte Carlo: Generating low-discrepancy point sets via Graph Neural Networks</t>
  </si>
  <si>
    <t>ElastoGen: 4D Generative Elastodynamics</t>
  </si>
  <si>
    <t>CCBNet: Confidential Collaborative Bayesian Networks Inference</t>
  </si>
  <si>
    <t>Revisiting MoE and Dense Speed-Accuracy Comparisons for LLM Training</t>
  </si>
  <si>
    <t>Credal Wrapper of Model Averaging for Uncertainty Estimation on Out-Of-Distribution Detection</t>
  </si>
  <si>
    <t>Amortized nonmyopic active search via deep imitation learning</t>
  </si>
  <si>
    <t>OAC: Output-adaptive Calibration for Accurate Post-training Quantization</t>
  </si>
  <si>
    <t>What Variables Affect Out-Of-Distribution Generalization in Pretrained Models?</t>
  </si>
  <si>
    <t>Make Inference Faster: Efficient GPU Memory Management for Butterfly Sparse Matrix Multiplication</t>
  </si>
  <si>
    <t>Polyak Meets Parameter-free Clipped Gradient Descent</t>
  </si>
  <si>
    <t>Path-metrics, pruning, and generalization</t>
  </si>
  <si>
    <t>Private Regression via Data-Dependent Sufficient Statistic Perturbation</t>
  </si>
  <si>
    <t>In-context Time Series Predictor</t>
  </si>
  <si>
    <t>MaSS: Multi-attribute Selective Suppression for Utility-preserving Data Transformation from an Information-theoretic Perspective</t>
  </si>
  <si>
    <t>Two-Stage ML-Guided Decision Rules for Sequential Decision Making under Uncertainty</t>
  </si>
  <si>
    <t>Understanding the dynamics of the frequency bias in neural networks</t>
  </si>
  <si>
    <t>Mallows-DPO: Fine-Tune Your LLM with Preference Dispersions</t>
  </si>
  <si>
    <t>Fast Inference Using Automatic Differentiation and Neural Transport in Astroparticle Physics</t>
  </si>
  <si>
    <t>How Does Bayes Error Limit Probabilistic Robust Accuracy</t>
  </si>
  <si>
    <t>AnalogCoder: Analog Circuit Design via Training-Free Code Generation</t>
  </si>
  <si>
    <t>SliM-LLM: Salience-Driven Mixed-Precision Quantization for Large Language Models</t>
  </si>
  <si>
    <t>Data Mixing Made Efficient: A Bivariate Scaling Law for Language Model Pretraining</t>
  </si>
  <si>
    <t>YUI: Day-ahead Electricity Price Forecasting Using Invariance Simplified Supply and Demand Curve</t>
  </si>
  <si>
    <t>Reservoir Computing with Generalized Readout based on Generalized Synchronization</t>
  </si>
  <si>
    <t>Canonical Variates in Wasserstein Metric Space</t>
  </si>
  <si>
    <t>Scaling Laws for Discriminative Classification in Large Language Models</t>
  </si>
  <si>
    <t>Score-based generative models are provably robust: an uncertainty quantification perspective</t>
  </si>
  <si>
    <t>Filtered Corpus Training (FiCT) Shows that Language Models can Generalize from Indirect Evidence</t>
  </si>
  <si>
    <t>Large Language Models Reflect Human Citation Patterns with a Heightened Citation Bias</t>
  </si>
  <si>
    <t>Optimizing Large Language Models for OpenAPI Code Completion</t>
  </si>
  <si>
    <t>Anomalous Change Point Detection Using Probabilistic Predictive Coding</t>
  </si>
  <si>
    <t>Bisimulation Learning</t>
  </si>
  <si>
    <t>Hierarchical Uncertainty Exploration via Feedforward Posterior Trees</t>
  </si>
  <si>
    <t>Infinite Limits of Multi-head Transformer Dynamics</t>
  </si>
  <si>
    <t>Dimension-free deterministic equivalents for random feature regression</t>
  </si>
  <si>
    <t>Chain-of-Thought Prompting for Demographic Inference with Large Multimodal Models</t>
  </si>
  <si>
    <t>Taming Score-Based Diffusion Priors for Infinite-Dimensional Nonlinear Inverse Problems</t>
  </si>
  <si>
    <t>HiddenSpeaker: Generate Imperceptible Unlearnable Audios for Speaker Verification System</t>
  </si>
  <si>
    <t>Reducing the cost of posterior sampling in linear inverse problems via task-dependent score learning</t>
  </si>
  <si>
    <t>Visualize and Paint GAN Activations</t>
  </si>
  <si>
    <t>Nonlinear denoising score matching for enhanced learning of structured distributions</t>
  </si>
  <si>
    <t>Neuromorphic dreaming: A pathway to efficient learning in artificial agents</t>
  </si>
  <si>
    <t>Transfer Learning for Spatial Autoregressive Models</t>
  </si>
  <si>
    <t>Generating density nowcasts for U.S. GDP growth with deep learning: Bayes by Backprop and Monte Carlo dropout</t>
  </si>
  <si>
    <t>Freya PAGE: First Optimal Time Complexity for Large-Scale Nonconvex Finite-Sum Optimization with Heterogeneous Asynchronous Computations</t>
  </si>
  <si>
    <t>Knowledge-enhanced Relation Graph and Task Sampling for Few-shot Molecular Property Prediction</t>
  </si>
  <si>
    <t>SATSense: Multi-Satellite Collaborative Framework for Spectrum Sensing</t>
  </si>
  <si>
    <t>A generalized neural tangent kernel for surrogate gradient learning</t>
  </si>
  <si>
    <t>Polyp Segmentation Generalisability of Pretrained Backbones</t>
  </si>
  <si>
    <t>Mosaic Memory: Fuzzy Duplication in Copyright Traps for Large Language Models</t>
  </si>
  <si>
    <t>Erase to Enhance: Data-Efficient Machine Unlearning in MRI Reconstruction</t>
  </si>
  <si>
    <t>On the Convexity and Reliability of the Bethe Free Energy Approximation</t>
  </si>
  <si>
    <t>Randomized algorithms and PAC bounds for inverse reinforcement learning in continuous spaces</t>
  </si>
  <si>
    <t>Human-in-the-loop Reinforcement Learning for Data Quality Monitoring in Particle Physics Experiments</t>
  </si>
  <si>
    <t>Hierarchical Loss And Geometric Mask Refinement For Multilabel Ribs Segmentation</t>
  </si>
  <si>
    <t>Out of Many, One: Designing and Scaffolding Proteins at the Scale of the Structural Universe with Genie 2</t>
  </si>
  <si>
    <t>Learning Beyond Pattern Matching? Assaying Mathematical Understanding in LLMs</t>
  </si>
  <si>
    <t>Encoder Embedding for General Graph and Node Classification</t>
  </si>
  <si>
    <t>Repetita Iuvant: Data Repetition Allows SGD to Learn High-Dimensional Multi-Index Functions</t>
  </si>
  <si>
    <t>Leveraging Logical Rules in Knowledge Editing: A Cherry on the Top</t>
  </si>
  <si>
    <t>Towards Precision Healthcare: Robust Fusion of Time Series and Image Data</t>
  </si>
  <si>
    <t>Statistical and Computational Guarantees of Kernel Max-Sliced Wasserstein Distances</t>
  </si>
  <si>
    <t>Comparing remote sensing-based forest biomass mapping approaches using new forest inventory plots in contrasting forests in northeastern and southwestern China</t>
  </si>
  <si>
    <t>Biometrics and Behavioral Modelling for Detecting Distractions in Online Learning</t>
  </si>
  <si>
    <t>Counterfactual Explanations for Linear Optimization</t>
  </si>
  <si>
    <t>Enhancing Pollinator Conservation towards Agriculture 4.0: Monitoring of Bees through Object Recognition</t>
  </si>
  <si>
    <t>ORCA: A Global Ocean Emulator for Multi-year to Decadal Predictions</t>
  </si>
  <si>
    <t>A Misleading Gallery of Fluid Motion by Generative Artificial Intelligence</t>
  </si>
  <si>
    <t>Reshuffling Resampling Splits Can Improve Generalization of Hyperparameter Optimization</t>
  </si>
  <si>
    <t>Log-Concave Sampling on Compact Supports: A Versatile Proximal Framework</t>
  </si>
  <si>
    <t>Coordinated Multi-Neighborhood Learning on a Directed Acyclic Graph</t>
  </si>
  <si>
    <t>Strong screening rules for group-based SLOPE models</t>
  </si>
  <si>
    <t>BiSup: Bidirectional Quantization Error Suppression for Large Language Models</t>
  </si>
  <si>
    <t>Discriminative Estimation of Total Variation Distance: A Fidelity Auditor for Generative Data</t>
  </si>
  <si>
    <t>Towards Understanding the Working Mechanism of Text-to-Image Diffusion Model</t>
  </si>
  <si>
    <t>Towards Understanding How Transformer Perform Multi-step Reasoning with Matching Operation</t>
  </si>
  <si>
    <t>Semi-Supervised Learning guided by the Generalized Bayes Rule under Soft Revision</t>
  </si>
  <si>
    <t>DFGNN: Dual-frequency Graph Neural Network for Sign-aware Feedback</t>
  </si>
  <si>
    <t>BDetCLIP: Multimodal Prompting Contrastive Test-Time Backdoor Detection</t>
  </si>
  <si>
    <t>Novel Kernel Models and Exact Representor Theory for Neural Networks Beyond the Over-Parameterized Regime</t>
  </si>
  <si>
    <t>Learning to optimize: A tutorial for continuous and mixed-integer optimization</t>
  </si>
  <si>
    <t>iREPO: implicit Reward Pairwise Difference based Empirical Preference Optimization</t>
  </si>
  <si>
    <t>iVideoGPT: Interactive VideoGPTs are Scalable World Models</t>
  </si>
  <si>
    <t>TrojanForge: Adversarial Hardware Trojan Examples with Reinforcement Learning</t>
  </si>
  <si>
    <t>Learning the Distribution Map in Reverse Causal Performative Prediction</t>
  </si>
  <si>
    <t>ProDAG: Projection-induced variational inference for directed acyclic graphs</t>
  </si>
  <si>
    <t>From Frege to chatGPT: Compositionality in language, cognition, and deep neural networks</t>
  </si>
  <si>
    <t>ProtFAD: Introducing function-aware domains as implicit modality towards protein function perception</t>
  </si>
  <si>
    <t>Online Prompt Pricing based on Combinatorial Multi-Armed Bandit and Hierarchical Stackelberg Game</t>
  </si>
  <si>
    <t>Beyond the noise: intrinsic dimension estimation with optimal neighbourhood identification</t>
  </si>
  <si>
    <t>OptLLM: Optimal Assignment of Queries to Large Language Models</t>
  </si>
  <si>
    <t>Is Algorithmic Stability Testable? A Unified Framework under Computational Constraints</t>
  </si>
  <si>
    <t>The Rarity of Musical Audio Signals Within the Space of Possible Audio Generation</t>
  </si>
  <si>
    <t>Certified Inventory Control of Critical Resources</t>
  </si>
  <si>
    <t>Conformal Classification with Equalized Coverage for Adaptively Selected Groups</t>
  </si>
  <si>
    <t>Magnetic Resonance Image Processing Transformer for General Reconstruction</t>
  </si>
  <si>
    <t>Music Genre Classification: Training an AI model</t>
  </si>
  <si>
    <t>Efficient Certificates of Anti-Concentration Beyond Gaussians</t>
  </si>
  <si>
    <t>4+3 Phases of Compute-Optimal Neural Scaling Laws</t>
  </si>
  <si>
    <t>Controlling Behavioral Diversity in Multi-Agent Reinforcement Learning</t>
  </si>
  <si>
    <t>Provably Efficient Reinforcement Learning for Infinite-Horizon Average-Reward Linear MDPs</t>
  </si>
  <si>
    <t>CEEBERT: Cross-Domain Inference in Early Exit BERT</t>
  </si>
  <si>
    <t>Input-driven circuit reconfiguration in critical recurrent neural networks.</t>
  </si>
  <si>
    <t>Agentic Skill Discovery</t>
  </si>
  <si>
    <t>Extracting Prompts by Inverting LLM Outputs</t>
  </si>
  <si>
    <t>RE-Adapt: Reverse Engineered Adaptation of Large Language Models</t>
  </si>
  <si>
    <t>Lower Bound on the Greedy Approximation Ratio for Adaptive Submodular Cover</t>
  </si>
  <si>
    <t>Linking In-context Learning in Transformers to Human Episodic Memory</t>
  </si>
  <si>
    <t>Hand bone age estimation using divide and conquer strategy and lightweight convolutional neural networks</t>
  </si>
  <si>
    <t>SFDDM: Single-fold Distillation for Diffusion models</t>
  </si>
  <si>
    <t>Interpretable and Editable Programmatic Tree Policies for Reinforcement Learning</t>
  </si>
  <si>
    <t>AstroPT: Scaling Large Observation Models for Astronomy</t>
  </si>
  <si>
    <t>PILOT: Equivariant diffusion for pocket conditioned de novo ligand generation with multi-objective guidance via importance sampling</t>
  </si>
  <si>
    <t>High Rank Path Development: an approach of learning the filtration of stochastic processes</t>
  </si>
  <si>
    <t>Fair Evaluation of Federated Learning Algorithms for Automated Breast Density Classification: The Results of the 2022 ACR-NCI-NVIDIA Federated Learning Challenge</t>
  </si>
  <si>
    <t>DETAIL: Task DEmonsTration Attribution for Interpretable In-context Learning</t>
  </si>
  <si>
    <t>Study on spike-and-wave detection in epileptic signals using t-location-scale distribution and the K-nearest neighbors classifier</t>
  </si>
  <si>
    <t>Auditing the Fairness of COVID-19 Forecast Hub Case Prediction Models</t>
  </si>
  <si>
    <t>Improving and Evaluating Machine Learning Methods for Forensic Shoeprint Matching</t>
  </si>
  <si>
    <t>Visual Deformation Detection Using Soft Material Simulation for Pre-training of Condition Assessment Models</t>
  </si>
  <si>
    <t>Relevance</t>
  </si>
  <si>
    <t>Particle physics</t>
  </si>
  <si>
    <t>Sparsification</t>
  </si>
  <si>
    <t>Federated learning techniques</t>
  </si>
  <si>
    <t>Point clouds</t>
  </si>
  <si>
    <t>Review</t>
  </si>
  <si>
    <t>Shafi Goldwasser paper on transformer which proves its own arithmetic result.</t>
  </si>
  <si>
    <t>Error measurements</t>
  </si>
  <si>
    <t>Google paper on pretraining</t>
  </si>
  <si>
    <t>Meta paper on schedule-free approaches</t>
  </si>
  <si>
    <t>Causality</t>
  </si>
  <si>
    <t>Unlearning</t>
  </si>
  <si>
    <t>Confidence intervals for labeling</t>
  </si>
  <si>
    <t>Alignment techniques</t>
  </si>
  <si>
    <t>Architecture fundamental experiments</t>
  </si>
  <si>
    <t>Data preparation paper by Meta</t>
  </si>
  <si>
    <t>PGMs</t>
  </si>
  <si>
    <t>PDE estimation</t>
  </si>
  <si>
    <t>Replicability theory</t>
  </si>
  <si>
    <t>Forecasting</t>
  </si>
  <si>
    <t>Compressed Adam optimizer</t>
  </si>
  <si>
    <t>LLM safety</t>
  </si>
  <si>
    <t>LLM attack</t>
  </si>
  <si>
    <t>Transfer Learning</t>
  </si>
  <si>
    <t>GNN techniques</t>
  </si>
  <si>
    <t>RAG techniques</t>
  </si>
  <si>
    <t>Federated fine-tuning</t>
  </si>
  <si>
    <t>GNN derivative</t>
  </si>
  <si>
    <t>Classifier</t>
  </si>
  <si>
    <t>Diffusion performance</t>
  </si>
  <si>
    <t>CFR techniques</t>
  </si>
  <si>
    <t>Fine-tuning method</t>
  </si>
  <si>
    <t>Dense paper on multi-index models</t>
  </si>
  <si>
    <t>Concept models</t>
  </si>
  <si>
    <t>From Neurons to Neutrons: A Case Study in Interpretability</t>
  </si>
  <si>
    <t>Survival of the Fittest Representation: A Case Study with Modular Addition</t>
  </si>
  <si>
    <t>A Recipe for Unbounded Data Augmentation in Visual Reinforcement Learning</t>
  </si>
  <si>
    <t>Spectral Greedy Coresets for Graph Neural Networks</t>
  </si>
  <si>
    <t>A Closer Look at Time Steps is Worthy of Triple Speed-Up for Diffusion Model Training</t>
  </si>
  <si>
    <t>RB-Modulation: Training-Free Personalization of Diffusion Models using Stochastic Optimal Control</t>
  </si>
  <si>
    <t>Transformers Can Do Arithmetic with the Right Embeddings</t>
  </si>
  <si>
    <t>Dataset-learning duality and emergent criticality</t>
  </si>
  <si>
    <t>ReMoDetect: Reward Models Recognize Aligned LLM's Generations</t>
  </si>
  <si>
    <t>RTL-Repo: A Benchmark for Evaluating LLMs on Large-Scale RTL Design Projects</t>
  </si>
  <si>
    <t>How Does Perfect Fitting Affect Representation Learning? On the Training Dynamics of Representations in Deep Neural Networks</t>
  </si>
  <si>
    <t>Navigating the Safety Landscape: Measuring Risks in Finetuning Large Language Models</t>
  </si>
  <si>
    <t>EM-GANSim: Real-time and Accurate EM Simulation Using Conditional GANs for 3D Indoor Scenes</t>
  </si>
  <si>
    <t>Rethinking Transformers in Solving POMDPs</t>
  </si>
  <si>
    <t>Assessing the significance of longitudinal data in Alzheimer's Disease forecasting</t>
  </si>
  <si>
    <t>Prompt Optimization with Human Feedback</t>
  </si>
  <si>
    <t>Physics-Informed Real NVP for Satellite Power System Fault Detection</t>
  </si>
  <si>
    <t>Leveraging Offline Data in Linear Latent Bandits</t>
  </si>
  <si>
    <t>Probabilistic Graph Rewiring via Virtual Nodes</t>
  </si>
  <si>
    <t>Survey of Graph Neural Network for Internet of Things and NextG Networks</t>
  </si>
  <si>
    <t>Efficient Ensembles Improve Training Data Attribution</t>
  </si>
  <si>
    <t>Opinion-Guided Reinforcement Learning</t>
  </si>
  <si>
    <t>Recurrent Complex-Weighted Autoencoders for Unsupervised Object Discovery</t>
  </si>
  <si>
    <t>Gradients of Functions of Large Matrices</t>
  </si>
  <si>
    <t>DPN: Decoupling Partition and Navigation for Neural Solvers of Min-max Vehicle Routing Problems</t>
  </si>
  <si>
    <t>FedHPL: Efficient Heterogeneous Federated Learning with Prompt Tuning and Logit Distillation</t>
  </si>
  <si>
    <t>Accelerating Simulation of Two-Phase Flows with Neural PDE Surrogates</t>
  </si>
  <si>
    <t>Trans-LoRA: towards data-free Transferable Parameter Efficient Finetuning</t>
  </si>
  <si>
    <t>Gaussian Embedding of Temporal Networks</t>
  </si>
  <si>
    <t>An Introduction to Vision-Language Modeling</t>
  </si>
  <si>
    <t>Surprise-Adaptive Intrinsic Motivation for Unsupervised Reinforcement Learning</t>
  </si>
  <si>
    <t>CLAQ: Pushing the Limits of Low-Bit Post-Training Quantization for LLMs</t>
  </si>
  <si>
    <t>A Retrospective of the Tutorial on Opportunities and Challenges of Online Deep Learning</t>
  </si>
  <si>
    <t>Autoformalizing Euclidean Geometry</t>
  </si>
  <si>
    <t>Spectral-Refiner: Fine-Tuning of Accurate Spatiotemporal Neural Operator for Turbulent Flows</t>
  </si>
  <si>
    <t>How Do Transformers "Do" Physics? Investigating the Simple Harmonic Oscillator</t>
  </si>
  <si>
    <t>Convex Relaxation for Solving Large-Margin Classifiers in Hyperbolic Space</t>
  </si>
  <si>
    <t>Spectral regularization for adversarially-robust representation learning</t>
  </si>
  <si>
    <t>Forecasting Four Business Cycle Phases Using Machine Learning: A Case Study of US and EuroZone</t>
  </si>
  <si>
    <t>WeiPer: OOD Detection using Weight Perturbations of Class Projections</t>
  </si>
  <si>
    <t>Injecting Hamiltonian Architectural Bias into Deep Graph Networks for Long-Range Propagation</t>
  </si>
  <si>
    <t>Smoke and Mirrors in Causal Downstream Tasks</t>
  </si>
  <si>
    <t>Your decision path does matter in pre-training industrial recommenders with multi-source behaviors</t>
  </si>
  <si>
    <t>Exploiting the Layered Intrinsic Dimensionality of Deep Models for Practical Adversarial Training</t>
  </si>
  <si>
    <t>Diffusion Bridge AutoEncoders for Unsupervised Representation Learning</t>
  </si>
  <si>
    <t>Finding good policies in average-reward Markov Decision Processes without prior knowledge</t>
  </si>
  <si>
    <t>Q-value Regularized Transformer for Offline Reinforcement Learning</t>
  </si>
  <si>
    <t>Phase Transitions in the Output Distribution of Large Language Models</t>
  </si>
  <si>
    <t>Effective Layer Pruning Through Similarity Metric Perspective</t>
  </si>
  <si>
    <t>Interaction-Force Transport Gradient Flows</t>
  </si>
  <si>
    <t>The Poisson Midpoint Method for Langevin Dynamics: Provably Efficient Discretization for Diffusion Models</t>
  </si>
  <si>
    <t>Provably Efficient Reinforcement Learning with Multinomial Logit Function Approximation</t>
  </si>
  <si>
    <t>Comparative Study of Machine Learning Algorithms in Detecting Cardiovascular Diseases</t>
  </si>
  <si>
    <t>Improving Data-aware and Parameter-aware Robustness for Continual Learning</t>
  </si>
  <si>
    <t>BeamVQ: Aligning Space-Time Forecasting Model via Self-training on Physics-aware Metrics</t>
  </si>
  <si>
    <t>HeNCler: Node Clustering in Heterophilous Graphs through Learned Asymmetric Similarity</t>
  </si>
  <si>
    <t>Verifying Properties of Binary Neural Networks Using Sparse Polynomial Optimization</t>
  </si>
  <si>
    <t>LabObf: A Label Protection Scheme for Vertical Federated Learning Through Label Obfuscation</t>
  </si>
  <si>
    <t>Glauber Generative Model: Discrete Diffusion Models via Binary Classification</t>
  </si>
  <si>
    <t>FUGNN: Harmonizing Fairness and Utility in Graph Neural Networks</t>
  </si>
  <si>
    <t>Any-step Dynamics Model Improves Future Predictions for Online and Offline Reinforcement Learning</t>
  </si>
  <si>
    <t>Supervised Batch Normalization</t>
  </si>
  <si>
    <t>Graph Condensation for Open-World Graph Learning</t>
  </si>
  <si>
    <t>OSLO: One-Shot Label-Only Membership Inference Attacks</t>
  </si>
  <si>
    <t>A Correlation- and Mean-Aware Loss Function and Benchmarking Framework to Improve GAN-based Tabular Data Synthesis</t>
  </si>
  <si>
    <t>Dual-Delayed Asynchronous SGD for Arbitrarily Heterogeneous Data</t>
  </si>
  <si>
    <t>Functional Programming Paradigm of Python for Scientific Computation Pipeline Integration</t>
  </si>
  <si>
    <t>Fast ML-driven Analog Circuit Layout using Reinforcement Learning and Steiner Trees</t>
  </si>
  <si>
    <t>Demystifying amortized causal discovery with transformers</t>
  </si>
  <si>
    <t>The Uncanny Valley: Exploring Adversarial Robustness from a Flatness Perspective</t>
  </si>
  <si>
    <t>Predicting from a Different Perspective in Re-ranking Model for Inductive Knowledge Graph Completion</t>
  </si>
  <si>
    <t>Recurrent and Convolutional Neural Networks in Classification of EEG Signal for Guided Imagery and Mental Workload Detection</t>
  </si>
  <si>
    <t>Partial Models for Building Adaptive Model-Based Reinforcement Learning Agents</t>
  </si>
  <si>
    <t>Scorch: A Library for Sparse Deep Learning</t>
  </si>
  <si>
    <t>Unsupervised Generative Feature Transformation via Graph Contrastive Pre-training and Multi-objective Fine-tuning</t>
  </si>
  <si>
    <t>Are Self-Attentions Effective for Time Series Forecasting?</t>
  </si>
  <si>
    <t>Transfer Learning for Diffusion Models</t>
  </si>
  <si>
    <t>EM Distillation for One-step Diffusion Models</t>
  </si>
  <si>
    <t>On Mesa-Optimization in Autoregressively Trained Transformers: Emergence and Capability</t>
  </si>
  <si>
    <t>Non-stochastic Bandits With Evolving Observations</t>
  </si>
  <si>
    <t>Enhancing Fast Feed Forward Networks with Load Balancing and a Master Leaf Node</t>
  </si>
  <si>
    <t>Safe LoRA: the Silver Lining of Reducing Safety Risks when Fine-tuning Large Language Models</t>
  </si>
  <si>
    <t>Kernel-based optimally weighted conformal prediction intervals</t>
  </si>
  <si>
    <t>Laboratory-Scale AI: Open-Weight Models are Competitive with ChatGPT Even in Low-Resource Settings</t>
  </si>
  <si>
    <t>Automatic Domain Adaptation by Transformers in In-Context Learning</t>
  </si>
  <si>
    <t>Trajectory Data Suffices for Statistically Efficient Learning in Offline RL with Linear qπ-Realizability and Concentrability</t>
  </si>
  <si>
    <t>Gradient Compressed Sensing: A Query-Efficient Gradient Estimator for High-Dimensional Zeroth-Order Optimization</t>
  </si>
  <si>
    <t>TAGA: Text-Attributed Graph Self-Supervised Learning by Synergizing Graph and Text Mutual Transformations</t>
  </si>
  <si>
    <t>Dual-State Personalized Knowledge Tracing with Emotional Incorporation</t>
  </si>
  <si>
    <t>Exploring Fairness in Educational Data Mining in the Context of the Right to be Forgotten</t>
  </si>
  <si>
    <t>ARC: A Generalist Graph Anomaly Detector with In-Context Learning</t>
  </si>
  <si>
    <t>Physics informed cell representations for variational formulation of multiscale problems</t>
  </si>
  <si>
    <t>Study of Robust Direction Finding Based on Joint Sparse Representation</t>
  </si>
  <si>
    <t>Transport of Algebraic Structure to Latent Embeddings</t>
  </si>
  <si>
    <t>Symmetry-Informed Governing Equation Discovery</t>
  </si>
  <si>
    <t>CHESS: Contextual Harnessing for Efficient SQL Synthesis</t>
  </si>
  <si>
    <t>Model Ensembling for Constrained Optimization</t>
  </si>
  <si>
    <t>DMPlug: A Plug-in Method for Solving Inverse Problems with Diffusion Models</t>
  </si>
  <si>
    <t>Understanding Linear Probing then Fine-tuning Language Models from NTK Perspective</t>
  </si>
  <si>
    <t>Oracle-Efficient Reinforcement Learning for Max Value Ensembles</t>
  </si>
  <si>
    <t>Pretraining with Random Noise for Fast and Robust Learning without Weight Transport</t>
  </si>
  <si>
    <t>Latent Energy-Based Odyssey: Black-Box Optimization via Expanded Exploration in the Energy-Based Latent Space</t>
  </si>
  <si>
    <t>Disentangling and Integrating Relational and Sensory Information in Transformer Architectures</t>
  </si>
  <si>
    <t>Exploring Edge Probability Graph Models Beyond Edge Independency: Concepts, Analyses, and Algorithms</t>
  </si>
  <si>
    <t>Amortized Active Causal Induction with Deep Reinforcement Learning</t>
  </si>
  <si>
    <t>Zamba: A Compact 7B SSM Hybrid Model</t>
  </si>
  <si>
    <t>CNN Autoencoder Resizer: A Power-Efficient LoS/NLoS Detector in MIMO-enabled UAV Networks</t>
  </si>
  <si>
    <t>A Systematic Review of Federated Generative Models</t>
  </si>
  <si>
    <t>Limits of Deep Learning: Sequence Modeling through the Lens of Complexity Theory</t>
  </si>
  <si>
    <t>Mixture of Experts Using Tensor Products</t>
  </si>
  <si>
    <t>Provably Efficient Off-Policy Adversarial Imitation Learning with Convergence Guarantees</t>
  </si>
  <si>
    <t>Comments on Friedman's Method for Class Distribution Estimation</t>
  </si>
  <si>
    <t>Acceleration of Grokking in Learning Arithmetic Operations via Kolmogorov-Arnold Representation</t>
  </si>
  <si>
    <t>A Provably Effective Method for Pruning Experts in Fine-tuned Sparse Mixture-of-Experts</t>
  </si>
  <si>
    <t>Pick up the PACE: A Parameter-Free Optimizer for Lifelong Reinforcement Learning</t>
  </si>
  <si>
    <t>A unified law of robustness for Bregman divergence losses</t>
  </si>
  <si>
    <t>Graph neural networks with configuration cross-attention for tensor compilers</t>
  </si>
  <si>
    <t>DPHGNN: A Dual Perspective Hypergraph Neural Networks</t>
  </si>
  <si>
    <t>Efficient Probabilistic Modeling of Crystallization at Mesoscopic Scale</t>
  </si>
  <si>
    <t>A CMDP-within-online framework for Meta-Safe Reinforcement Learning</t>
  </si>
  <si>
    <t>Regularized Projection Matrix Approximation with Applications to Community Detection</t>
  </si>
  <si>
    <t>Cost-Effective Online Multi-LLM Selection with Versatile Reward Models</t>
  </si>
  <si>
    <t>Fair Federated Learning under Domain Skew with Local Consistency and Domain Diversity</t>
  </si>
  <si>
    <t>On Bits and Bandits: Quantifying the Regret-Information Trade-off</t>
  </si>
  <si>
    <t>Reality Only Happens Once: Single-Path Generalization Bounds for Transformers</t>
  </si>
  <si>
    <t>Task Groupings Regularization: Data-Free Meta-Learning with Heterogeneous Pre-trained Models</t>
  </si>
  <si>
    <t>Scalable Numerical Embeddings for Multivariate Time Series: Enhancing Healthcare Data Representation Learning</t>
  </si>
  <si>
    <t>LoQT: Low Rank Adapters for Quantized Training</t>
  </si>
  <si>
    <t>Multi-State TD Target for Model-Free Reinforcement Learning</t>
  </si>
  <si>
    <t>Injective Sliced-Wasserstein embedding for weighted sets and point clouds</t>
  </si>
  <si>
    <t>SE3Set: Harnessing equivariant hypergraph neural networks for molecular representation learning</t>
  </si>
  <si>
    <t>AnyCBMs: How to Turn Any Black Box into a Concept Bottleneck Model</t>
  </si>
  <si>
    <t>Causal Concept Embedding Models: Beyond Causal Opacity in Deep Learning</t>
  </si>
  <si>
    <t>GRAG: Graph Retrieval-Augmented Generation</t>
  </si>
  <si>
    <t>A Unified Implicit Attention Formulation for Gated-Linear Recurrent Sequence Models</t>
  </si>
  <si>
    <t>On Sequential Loss Approximation for Continual Learning</t>
  </si>
  <si>
    <t>Causal-Aware Graph Neural Architecture Search under Distribution Shifts</t>
  </si>
  <si>
    <t>Looks Too Good To Be True: An Information-Theoretic Analysis of Hallucinations in Generative Restoration Models</t>
  </si>
  <si>
    <t>Inaccurate Label Distribution Learning with Dependency Noise</t>
  </si>
  <si>
    <t>Multi-Level Additive Modeling for Structured Non-IID Federated Learning</t>
  </si>
  <si>
    <t>Probabilistic Contrastive Learning with Explicit Concentration on the Hypersphere</t>
  </si>
  <si>
    <t>Dominant Shuffle: A Simple Yet Powerful Data Augmentation for Time-series Prediction</t>
  </si>
  <si>
    <t>Synthesizing Programmatic Reinforcement Learning Policies with Large Language Model Guided Search</t>
  </si>
  <si>
    <t>Reinforcement Learning for Jump-Diffusions</t>
  </si>
  <si>
    <t>Fast Asymmetric Factorization for Large Scale Multiple Kernel Clustering</t>
  </si>
  <si>
    <t>CacheBlend: Fast Large Language Model Serving with Cached Knowledge Fusion</t>
  </si>
  <si>
    <t>Categorical Flow Matching on Statistical Manifolds</t>
  </si>
  <si>
    <t>MambaTS: Improved Selective State Space Models for Long-term Time Series Forecasting</t>
  </si>
  <si>
    <t>Provably Mitigating Overoptimization in RLHF: Your SFT Loss is Implicitly an Adversarial Regularizer</t>
  </si>
  <si>
    <t>Structure-aware Semantic Node Identifiers for Learning on Graphs</t>
  </si>
  <si>
    <t>Unraveling the Smoothness Properties of Diffusion Models: A Gaussian Mixture Perspective</t>
  </si>
  <si>
    <t>Tensor Attention Training: Provably Efficient Learning of Higher-order Transformers</t>
  </si>
  <si>
    <t>SpinQuant -- LLM quantization with learned rotations</t>
  </si>
  <si>
    <t>Intruding with Words: Towards Understanding Graph Injection Attacks at the Text Level</t>
  </si>
  <si>
    <t>AdaFisher: Adaptive Second Order Optimization via Fisher Information</t>
  </si>
  <si>
    <t>Machine learning in business process management: A systematic literature review</t>
  </si>
  <si>
    <t>Daily Physical Activity Monitoring -- Adaptive Learning from Multi-source Motion Sensor Data</t>
  </si>
  <si>
    <t>When does compositional structure yield compositional generalization? A kernel theory</t>
  </si>
  <si>
    <t>Variational Offline Multi-agent Skill Discovery</t>
  </si>
  <si>
    <t>Rewarded Region Replay (R3) for Policy Learning with Discrete Action Space</t>
  </si>
  <si>
    <t>Trivialized Momentum Facilitates Diffusion Generative Modeling on Lie Groups</t>
  </si>
  <si>
    <t>Dynamic Inhomogeneous Quantum Resource Scheduling with Reinforcement Learning</t>
  </si>
  <si>
    <t>Qsco: A Quantum Scoring Module for Open-set Supervised Anomaly Detection</t>
  </si>
  <si>
    <t>LDPKiT: Recovering Utility in LDP Schemes by Training with Noise^2</t>
  </si>
  <si>
    <t>SLoPe: Double-Pruned Sparse Plus Lazy Low-Rank Adapter Pretraining of LLMs</t>
  </si>
  <si>
    <t>Time-SSM: Simplifying and Unifying State Space Models for Time Series Forecasting</t>
  </si>
  <si>
    <t>Efficiently Parameterized Neural Metriplectic Sysyems</t>
  </si>
  <si>
    <t>Federated Unsupervised Domain Generalization using Global and Local Alignment of Gradients</t>
  </si>
  <si>
    <t>LUCIE: A Lightweight Uncoupled ClImate Emulator with long-term stability and physical consistency for O(1000)-member ensembles</t>
  </si>
  <si>
    <t>LoGAH: Predicting 774-Million-Parameter Transformers using Graph HyperNetworks with 1/100 Parameters</t>
  </si>
  <si>
    <t>Generation of synthetic data using breast cancer dataset and classification with resnet18</t>
  </si>
  <si>
    <t>ModelLock: Locking Your Model With a Spell</t>
  </si>
  <si>
    <t>A GPU-Accelerated Bi-linear ADMM Algorithm for Distributed Sparse Machine Learning</t>
  </si>
  <si>
    <t>MindStar: Enhancing Math Reasoning in Pre-trained LLMs at Inference Time</t>
  </si>
  <si>
    <t>Layer-Aware Analysis of Catastrophic Overfitting: Revealing the Pseudo-Robust Shortcut Dependency</t>
  </si>
  <si>
    <t>USD: Unsupervised Soft Contrastive Learning for Fault Detection in Multivariate Time Series</t>
  </si>
  <si>
    <t>GeoAdaLer: Geometric Insights into Adaptive Stochastic Gradient Descent Algorithms</t>
  </si>
  <si>
    <t>Analytic Federated Learning</t>
  </si>
  <si>
    <t>Client2Vec: Improving Federated Learning by Distribution Shifts Aware Client Indexing</t>
  </si>
  <si>
    <t>Local Causal Structure Learning in the Presence of Latent Variables</t>
  </si>
  <si>
    <t>Negative as Positive: Enhancing Out-of-distribution Generalization for Graph Contrastive Learning</t>
  </si>
  <si>
    <t>Deep Causal Generative Models with Property Control</t>
  </si>
  <si>
    <t>GlycanML: A Multi-Task and Multi-Structure Benchmark for Glycan Machine Learning</t>
  </si>
  <si>
    <t>Evolutionary Large Language Model for Automated Feature Transformation</t>
  </si>
  <si>
    <t>Maintaining and Managing Road Quality:Using MLP and DNN</t>
  </si>
  <si>
    <t>Adaptive Q-Network: On-the-fly Target Selection for Deep Reinforcement Learning</t>
  </si>
  <si>
    <t>Diffusion-Reward Adversarial Imitation Learning</t>
  </si>
  <si>
    <t>Differentiable Cluster Graph Neural Network</t>
  </si>
  <si>
    <t>Graph Neural PDE Solvers with Conservation and Similarity-Equivariance</t>
  </si>
  <si>
    <t>Diffusion-based Reinforcement Learning via Q-weighted Variational Policy Optimization</t>
  </si>
  <si>
    <t>Multi-Player Approaches for Dueling Bandits</t>
  </si>
  <si>
    <t>Acquiring Better Load Estimates by Combining Anomaly and Change-point Detection in Power Grid Time-series Measurements</t>
  </si>
  <si>
    <t>A Declarative Query Language for Scientific Machine Learning</t>
  </si>
  <si>
    <t>Bigger, Regularized, Optimistic: scaling for compute and sample-efficient continuous control</t>
  </si>
  <si>
    <t>Mixture of In-Context Prompters for Tabular PFNs</t>
  </si>
  <si>
    <t>Accelerating Transformers with Spectrum-Preserving Token Merging</t>
  </si>
  <si>
    <t>AIGB: Generative Auto-bidding via Diffusion Modeling</t>
  </si>
  <si>
    <t>Automating the Selection of Proxy Variables of Unmeasured Confounders</t>
  </si>
  <si>
    <t>Unsupervised Meta-Learning via In-Context Learning</t>
  </si>
  <si>
    <t>Method and Software Tool for Generating Artificial Databases of Biomedical Images Based on Deep Neural Networks</t>
  </si>
  <si>
    <t>Beyond Primal-Dual Methods in Bandits with Stochastic and Adversarial Constraints</t>
  </si>
  <si>
    <t>Enabling On-Device Learning via Experience Replay with Efficient Dataset Condensation</t>
  </si>
  <si>
    <t>Global Well-posedness and Convergence Analysis of Score-based Generative Models via Sharp Lipschitz Estimates</t>
  </si>
  <si>
    <t>From Orthogonality to Dependency: Learning Disentangled Representation for Multi-Modal Time-Series Sensing Signals</t>
  </si>
  <si>
    <t>Finite-Time Analysis for Conflict-Avoidant Multi-Task Reinforcement Learning</t>
  </si>
  <si>
    <t>Continuous Temporal Domain Generalization</t>
  </si>
  <si>
    <t>IncomeSCM: From tabular data set to time-series simulator and causal estimation benchmark</t>
  </si>
  <si>
    <t>FedSheafHN: Personalized Federated Learning on Graph-structured Data</t>
  </si>
  <si>
    <t>Pausing Policy Learning in Non-stationary Reinforcement Learning</t>
  </si>
  <si>
    <t>Theoretical Analysis of Weak-to-Strong Generalization</t>
  </si>
  <si>
    <t>Explainable Molecular Property Prediction: Aligning Chemical Concepts with Predictions via Language Models</t>
  </si>
  <si>
    <t>MoEUT: Mixture-of-Experts Universal Transformers</t>
  </si>
  <si>
    <t>Certifying Adapters: Enabling and Enhancing the Certification of Classifier Adversarial Robustness</t>
  </si>
  <si>
    <t>Constrained Ensemble Exploration for Unsupervised Skill Discovery</t>
  </si>
  <si>
    <t>Online Resource Allocation for Edge Intelligence with Colocated Model Retraining and Inference</t>
  </si>
  <si>
    <t>Feature Protection For Out-of-distribution Generalization</t>
  </si>
  <si>
    <t>Convergence Behavior of an Adversarial Weak Supervision Method</t>
  </si>
  <si>
    <t>Pessimistic Backward Policy for GFlowNets</t>
  </si>
  <si>
    <t>Does SGD really happen in tiny subspaces?</t>
  </si>
  <si>
    <t>Verified Safe Reinforcement Learning for Neural Network Dynamic Models</t>
  </si>
  <si>
    <t>Data Complexity Estimates for Operator Learning</t>
  </si>
  <si>
    <t>R\'enyi Neural Processes</t>
  </si>
  <si>
    <t>Transductive Confidence Machine and its application to Medical Data Sets</t>
  </si>
  <si>
    <t>Accelerating Diffusion Models with Parallel Sampling: Inference at Sub-Linear Time Complexity</t>
  </si>
  <si>
    <t>BadGD: A unified data-centric framework to identify gradient descent vulnerabilities</t>
  </si>
  <si>
    <t>Robust width: A lightweight and certifiable adversarial defense</t>
  </si>
  <si>
    <t>Transformers represent belief state geometry in their residual stream</t>
  </si>
  <si>
    <t>Can Implicit Bias Imply Adversarial Robustness?</t>
  </si>
  <si>
    <t>Clustering Survival Data using a Mixture of Non-parametric Experts</t>
  </si>
  <si>
    <t>Dissecting the Interplay of Attention Paths in a Statistical Mechanics Theory of Transformers</t>
  </si>
  <si>
    <t>SF-DQN: Provable Knowledge Transfer using Successor Feature for Deep Reinforcement Learning</t>
  </si>
  <si>
    <t>Scaling up the Banded Matrix Factorization Mechanism for Differentially Private ML</t>
  </si>
  <si>
    <t>Learning accurate and interpretable decision trees</t>
  </si>
  <si>
    <t>UnitNorm: Rethinking Normalization for Transformers in Time Series</t>
  </si>
  <si>
    <t>Predicting the Impact of Model Expansion through the Minima Manifold: A Loss Landscape Perspective</t>
  </si>
  <si>
    <t>Diffusion Bridge Implicit Models</t>
  </si>
  <si>
    <t>Risk Factor Identification In Osteoporosis Using Unsupervised Machine Learning Techniques</t>
  </si>
  <si>
    <t>Basis Selection: Low-Rank Decomposition of Pretrained Large Language Models for Target Applications</t>
  </si>
  <si>
    <t>CausalConceptTS: Causal Attributions for Time Series Classification using High Fidelity Diffusion Models</t>
  </si>
  <si>
    <t>Achieving Dimension-Free Communication in Federated Learning via Zeroth-Order Optimization</t>
  </si>
  <si>
    <t>Spatio-temporal Value Semantics-based Abstraction for Dense Deep Reinforcement Learning</t>
  </si>
  <si>
    <t>Efficient Mitigation of Bus Bunching through Setter-Based Curriculum Learning</t>
  </si>
  <si>
    <t>Matryoshka Multimodal Models</t>
  </si>
  <si>
    <t>NV-Embed: Improved Techniques for Training LLMs as Generalist Embedding Models</t>
  </si>
  <si>
    <t>Hardness-Aware Scene Synthesis for Semi-Supervised 3D Object Detection</t>
  </si>
  <si>
    <t>MultiOOD: Scaling Out-of-Distribution Detection for Multiple Modalities</t>
  </si>
  <si>
    <t>Towards One Model for Classical Dimensionality Reduction: A Probabilistic Perspective on UMAP and t-SNE</t>
  </si>
  <si>
    <t>Deep Learning Calabi-Yau four folds with hybrid and recurrent neural network architectures</t>
  </si>
  <si>
    <t>The Expressive Capacity of State Space Models: A Formal Language Perspective</t>
  </si>
  <si>
    <t>BehaviorGPT: Smart Agent Simulation for Autonomous Driving with Next-Patch Prediction</t>
  </si>
  <si>
    <t>Model-Agnostic Zeroth-Order Policy Optimization for Meta-Learning of Ergodic Linear Quadratic Regulators</t>
  </si>
  <si>
    <t>Conditioning on Time is All You Need for Synthetic Survival Data Generation</t>
  </si>
  <si>
    <t>Novel Approaches for ML-Assisted Particle Track Reconstruction and Hit Clustering</t>
  </si>
  <si>
    <t>Simplicity Bias of Two-Layer Networks beyond Linearly Separable Data</t>
  </si>
  <si>
    <t>R-ODE: Ricci Curvature Tells When You Will be Informed</t>
  </si>
  <si>
    <t>On the Noise Robustness of In-Context Learning for Text Generation</t>
  </si>
  <si>
    <t>Transformer In-Context Learning for Categorical Data</t>
  </si>
  <si>
    <t>Galaxy: A Resource-Efficient Collaborative Edge AI System for In-situ Transformer Inference</t>
  </si>
  <si>
    <t>Benchmarking General Purpose In-Context Learning</t>
  </si>
  <si>
    <t>A Novel Fusion Architecture for PD Detection Using Semi-Supervised Speech Embeddings</t>
  </si>
  <si>
    <t>Efficient multi-prompt evaluation of LLMs</t>
  </si>
  <si>
    <t>The Scaling Law in Stellar Light Curves</t>
  </si>
  <si>
    <t>Synergy and Diversity in CLIP: Enhancing Performance Through Adaptive Backbone Ensembling</t>
  </si>
  <si>
    <t>Dual VC Dimension Obstructs Sample Compression by Embeddings</t>
  </si>
  <si>
    <t>Mixtures of Unsupervised Lexicon Classification</t>
  </si>
  <si>
    <t>Evaluation of Multi-task Uncertainties in Joint Semantic Segmentation and Monocular Depth Estimation</t>
  </si>
  <si>
    <t>Dual feature reduction for the sparse-group lasso and its adaptive variant</t>
  </si>
  <si>
    <t>Learning with User-Level Local Differential Privacy</t>
  </si>
  <si>
    <t>Efficient mid-term forecasting of hourly electricity load using generalized additive models</t>
  </si>
  <si>
    <t>Training-free Editioning of Text-to-Image Models</t>
  </si>
  <si>
    <t>Saturn: Sample-efficient Generative Molecular Design using Memory Manipulation</t>
  </si>
  <si>
    <t>Graph Neural Networks on Quantum Computers</t>
  </si>
  <si>
    <t>WirelessLLM: Empowering Large Language Models Towards Wireless Intelligence</t>
  </si>
  <si>
    <t>Interpretable Robotic Manipulation from Language</t>
  </si>
  <si>
    <t>Generation and human-expert evaluation of interesting research ideas using knowledge graphs and large language models</t>
  </si>
  <si>
    <t>BWArea Model: Learning World Model, Inverse Dynamics, and Policy for Controllable Language Generation</t>
  </si>
  <si>
    <t>SCaRL- A Synthetic Multi-Modal Dataset for Autonomous Driving</t>
  </si>
  <si>
    <t>Analysis of Multiscale Reinforcement Q-Learning Algorithms for Mean Field Control Games</t>
  </si>
  <si>
    <t>Large Deviations of Gaussian Neural Networks with ReLU activation</t>
  </si>
  <si>
    <t>Convergence of SGD with momentum in the nonconvex case: A novel time window-based analysis</t>
  </si>
  <si>
    <t>Theories of synaptic memory consolidation and intelligent plasticity for continual learning</t>
  </si>
  <si>
    <t>Multilingual Diversity Improves Vision-Language Representations</t>
  </si>
  <si>
    <t>GTA: Generative Trajectory Augmentation with Guidance for Offline Reinforcement Learning</t>
  </si>
  <si>
    <t>Harnessing the Power of Vicinity-Informed Analysis for Classification under Covariate Shift</t>
  </si>
  <si>
    <t>An Investigation of Conformal Isometry Hypothesis for Grid Cells</t>
  </si>
  <si>
    <t>NCIDiff: Non-covalent Interaction-generative Diffusion Model for Improving Reliability of 3D Molecule Generation Inside Protein Pocket</t>
  </si>
  <si>
    <t>Temporal Spiking Neural Networks with Synaptic Delay for Graph Reasoning</t>
  </si>
  <si>
    <t>UniCompress: Enhancing Multi-Data Medical Image Compression with Knowledge Distillation</t>
  </si>
  <si>
    <t>Enhancing Accuracy in Generative Models via Knowledge Transfer</t>
  </si>
  <si>
    <t>Structured Graph Network for Constrained Robot Crowd Navigation with Low Fidelity Simulation</t>
  </si>
  <si>
    <t>AutoCV: Empowering Reasoning with Automated Process Labeling via Confidence Variation</t>
  </si>
  <si>
    <t>TrojFM: Resource-efficient Backdoor Attacks against Very Large Foundation Models</t>
  </si>
  <si>
    <t>Balancing User Preferences by Social Networks: A Condition-Guided Social Recommendation Model for Mitigating Popularity Bias</t>
  </si>
  <si>
    <t>Reframing the Relationship in Out-of-Distribution Detection</t>
  </si>
  <si>
    <t>Addressing Discretization-Induced Bias in Demographic Prediction</t>
  </si>
  <si>
    <t>Masked Face Recognition with Generative-to-Discriminative Representations</t>
  </si>
  <si>
    <t>Greedy Growing Enables High-Resolution Pixel-Based Diffusion Models</t>
  </si>
  <si>
    <t>Hypergraph Laplacian Eigenmaps and Face Recognition Problems</t>
  </si>
  <si>
    <t>Faster Sampling via Stochastic Gradient Proximal Sampler</t>
  </si>
  <si>
    <t>The Collusion of Memory and Nonlinearity in Stochastic Approximation With Constant Stepsize</t>
  </si>
  <si>
    <t>Free-Space Optical Channel Turbulence Prediction: A Machine Learning Approach</t>
  </si>
  <si>
    <t>Towards Multi-Task Multi-Modal Models: A Video Generative Perspective</t>
  </si>
  <si>
    <t>Crafting Interpretable Embeddings by Asking LLMs Questions</t>
  </si>
  <si>
    <t>Implicit Multimodal Alignment: On the Generalization of Frozen LLMs to Multimodal Inputs</t>
  </si>
  <si>
    <t>gzip Predicts Data-dependent Scaling Laws</t>
  </si>
  <si>
    <t>Toward Digitalization: A Secure Approach to Find a Missing Person Using Facial Recognition Technology</t>
  </si>
  <si>
    <t>Transfer Learning Under High-Dimensional Graph Convolutional Regression Model for Node Classification</t>
  </si>
  <si>
    <t>Private Edge Density Estimation for Random Graphs: Optimal, Efficient and Robust</t>
  </si>
  <si>
    <t>RLSF: Reinforcement Learning via Symbolic Feedback</t>
  </si>
  <si>
    <t>Predicting Likely-Vulnerable Code Changes: Machine Learning-based Vulnerability Protections for Android Open Source Project</t>
  </si>
  <si>
    <t>Gaussian Approximation and Multiplier Bootstrap for Polyak-Ruppert Averaged Linear Stochastic Approximation with Applications to TD Learning</t>
  </si>
  <si>
    <t>Bayesian Inference with Deep Weakly Nonlinear Networks</t>
  </si>
  <si>
    <t>Competing for pixels: a self-play algorithm for weakly-supervised segmentation</t>
  </si>
  <si>
    <t>The devil is in discretization discrepancy. Robustifying Differentiable NAS with Single-Stage Searching Protocol</t>
  </si>
  <si>
    <t>Training-Conditional Coverage Bounds under Covariate Shift</t>
  </si>
  <si>
    <t>A Study on Unsupervised Anomaly Detection and Defect Localization using Generative Model in Ultrasonic Non-Destructive Testing</t>
  </si>
  <si>
    <t>Reflected Flow Matching</t>
  </si>
  <si>
    <t>Contextual Linear Optimization with Bandit Feedback</t>
  </si>
  <si>
    <t>Variance-Reducing Couplings for Random Features: Perspectives from Optimal Transport</t>
  </si>
  <si>
    <t>Meta-Task Planning for Language Agents</t>
  </si>
  <si>
    <t>Integrating GNN and Neural ODEs for Estimating Two-Body Interactions in Mixed-Species Collective Motion</t>
  </si>
  <si>
    <t>Exploring a Multimodal Fusion-based Deep Learning Network for Detecting Facial Palsy</t>
  </si>
  <si>
    <t>KiNETGAN: Enabling Distributed Network Intrusion Detection through Knowledge-Infused Synthetic Data Generation</t>
  </si>
  <si>
    <t>On the Algorithmic Bias of Aligning Large Language Models with RLHF: Preference Collapse and Matching Regularization</t>
  </si>
  <si>
    <t>A Slices Perspective for Incremental Nonparametric Inference in High Dimensional State Spaces</t>
  </si>
  <si>
    <t>Towards Imitation Learning in Real World Unstructured Social Mini-Games in Pedestrian Crowds</t>
  </si>
  <si>
    <t>Improving Health Professionals' Onboarding with AI and XAI for Trustworthy Human-AI Collaborative Decision Making</t>
  </si>
  <si>
    <t>AI-Generated Text Detection and Classification Based on BERT Deep Learning Algorithm</t>
  </si>
  <si>
    <t>Augmented Risk Prediction for the Onset of Alzheimer's Disease from Electronic Health Records with Large Language Models</t>
  </si>
  <si>
    <t>KG-FIT: Knowledge Graph Fine-Tuning Upon Open-World Knowledge</t>
  </si>
  <si>
    <t>Network Interdiction Goes Neural</t>
  </si>
  <si>
    <t>Understanding the Effect of using Semantically Meaningful Tokens for Visual Representation Learning</t>
  </si>
  <si>
    <t>Safe and Balanced: A Framework for Constrained Multi-Objective Reinforcement Learning</t>
  </si>
  <si>
    <t>Multi-Reference Preference Optimization for Large Language Models</t>
  </si>
  <si>
    <t>Reverse Transition Kernel: A Flexible Framework to Accelerate Diffusion Inference</t>
  </si>
  <si>
    <t>A Differential Equation Approach for Wasserstein GANs and Beyond</t>
  </si>
  <si>
    <t>A Second-Order perspective on Compositionality and Incremental Learning</t>
  </si>
  <si>
    <t>BOLD: Boolean Logic Deep Learning</t>
  </si>
  <si>
    <t>RoboArm-NMP: a Learning Environment for Neural Motion Planning</t>
  </si>
  <si>
    <t>Active Learning for Finely-Categorized Image-Text Retrieval by Selecting Hard Negative Unpaired Samples</t>
  </si>
  <si>
    <t>Comparative Analysis of Open-Source Language Models in Summarizing Medical Text Data</t>
  </si>
  <si>
    <t>Generating configurations of increasing lattice size with machine learning and the inverse renormalization group</t>
  </si>
  <si>
    <t>Confidence Under the Hood: An Investigation into the Confidence-Probability Alignment in Large Language Models</t>
  </si>
  <si>
    <t>Picturing Ambiguity: A Visual Twist on the Winograd Schema Challenge</t>
  </si>
  <si>
    <t>Deep Reinforcement Learning with Enhanced PPO for Safe Mobile Robot Navigation</t>
  </si>
  <si>
    <t>Enhancing Consistency-Based Image Generation via Adversarialy-Trained Classification and Energy-Based Discrimination</t>
  </si>
  <si>
    <t>Front-propagation Algorithm: Explainable AI Technique for Extracting Linear Function Approximations from Neural Networks</t>
  </si>
  <si>
    <t>Combining Radiomics and Machine Learning Approaches for Objective ASD Diagnosis: Verifying White Matter Associations with ASD</t>
  </si>
  <si>
    <t>A statistical framework for weak-to-strong generalization</t>
  </si>
  <si>
    <t>Detecting Adversarial Data via Perturbation Forgery</t>
  </si>
  <si>
    <t>Learning Visual-Semantic Subspace Representations for Propositional Reasoning</t>
  </si>
  <si>
    <t>Safe Deep Model-Based Reinforcement Learning with Lyapunov Functions</t>
  </si>
  <si>
    <t>C3LLM: Conditional Multimodal Content Generation Using Large Language Models</t>
  </si>
  <si>
    <t>Near-Optimal Distributed Minimax Optimization under the Second-Order Similarity</t>
  </si>
  <si>
    <t>Prompt Optimization with EASE? Efficient Ordering-aware Automated Selection of Exemplars</t>
  </si>
  <si>
    <t>SNOBERT: A Benchmark for clinical notes entity linking in the SNOMED CT clinical terminology</t>
  </si>
  <si>
    <t>Multi-scale Quaternion CNN and BiGRU with Cross Self-attention Feature Fusion for Fault Diagnosis of Bearing</t>
  </si>
  <si>
    <t>Estimating the normal-inverse-Wishart distribution</t>
  </si>
  <si>
    <t>SPP: Sparsity-Preserved Parameter-Efficient Fine-Tuning for Large Language Models</t>
  </si>
  <si>
    <t>Federated Learning for Non-factorizable Models using Deep Generative Prior Approximations</t>
  </si>
  <si>
    <t>A Bi-Objective Approach to Last-Mile Delivery Routing Considering Driver Preferences</t>
  </si>
  <si>
    <t>Disentangling Heterogeneous Knowledge Concept Embedding for Cognitive Diagnosis on Untested Knowledge</t>
  </si>
  <si>
    <t>Carnatic Raga Identification System using Rigorous Time-Delay Neural Network</t>
  </si>
  <si>
    <t>Hierarchical Clustering via Local Search</t>
  </si>
  <si>
    <t>Inference of Utilities and Time Preference in Sequential Decision-Making</t>
  </si>
  <si>
    <t>Enhancing Visual-Language Modality Alignment in Large Vision Language Models via Self-Improvement</t>
  </si>
  <si>
    <t>CFGs: Causality Constrained Counterfactual Explanations using goal-directed ASP</t>
  </si>
  <si>
    <t>A Systematic Bias of Machine Learning Regression Models and Its Correction: an Application to Imaging-based Brain Age Prediction</t>
  </si>
  <si>
    <t>A Unified Theory of Stochastic Proximal Point Methods without Smoothness</t>
  </si>
  <si>
    <t>PatchProt: Hydrophobic patch prediction using protein foundation models</t>
  </si>
  <si>
    <t>MUCM-Net: A Mamba Powered UCM-Net for Skin Lesion Segmentation</t>
  </si>
  <si>
    <t>Uncertainty Quantification for Neurosymbolic Programs via Compositional Conformal Prediction</t>
  </si>
  <si>
    <t>Knowledge-Informed Auto-Penetration Testing Based on Reinforcement Learning with Reward Machine</t>
  </si>
  <si>
    <t>Derivatives of Stochastic Gradient Descent</t>
  </si>
  <si>
    <t>Score Distillation via Reparametrized DDIM</t>
  </si>
  <si>
    <t>Scaling Diffusion Mamba with Bidirectional SSMs for Efficient Image and Video Generation</t>
  </si>
  <si>
    <t>LLS: Local Learning Rule for Deep Neural Networks Inspired by Neural Activity Synchronization</t>
  </si>
  <si>
    <t>Model Cascading for Code: Reducing Inference Costs with Model Cascading for LLM Based Code Generation</t>
  </si>
  <si>
    <t>Learning the Language of Protein Structure</t>
  </si>
  <si>
    <t>A Fisher-Rao gradient flow for entropic mean-field min-max games</t>
  </si>
  <si>
    <t>Transmission Interface Power Flow Adjustment: A Deep Reinforcement Learning Approach based on Multi-task Attribution Map</t>
  </si>
  <si>
    <t>Reinforcing Language Agents via Policy Optimization with Action Decomposition</t>
  </si>
  <si>
    <t>Riemannian Bilevel Optimization</t>
  </si>
  <si>
    <t>A social path to human-like artificial intelligence</t>
  </si>
  <si>
    <t>DSAM: A Deep Learning Framework for Analyzing Temporal and Spatial Dynamics in Brain Networks</t>
  </si>
  <si>
    <t>SWE-agent: Agent-Computer Interfaces Enable Automated Software Engineering</t>
  </si>
  <si>
    <t>Semantic Objective Functions: A distribution-aware method for adding logical constraints in deep learning</t>
  </si>
  <si>
    <t>Towards Fairness in Provably Communication-Efficient Federated Recommender Systems</t>
  </si>
  <si>
    <t>Sequence Length Scaling in Vision Transformers for Scientific Images on Frontier</t>
  </si>
  <si>
    <t>Investigation of Energy-efficient AI Model Architectures and Compression Techniques for "Green" Fetal Brain Segmentation</t>
  </si>
  <si>
    <t>Feature Aggregation with Latent Generative Replay for Federated Continual Learning of Socially Appropriate Robot Behaviours</t>
  </si>
  <si>
    <t>Adaptive Splitting of Reusable Temporal Monitors for Rare Traffic Violations</t>
  </si>
  <si>
    <t>Watermarking Generative Tabular Data</t>
  </si>
  <si>
    <t>Yes</t>
  </si>
  <si>
    <t>Login required to generate images?</t>
  </si>
  <si>
    <t>No</t>
  </si>
  <si>
    <t>Adobe</t>
  </si>
  <si>
    <t>deepai.org</t>
  </si>
  <si>
    <t>pixlr.com</t>
  </si>
  <si>
    <t>On the Origin of Llamas: Model Tree Heritage Recovery</t>
  </si>
  <si>
    <t>Hierarchical World Models as Visual Whole-Body Humanoid Controllers</t>
  </si>
  <si>
    <t>Phased Consistency Model</t>
  </si>
  <si>
    <t>Explicit Formulae to Interchangeably use Hyperplanes and Hyperballs using Inversive Geometry</t>
  </si>
  <si>
    <t>MC-GTA: Metric-Constrained Model-Based Clustering using Goodness-of-fit Tests with Autocorrelations</t>
  </si>
  <si>
    <t>Scaling Laws and Compute-Optimal Training Beyond Fixed Training Durations</t>
  </si>
  <si>
    <t>OwLore: Outlier-weighed Layerwise Sampled Low-Rank Projection for Memory-Efficient LLM Fine-tuning</t>
  </si>
  <si>
    <t>A Canonization Perspective on Invariant and Equivariant Learning</t>
  </si>
  <si>
    <t>Empowering Source-Free Domain Adaptation with MLLM-driven Curriculum Learning</t>
  </si>
  <si>
    <t>Simulating infinite-dimensional nonlinear diffusion bridges</t>
  </si>
  <si>
    <t>Evaluating Bayesian deep learning for radio galaxy classification</t>
  </si>
  <si>
    <t>Dataset Growth</t>
  </si>
  <si>
    <t>Warm Start Marginal Likelihood Optimisation for Iterative Gaussian Processes</t>
  </si>
  <si>
    <t>Deriving Causal Order from Single-Variable Interventions: Guarantees &amp; Algorithm</t>
  </si>
  <si>
    <t>Deterministic and statistical calibration of constitutive models from full-field data with parametric physics-informed neural networks</t>
  </si>
  <si>
    <t>Bias in Motion: Theoretical Insights into the Dynamics of Bias in SGD Training</t>
  </si>
  <si>
    <t>CF-OPT: Counterfactual Explanations for Structured Prediction</t>
  </si>
  <si>
    <t>FedSAC: Dynamic Submodel Allocation for Collaborative Fairness in Federated Learning</t>
  </si>
  <si>
    <t>Highway Reinforcement Learning</t>
  </si>
  <si>
    <t>MODL: Multilearner Online Deep Learning</t>
  </si>
  <si>
    <t>Truthful Dataset Valuation by Pointwise Mutual Information</t>
  </si>
  <si>
    <t>Unveiling the Cycloid Trajectory of EM Iterations in Mixed Linear Regression</t>
  </si>
  <si>
    <t>From Learning to Optimize to Learning Optimization Algorithms</t>
  </si>
  <si>
    <t>FinerCut: Finer-grained Interpretable Layer Pruning for Large Language Models</t>
  </si>
  <si>
    <t>Understanding Inter-Concept Relationships in Concept-Based Models</t>
  </si>
  <si>
    <t>Multi-CATE: Multi-Accurate Conditional Average Treatment Effect Estimation Robust to Unknown Covariate Shifts</t>
  </si>
  <si>
    <t>IM-Context: In-Context Learning for Imbalanced Regression Tasks</t>
  </si>
  <si>
    <t>Adam with model exponential moving average is effective for nonconvex optimization</t>
  </si>
  <si>
    <t>Delving into Differentially Private Transformer</t>
  </si>
  <si>
    <t>In-Context Symmetries: Self-Supervised Learning through Contextual World Models</t>
  </si>
  <si>
    <t>Time Series Representation Models</t>
  </si>
  <si>
    <t>AlignIQL: Policy Alignment in Implicit Q-Learning through Constrained Optimization</t>
  </si>
  <si>
    <t>Mutation-Bias Learning in Games</t>
  </si>
  <si>
    <t>Graph Coarsening with Message-Passing Guarantees</t>
  </si>
  <si>
    <t>Exploiting LLM Quantization</t>
  </si>
  <si>
    <t>4-bit Shampoo for Memory-Efficient Network Training</t>
  </si>
  <si>
    <t>Back to the Drawing Board for Fair Representation Learning</t>
  </si>
  <si>
    <t>Individual Contributions as Intrinsic Exploration Scaffolds for Multi-agent Reinforcement Learning</t>
  </si>
  <si>
    <t>A Pontryagin Perspective on Reinforcement Learning</t>
  </si>
  <si>
    <t>HarmoDT: Harmony Multi-Task Decision Transformer for Offline Reinforcement Learning</t>
  </si>
  <si>
    <t>Guidance and Control Networks with Periodic Activation Functions</t>
  </si>
  <si>
    <t>Design Principles for Falsifiable, Replicable and Reproducible Empirical ML Research</t>
  </si>
  <si>
    <t>Implicitly Guided Design with PropEn: Match your Data to Follow the Gradient</t>
  </si>
  <si>
    <t>An Empirical Analysis of Forgetting in Pre-trained Models with Incremental Low-Rank Updates</t>
  </si>
  <si>
    <t>Learning-Based Link Anomaly Detection in Continuous-Time Dynamic Graphs</t>
  </si>
  <si>
    <t>2BP: 2-Stage Backpropagation</t>
  </si>
  <si>
    <t>Bridging Mini-Batch and Asymptotic Analysis in Contrastive Learning: From InfoNCE to Kernel-Based Losses</t>
  </si>
  <si>
    <t>Fast-FedUL: A Training-Free Federated Unlearning with Provable Skew Resilience</t>
  </si>
  <si>
    <t>Large Language Model-Driven Curriculum Design for Mobile Networks</t>
  </si>
  <si>
    <t>ForecastGrapher: Redefining Multivariate Time Series Forecasting with Graph Neural Networks</t>
  </si>
  <si>
    <t>Cross-Context Backdoor Attacks against Graph Prompt Learning</t>
  </si>
  <si>
    <t>Reinforced Model Predictive Control via Trust-Region Quasi-Newton Policy Optimization</t>
  </si>
  <si>
    <t>Matroid Semi-Bandits in Sublinear Time</t>
  </si>
  <si>
    <t>Efficient Time Series Processing for Transformers and State-Space Models through Token Merging</t>
  </si>
  <si>
    <t>RC-Mixup: A Data Augmentation Strategy against Noisy Data for Regression Tasks</t>
  </si>
  <si>
    <t>Trustworthy DNN Partition for Blockchain-enabled Digital Twin in Wireless IIoT Networks</t>
  </si>
  <si>
    <t>Cost-Sensitive Multi-Fidelity Bayesian Optimization with Transfer of Learning Curve Extrapolation</t>
  </si>
  <si>
    <t>Towards Communication-efficient Federated Learning via Sparse and Aligned Adaptive Optimization</t>
  </si>
  <si>
    <t>Crystal-LSBO: Automated Design of De Novo Crystals with Latent Space Bayesian Optimization</t>
  </si>
  <si>
    <t>When is exponential asymptotic optimality achievable in average-reward restless bandits?</t>
  </si>
  <si>
    <t>Improving Discrete Diffusion Models via Structured Preferential Generation</t>
  </si>
  <si>
    <t>C2M3: Cycle-Consistent Multi-Model Merging</t>
  </si>
  <si>
    <t>FlashST: A Simple and Universal Prompt-Tuning Framework for Traffic Prediction</t>
  </si>
  <si>
    <t>Diffusion Rejection Sampling</t>
  </si>
  <si>
    <t>Resisting Stochastic Risks in Diffusion Planners with the Trajectory Aggregation Tree</t>
  </si>
  <si>
    <t>An Information Theoretic Metric for Evaluating Unlearning Models</t>
  </si>
  <si>
    <t>Decentralized Directed Collaboration for Personalized Federated Learning</t>
  </si>
  <si>
    <t>NUTS, NARS, and Speech</t>
  </si>
  <si>
    <t>Trust and Terror: Hazards in Text Reveal Negatively Biased Credulity and Partisan Negativity Bias</t>
  </si>
  <si>
    <t>I-LLM: Efficient Integer-Only Inference for Fully-Quantized Low-Bit Large Language Models</t>
  </si>
  <si>
    <t>Towards robust prediction of material properties for nuclear reactor design under scarce data -- a study in creep rupture property</t>
  </si>
  <si>
    <t>Multi-level Interaction Modeling for Protein Mutational Effect Prediction</t>
  </si>
  <si>
    <t>LDMol: Text-Conditioned Molecule Diffusion Model Leveraging Chemically Informative Latent Space</t>
  </si>
  <si>
    <t>Mollification Effects of Policy Gradient Methods</t>
  </si>
  <si>
    <t>Exploring Activation Patterns of Parameters in Language Models</t>
  </si>
  <si>
    <t>Offline Oracle-Efficient Learning for Contextual MDPs via Layerwise Exploration-Exploitation Tradeoff</t>
  </si>
  <si>
    <t>Adaptive Horizon Actor-Critic for Policy Learning in Contact-Rich Differentiable Simulation</t>
  </si>
  <si>
    <t>Post-Fair Federated Learning: Achieving Group and Community Fairness in Federated Learning via Post-processing</t>
  </si>
  <si>
    <t>Online Analytic Exemplar-Free Continual Learning with Large Models for Imbalanced Autonomous Driving Task</t>
  </si>
  <si>
    <t>The Binary Quantized Neural Network for Dense Prediction via Specially Designed Upsampling and Attention</t>
  </si>
  <si>
    <t>Double Variance Reduction: A Smoothing Trick for Composite Optimization Problems without First-Order Gradient</t>
  </si>
  <si>
    <t>SleepFM: Multi-modal Representation Learning for Sleep Across Brain Activity, ECG and Respiratory Signals</t>
  </si>
  <si>
    <t>Linguistic Collapse: Neural Collapse in (Large) Language Models</t>
  </si>
  <si>
    <t>Revisiting the Message Passing in Heterophilous Graph Neural Networks</t>
  </si>
  <si>
    <t>Mechanistic Interpretability of Binary and Ternary Transformers</t>
  </si>
  <si>
    <t>OPERA: Automatic Offline Policy Evaluation with Re-weighted Aggregates of Multiple Estimators</t>
  </si>
  <si>
    <t>Towards Efficient Disaster Response via Cost-effective Unbiased Class Rate Estimation through Neyman Allocation Stratified Sampling Active Learning</t>
  </si>
  <si>
    <t>Rethinking Pruning for Backdoor Mitigation: An Optimization Perspective</t>
  </si>
  <si>
    <t>Magnitude-based Neuron Pruning for Backdoor Defens</t>
  </si>
  <si>
    <t>P4: Towards private, personalized, and Peer-to-Peer learning</t>
  </si>
  <si>
    <t>Physics-guided Full Waveform Inversion using Encoder-Solver Convolutional Neural Networks</t>
  </si>
  <si>
    <t>Exploring Loss Design Techniques For Decision Tree Robustness To Label Noise</t>
  </si>
  <si>
    <t>What's the Opposite of a Face? Finding Shared Decodable Concepts and their Negations in the Brain</t>
  </si>
  <si>
    <t>Alignment is Key for Applying Diffusion Models to Retrosynthesis</t>
  </si>
  <si>
    <t>InversionView: A General-Purpose Method for Reading Information from Neural Activations</t>
  </si>
  <si>
    <t>Unifying Perspectives: Plausible Counterfactual Explanations on Global, Group-wise, and Local Levels</t>
  </si>
  <si>
    <t>Salutary Labeling with Zero Human Annotation</t>
  </si>
  <si>
    <t>Tensor Low-rank Approximation of Finite-horizon Value Functions</t>
  </si>
  <si>
    <t>The surprising efficiency of temporal difference learning for rare event prediction</t>
  </si>
  <si>
    <t>Probabilistically Plausible Counterfactual Explanations with Normalizing Flows</t>
  </si>
  <si>
    <t>Matrix Low-Rank Approximation For Policy Gradient Methods</t>
  </si>
  <si>
    <t>Matrix Low-Rank Trust Region Policy Optimization</t>
  </si>
  <si>
    <t>Symmetric Reinforcement Learning Loss for Robust Learning on Diverse Tasks and Model Scales</t>
  </si>
  <si>
    <t>LoRA-XS: Low-Rank Adaptation with Extremely Small Number of Parameters</t>
  </si>
  <si>
    <t>Understanding Forgetting in Continual Learning with Linear Regression</t>
  </si>
  <si>
    <t>Discriminant audio properties in deep learning based respiratory insufficiency detection in Brazilian Portuguese</t>
  </si>
  <si>
    <t>Interpretable Prognostics with Concept Bottleneck Models</t>
  </si>
  <si>
    <t>Mixed Dynamics In Linear Networks: Unifying the Lazy and Active Regimes</t>
  </si>
  <si>
    <t>Building a temperature forecasting model for the city with the regression neural network (RNN)</t>
  </si>
  <si>
    <t>Unisolver: PDE-Conditional Transformers Are Universal PDE Solvers</t>
  </si>
  <si>
    <t>Clip Body and Tail Separately: High Probability Guarantees for DPSGD with Heavy Tails</t>
  </si>
  <si>
    <t>SMR: State Memory Replay for Long Sequence Modeling</t>
  </si>
  <si>
    <t>Calibrated Dataset Condensation for Faster Hyperparameter Search</t>
  </si>
  <si>
    <t>Towards Human-AI Complementarity with Predictions Sets</t>
  </si>
  <si>
    <t>Probabilistic Verification of Neural Networks using Branch and Bound</t>
  </si>
  <si>
    <t>Enhancing Sustainable Urban Mobility Prediction with Telecom Data: A Spatio-Temporal Framework Approach</t>
  </si>
  <si>
    <t>Unveiling the Secrets: How Masking Strategies Shape Time Series Imputation</t>
  </si>
  <si>
    <t>Reference Neural Operators: Learning the Smooth Dependence of Solutions of PDEs on Geometric Deformations</t>
  </si>
  <si>
    <t>On Fairness of Low-Rank Adaptation of Large Models</t>
  </si>
  <si>
    <t>WASH: Train your Ensemble with Communication-Efficient Weight Shuffling, then Average</t>
  </si>
  <si>
    <t>Efficient Model Compression for Hierarchical Federated Learning</t>
  </si>
  <si>
    <t>SmoothGNN: Smoothing-based GNN for Unsupervised Node Anomaly Detection</t>
  </si>
  <si>
    <t>Subspace Node Pruning</t>
  </si>
  <si>
    <t>Predicting Rental Price of Lane Houses in Shanghai with Machine Learning Methods and Large Language Models</t>
  </si>
  <si>
    <t>Exploring Nutritional Impact on Alzheimer's Mortality: An Explainable AI Approach</t>
  </si>
  <si>
    <t>Geometry of Critical Sets and Existence of Saddle Branches for Two-layer Neural Networks</t>
  </si>
  <si>
    <t>Secure Hierarchical Federated Learning in Vehicular Networks Using Dynamic Client Selection and Anomaly Detection</t>
  </si>
  <si>
    <t>Pattern-Based Time-Series Risk Scoring for Anomaly Detection and Alert Filtering -- A Predictive Maintenance Case Study</t>
  </si>
  <si>
    <t>On the Inflation of KNN-Shapley Value</t>
  </si>
  <si>
    <t>Revisit, Extend, and Enhance Hessian-Free Influence Functions</t>
  </si>
  <si>
    <t>Overcoming Negative Transfer by Online Selection: Distant Domain Adaptation for Fault Diagnosis</t>
  </si>
  <si>
    <t>Transitional Uncertainty with Layered Intermediate Predictions</t>
  </si>
  <si>
    <t>Vertical Federated Learning for Effectiveness, Security, Applicability: A Survey</t>
  </si>
  <si>
    <t>Comet: A Communication-efficient and Performant Approximation for Private Transformer Inference</t>
  </si>
  <si>
    <t>Bridging The Gap between Low-rank and Orthogonal Adaptation via Householder Reflection Adaptation</t>
  </si>
  <si>
    <t>Improving Simulation Regression Efficiency using a Machine Learning-based Method in Design Verification</t>
  </si>
  <si>
    <t>A rationale from frequency perspective for grokking in training neural network</t>
  </si>
  <si>
    <t>ROSE: Register Assisted General Time Series Forecasting with Decomposed Frequency Learning</t>
  </si>
  <si>
    <t>OLLIE: Imitation Learning from Offline Pretraining to Online Finetuning</t>
  </si>
  <si>
    <t>How to Leverage Diverse Demonstrations in Offline Imitation Learning</t>
  </si>
  <si>
    <t>Federated Offline Policy Optimization with Dual Regularization</t>
  </si>
  <si>
    <t>Repeat-Aware Neighbor Sampling for Dynamic Graph Learning</t>
  </si>
  <si>
    <t>FreezeAsGuard: Mitigating Illegal Adaptation of Diffusion Models via Selective Tensor Freezing</t>
  </si>
  <si>
    <t>Momentum-Based Federated Reinforcement Learning with Interaction and Communication Efficiency</t>
  </si>
  <si>
    <t>Distributed Continual Learning</t>
  </si>
  <si>
    <t>Sports center customer segmentation: a case study</t>
  </si>
  <si>
    <t>Deep Activity Model: A Generative Approach for Human Mobility Pattern Synthesis</t>
  </si>
  <si>
    <t>A Dataset for Research on Water Sustainability</t>
  </si>
  <si>
    <t>Athena: Efficient Block-Wise Post-Training Quantization for Large Language Models Using Second-Order Matrix Derivative Information</t>
  </si>
  <si>
    <t>Application of Machine Learning in Agriculture: Recent Trends and Future Research Avenues</t>
  </si>
  <si>
    <t>Irrelevant</t>
  </si>
  <si>
    <t>Investigation of Customized Medical Decision Algorithms Utilizing Graph Neural Networks</t>
  </si>
  <si>
    <t>EMR-Merging: Tuning-Free High-Performance Model Merging</t>
  </si>
  <si>
    <t>Ferrari: Federated Feature Unlearning via Optimizing Feature Sensitivity</t>
  </si>
  <si>
    <t>Data Valuation by Leveraging Global and Local Statistical Information</t>
  </si>
  <si>
    <t>CataLM: Empowering Catalyst Design Through Large Language Models</t>
  </si>
  <si>
    <t>On margin-based generalization prediction in deep neural networks</t>
  </si>
  <si>
    <t>Green AI in Action: Strategic Model Selection for Ensembles in Production</t>
  </si>
  <si>
    <t>Blood Glucose Control Via Pre-trained Counterfactual Invertible Neural Networks</t>
  </si>
  <si>
    <t>Integrating Medical Imaging and Clinical Reports Using Multimodal Deep Learning for Advanced Disease Analysis</t>
  </si>
  <si>
    <t>Classifying Overlapping Gaussian Mixtures in High Dimensions: From Optimal Classifiers to Neural Nets</t>
  </si>
  <si>
    <t>Why are Visually-Grounded Language Models Bad at Image Classification?</t>
  </si>
  <si>
    <t>Don't Forget to Connect! Improving RAG with Graph-based Reranking</t>
  </si>
  <si>
    <t>Superposed Decoding: Multiple Generations from a Single Autoregressive Inference Pass</t>
  </si>
  <si>
    <t>Instruct-MusicGen: Unlocking Text-to-Music Editing for Music Language Models via Instruction Tuning</t>
  </si>
  <si>
    <t>Brain Tumor Segmentation (BraTS) Challenge 2024: Meningioma Radiotherapy Planning Automated Segmentation</t>
  </si>
  <si>
    <t>A Note on the Prediction-Powered Bootstrap</t>
  </si>
  <si>
    <t>A Hessian-Aware Stochastic Differential Equation for Modelling SGD</t>
  </si>
  <si>
    <t>PromptWizard: Task-Aware Agent-driven Prompt Optimization Framework</t>
  </si>
  <si>
    <t>Bridging the Gap: Dynamic Learning Strategies for Improving Multilingual Performance in LLMs</t>
  </si>
  <si>
    <t>MMCTAgent: Multi-modal Critical Thinking Agent Framework for Complex Visual Reasoning</t>
  </si>
  <si>
    <t>Interpretable classification of wiki-review streams</t>
  </si>
  <si>
    <t>SketchQL Demonstration: Zero-shot Video Moment Querying with Sketches</t>
  </si>
  <si>
    <t>Histopathology Based AI Model Predicts Anti-Angiogenic Therapy Response in Renal Cancer Clinical Trial</t>
  </si>
  <si>
    <t>Learning Staged Trees from Incomplete Data</t>
  </si>
  <si>
    <t>Deep Learning Innovations for Underwater Waste Detection: An In-Depth Analysis</t>
  </si>
  <si>
    <t>Context-Specific Refinements of Bayesian Network Classifiers</t>
  </si>
  <si>
    <t>Adaptive debiased SGD in high-dimensional GLMs with steaming data</t>
  </si>
  <si>
    <t>NotPlaNET: Removing False Positives from Planet Hunters TESS with Machine Learning</t>
  </si>
  <si>
    <t>Signal-Plus-Noise Decomposition of Nonlinear Spiked Random Matrix Models</t>
  </si>
  <si>
    <t>Synchronization on circles and spheres with nonlinear interactions</t>
  </si>
  <si>
    <t>CT-based brain ventricle segmentation via diffusion Schr\"odinger Bridge without target domain ground truths</t>
  </si>
  <si>
    <t>Position Paper: Think Globally, React Locally -- Bringing Real-time Reference-based Website Phishing Detection on macOS</t>
  </si>
  <si>
    <t>Recurrent Natural Policy Gradient for POMDPs</t>
  </si>
  <si>
    <t>Non-negative Tensor Mixture Learning for Discrete Density Estimation</t>
  </si>
  <si>
    <t>Safe Multi-Agent Reinforcement Learning with Bilevel Optimization in Autonomous Driving</t>
  </si>
  <si>
    <t>A Human-Like Reasoning Framework for Multi-Phases Planning Task with Large Language Models</t>
  </si>
  <si>
    <t>Render and Diffuse: Aligning Image and Action Spaces for Diffusion-based Behaviour Cloning</t>
  </si>
  <si>
    <t>Safe Reinforcement Learning in Black-Box Environments via Adaptive Shielding</t>
  </si>
  <si>
    <t>SEMF: Supervised Expectation-Maximization Framework for Predicting Intervals</t>
  </si>
  <si>
    <t>AnyFit: Controllable Virtual Try-on for Any Combination of Attire Across Any Scenario</t>
  </si>
  <si>
    <t>Practical aspects for the creation of an audio dataset from field recordings with optimized labeling budget with AI-assisted strategy</t>
  </si>
  <si>
    <t>Unified Low-rank Compression Framework for Click-through Rate Prediction</t>
  </si>
  <si>
    <t>Low-Resource Crop Classification from Multi-Spectral Time Series Using Lossless Compressors</t>
  </si>
  <si>
    <t>Is machine learning good or bad for the natural sciences?</t>
  </si>
  <si>
    <t>Pipette: Automatic Fine-grained Large Language Model Training Configurator for Real-World Clusters</t>
  </si>
  <si>
    <t>An adaptive transfer learning perspective on classification in non-stationary environments</t>
  </si>
  <si>
    <t>A Survey of Latent Factor Models in Recommender Systems</t>
  </si>
  <si>
    <t>Visualizing the loss landscape of Self-supervised Vision Transformer</t>
  </si>
  <si>
    <t>Lower Bounds and Optimal Algorithms for Non-Smooth Convex Decentralized Optimization over Time-Varying Networks</t>
  </si>
  <si>
    <t>Are Image Distributions Indistinguishable to Humans Indistinguishable to Classifiers?</t>
  </si>
  <si>
    <t>Exploring Context Window of Large Language Models via Decomposed Positional Vectors</t>
  </si>
  <si>
    <t>DMT-JEPA: Discriminative Masked Targets for Joint-Embedding Predictive Architecture</t>
  </si>
  <si>
    <t>Knowledge Circuits in Pretrained Transformers</t>
  </si>
  <si>
    <t>Efficient Prior Calibration From Indirect Data</t>
  </si>
  <si>
    <t>Online Merging Optimizers for Boosting Rewards and Mitigating Tax in Alignment</t>
  </si>
  <si>
    <t>The Evolution of Multimodal Model Architectures</t>
  </si>
  <si>
    <t>Cycle-YOLO: A Efficient and Robust Framework for Pavement Damage Detection</t>
  </si>
  <si>
    <t>Boosting Protein Language Models with Negative Sample Mining</t>
  </si>
  <si>
    <t>SLMRec: Empowering Small Language Models for Sequential Recommendation</t>
  </si>
  <si>
    <t>BO4IO: A Bayesian optimization approach to inverse optimization with uncertainty quantification</t>
  </si>
  <si>
    <t>Discriminator-Guided Cooperative Diffusion for Joint Audio and Video Generation</t>
  </si>
  <si>
    <t>An Innovative Networks in Federated Learning</t>
  </si>
  <si>
    <t>Spectral Truncation Kernels: Noncommutativity in C∗-algebraic Kernel Machines</t>
  </si>
  <si>
    <t>Pursuing Feature Separation based on Neural Collapse for Out-of-Distribution Detection</t>
  </si>
  <si>
    <t>Motion-Informed Deep Learning for Brain MR Image Reconstruction Framework</t>
  </si>
  <si>
    <t>ORLM: Training Large Language Models for Optimization Modeling</t>
  </si>
  <si>
    <t>MMPareto: Boosting Multimodal Learning with Innocent Unimodal Assistance</t>
  </si>
  <si>
    <t>MindFormer: A Transformer Architecture for Multi-Subject Brain Decoding via fMRI</t>
  </si>
  <si>
    <t>AdapNet: Adaptive Noise-Based Network for Low-Quality Image Retrieval</t>
  </si>
  <si>
    <t>AI Alignment with Changing and Influenceable Reward Functions</t>
  </si>
  <si>
    <t>CLAIM Your Data: Enhancing Imputation Accuracy with Contextual Large Language Models</t>
  </si>
  <si>
    <t>Learning Social Welfare Functions</t>
  </si>
  <si>
    <t>Tamed Langevin sampling under weaker conditions</t>
  </si>
  <si>
    <t>Ontology-Enhanced Decision-Making for Autonomous Agents in Dynamic and Partially Observable Environments</t>
  </si>
  <si>
    <t>Fast Samplers for Inverse Problems in Iterative Refinement Models</t>
  </si>
  <si>
    <t>Hunting for Polluted White Dwarfs and Other Treasures with Gaia XP Spectra and Unsupervised Machine Learning</t>
  </si>
  <si>
    <t>Structured Partial Stochasticity in Bayesian Neural Networks</t>
  </si>
  <si>
    <t>Listenable Maps for Zero-Shot Audio Classifiers</t>
  </si>
  <si>
    <t>A Framework for Multi-modal Learning: Jointly Modeling Inter- &amp; Intra-Modality Dependencies</t>
  </si>
  <si>
    <t>A note on the error analysis of data-driven closure models for large eddy simulations of turbulence</t>
  </si>
  <si>
    <t>Explainable machine learning multi-label classification of Spanish legal judgements</t>
  </si>
  <si>
    <t>Advancing Cultural Inclusivity: Optimizing Embedding Spaces for Balanced Music Recommendations</t>
  </si>
  <si>
    <t>RAGSys: Item-Cold-Start Recommender as RAG System</t>
  </si>
  <si>
    <t>Hamiltonian Mechanics of Feature Learning: Bottleneck Structure in Leaky ResNets</t>
  </si>
  <si>
    <t>A deep-learning algorithm to disentangle self-interacting dark matter and AGN feedback models</t>
  </si>
  <si>
    <t>Approximately-symmetric neural networks for quantum spin liquids</t>
  </si>
  <si>
    <t>Bayesian RG Flow in Neural Network Field Theories</t>
  </si>
  <si>
    <t>PAE: LLM-based Product Attribute Extraction for E-Commerce Fashion Trends</t>
  </si>
  <si>
    <t>Locally Testing Model Detections for Semantic Global Concepts</t>
  </si>
  <si>
    <t>Time Elastic Neural Networks</t>
  </si>
  <si>
    <t>eQMARL: Entangled Quantum Multi-Agent Reinforcement Learning for Distributed Cooperation over Quantum Channels</t>
  </si>
  <si>
    <t>Concept-based Explainable Malignancy Scoring on Pulmonary Nodules in CT Images</t>
  </si>
  <si>
    <t>How Culturally Aware are Vision-Language Models?</t>
  </si>
  <si>
    <t>No Algorithmic Collusion in Two-Player Blindfolded Game with Thompson Sampling</t>
  </si>
  <si>
    <t>Data-Free Federated Class Incremental Learning with Diffusion-Based Generative Memory</t>
  </si>
  <si>
    <t>Optimized Linear Measurements for Inverse Problems using Diffusion-Based Image Generation</t>
  </si>
  <si>
    <t>WeatherFormer: A Pretrained Encoder Model for Learning Robust Weather Representations from Small Datasets</t>
  </si>
  <si>
    <t>The Power of Next-Frame Prediction for Learning Physical Laws</t>
  </si>
  <si>
    <t>Image Based Character Recognition, Documentation System To Decode Inscription From Temple</t>
  </si>
  <si>
    <t>How to train your ViT for OOD Detection</t>
  </si>
  <si>
    <t>Towards Gradient-based Time-Series Explanations through a SpatioTemporal Attention Network</t>
  </si>
  <si>
    <t>Leveraging Machine Learning for Accurate IoT Device Identification in Dynamic Wireless Contexts</t>
  </si>
  <si>
    <t>An Overview of Machine Learning-Enabled Optimization for Reconfigurable Intelligent Surfaces-Aided 6G Networks: From Reinforcement Learning to Large Language Models</t>
  </si>
  <si>
    <t>An LLM-Tool Compiler for Fused Parallel Function Calling</t>
  </si>
  <si>
    <t>Intelligent Hybrid Resource Allocation in MEC-assisted RAN Slicing Network</t>
  </si>
  <si>
    <t>DefSent+: Improving sentence embeddings of language models by projecting definition sentences into a quasi-isotropic or isotropic vector space of unlimited dictionary entries</t>
  </si>
  <si>
    <t>Interesting evolution argument</t>
  </si>
  <si>
    <t>Phased Consistency Model - https://arxiv.org/abs/2405.18407</t>
  </si>
  <si>
    <t>Highly interesting improved diffusion model</t>
  </si>
  <si>
    <t>PCM</t>
  </si>
  <si>
    <t>Phased Consistency Model - Wang et al., 5/28/2024</t>
  </si>
  <si>
    <t>Low-level ML technique</t>
  </si>
  <si>
    <t>ML clustering improvements</t>
  </si>
  <si>
    <t>cosine schedule</t>
  </si>
  <si>
    <t>learning rate decay for training</t>
  </si>
  <si>
    <t>Cosine scheduling adjustments</t>
  </si>
  <si>
    <t>LoRA</t>
  </si>
  <si>
    <t>low-rank adaptation, parameter-efficient approach to fine-tuning LLMs</t>
  </si>
  <si>
    <t>New fine-tuning alternative</t>
  </si>
  <si>
    <t>Data subgroup primitives</t>
  </si>
  <si>
    <t>source-free domain adaptation</t>
  </si>
  <si>
    <t>transfer a pre-trained model to a target domain with unlabeled target data</t>
  </si>
  <si>
    <t>Adapting MLLMs to other domains</t>
  </si>
  <si>
    <t>Low-level work not relevant to applications</t>
  </si>
  <si>
    <t>Different field</t>
  </si>
  <si>
    <t>Dataset methods from Alibaba</t>
  </si>
  <si>
    <t>Self-Exploring Language Models: Active Preference Elicitation for Online Alignment</t>
  </si>
  <si>
    <t>Value-Incentivized Preference Optimization: A Unified Approach to Online and Offline RLHF</t>
  </si>
  <si>
    <t>Adaptive Generalized Neyman Allocation: Local Asymptotic Minimax Optimal Best Arm Identification</t>
  </si>
  <si>
    <t>Robust Preference Optimization through Reward Model Distillation</t>
  </si>
  <si>
    <t>Measuring and Mitigating Bias for Tabular Datasets with Multiple Protected Attributes</t>
  </si>
  <si>
    <t>Understanding and Minimising Outlier Features in Neural Network Training</t>
  </si>
  <si>
    <t>Deep Latent Variable Modeling of Physiological Signals</t>
  </si>
  <si>
    <t>Mitigating Disparate Impact of Differential Privacy in Federated Learning through Robust Clustering</t>
  </si>
  <si>
    <t>Rich-Observation Reinforcement Learning with Continuous Latent Dynamics</t>
  </si>
  <si>
    <t>Weak Generative Sampler to Efficiently Sample Invariant Distribution of Stochastic Differential Equation</t>
  </si>
  <si>
    <t>Comparative Study of Neighbor-based Methods for Local Outlier Detection</t>
  </si>
  <si>
    <t>Forward-Backward Knowledge Distillation for Continual Clustering</t>
  </si>
  <si>
    <t>Synthetic Potential Outcomes for Mixtures of Treatment Effects</t>
  </si>
  <si>
    <t>Partial Information Decomposition for Data Interpretability and Feature Selection</t>
  </si>
  <si>
    <t>Gone but Not Forgotten: Improved Benchmarks for Machine Unlearning</t>
  </si>
  <si>
    <t>Gradient Guided Hypotheses: A unified solution to enable machine learning models on scarce and noisy data regimes</t>
  </si>
  <si>
    <t>Can Graph Learning Improve Task Planning?</t>
  </si>
  <si>
    <t>Spatio-Spectral Graph Neural Networks</t>
  </si>
  <si>
    <t>A Study of Plasticity Loss in On-Policy Deep Reinforcement Learning</t>
  </si>
  <si>
    <t>Beyond Discrepancy: A Closer Look at the Theory of Distribution Shift</t>
  </si>
  <si>
    <t>Does learning the right latent variables necessarily improve in-context learning?</t>
  </si>
  <si>
    <t>Transformers as Neural Operators for Solutions of Differential Equations with Finite Regularity</t>
  </si>
  <si>
    <t>Online Linear Regression in Dynamic Environments via Discounting</t>
  </si>
  <si>
    <t>Diffusion-based Dynamics Models for Long-Horizon Rollout in Offline Reinforcement Learning</t>
  </si>
  <si>
    <t>Vulnerable Road User Detection and Safety Enhancement: A Comprehensive Survey</t>
  </si>
  <si>
    <t>OMPO: A Unified Framework for RL under Policy and Dynamics Shifts</t>
  </si>
  <si>
    <t>Efficient Black-box Adversarial Attacks via Bayesian Optimization Guided by a Function Prior</t>
  </si>
  <si>
    <t>Poseidon: Efficient Foundation Models for PDEs</t>
  </si>
  <si>
    <t>Offline Regularised Reinforcement Learning for Large Language Models Alignment</t>
  </si>
  <si>
    <t>Relevance-aware Algorithmic Recourse</t>
  </si>
  <si>
    <t>SIG: Efficient Self-Interpretable Graph Neural Network for Continuous-time Dynamic Graphs</t>
  </si>
  <si>
    <t>Robust Entropy Search for Safe Efficient Bayesian Optimization</t>
  </si>
  <si>
    <t>Statistical Context Detection for Deep Lifelong Reinforcement Learning</t>
  </si>
  <si>
    <t>CiliaGraph: Enabling Expression-enhanced Hyper-Dimensional Computation in Ultra-Lightweight and One-Shot Graph Classification on Edge</t>
  </si>
  <si>
    <t>DiveR-CT: Diversity-enhanced Red Teaming with Relaxing Constraints</t>
  </si>
  <si>
    <t>Inverse Concave-Utility Reinforcement Learning is Inverse Game Theory</t>
  </si>
  <si>
    <t>Towards Standardizing AI Bias Exploration</t>
  </si>
  <si>
    <t>Efficient Exploration in Average-Reward Constrained Reinforcement Learning: Achieving Near-Optimal Regret With Posterior Sampling</t>
  </si>
  <si>
    <t>Trust the Model Where It Trusts Itself -- Model-Based Actor-Critic with Uncertainty-Aware Rollout Adaption</t>
  </si>
  <si>
    <t>On Dissipativity of Cross-Entropy Loss in Training ResNets</t>
  </si>
  <si>
    <t>FedMAP: Unlocking Potential in Personalized Federated Learning through Bi-Level MAP Optimization</t>
  </si>
  <si>
    <t>Robust Optimization in Protein Fitness Landscapes Using Reinforcement Learning in Latent Space</t>
  </si>
  <si>
    <t>Optimizing Vehicular Networks with Variational Quantum Circuits-based Reinforcement Learning</t>
  </si>
  <si>
    <t>Federated Learning under Partially Class-Disjoint Data via Manifold Reshaping</t>
  </si>
  <si>
    <t>GLANCE: Global Actions in a Nutshell for Counterfactual Explainability</t>
  </si>
  <si>
    <t>Causal Action Influence Aware Counterfactual Data Augmentation</t>
  </si>
  <si>
    <t>Leveraging Time-Series Foundation Models in Smart Agriculture for Soil Moisture Forecasting</t>
  </si>
  <si>
    <t>A Causal Framework for Evaluating Deferring Systems</t>
  </si>
  <si>
    <t>Unit-Aware Genetic Programming for the Development of Empirical Equations</t>
  </si>
  <si>
    <t>Few-Shot Testing: Estimating Uncertainty of Memristive Deep Neural Networks Using One Bayesian Test Vector</t>
  </si>
  <si>
    <t>Locally Estimated Global Perturbations are Better than Local Perturbations for Federated Sharpness-aware Minimization</t>
  </si>
  <si>
    <t>Compressing Large Language Models using Low Rank and Low Precision Decomposition</t>
  </si>
  <si>
    <t>Tuning-Free Alignment of Diffusion Models with Direct Noise Optimization</t>
  </si>
  <si>
    <t>Federated Continual Learning Goes Online: Leveraging Uncertainty for Modality-Agnostic Class-Incremental Learning</t>
  </si>
  <si>
    <t>LSPI: Heterogeneous Graph Neural Network Classification Aggregation Algorithm Based on Size Neighbor Path Identification</t>
  </si>
  <si>
    <t>MAGIC: Modular Auto-encoder for Generalisable Model Inversion with Bias Corrections</t>
  </si>
  <si>
    <t>Federated Learning with Bilateral Curation for Partially Class-Disjoint Data</t>
  </si>
  <si>
    <t>Hierarchical Classification Auxiliary Network for Time Series Forecasting</t>
  </si>
  <si>
    <t>MANO: Exploiting Matrix Norm for Unsupervised Accuracy Estimation Under Distribution Shifts</t>
  </si>
  <si>
    <t>Spatiotemporal Forecasting Meets Efficiency: Causal Graph Process Neural Networks</t>
  </si>
  <si>
    <t>Continuous Product Graph Neural Networks</t>
  </si>
  <si>
    <t>Towards Data-Driven Electricity Management: Multi-Region Harmonized Data and Knowledge Graph</t>
  </si>
  <si>
    <t>Anomaly Detection by Context Contrasting</t>
  </si>
  <si>
    <t>MoNDE: Mixture of Near-Data Experts for Large-Scale Sparse Models</t>
  </si>
  <si>
    <t>Semiring Activation in Neural Networks</t>
  </si>
  <si>
    <t>On the Role of Attention Masks and LayerNorm in Transformers</t>
  </si>
  <si>
    <t>MOKD: Cross-domain Finetuning for Few-shot Classification via Maximizing Optimized Kernel Dependence</t>
  </si>
  <si>
    <t>Kernel Metric Learning for In-Sample Off-Policy Evaluation of Deterministic RL Policies</t>
  </si>
  <si>
    <t>Adaptive Discretization-based Non-Episodic Reinforcement Learning in Metric Spaces</t>
  </si>
  <si>
    <t>Confronting the Reproducibility Crisis: A Case Study in Validating Certified Robustness</t>
  </si>
  <si>
    <t>Provable Contrastive Continual Learning</t>
  </si>
  <si>
    <t>Learning to Continually Learn with the Bayesian Principle</t>
  </si>
  <si>
    <t>FDQN: A Flexible Deep Q-Network Framework for Game Automation</t>
  </si>
  <si>
    <t>Large Brain Model for Learning Generic Representations with Tremendous EEG Data in BCI</t>
  </si>
  <si>
    <t>A SARS-CoV-2 Interaction Dataset and VHH Sequence Corpus for Antibody Language Models</t>
  </si>
  <si>
    <t>Preferred-Action-Optimized Diffusion Policies for Offline Reinforcement Learning</t>
  </si>
  <si>
    <t>Can We Enhance the Quality of Mobile Crowdsensing Data Without Ground Truth?</t>
  </si>
  <si>
    <t>Conformal Depression Prediction</t>
  </si>
  <si>
    <t>To FP8 and Back Again: Quantifying the Effects of Reducing Precision on LLM Training Stability</t>
  </si>
  <si>
    <t>Efficient Preference-based Reinforcement Learning via Aligned Experience Estimation</t>
  </si>
  <si>
    <t>DeepHGNN: Study of Graph Neural Network based Forecasting Methods for Hierarchically Related Multivariate Time Series</t>
  </si>
  <si>
    <t>Spectral-Risk Safe Reinforcement Learning with Convergence Guarantees</t>
  </si>
  <si>
    <t>Adaptive and Parallel Split Federated Learning in Vehicular Edge Computing</t>
  </si>
  <si>
    <t>Deep Bayesian Filter for Bayes-faithful Data Assimilation</t>
  </si>
  <si>
    <t>Watermarking Counterfactual Explanations</t>
  </si>
  <si>
    <t>Adapting Differentially Private Synthetic Data to Relational Databases</t>
  </si>
  <si>
    <t>Zipper: A Multi-Tower Decoder Architecture for Fusing Modalities</t>
  </si>
  <si>
    <t>Fast Explainability via Feasible Concept Sets Generator</t>
  </si>
  <si>
    <t>CAVACHON: a hierarchical variational autoencoder to integrate multi-modal single-cell data</t>
  </si>
  <si>
    <t>Causal Contextual Bandits with Adaptive Context</t>
  </si>
  <si>
    <t>PureGen: Universal Data Purification for Train-Time Poison Defense via Generative Model Dynamics</t>
  </si>
  <si>
    <t>Hardware-Aware Parallel Prompt Decoding for Memory-Efficient Acceleration of LLM Inference</t>
  </si>
  <si>
    <t>A Theoretical Understanding of Self-Correction through In-context Alignment</t>
  </si>
  <si>
    <t>When and How Does In-Distribution Label Help Out-of-Distribution Detection?</t>
  </si>
  <si>
    <t>Lazy Safety Alignment for Large Language Models against Harmful Fine-tuning</t>
  </si>
  <si>
    <t>Multi-Armed Bandits with Network Interference</t>
  </si>
  <si>
    <t>DTR-Bench: An in silico Environment and Benchmark Platform for Reinforcement Learning Based Dynamic Treatment Regime</t>
  </si>
  <si>
    <t>Low-rank finetuning for LLMs: A fairness perspective</t>
  </si>
  <si>
    <t>Counterfactual Explanations for Multivariate Time-Series without Training Datasets</t>
  </si>
  <si>
    <t>Reinforcement Learning in Dynamic Treatment Regimes Needs Critical Reexamination</t>
  </si>
  <si>
    <t>Scalable Surrogate Verification of Image-based Neural Network Control Systems using Composition and Unrolling</t>
  </si>
  <si>
    <t>SGD method for entropy error function with smoothing l0 regularization for neural networks</t>
  </si>
  <si>
    <t>Learning from Uncertain Data: From Possible Worlds to Possible Models</t>
  </si>
  <si>
    <t>Data-Driven Simulator for Mechanical Circulatory Support with Domain Adversarial Neural Process</t>
  </si>
  <si>
    <t>Offline-Boosted Actor-Critic: Adaptively Blending Optimal Historical Behaviors in Deep Off-Policy RL</t>
  </si>
  <si>
    <t>LSTM-COX Model: A Concise and Efficient Deep Learning Approach for Handling Recurrent Events</t>
  </si>
  <si>
    <t>Atlas3D: Physically Constrained Self-Supporting Text-to-3D for Simulation and Fabrication</t>
  </si>
  <si>
    <t>Understanding Transformer Reasoning Capabilities via Graph Algorithms</t>
  </si>
  <si>
    <t>Injecting Hierarchical Biological Priors into Graph Neural Networks for Flow Cytometry Prediction</t>
  </si>
  <si>
    <t>The Unified Balance Theory of Second-Moment Exponential Scaling Optimizers in Visual Tasks</t>
  </si>
  <si>
    <t>Asymmetrical estimator for training grey-box deep photonic neural networks</t>
  </si>
  <si>
    <t>Improving Linear System Solvers for Hyperparameter Optimisation in Iterative Gaussian Processes</t>
  </si>
  <si>
    <t>X-VILA: Cross-Modality Alignment for Large Language Model</t>
  </si>
  <si>
    <t>MAP-Neo: Highly Capable and Transparent Bilingual Large Language Model Series</t>
  </si>
  <si>
    <t>Are Large Language Models Chameleons?</t>
  </si>
  <si>
    <t>Matryoshka Query Transformer for Large Vision-Language Models</t>
  </si>
  <si>
    <t>Neural Isometries: Taming Transformations for Equivariant ML</t>
  </si>
  <si>
    <t>A Recipe for Charge Density Prediction</t>
  </si>
  <si>
    <t>Weak-to-Strong Search: Align Large Language Models via Searching over Small Language Models</t>
  </si>
  <si>
    <t>Faster Cascades via Speculative Decoding</t>
  </si>
  <si>
    <t>ConceptPrune: Concept Editing in Diffusion Models via Skilled Neuron Pruning</t>
  </si>
  <si>
    <t>Exploring the impact of traffic signal control and connected and automated vehicles on intersections safety: A deep reinforcement learning approach</t>
  </si>
  <si>
    <t>Valid Conformal Prediction for Dynamic GNNs</t>
  </si>
  <si>
    <t>Domain adaptation in small-scale and heterogeneous biological datasets</t>
  </si>
  <si>
    <t>LoByITFL: Low Communication Secure and Private Federated Learning</t>
  </si>
  <si>
    <t>HawkVision: Low-Latency Modeless Edge AI Serving</t>
  </si>
  <si>
    <t>Matrix Manifold Neural Networks++</t>
  </si>
  <si>
    <t>MetaToken: Detecting Hallucination in Image Descriptions by Meta Classification</t>
  </si>
  <si>
    <t>Model-independent cosmological inference post DESI DR1 BAO measurements</t>
  </si>
  <si>
    <t>I Bet You Did Not Mean That: Testing Semantic Importance via Betting</t>
  </si>
  <si>
    <t>Voice Jailbreak Attacks Against GPT-4o</t>
  </si>
  <si>
    <t>Cephalo: Multi-Modal Vision-Language Models for Bio-Inspired Materials Analysis and Design</t>
  </si>
  <si>
    <t>xTern: Energy-Efficient Ternary Neural Network Inference on RISC-V-Based Edge Systems</t>
  </si>
  <si>
    <t>Multiscale Spatio-Temporal Enhanced Short-term Load Forecasting of Electric Vehicle Charging Stations</t>
  </si>
  <si>
    <t>State Space Models are Comparable to Transformers in Estimating Functions with Dynamic Smoothness</t>
  </si>
  <si>
    <t>Large Language Models for Code Summarization</t>
  </si>
  <si>
    <t>Physics-Aware Neural Implicit Solvers for multiscale, parametric PDEs with applications in heterogeneous media</t>
  </si>
  <si>
    <t>Distributed Management of Fluctuating Energy Resources in Dynamic Networked Systems</t>
  </si>
  <si>
    <t>Kernel Semi-Implicit Variational Inference</t>
  </si>
  <si>
    <t>UniIF: Unified Molecule Inverse Folding</t>
  </si>
  <si>
    <t>Are You Sure? Rank Them Again: Repeated Ranking For Better Preference Datasets</t>
  </si>
  <si>
    <t>Learning to Recover from Plan Execution Errors during Robot Manipulation: A Neuro-symbolic Approach</t>
  </si>
  <si>
    <t>WTTFNet: A Weather-Time-Trajectory Fusion Network for Pedestrian Trajectory Prediction in Urban Complex</t>
  </si>
  <si>
    <t>Predicting Many Properties of Crystals by a Single Deep Learning Model</t>
  </si>
  <si>
    <t>Verifiably Robust Conformal Prediction</t>
  </si>
  <si>
    <t>Content-Agnostic Moderation for Stance-Neutral Recommendation</t>
  </si>
  <si>
    <t>HLOB -- Information Persistence and Structure in Limit Order Books</t>
  </si>
  <si>
    <t>A Mallows-like Criterion for Anomaly Detection with Random Forest Implementation</t>
  </si>
  <si>
    <t>EntProp: High Entropy Propagation for Improving Accuracy and Robustness</t>
  </si>
  <si>
    <t>Deep Positive-Unlabeled Anomaly Detection for Contaminated Unlabeled Data</t>
  </si>
  <si>
    <t>Computing low-thrust transfers in the asteroid belt, a comparison between astrodynamical manipulations and a machine learning approach</t>
  </si>
  <si>
    <t>Language Generation with Strictly Proper Scoring Rules</t>
  </si>
  <si>
    <t>Proactive Load-Shaping Strategies with Privacy-Cost Trade-offs in Residential Households based on Deep Reinforcement Learning</t>
  </si>
  <si>
    <t>Privacy Preserving Data Imputation via Multi-party Computation for Medical Applications</t>
  </si>
  <si>
    <t>DFAMiner: Mining minimal separating DFAs from labelled samples</t>
  </si>
  <si>
    <t>Domain-Inspired Sharpness-Aware Minimization Under Domain Shifts</t>
  </si>
  <si>
    <t>Simulation, Modelling and Classification of Wiki Contributors: Spotting The Good, The Bad, and The Ugly</t>
  </si>
  <si>
    <t>Data-driven Machinery Fault Detection: A Comprehensive Review</t>
  </si>
  <si>
    <t>Do Finetti: On Causal Effects for Exchangeable Data</t>
  </si>
  <si>
    <t>Evaluating Zero-Shot GPT-4V Performance on 3D Visual Question Answering Benchmarks</t>
  </si>
  <si>
    <t>Flow Priors for Linear Inverse Problems via Iterative Corrupted Trajectory Matching</t>
  </si>
  <si>
    <t>Federated Q-Learning with Reference-Advantage Decomposition: Almost Optimal Regret and Logarithmic Communication Cost</t>
  </si>
  <si>
    <t>Quantitative Certification of Bias in Large Language Models</t>
  </si>
  <si>
    <t>SPABA: A Single-Loop and Probabilistic Stochastic Bilevel Algorithm Achieving Optimal Sample Complexity</t>
  </si>
  <si>
    <t>LMO-DP: Optimizing the Randomization Mechanism for Differentially Private Fine-Tuning (Large) Language Models</t>
  </si>
  <si>
    <t>RNAFlow: RNA Structure &amp; Sequence Design via Inverse Folding-Based Flow Matching</t>
  </si>
  <si>
    <t>GIST: Greedy Independent Set Thresholding for Diverse Data Summarization</t>
  </si>
  <si>
    <t>STIQ: Safeguarding Training and Inferencing of Quantum Neural Networks from Untrusted Cloud</t>
  </si>
  <si>
    <t>Gemini &amp; Physical World: Large Language Models Can Estimate the Intensity of Earthquake Shaking from Multi-Modal Social Media Posts</t>
  </si>
  <si>
    <t>Adapting Differential Molecular Representation with Hierarchical Prompts for Multi-label Property Prediction</t>
  </si>
  <si>
    <t>Advancing Household Robotics: Deep Interactive Reinforcement Learning for Efficient Training and Enhanced Performance</t>
  </si>
  <si>
    <t>Rejection via Learning Density Ratios</t>
  </si>
  <si>
    <t>Can GPT Redefine Medical Understanding? Evaluating GPT on Biomedical Machine Reading Comprehension</t>
  </si>
  <si>
    <t>Navigable Graphs for High-Dimensional Nearest Neighbor Search: Constructions and Limits</t>
  </si>
  <si>
    <t>Understanding Intrinsic Socioeconomic Biases in Large Language Models</t>
  </si>
  <si>
    <t>Improving Speech Decoding from ECoG with Self-Supervised Pretraining</t>
  </si>
  <si>
    <t>Biclustering a dataset using photonic quantum computing</t>
  </si>
  <si>
    <t>Augmented Physics: A Machine Learning-Powered Tool for Creating Interactive Physics Simulations from Static Diagrams</t>
  </si>
  <si>
    <t>GLOCON Database: Design Decisions and User Manual (v1.0)</t>
  </si>
  <si>
    <t>From Conformal Predictions to Confidence Regions</t>
  </si>
  <si>
    <t>A Margin-based Multiclass Generalization Bound via Geometric Complexity</t>
  </si>
  <si>
    <t>Artificial Intelligence in Industry 4.0: A Review of Integration Challenges for Industrial Systems</t>
  </si>
  <si>
    <t>Single-loop Stochastic Algorithms for Difference of Max-Structured Weakly Convex Functions</t>
  </si>
  <si>
    <t>Its Not a Modality Gap: Characterizing and Addressing the Contrastive Gap</t>
  </si>
  <si>
    <t>Warm-starting Push-Relabel</t>
  </si>
  <si>
    <t>Potential Field Based Deep Metric Learning</t>
  </si>
  <si>
    <t>The Computational Complexity of Formal Reasoning for Encoder-Only Transformers</t>
  </si>
  <si>
    <t>Automatic detection of cognitive impairment in elderly people using an entertainment chatbot with Natural Language Processing capabilities</t>
  </si>
  <si>
    <t>Learning diverse attacks on large language models for robust red-teaming and safety tuning</t>
  </si>
  <si>
    <t>Augmented Conversation with Embedded Speech-Driven On-the-Fly Referencing in AR</t>
  </si>
  <si>
    <t>SoundCTM: Uniting Score-based and Consistency Models for Text-to-Sound Generation</t>
  </si>
  <si>
    <t>Large Margin Discriminative Loss for Classification</t>
  </si>
  <si>
    <t>Predicting Ground State Properties: Constant Sample Complexity and Deep Learning Algorithms</t>
  </si>
  <si>
    <t>Symbolic Regression for Beyond the Standard Model Physics</t>
  </si>
  <si>
    <t>Why Algorithms Remain Unjust: Power Structures Surrounding Algorithmic Activity</t>
  </si>
  <si>
    <t>Probing the Information Theoretical Roots of Spatial Dependence Measures</t>
  </si>
  <si>
    <t>Adaptive Multiscale Retinal Diagnosis: A Hybrid Trio-Model Approach for Comprehensive Fundus Multi-Disease Detection Leveraging Transfer Learning and Siamese Networks</t>
  </si>
  <si>
    <t>Discovering deposition process regimes: leveraging unsupervised learning for process insights, surrogate modeling, and sensitivity analysis</t>
  </si>
  <si>
    <t>Parallel Sampling of Diffusion Models - Shih et al (Stanford), 10/16/2023.</t>
  </si>
  <si>
    <t>DDIM</t>
  </si>
  <si>
    <t>DPM-Solver</t>
  </si>
  <si>
    <t>Sampling</t>
  </si>
  <si>
    <t>classifier-free guidance</t>
  </si>
  <si>
    <t>Denoising Diffusion Probabilistic Models</t>
  </si>
  <si>
    <t>latent-variable model</t>
  </si>
  <si>
    <t>discrete-time forward diffusion process</t>
  </si>
  <si>
    <t>q(x_0) is data distribution</t>
  </si>
  <si>
    <t>alpha in a scalar function</t>
  </si>
  <si>
    <t>{x_t : t&lt;= T} are latent variables</t>
  </si>
  <si>
    <t>q(x_t | x_0) = N(x_t; sqrt(alpha(t)x_0), (1 - alpha(t))I)</t>
  </si>
  <si>
    <t>1000 step discretization of the SDE</t>
  </si>
  <si>
    <t>Recurrent neural networks: vanishing and exploding gradients are not the end of the story</t>
  </si>
  <si>
    <t>Neural Network Verification with Branch-and-Bound for General Nonlinearities</t>
  </si>
  <si>
    <t>Graph External Attention Enhanced Transformer</t>
  </si>
  <si>
    <t>Transformers are SSMs: Generalized Models and Efficient Algorithms Through Structured State Space Duality</t>
  </si>
  <si>
    <t>Exploratory Preference Optimization: Harnessing Implicit Q*-Approximation for Sample-Efficient RLHF</t>
  </si>
  <si>
    <t>An Attention-Based Multi-Context Convolutional Encoder-Decoder Neural Network for Work Zone Traffic Impact Prediction</t>
  </si>
  <si>
    <t>Target Networks and Over-parameterization Stabilize Off-policy Bootstrapping with Function Approximation</t>
  </si>
  <si>
    <t>Comparing information content of representation spaces for disentanglement with VAE ensembles</t>
  </si>
  <si>
    <t>A-PETE: Adaptive Prototype Explanations of Tree Ensembles</t>
  </si>
  <si>
    <t>Beyond Conventional Parametric Modeling: Data-Driven Framework for Estimation and Prediction of Time Activity Curves in Dynamic PET Imaging</t>
  </si>
  <si>
    <t>Improved Techniques for Optimization-Based Jailbreaking on Large Language Models</t>
  </si>
  <si>
    <t>G-Transformer for Conditional Average Potential Outcome Estimation over Time</t>
  </si>
  <si>
    <t>Explaining Predictions by Characteristic Rules</t>
  </si>
  <si>
    <t>Communication-Efficient Distributed Deep Learning via Federated Dynamic Averaging</t>
  </si>
  <si>
    <t>Uncertainty Quantification for Bird's Eye View Semantic Segmentation: Methods and Benchmarks</t>
  </si>
  <si>
    <t>Bayesian Design Principles for Offline-to-Online Reinforcement Learning</t>
  </si>
  <si>
    <t>LCQ: Low-Rank Codebook based Quantization for Large Language Models</t>
  </si>
  <si>
    <t>Amortizing intractable inference in diffusion models for vision, language, and control</t>
  </si>
  <si>
    <t>Aligning Multiclass Neural Network Classifier Criterion with Task Performance via Fβ-Score</t>
  </si>
  <si>
    <t>Effective Interplay between Sparsity and Quantization: From Theory to Practice</t>
  </si>
  <si>
    <t>Concentration Bounds for Optimized Certainty Equivalent Risk Estimation</t>
  </si>
  <si>
    <t>Fast yet Safe: Early-Exiting with Risk Control</t>
  </si>
  <si>
    <t>VENI, VINDy, VICI: a variational reduced-order modeling framework with uncertainty quantification</t>
  </si>
  <si>
    <t>Sheaf HyperNetworks for Personalized Federated Learning</t>
  </si>
  <si>
    <t>Flow matching achieves minimax optimal convergence</t>
  </si>
  <si>
    <t>Enhancing Efficiency of Safe Reinforcement Learning via Sample Manipulation</t>
  </si>
  <si>
    <t>einspace: Searching for Neural Architectures from Fundamental Operations</t>
  </si>
  <si>
    <t>Outliers and Calibration Sets have Diminishing Effect on Quantization of Modern LLMs</t>
  </si>
  <si>
    <t>Online Convex Optimisation: The Optimal Switching Regret for all Segmentations Simultaneously</t>
  </si>
  <si>
    <t>Pursuing Overall Welfare in Federated Learning through Sequential Decision Making</t>
  </si>
  <si>
    <t>Shape Constraints in Symbolic Regression using Penalized Least Squares</t>
  </si>
  <si>
    <t>Model Interpretation and Explainability: Towards Creating Transparency in Prediction Models</t>
  </si>
  <si>
    <t>Share Your Secrets for Privacy! Confidential Forecasting with Vertical Federated Learning</t>
  </si>
  <si>
    <t>Improving Generalization and Convergence by Enhancing Implicit Regularization</t>
  </si>
  <si>
    <t>Reinforcement Learning for Sociohydrology</t>
  </si>
  <si>
    <t>Intersectional Unfairness Discovery</t>
  </si>
  <si>
    <t>Information Theoretic Text-to-Image Alignment</t>
  </si>
  <si>
    <t>Federated Random Forest for Partially Overlapping Clinical Data</t>
  </si>
  <si>
    <t>Learning on Large Graphs using Intersecting Communities</t>
  </si>
  <si>
    <t>In-Context Decision Transformer: Reinforcement Learning via Hierarchical Chain-of-Thought</t>
  </si>
  <si>
    <t>Unleashing the Potential of Diffusion Models for Incomplete Data Imputation</t>
  </si>
  <si>
    <t>Enhancing Counterfactual Image Generation Using Mahalanobis Distance with Distribution Preferences in Feature Space</t>
  </si>
  <si>
    <t>No-Regret Learning for Fair Multi-Agent Social Welfare Optimization</t>
  </si>
  <si>
    <t>Provably Efficient Interactive-Grounded Learning with Personalized Reward</t>
  </si>
  <si>
    <t>Sign is Not a Remedy: Multiset-to-Multiset Message Passing for Learning on Heterophilic Graphs</t>
  </si>
  <si>
    <t>Weak Robust Compatibility Between Learning Algorithms and Counterfactual Explanation Generation Algorithms</t>
  </si>
  <si>
    <t>Position Coupling: Leveraging Task Structure for Improved Length Generalization of Transformers</t>
  </si>
  <si>
    <t>Stochastic Optimal Control for Diffusion Bridges in Function Spaces</t>
  </si>
  <si>
    <t>Heterophilous Distribution Propagation for Graph Neural Networks</t>
  </si>
  <si>
    <t>Principal-Agent Multitasking: the Uniformity of Optimal Contracts and its Efficient Learning via Instrumental Regression</t>
  </si>
  <si>
    <t>Prune at the Clients, Not the Server: Accelerated Sparse Training in Federated Learning</t>
  </si>
  <si>
    <t>Superfast Selection for Decision Tree Algorithms</t>
  </si>
  <si>
    <t>"Forgetting" in Machine Learning and Beyond: A Survey</t>
  </si>
  <si>
    <t>Searching for internal symbols underlying deep learning</t>
  </si>
  <si>
    <t>Advancing Financial Risk Prediction Through Optimized LSTM Model Performance and Comparative Analysis</t>
  </si>
  <si>
    <t>Masked Language Modeling Becomes Conditional Density Estimation for Tabular Data Synthesis</t>
  </si>
  <si>
    <t>Deep Learning without Weight Symmetry</t>
  </si>
  <si>
    <t>LInK: Learning Joint Representations of Design and Performance Spaces through Contrastive Learning for Mechanism Synthesis</t>
  </si>
  <si>
    <t>Class-Based Time Series Data Augmentation to Mitigate Extreme Class Imbalance for Solar Flare Prediction</t>
  </si>
  <si>
    <t>Selective Knowledge Sharing for Personalized Federated Learning Under Capacity Heterogeneity</t>
  </si>
  <si>
    <t>Enhancing Generative Molecular Design via Uncertainty-guided Fine-tuning of Variational Autoencoders</t>
  </si>
  <si>
    <t>Generative AI for Deep Reinforcement Learning: Framework, Analysis, and Use Cases</t>
  </si>
  <si>
    <t>Can Machine Learning Assist in Diagnosis of Primary Immune Thrombocytopenia? A feasibility study</t>
  </si>
  <si>
    <t>Certifying Global Robustness for Deep Neural Networks</t>
  </si>
  <si>
    <t>Diffusion Actor-Critic: Formulating Constrained Policy Iteration as Diffusion Noise Regression for Offline Reinforcement Learning</t>
  </si>
  <si>
    <t>Uncertainty Quantification for Deep Learning</t>
  </si>
  <si>
    <t>Towards a General GNN Framework for Combinatorial Optimization</t>
  </si>
  <si>
    <t>Fully Unconstrained Online Learning</t>
  </si>
  <si>
    <t>Perplexed by Perplexity: Perplexity-Based Data Pruning With Small Reference Models</t>
  </si>
  <si>
    <t>On the Connection Between Non-negative Matrix Factorization and Latent Dirichlet Allocation</t>
  </si>
  <si>
    <t>SleeperNets: Universal Backdoor Poisoning Attacks Against Reinforcement Learning Agents</t>
  </si>
  <si>
    <t>WaveCastNet: An AI-enabled Wavefield Forecasting Framework for Earthquake Early Warning</t>
  </si>
  <si>
    <t>Mitigating the Impact of Labeling Errors on Training via Rockafellian Relaxation</t>
  </si>
  <si>
    <t>Aquatic Navigation: A Challenging Benchmark for Deep Reinforcement Learning</t>
  </si>
  <si>
    <t>Q-learning as a monotone scheme</t>
  </si>
  <si>
    <t>Deep Modeling of Non-Gaussian Aleatoric Uncertainty</t>
  </si>
  <si>
    <t>FCOM: A Federated Collaborative Online Monitoring Framework via Representation Learning</t>
  </si>
  <si>
    <t>Optimizing cnn-Bigru performance: Mish activation and comparative analysis with Relu</t>
  </si>
  <si>
    <t>Policy Trees for Prediction: Interpretable and Adaptive Model Selection for Machine Learning</t>
  </si>
  <si>
    <t>Leveraging Structure Between Environments: Phylogenetic Regularization Incentivizes Disentangled Representations</t>
  </si>
  <si>
    <t>Performance of NPG in Countable State-Space Average-Cost RL</t>
  </si>
  <si>
    <t>Scaling Laws for the Value of Individual Data Points in Machine Learning</t>
  </si>
  <si>
    <t>Understanding Encoder-Decoder Structures in Machine Learning Using Information Measures</t>
  </si>
  <si>
    <t>GraphAny: A Foundation Model for Node Classification on Any Graph</t>
  </si>
  <si>
    <t>Knockout: A simple way to handle missing inputs</t>
  </si>
  <si>
    <t>Enhancing Performance for Highly Imbalanced Medical Data via Data Regularization in a Federated Learning Setting</t>
  </si>
  <si>
    <t>Exploring the Practicality of Federated Learning: A Survey Towards the Communication Perspective</t>
  </si>
  <si>
    <t>Deep Learning for Computing Convergence Rates of Markov Chains</t>
  </si>
  <si>
    <t>Sharpness-Aware Minimization Enhances Feature Quality via Balanced Learning</t>
  </si>
  <si>
    <t>Medication Recommendation via Dual Molecular Modalities and Multi-Substructure Distillation</t>
  </si>
  <si>
    <t>Quantitative Convergences of Lie Group Momentum Optimizers</t>
  </si>
  <si>
    <t>Explainable Data-driven Modeling of Adsorption Energy in Heterogeneous Catalysis</t>
  </si>
  <si>
    <t>The Impact of Ontology on the Prediction of Cardiovascular Disease Compared to Machine Learning Algorithms</t>
  </si>
  <si>
    <t>Enhancing Antibiotic Stewardship using a Natural Language Approach for Better Feature Representation</t>
  </si>
  <si>
    <t>Back to the Basics on Predicting Transfer Performance</t>
  </si>
  <si>
    <t>ADR-BC: Adversarial Density Weighted Regression Behavior Cloning</t>
  </si>
  <si>
    <t>Linear Function Approximation as a Computationally Efficient Method to Solve Classical Reinforcement Learning Challenges</t>
  </si>
  <si>
    <t>Generalization Beyond Data Imbalance: A Controlled Study on CLIP for Transferable Insights</t>
  </si>
  <si>
    <t>Spectrum-Aware Parameter Efficient Fine-Tuning for Diffusion Models</t>
  </si>
  <si>
    <t>Grammar-Aligned Decoding</t>
  </si>
  <si>
    <t>Fusion-PSRO: Nash Policy Fusion for Policy Space Response Oracles</t>
  </si>
  <si>
    <t>Information limits and Thouless-Anderson-Palmer equations for spiked matrix models with structured noise</t>
  </si>
  <si>
    <t>Hard Cases Detection in Motion Prediction by Vision-Language Foundation Models</t>
  </si>
  <si>
    <t>Locking Machine Learning Models into Hardware</t>
  </si>
  <si>
    <t>Early Stopping Criteria for Training Generative Adversarial Networks in Biomedical Imaging</t>
  </si>
  <si>
    <t>Neural Gaussian Scale-Space Fields</t>
  </si>
  <si>
    <t>ACE: A Model Poisoning Attack on Contribution Evaluation Methods in Federated Learning</t>
  </si>
  <si>
    <t>SaySelf: Teaching LLMs to Express Confidence with Self-Reflective Rationales</t>
  </si>
  <si>
    <t>PUAL: A Classifier on Trifurcate Positive-Unlabeled Data</t>
  </si>
  <si>
    <t>Learning to Estimate System Specifications in Linear Temporal Logic using Transformers and Mamba</t>
  </si>
  <si>
    <t>On the Condition Monitoring of Bolted Joints through Acoustic Emission and Deep Transfer Learning: Generalization, Ordinal Loss and Super-Convergence</t>
  </si>
  <si>
    <t>Waveform Design for Over-the-Air Computing</t>
  </si>
  <si>
    <t>SLIM: a Scalable Light-weight Root Cause Analysis for Imbalanced Data in Microservice</t>
  </si>
  <si>
    <t>Solving partial differential equations with sampled neural networks</t>
  </si>
  <si>
    <t>Self-Augmented Preference Optimization: Off-Policy Paradigms for Language Model Alignment</t>
  </si>
  <si>
    <t>Rethinking Open-World Semi-Supervised Learning: Distribution Mismatch and Inductive Inference</t>
  </si>
  <si>
    <t>Analysis of clinical, dosimetric and radiomic features for predicting local failure after stereotactic radiotherapy of brain metastases in malignant melanoma</t>
  </si>
  <si>
    <t>Optimally Improving Cooperative Learning in a Social Setting</t>
  </si>
  <si>
    <t>Rough Transformers: Lightweight Continuous-Time Sequence Modelling with Path Signatures</t>
  </si>
  <si>
    <t>Ovis: Structural Embedding Alignment for Multimodal Large Language Model</t>
  </si>
  <si>
    <t>GS-Phong: Meta-Learned 3D Gaussians for Relightable Novel View Synthesis</t>
  </si>
  <si>
    <t>Improved Generation of Adversarial Examples Against Safety-aligned LLMs</t>
  </si>
  <si>
    <t>Black-Box Detection of Language Model Watermarks</t>
  </si>
  <si>
    <t>Federated Learning with Blockchain-Enhanced Machine Unlearning: A Trustworthy Approach</t>
  </si>
  <si>
    <t>Towards Black-Box Membership Inference Attack for Diffusion Models</t>
  </si>
  <si>
    <t>Avoiding Pitfalls for Privacy Accounting of Subsampled Mechanisms under Composition</t>
  </si>
  <si>
    <t>Expanded Gating Ranges Improve Activation Functions</t>
  </si>
  <si>
    <t>OpenTensor: Reproducing Faster Matrix Multiplication Discovering Algorithms</t>
  </si>
  <si>
    <t>Trajectory Forecasting through Low-Rank Adaptation of Discrete Latent Codes</t>
  </si>
  <si>
    <t>Maximum Temperature Prediction Using Remote Sensing Data Via Convolutional Neural Network</t>
  </si>
  <si>
    <t>Cyclic image generation using chaotic dynamics</t>
  </si>
  <si>
    <t>Conditioning GAN Without Training Dataset</t>
  </si>
  <si>
    <t>Adv-KD: Adversarial Knowledge Distillation for Faster Diffusion Sampling</t>
  </si>
  <si>
    <t>Improving Paratope and Epitope Prediction by Multi-Modal Contrastive Learning and Interaction Informativeness Estimation</t>
  </si>
  <si>
    <t>Reward-based Input Construction for Cross-document Relation Extraction</t>
  </si>
  <si>
    <t>Shotluck Holmes: A Family of Efficient Small-Scale Large Language Vision Models For Video Captioning and Summarization</t>
  </si>
  <si>
    <t>Bi-Directional Transformers vs. word2vec: Discovering Vulnerabilities in Lifted Compiled Code</t>
  </si>
  <si>
    <t>Vision-Language Meets the Skeleton: Progressively Distillation with Cross-Modal Knowledge for 3D Action Representation Learning</t>
  </si>
  <si>
    <t>Generalized Semi-Supervised Learning via Self-Supervised Feature Adaptation</t>
  </si>
  <si>
    <t>Weak-Form Inference for Hybrid Dynamical Systems in Ecology</t>
  </si>
  <si>
    <t>The Point of View of a Sentiment: Towards Clinician Bias Detection in Psychiatric Notes</t>
  </si>
  <si>
    <t>HOPE: A Reinforcement Learning-based Hybrid Policy Path Planner for Diverse Parking Scenarios</t>
  </si>
  <si>
    <t>EM-Assist: Safe Automated ExtractMethod Refactoring with LLMs</t>
  </si>
  <si>
    <t>How Multilingual Are Large Language Models Fine-Tuned for Translation?</t>
  </si>
  <si>
    <t>SPOT: Text Source Prediction from Originality Score Thresholding</t>
  </si>
  <si>
    <t>ShelfHelp: Empowering Humans to Perform Vision-Independent Manipulation Tasks with a Socially Assistive Robotic Cane</t>
  </si>
  <si>
    <t>Hybrid Reinforcement Learning Framework for Mixed-Variable Problems</t>
  </si>
  <si>
    <t>Transfer Q Star: Principled Decoding for LLM Alignment</t>
  </si>
  <si>
    <t>Slight Corruption in Pre-training Data Makes Better Diffusion Models</t>
  </si>
  <si>
    <t>Phantom: General Trigger Attacks on Retrieval Augmented Language Generation</t>
  </si>
  <si>
    <t>Extending the Massive Text Embedding Benchmark to French</t>
  </si>
  <si>
    <t>ENTIRe-ID: An Extensive and Diverse Dataset for Person Re-Identification</t>
  </si>
  <si>
    <t>Statistical Properties of Robust Satisficing</t>
  </si>
  <si>
    <t>Is My Data in Your Retrieval Database? Membership Inference Attacks Against Retrieval Augmented Generation</t>
  </si>
  <si>
    <t>Algorithmic Fairness in Performative Policy Learning: Escaping the Impossibility of Group Fairness</t>
  </si>
  <si>
    <t>Jailbreaking Large Language Models Against Moderation Guardrails via Cipher Characters</t>
  </si>
  <si>
    <t>Audio2Rig: Artist-oriented deep learning tool for facial animation</t>
  </si>
  <si>
    <t>Convolutional L2LFlows: Generating Accurate Showers in Highly Granular Calorimeters Using Convolutional Normalizing Flows</t>
  </si>
  <si>
    <t>Private Mean Estimation with Person-Level Differential Privacy</t>
  </si>
  <si>
    <t>XPrompt:Explaining Large Language Model's Generation via Joint Prompt Attribution</t>
  </si>
  <si>
    <t>Fast leave-one-cluster-out cross-validation by clustered Network Information Criteria (NICc)</t>
  </si>
  <si>
    <t>Recurrent neural network wave functions for Rydberg atom arrays on kagome lattice</t>
  </si>
  <si>
    <t>Enhancing Adversarial Robustness in SNNs with Sparse Gradients</t>
  </si>
  <si>
    <t>Literature Filtering for Systematic Reviews with Transformers</t>
  </si>
  <si>
    <t>Personalized Adapter for Large Meteorology Model on Devices: Towards Weather Foundation Models</t>
  </si>
  <si>
    <t>Small Language Models for Application Interactions: A Case Study</t>
  </si>
  <si>
    <t>From Zero to Hero: Cold-Start Anomaly Detection</t>
  </si>
  <si>
    <t>CoSy: Evaluating Textual Explanations of Neurons</t>
  </si>
  <si>
    <t>Sequence-Augmented SE(3)-Flow Matching For Conditional Protein Backbone Generation</t>
  </si>
  <si>
    <t>Large Language Models Can Self-Improve At Web Agent Tasks</t>
  </si>
  <si>
    <t>Flexible SE(2) graph neural networks with applications to PDE surrogates</t>
  </si>
  <si>
    <t>Length independent generalization bounds for deep SSM architectures with stability constraints</t>
  </si>
  <si>
    <t>Reconstruction Attacks on Machine Unlearning: Simple Models are Vulnerable</t>
  </si>
  <si>
    <t>ETHER: Efficient Finetuning of Large-Scale Models with Hyperplane Reflections</t>
  </si>
  <si>
    <t>Grokfast: Accelerated Grokking by Amplifying Slow Gradients</t>
  </si>
  <si>
    <t>The Empirical Impact of Neural Parameter Symmetries, or Lack Thereof</t>
  </si>
  <si>
    <t>Unified Explanations in Machine Learning Models: A Perturbation Approach</t>
  </si>
  <si>
    <t>Occam Gradient Descent</t>
  </si>
  <si>
    <t>Transformers and Slot Encoding for Sample Efficient Physical World Modelling</t>
  </si>
  <si>
    <t>Tropical Expressivity of Neural Networks</t>
  </si>
  <si>
    <t>Near Optimal Decentralized Optimization with Compression and Momentum Tracking</t>
  </si>
  <si>
    <t>Soft Partitioning of Latent Space for Semantic Channel Equalization</t>
  </si>
  <si>
    <t>Segment, Shuffle, and Stitch: A Simple Mechanism for Improving Time-Series Representations</t>
  </si>
  <si>
    <t>Threshold-Independent Fair Matching through Score Calibration</t>
  </si>
  <si>
    <t>Iterative Learning Control of Fast, Nonlinear, Oscillatory Dynamics (Preprint)</t>
  </si>
  <si>
    <t>CycleFormer : TSP Solver Based on Language Modeling</t>
  </si>
  <si>
    <t>subMFL: Compatiple subModel Generation for Federated Learning in Device Heterogenous Environment</t>
  </si>
  <si>
    <t>A Simple and Adaptive Learning Rate for FTRL in Online Learning with Minimax Regret of Θ(T2/3) and its Application to Best-of-Both-Worlds</t>
  </si>
  <si>
    <t>A Random Forest-based Prediction Model for Turning Points in Antagonistic event-group Competitions</t>
  </si>
  <si>
    <t>FlexiDrop: Theoretical Insights and Practical Advances in Random Dropout Method on GNNs</t>
  </si>
  <si>
    <t>Domain Adaptation with Cauchy-Schwarz Divergence</t>
  </si>
  <si>
    <t>Kernel Language Entropy: Fine-grained Uncertainty Quantification for LLMs from Semantic Similarities</t>
  </si>
  <si>
    <t>Collective Variable Free Transition Path Sampling with Generative Flow Network</t>
  </si>
  <si>
    <t>MM-Lego: Modular Biomedical Multimodal Models with Minimal Fine-Tuning</t>
  </si>
  <si>
    <t>Learning Latent Graph Structures and their Uncertainty</t>
  </si>
  <si>
    <t>BAN: Detecting Backdoors Activated by Adversarial Neuron Noise</t>
  </si>
  <si>
    <t>Unraveling the Impact of Heterophilic Structures on Graph Positive-Unlabeled Learning</t>
  </si>
  <si>
    <t>Learning Discriminative Dynamics with Label Corruption for Noisy Label Detection</t>
  </si>
  <si>
    <t>Adaptive Advantage-Guided Policy Regularization for Offline Reinforcement Learning</t>
  </si>
  <si>
    <t>Urban Air Pollution Forecasting: a Machine Learning Approach leveraging Satellite Observations and Meteorological Forecasts</t>
  </si>
  <si>
    <t>Similarity is Not All You Need: Endowing Retrieval Augmented Generation with Multi Layered Thoughts</t>
  </si>
  <si>
    <t>Parrot: Efficient Serving of LLM-based Applications with Semantic Variable</t>
  </si>
  <si>
    <t>Fourier Controller Networks for Real-Time Decision-Making in Embodied Learning</t>
  </si>
  <si>
    <t>From Words to Actions: Unveiling the Theoretical Underpinnings of LLM-Driven Autonomous Systems</t>
  </si>
  <si>
    <t>Learning from Random Demonstrations: Offline Reinforcement Learning with Importance-Sampled Diffusion Models</t>
  </si>
  <si>
    <t>On Vessel Location Forecasting and the Effect of Federated Learning</t>
  </si>
  <si>
    <t>Out-of-distribution Reject Option Method for Dataset Shift Problem in Early Disease Onset Prediction</t>
  </si>
  <si>
    <t>The Merit of River Network Topology for Neural Flood Forecasting</t>
  </si>
  <si>
    <t>Joint Selective State Space Model and Detrending for Robust Time Series Anomaly Detection</t>
  </si>
  <si>
    <t>Approximate Global Convergence of Independent Learning in Multi-Agent Systems</t>
  </si>
  <si>
    <t>MetaCURL: Non-stationary Concave Utility Reinforcement Learning</t>
  </si>
  <si>
    <t>Preference Alignment with Flow Matching</t>
  </si>
  <si>
    <t>Exploring Key Factors for Long-Term Vessel Incident Risk Prediction</t>
  </si>
  <si>
    <t>Estimating before Debiasing: A Bayesian Approach to Detaching Prior Bias in Federated Semi-Supervised Learning</t>
  </si>
  <si>
    <t>Recurrent Deep Kernel Learning of Dynamical Systems</t>
  </si>
  <si>
    <t>Dynamic feature selection in medical predictive monitoring by reinforcement learning</t>
  </si>
  <si>
    <t>Understanding and mitigating difficulties in posterior predictive evaluation</t>
  </si>
  <si>
    <t>Understanding Memory-Regret Trade-Off for Streaming Stochastic Multi-Armed Bandits</t>
  </si>
  <si>
    <t>Improving SMOTE via Fusing Conditional VAE for Data-adaptive Noise Filtering</t>
  </si>
  <si>
    <t>Universal Online Convex Optimization with 1 Projection per Round</t>
  </si>
  <si>
    <t>Towards a Better Evaluation of Out-of-Domain Generalization</t>
  </si>
  <si>
    <t>Diffusion Policies creating a Trust Region for Offline Reinforcement Learning</t>
  </si>
  <si>
    <t>Efficient Trajectory Inference in Wasserstein Space Using Consecutive Averaging</t>
  </si>
  <si>
    <t>Bridging Model-Based Optimization and Generative Modeling via Conservative Fine-Tuning of Diffusion Models</t>
  </si>
  <si>
    <t>Reconciling Model Multiplicity for Downstream Decision Making</t>
  </si>
  <si>
    <t>MGCP: A Multi-Grained Correlation based Prediction Network for Multivariate Time Series</t>
  </si>
  <si>
    <t>SysCaps: Language Interfaces for Simulation Surrogates of Complex Systems</t>
  </si>
  <si>
    <t>Few for Many: Tchebycheff Set Scalarization for Many-Objective Optimization</t>
  </si>
  <si>
    <t>Towards Deeper Understanding of PPR-based Embedding Approaches: A Topological Perspective</t>
  </si>
  <si>
    <t>FTS: A Framework to Find a Faithful TimeSieve</t>
  </si>
  <si>
    <t>Do spectral cues matter in contrast-based graph self-supervised learning?</t>
  </si>
  <si>
    <t>SVFT: Parameter-Efficient Fine-Tuning with Singular Vectors</t>
  </si>
  <si>
    <t>Clustering Mixtures of Discrete Distributions: A Note on Mitra's Algorithm</t>
  </si>
  <si>
    <t>Weights Augmentation: it has never ever ever ever let her model down</t>
  </si>
  <si>
    <t>Why Larger Language Models Do In-context Learning Differently?</t>
  </si>
  <si>
    <t>Stress-Testing Capability Elicitation With Password-Locked Models</t>
  </si>
  <si>
    <t>RLeXplore: Accelerating Research in Intrinsically-Motivated Reinforcement Learning</t>
  </si>
  <si>
    <t>Contrasting Multiple Representations with the Multi-Marginal Matching Gap</t>
  </si>
  <si>
    <t>Preference Learning Algorithms Do Not Learn Preference Rankings</t>
  </si>
  <si>
    <t>CLIPLoss and Norm-Based Data Selection Methods for Multimodal Contrastive Learning</t>
  </si>
  <si>
    <t>The Data Minimization Principle in Machine Learning</t>
  </si>
  <si>
    <t>Momentum for the Win: Collaborative Federated Reinforcement Learning across Heterogeneous Environments</t>
  </si>
  <si>
    <t>Decentralized Optimization in Time-Varying Networks with Arbitrary Delays</t>
  </si>
  <si>
    <t>Crowdsourcing with Difficulty: A Bayesian Rating Model for Heterogeneous Items</t>
  </si>
  <si>
    <t>Posterior Sampling via Autoregressive Generation</t>
  </si>
  <si>
    <t>Clustering-Based Validation Splits for Domain Generalisation</t>
  </si>
  <si>
    <t>Deep Grokking: Would Deep Neural Networks Generalize Better?</t>
  </si>
  <si>
    <t>On the Convergence of Multi-objective Optimization under Generalized Smoothness</t>
  </si>
  <si>
    <t>Using Contrastive Learning with Generative Similarity to Learn Spaces that Capture Human Inductive Biases</t>
  </si>
  <si>
    <t>Safety through Permissibility: Shield Construction for Fast and Safe Reinforcement Learning</t>
  </si>
  <si>
    <t>PureEBM: Universal Poison Purification via Mid-Run Dynamics of Energy-Based Models</t>
  </si>
  <si>
    <t>Unique3D: High-Quality and Efficient 3D Mesh Generation from a Single Image</t>
  </si>
  <si>
    <t>Don't drop your samples! Coherence-aware training benefits Conditional diffusion</t>
  </si>
  <si>
    <t>Vision-based Manipulation from Single Human Video with Open-World Object Graphs</t>
  </si>
  <si>
    <t>Improving the Training of Rectified Flows</t>
  </si>
  <si>
    <t>CausalQuest: Collecting Natural Causal Questions for AI Agents</t>
  </si>
  <si>
    <t>Group Robust Preference Optimization in Reward-free RLHF</t>
  </si>
  <si>
    <t>DITTO-2: Distilled Diffusion Inference-Time T-Optimization for Music Generation</t>
  </si>
  <si>
    <t>ROAST: Review-level Opinion Aspect Sentiment Target Joint Detection</t>
  </si>
  <si>
    <t>Entropy annealing for policy mirror descent in continuous time and space</t>
  </si>
  <si>
    <t>KerasCV and KerasNLP: Vision and Language Power-Ups</t>
  </si>
  <si>
    <t>Retrieval Augmented Structured Generation: Business Document Information Extraction As Tool Use</t>
  </si>
  <si>
    <t>Training-efficient density quantum machine learning</t>
  </si>
  <si>
    <t>Disentangling and Mitigating the Impact of Task Similarity for Continual Learning</t>
  </si>
  <si>
    <t>Feature Fusion for Improved Classification: Combining Dempster-Shafer Theory and Multiple CNN Architectures</t>
  </si>
  <si>
    <t>Boost Your Own Human Image Generation Model via Direct Preference Optimization with AI Feedback</t>
  </si>
  <si>
    <t>PostDoc: Generating Poster from a Long Multimodal Document Using Deep Submodular Optimization</t>
  </si>
  <si>
    <t>Non-intrusive data-driven model order reduction for circuits based on Hammerstein architectures</t>
  </si>
  <si>
    <t>Iterative Feature Boosting for Explainable Speech Emotion Recognition</t>
  </si>
  <si>
    <t>Randomized Exploration for Reinforcement Learning with Multinomial Logistic Function Approximation</t>
  </si>
  <si>
    <t>GNN-RAG: Graph Neural Retrieval for Large Language Model Reasoning</t>
  </si>
  <si>
    <t>SPAM: Stochastic Proximal Point Method with Momentum Variance Reduction for Non-convex Cross-Device Federated Learning</t>
  </si>
  <si>
    <t>A Geometric Unification of Distributionally Robust Covariance Estimators: Shrinking the Spectrum by Inflating the Ambiguity Set</t>
  </si>
  <si>
    <t>Low-dimensional approximations of the conditional law of Volterra processes: a non-positive curvature approach</t>
  </si>
  <si>
    <t>Visual Attention Analysis in Online Learning</t>
  </si>
  <si>
    <t>Analysis of a multi-target linear shrinkage covariance estimator</t>
  </si>
  <si>
    <t>Student Answer Forecasting: Transformer-Driven Answer Choice Prediction for Language Learning</t>
  </si>
  <si>
    <t>A Staged Approach using Machine Learning and Uncertainty Quantification to Predict the Risk of Hip Fracture</t>
  </si>
  <si>
    <t>Would I Lie To You? Inference Time Alignment of Language Models using Direct Preference Heads</t>
  </si>
  <si>
    <t>Hardware-Efficient EMG Decoding for Next-Generation Hand Prostheses</t>
  </si>
  <si>
    <t>Task-Agnostic Machine Learning-Assisted Inference</t>
  </si>
  <si>
    <t>Safe Multi-agent Reinforcement Learning with Natural Language Constraints</t>
  </si>
  <si>
    <t>Symmetries in Overparametrized Neural Networks: A Mean-Field View</t>
  </si>
  <si>
    <t>Video-Language Critic: Transferable Reward Functions for Language-Conditioned Robotics</t>
  </si>
  <si>
    <t>Targeted Sequential Indirect Experiment Design</t>
  </si>
  <si>
    <t>Consistent Submodular Maximization</t>
  </si>
  <si>
    <t>GasTrace: Detecting Sandwich Attack Malicious Accounts in Ethereum</t>
  </si>
  <si>
    <t>Improved Out-of-Scope Intent Classification with Dual Encoding and Threshold-based Re-Classification</t>
  </si>
  <si>
    <t>GenKubeSec: LLM-Based Kubernetes Misconfiguration Detection, Localization, Reasoning, and Remediation</t>
  </si>
  <si>
    <t>Exploring Diffusion Models' Corruption Stage in Few-Shot Fine-tuning and Mitigating with Bayesian Neural Networks</t>
  </si>
  <si>
    <t>Robust Kernel Hypothesis Testing under Data Corruption</t>
  </si>
  <si>
    <t>Deep Joint Semantic Coding and Beamforming for Near-Space Airship-Borne Massive MIMO Network</t>
  </si>
  <si>
    <t>Federated Learning with Multi-resolution Model Broadcast</t>
  </si>
  <si>
    <t>Is In-Context Learning Sufficient for Instruction Following in LLMs?</t>
  </si>
  <si>
    <t>Complexity of Deciding Injectivity and Surjectivity of ReLU Neural Networks</t>
  </si>
  <si>
    <t>From Symbolic Tasks to Code Generation: Diversification Yields Better Task Performers</t>
  </si>
  <si>
    <t>PixelsDB: Serverless and Natural-Language-Aided Data Analytics with Flexible Service Levels and Prices</t>
  </si>
  <si>
    <t>Instruction-Guided Visual Masking</t>
  </si>
  <si>
    <t>Automatic Graph Topology-Aware Transformer</t>
  </si>
  <si>
    <t>Identifiability of a statistical model with two latent vectors: Importance of the dimensionality relation and application to graph embedding</t>
  </si>
  <si>
    <t>Two Optimizers Are Better Than One: LLM Catalyst for Enhancing Gradient-Based Optimization</t>
  </si>
  <si>
    <t>Research on Foundation Model for Spatial Data Intelligence: China's 2024 White Paper on Strategic Development of Spatial Data Intelligence</t>
  </si>
  <si>
    <t>SpecDec++: Boosting Speculative Decoding via Adaptive Candidate Lengths</t>
  </si>
  <si>
    <t>Enhancing Sufficient Dimension Reduction via Hellinger Correlation</t>
  </si>
  <si>
    <t>Bilevel reinforcement learning via the development of hyper-gradient without lower-level convexity</t>
  </si>
  <si>
    <t>Breaking Indistinguishability with Transfer Learning: A First Look at SPECK32/64 Lightweight Block Ciphers</t>
  </si>
  <si>
    <t>Bayesian Online Natural Gradient (BONG)</t>
  </si>
  <si>
    <t>CRIS: Collaborative Refinement Integrated with Segmentation for Polyp Segmentation</t>
  </si>
  <si>
    <t>A novel fault localization with data refinement for hydroelectric units</t>
  </si>
  <si>
    <t>Detecting Hallucinations in Large Language Model Generation: A Token Probability Approach</t>
  </si>
  <si>
    <t>EgoSurgery-Phase: A Dataset of Surgical Phase Recognition from Egocentric Open Surgery Videos</t>
  </si>
  <si>
    <t>Easy Problems That LLMs Get Wrong</t>
  </si>
  <si>
    <t>Factor Augmented Tensor-on-Tensor Neural Networks</t>
  </si>
  <si>
    <t>SAM-E: Leveraging Visual Foundation Model with Sequence Imitation for Embodied Manipulation</t>
  </si>
  <si>
    <t>Dr-LLaVA: Visual Instruction Tuning with Symbolic Clinical Grounding</t>
  </si>
  <si>
    <t>Selective Explanations</t>
  </si>
  <si>
    <t>Convergence Bounds for Sequential Monte Carlo on Multimodal Distributions using Soft Decomposition</t>
  </si>
  <si>
    <t>One-Shot Safety Alignment for Large Language Models via Optimal Dualization</t>
  </si>
  <si>
    <t>Anatomical Region Recognition and Real-time Bone Tracking Methods by Dynamically Decoding A-Mode Ultrasound Signals</t>
  </si>
  <si>
    <t>CheXpert Plus: Hundreds of Thousands of Aligned Radiology Texts, Images and Patients</t>
  </si>
  <si>
    <t>Real-Time Dynamic Robot-Assisted Hand-Object Interaction via Motion Primitives</t>
  </si>
  <si>
    <t>Exploring the Potential of Hybrid Machine-Learning/Physics-Based Modeling for Atmospheric/Oceanic Prediction Beyond the Medium Range</t>
  </si>
  <si>
    <t>Enabling Visual Recognition at Radio Frequency</t>
  </si>
  <si>
    <t>Gaussian Flow Bridges for Audio Domain Transfer with Unpaired Data</t>
  </si>
  <si>
    <t>Online Nonparametric Supervised Learning for Massive Data</t>
  </si>
  <si>
    <t>Participation in the age of foundation models</t>
  </si>
  <si>
    <t>Stochastic Optimization Algorithms for Instrumental Variable Regression with Streaming Data</t>
  </si>
  <si>
    <t>Gaitor: Learning a Unified Representation Across Gaits for Real-World Quadruped Locomotion</t>
  </si>
  <si>
    <t>Neural Scaling Laws From Large-N Field Theory: Solvable Model Beyond the Ridgeless Limit</t>
  </si>
  <si>
    <t>Ground state phases of the two-dimension electron gas with a unified variational approach</t>
  </si>
  <si>
    <t>Approximate Thompson Sampling for Learning Linear Quadratic Regulators with O(T−−√) Regret</t>
  </si>
  <si>
    <t>Network Analytics for Anti-Money Laundering -- A Systematic Literature Review and Experimental Evaluation</t>
  </si>
  <si>
    <t>NeuralODEs for VLEO simulations: Introducing thermoNET for Thermosphere Modeling</t>
  </si>
  <si>
    <t>Improving global awareness of linkset predictions using Cross-Attentive Modulation tokens</t>
  </si>
  <si>
    <t>Optimal Multiclass U-Calibration Error and Beyond</t>
  </si>
  <si>
    <t>Multi-modal Mood Reader: Pre-trained Model Empowers Cross-Subject Emotion Recognition</t>
  </si>
  <si>
    <t>Medformer: A Multi-Granularity Patching Transformer for Medical Time-Series Classification</t>
  </si>
  <si>
    <t>Modally Reduced Representation Learning of Multi-Lead ECG Signals through Simultaneous Alignment and Reconstruction</t>
  </si>
  <si>
    <t>An LSTM Feature Imitation Network for Hand Movement Recognition from sEMG Signals</t>
  </si>
  <si>
    <t>Resonate-and-Fire Spiking Neurons for Target Detection and Hand Gesture Recognition: A Hybrid Approach</t>
  </si>
  <si>
    <t>Beyond Isolated Frames: Enhancing Sensor-Based Human Activity Recognition through Intra- and Inter-Frame Attention</t>
  </si>
  <si>
    <t>NERULA: A Dual-Pathway Self-Supervised Learning Framework for Electrocardiogram Signal Analysis</t>
  </si>
  <si>
    <t>Near-Field Spot Beamfocusing: A Correlation-Aware Transfer Learning Approach</t>
  </si>
  <si>
    <t>Subject-Adaptive Transfer Learning Using Resting State EEG Signals for Cross-Subject EEG Motor Imagery Classification</t>
  </si>
  <si>
    <t>Review of Deep Representation Learning Techniques for Brain-Computer Interfaces and Recommendations</t>
  </si>
  <si>
    <t>Sonos Voice Control Bias Assessment Dataset: A Methodology for Demographic Bias Assessment in Voice Assistants</t>
  </si>
  <si>
    <t>Obtaining physical layer data of latest generation networks for investigating adversary attacks</t>
  </si>
  <si>
    <t>2406 - Machine Learning</t>
  </si>
  <si>
    <t>Learning to grok: Emergence of in-context learning and skill composition in modular arithmetic tasks</t>
  </si>
  <si>
    <t>Robust and highly scalable estimation of directional couplings from time-shifted signals</t>
  </si>
  <si>
    <t>To Believe or Not to Believe Your LLM</t>
  </si>
  <si>
    <t>Loki: Low-Rank Keys for Efficient Sparse Attention</t>
  </si>
  <si>
    <t>Uncertainty of Joint Neural Contextual Bandit</t>
  </si>
  <si>
    <t>Fairness-Optimized Synthetic EHR Generation for Arbitrary Downstream Predictive Tasks</t>
  </si>
  <si>
    <t>Demystifying the Compression of Mixture-of-Experts Through a Unified Framework</t>
  </si>
  <si>
    <t>Kolmogorov-Arnold Networks for Time Series: Bridging Predictive Power and Interpretability</t>
  </si>
  <si>
    <t>Ai-Sampler: Adversarial Learning of Markov kernels with involutive maps</t>
  </si>
  <si>
    <t>A Temporal Kolmogorov-Arnold Transformer for Time Series Forecasting</t>
  </si>
  <si>
    <t>Applying Fine-Tuned LLMs for Reducing Data Needs in Load Profile Analysis</t>
  </si>
  <si>
    <t>Landscape-Aware Growing: The Power of a Little LAG</t>
  </si>
  <si>
    <t>An Empirical Study into Clustering of Unseen Datasets with Self-Supervised Encoders</t>
  </si>
  <si>
    <t>Meta-Learners for Partially-Identified Treatment Effects Across Multiple Environments</t>
  </si>
  <si>
    <t>Offline Bayesian Aleatoric and Epistemic Uncertainty Quantification and Posterior Value Optimisation in Finite-State MDPs</t>
  </si>
  <si>
    <t>Harnessing Neural Unit Dynamics for Effective and Scalable Class-Incremental Learning</t>
  </si>
  <si>
    <t>Reducing Bias in Federated Class-Incremental Learning with Hierarchical Generative Prototypes</t>
  </si>
  <si>
    <t>A Generalized Apprenticeship Learning Framework for Modeling Heterogeneous Student Pedagogical Strategies</t>
  </si>
  <si>
    <t>Contextual Dynamic Pricing: Algorithms, Optimality, and Local Differential Privacy Constraints</t>
  </si>
  <si>
    <t>Improved Modelling of Federated Datasets using Mixtures-of-Dirichlet-Multinomials</t>
  </si>
  <si>
    <t>GrootVL: Tree Topology is All You Need in State Space Model</t>
  </si>
  <si>
    <t>Finding NeMo: Localizing Neurons Responsible For Memorization in Diffusion Models</t>
  </si>
  <si>
    <t>Temporal Graph Rewiring with Expander Graphs</t>
  </si>
  <si>
    <t>Using Self-supervised Learning Can Improve Model Fairness</t>
  </si>
  <si>
    <t>Language Models Do Hard Arithmetic Tasks Easily and Hardly Do Easy Arithmetic Tasks</t>
  </si>
  <si>
    <t>Label-wise Aleatoric and Epistemic Uncertainty Quantification</t>
  </si>
  <si>
    <t>System-Aware Neural ODE Processes for Few-Shot Bayesian Optimization</t>
  </si>
  <si>
    <t>AMOSL: Adaptive Modality-wise Structure Learning in Multi-view Graph Neural Networks For Enhanced Unified Representation</t>
  </si>
  <si>
    <t>Incorporating Navigation Context into Inland Vessel Trajectory Prediction: A Gaussian Mixture Model and Transformer Approach</t>
  </si>
  <si>
    <t>Cluster-Aware Similarity Diffusion for Instance Retrieval</t>
  </si>
  <si>
    <t>Polynomial-Augmented Neural Networks (PANNs) with Weak Orthogonality Constraints for Enhanced Function and PDE Approximation</t>
  </si>
  <si>
    <t>Extended Mind Transformers</t>
  </si>
  <si>
    <t>A Survey of Transformer Enabled Time Series Synthesis</t>
  </si>
  <si>
    <t>PeFAD: A Parameter-Efficient Federated Framework for Time Series Anomaly Detection</t>
  </si>
  <si>
    <t>Generative Conditional Distributions by Neural (Entropic) Optimal Transport</t>
  </si>
  <si>
    <t>Disentangled Representation via Variational AutoEncoder for Continuous Treatment Effect Estimation</t>
  </si>
  <si>
    <t>Effects of Exponential Gaussian Distribution on (Double Sampling) Randomized Smoothing</t>
  </si>
  <si>
    <t>Learning-Rate-Free Stochastic Optimization over Riemannian Manifolds</t>
  </si>
  <si>
    <t>How to Explore with Belief: State Entropy Maximization in POMDPs</t>
  </si>
  <si>
    <t>Smaller Batches, Bigger Gains? Investigating the Impact of Batch Sizes on Reinforcement Learning Based Real-World Production Scheduling</t>
  </si>
  <si>
    <t>An Axiomatic Approach to Loss Aggregation and an Adapted Aggregating Algorithm</t>
  </si>
  <si>
    <t>A Study of Optimizations for Fine-tuning Large Language Models</t>
  </si>
  <si>
    <t>Test-Time Regret Minimization in Meta Reinforcement Learning</t>
  </si>
  <si>
    <t>Analyzing the Benefits of Prototypes for Semi-Supervised Category Learning</t>
  </si>
  <si>
    <t>Reinforcement Learning with Lookahead Information</t>
  </si>
  <si>
    <t>SLTrain: a sparse plus low-rank approach for parameter and memory efficient pretraining</t>
  </si>
  <si>
    <t>On the Limitations of Fractal Dimension as a Measure of Generalization</t>
  </si>
  <si>
    <t>DNCs Require More Planning Steps</t>
  </si>
  <si>
    <t>Fast and Scalable Multi-Kernel Encoder Classifier</t>
  </si>
  <si>
    <t>Rectifying Reinforcement Learning for Reward Matching</t>
  </si>
  <si>
    <t>On The Statistical Representation Properties Of The Perturb-Softmax And The Perturb-Argmax Probability Distributions</t>
  </si>
  <si>
    <t>One-Shot Federated Learning with Bayesian Pseudocoresets</t>
  </si>
  <si>
    <t>AROMA: Preserving Spatial Structure for Latent PDE Modeling with Local Neural Fields</t>
  </si>
  <si>
    <t>Branches: A Fast Dynamic Programming and Branch &amp; Bound Algorithm for Optimal Decision Trees</t>
  </si>
  <si>
    <t>SaVeR: Optimal Data Collection Strategy for Safe Policy Evaluation in Tabular MDP</t>
  </si>
  <si>
    <t>Activation Bottleneck: Sigmoidal Neural Networks Cannot Forecast a Straight Line</t>
  </si>
  <si>
    <t>CondTSF: One-line Plugin of Dataset Condensation for Time Series Forecasting</t>
  </si>
  <si>
    <t>Iteration Head: A Mechanistic Study of Chain-of-Thought</t>
  </si>
  <si>
    <t>Kernel vs. Kernel: Exploring How the Data Structure Affects Neural Collapse</t>
  </si>
  <si>
    <t>ReLU-KAN: New Kolmogorov-Arnold Networks that Only Need Matrix Addition, Dot Multiplication, and ReLU</t>
  </si>
  <si>
    <t>Preference Optimization for Molecule Synthesis with Conditional Residual Energy-based Models</t>
  </si>
  <si>
    <t>Advancing Generalized Transfer Attack with Initialization Derived Bilevel Optimization and Dynamic Sequence Truncation</t>
  </si>
  <si>
    <t>Alice in Wonderland: Simple Tasks Showing Complete Reasoning Breakdown in State-Of-the-Art Large Language Models</t>
  </si>
  <si>
    <t>Graph Adversarial Diffusion Convolution</t>
  </si>
  <si>
    <t>CAP: A Context-Aware Neural Predictor for NAS</t>
  </si>
  <si>
    <t>PETRA: Parallel End-to-end Training with Reversible Architectures</t>
  </si>
  <si>
    <t>DFA-GNN: Forward Learning of Graph Neural Networks by Direct Feedback Alignment</t>
  </si>
  <si>
    <t>A Unifying Framework for Action-Conditional Self-Predictive Reinforcement Learning</t>
  </si>
  <si>
    <t>Inference Attacks in Machine Learning as a Service: A Taxonomy, Review, and Promising Directions</t>
  </si>
  <si>
    <t>On the Mode-Seeking Properties of Langevin Dynamics</t>
  </si>
  <si>
    <t>Verifying the Generalization of Deep Learning to Out-of-Distribution Domains</t>
  </si>
  <si>
    <t>Bayesian Mesh Optimization for Graph Neural Networks to Enhance Engineering Performance Prediction</t>
  </si>
  <si>
    <t>Mamba as Decision Maker: Exploring Multi-scale Sequence Modeling in Offline Reinforcement Learning</t>
  </si>
  <si>
    <t>Parameterizing Federated Continual Learning for Reproducible Research</t>
  </si>
  <si>
    <t>What Improves the Generalization of Graph Transformers? A Theoretical Dive into the Self-attention and Positional Encoding</t>
  </si>
  <si>
    <t>Can Dense Connectivity Benefit Outlier Detection? An Odyssey with NAS</t>
  </si>
  <si>
    <t>Multiway Multislice PHATE: Visualizing Hidden Dynamics of RNNs through Training</t>
  </si>
  <si>
    <t>Certifiably Byzantine-Robust Federated Conformal Prediction</t>
  </si>
  <si>
    <t>A Comparative Study of Sampling Methods with Cross-Validation in the FedHome Framework</t>
  </si>
  <si>
    <t>Generating Synthetic Net Load Data with Physics-informed Diffusion Model</t>
  </si>
  <si>
    <t>A Global Geometric Analysis of Maximal Coding Rate Reduction</t>
  </si>
  <si>
    <t>PDHG-Unrolled Learning-to-Optimize Method for Large-Scale Linear Programming</t>
  </si>
  <si>
    <t>Bifurcated Generative Flow Networks</t>
  </si>
  <si>
    <t>Cross-Domain Graph Data Scaling: A Showcase with Diffusion Models</t>
  </si>
  <si>
    <t>Explicitly Encoding Structural Symmetry is Key to Length Generalization in Arithmetic Tasks</t>
  </si>
  <si>
    <t>Understanding Stochastic Natural Gradient Variational Inference</t>
  </si>
  <si>
    <t>Neural Green's Operators for Parametric Partial Differential Equations</t>
  </si>
  <si>
    <t>Multi-Agent Reinforcement Learning Meets Leaf Sequencing in Radiotherapy</t>
  </si>
  <si>
    <t>Learning the Target Network in Function Space</t>
  </si>
  <si>
    <t>CAFO: Feature-Centric Explanation on Time Series Classification</t>
  </si>
  <si>
    <t>EMOE: Expansive Matching of Experts for Robust Uncertainty Based Rejection</t>
  </si>
  <si>
    <t>Causal Discovery with Fewer Conditional Independence Tests</t>
  </si>
  <si>
    <t>In-Context Learning of Physical Properties: Few-Shot Adaptation to Out-of-Distribution Molecular Graphs</t>
  </si>
  <si>
    <t>TabMDA: Tabular Manifold Data Augmentation for Any Classifier using Transformers with In-context Subsetting</t>
  </si>
  <si>
    <t>Online Control in Population Dynamics</t>
  </si>
  <si>
    <t>Towards the Transferability of Rewards Recovered via Regularized Inverse Reinforcement Learning</t>
  </si>
  <si>
    <t>AI-based Classification of Customer Support Tickets: State of the Art and Implementation with AutoML</t>
  </si>
  <si>
    <t>DEFT: Efficient Finetuning of Conditional Diffusion Models by Learning the Generalised h-transform</t>
  </si>
  <si>
    <t>How Does Gradient Descent Learn Features -- A Local Analysis for Regularized Two-Layer Neural Networks</t>
  </si>
  <si>
    <t>Non-Asymptotic Analysis for Single-Loop (Natural) Actor-Critic with Compatible Function Approximation</t>
  </si>
  <si>
    <t>Position: Cracking the Code of Cascading Disparity Towards Marginalized Communities</t>
  </si>
  <si>
    <t>Sparser, Better, Deeper, Stronger: Improving Sparse Training with Exact Orthogonal Initialization</t>
  </si>
  <si>
    <t>Optimizing the Optimal Weighted Average: Efficient Distributed Sparse Classification</t>
  </si>
  <si>
    <t>Learning-to-Cache: Accelerating Diffusion Transformer via Layer Caching</t>
  </si>
  <si>
    <t>Federated Learning-based Collaborative Wideband Spectrum Sensing and Scheduling for UAVs in UTM Systems</t>
  </si>
  <si>
    <t>A Diffusion Model Framework for Unsupervised Neural Combinatorial Optimization</t>
  </si>
  <si>
    <t>Self-Improving Robust Preference Optimization</t>
  </si>
  <si>
    <t>CoLa-DCE -- Concept-guided Latent Diffusion Counterfactual Explanations</t>
  </si>
  <si>
    <t>An Analysis under a Unified Fomulation of Learning Algorithms with Output Constraints</t>
  </si>
  <si>
    <t>iKAN: Global Incremental Learning with KAN for Human Activity Recognition Across Heterogeneous Datasets</t>
  </si>
  <si>
    <t>FNP: Fourier Neural Processes for Arbitrary-Resolution Data Assimilation</t>
  </si>
  <si>
    <t>TimeCMA: Towards LLM-Empowered Time Series Forecasting via Cross-Modality Alignment</t>
  </si>
  <si>
    <t>Parrot: Multilingual Visual Instruction Tuning</t>
  </si>
  <si>
    <t>TopViewRS: Vision-Language Models as Top-View Spatial Reasoners</t>
  </si>
  <si>
    <t>Mitigate Position Bias in Large Language Models via Scaling a Single Dimension</t>
  </si>
  <si>
    <t>Enhancing predictive imaging biomarker discovery through treatment effect analysis</t>
  </si>
  <si>
    <t>ReLUs Are Sufficient for Learning Implicit Neural Representations</t>
  </si>
  <si>
    <t>RoboCasa: Large-Scale Simulation of Everyday Tasks for Generalist Robots</t>
  </si>
  <si>
    <t>Guiding a Diffusion Model with a Bad Version of Itself</t>
  </si>
  <si>
    <t>Dropout MPC: An Ensemble Neural MPC Approach for Systems with Learned Dynamics</t>
  </si>
  <si>
    <t>Inpainting Pathology in Lumbar Spine MRI with Latent Diffusion</t>
  </si>
  <si>
    <t>Meta-Designing Quantum Experiments with Language Models</t>
  </si>
  <si>
    <t>Machine learning Hubbard parameters with equivariant neural networks</t>
  </si>
  <si>
    <t>Coresets for Multiple ℓp Regression</t>
  </si>
  <si>
    <t>Reweighted Solutions for Weighted Low Rank Approximation</t>
  </si>
  <si>
    <t>Contextual Optimization under Covariate Shift: A Robust Approach by Intersecting Wasserstein Balls</t>
  </si>
  <si>
    <t>IterMask2: Iterative Unsupervised Anomaly Segmentation via Spatial and Frequency Masking for Brain Lesions in MRI</t>
  </si>
  <si>
    <t>Representing Piecewise-Linear Functions by Functions with Minimal Arity</t>
  </si>
  <si>
    <t>Multiple Choice Questions and Large Languages Models: A Case Study with Fictional Medical Data</t>
  </si>
  <si>
    <t>Learning to Edit Visual Programs with Self-Supervision</t>
  </si>
  <si>
    <t>The complexity of approximate (coarse) correlated equilibrium for incomplete information games</t>
  </si>
  <si>
    <t>FedDr+: Stabilizing Dot-regression with Global Feature Distillation for Federated Learning</t>
  </si>
  <si>
    <t>Flash Diffusion: Accelerating Any Conditional Diffusion Model for Few Steps Image Generation</t>
  </si>
  <si>
    <t>Progressive Confident Masking Attention Network for Audio-Visual Segmentation</t>
  </si>
  <si>
    <t>Towards Neural Architecture Search for Transfer Learning in 6G Networks</t>
  </si>
  <si>
    <t>On Affine Homotopy between Language Encoders</t>
  </si>
  <si>
    <t>Continual Unsupervised Out-of-Distribution Detection</t>
  </si>
  <si>
    <t>An Independence-promoting Loss for Music Generation with Language Models</t>
  </si>
  <si>
    <t>Neural Thermodynamic Integration: Free Energies from Energy-based Diffusion Models</t>
  </si>
  <si>
    <t>Node-Level Topological Representation Learning on Point Clouds</t>
  </si>
  <si>
    <t>Solving Partial Differential Equations in Different Domains by Operator Learning method Based on Boundary Integral Equations</t>
  </si>
  <si>
    <t>Composite Quantile Regression With XGBoost Using the Novel Arctan Pinball Loss</t>
  </si>
  <si>
    <t>Towards Supervised Performance on Speaker Verification with Self-Supervised Learning by Leveraging Large-Scale ASR Models</t>
  </si>
  <si>
    <t>A KL-based Analysis Framework with Applications to Non-Descent Optimization Methods</t>
  </si>
  <si>
    <t>Graph Neural Networks Do Not Always Oversmooth</t>
  </si>
  <si>
    <t>MidiCaps -- A large-scale MIDI dataset with text captions</t>
  </si>
  <si>
    <t>Description Boosting for Zero-Shot Entity and Relation Classification</t>
  </si>
  <si>
    <t>Riemannian coordinate descent algorithms on matrix manifolds</t>
  </si>
  <si>
    <t>SMCL: Saliency Masked Contrastive Learning for Long-tailed Recognition</t>
  </si>
  <si>
    <t>The Deep Latent Space Particle Filter for Real-Time Data Assimilation with Uncertainty Quantification</t>
  </si>
  <si>
    <t>On the Recoverability of Causal Relations from Temporally Aggregated I.I.D. Data</t>
  </si>
  <si>
    <t>Learning the Hodgkin-Huxley Model with Operator Learning Techniques</t>
  </si>
  <si>
    <t>Radar Spectra-Language Model for Automotive Scene Parsing</t>
  </si>
  <si>
    <t>Online Learning and Information Exponents: On The Importance of Batch size, and Time/Complexity Tradeoffs</t>
  </si>
  <si>
    <t>Almost linear time differentially private release of synthetic graphs</t>
  </si>
  <si>
    <t>Learning Hamiltonian neural Koopman operator and simultaneously sustaining and discovering conservation law</t>
  </si>
  <si>
    <t>Optimality of Matrix Mechanism on ℓpp-metric</t>
  </si>
  <si>
    <t>SimulTron: On-Device Simultaneous Speech to Speech Translation</t>
  </si>
  <si>
    <t>CityLight: A Universal Model Towards Real-world City-scale Traffic Signal Control Coordination</t>
  </si>
  <si>
    <t>MaskSR: Masked Language Model for Full-band Speech Restoration</t>
  </si>
  <si>
    <t>FightLadder: A Benchmark for Competitive Multi-Agent Reinforcement Learning</t>
  </si>
  <si>
    <t>LongSSM: On the Length Extension of State-space Models in Language Modelling</t>
  </si>
  <si>
    <t>Tabular and Deep Learning for the Whittle Index</t>
  </si>
  <si>
    <t>Causal Effect Identification in LiNGAM Models with Latent Confounders</t>
  </si>
  <si>
    <t>QROA: A Black-Box Query-Response Optimization Attack on LLMs</t>
  </si>
  <si>
    <t>MetaMixer Is All You Need</t>
  </si>
  <si>
    <t>Adaptive and Optimal Second-order Optimistic Methods for Minimax Optimization</t>
  </si>
  <si>
    <t>Understanding Auditory Evoked Brain Signal via Physics-informed Embedding Network with Multi-Task Transformer</t>
  </si>
  <si>
    <t>DrEureka: Language Model Guided Sim-To-Real Transfer</t>
  </si>
  <si>
    <t>Adaptive Variance Reduction for Stochastic Optimization under Weaker Assumptions</t>
  </si>
  <si>
    <t>Data-Driven Approaches for Thrust Prediction in Underwater Flapping Fin Propulsion Systems</t>
  </si>
  <si>
    <t>Process-Driven Autoformalization in Lean 4</t>
  </si>
  <si>
    <t>Speeding up Policy Simulation in Supply Chain RL</t>
  </si>
  <si>
    <t>Orthogonal Causal Calibration</t>
  </si>
  <si>
    <t>GRAM: Generative Retrieval Augmented Matching of Data Schemas in the Context of Data Security</t>
  </si>
  <si>
    <t>CR-UTP: Certified Robustness against Universal Text Perturbations</t>
  </si>
  <si>
    <t>Non-uniformity is All You Need: Efficient and Timely Encrypted Traffic Classification With ECHO</t>
  </si>
  <si>
    <t>FacAID: A Transformer Model for Neuro-Symbolic Facade Reconstruction</t>
  </si>
  <si>
    <t>Diffusion Boosted Trees</t>
  </si>
  <si>
    <t>Fearless Stochasticity in Expectation Propagation</t>
  </si>
  <si>
    <t>Multi-agent assignment via state augmented reinforcement learning</t>
  </si>
  <si>
    <t>Efficient Data Distribution Estimation for Accelerated Federated Learning</t>
  </si>
  <si>
    <t>Model for Peanuts: Hijacking ML Models without Training Access is Possible</t>
  </si>
  <si>
    <t>Demystifying Platform Requirements for Diverse LLM Inference Use Cases</t>
  </si>
  <si>
    <t>An efficient solution to Hidden Markov Models on trees with coupled branches</t>
  </si>
  <si>
    <t>TinySV: Speaker Verification in TinyML with On-device Learning</t>
  </si>
  <si>
    <t>An efficient Wasserstein-distance approach for reconstructing jump-diffusion processes using parameterized neural networks</t>
  </si>
  <si>
    <t>Distributional bias compromises leave-one-out cross-validation</t>
  </si>
  <si>
    <t>FusionDTI: Fine-grained Binding Discovery with Token-level Fusion for Drug-Target Interaction</t>
  </si>
  <si>
    <t>TAGMol: Target-Aware Gradient-guided Molecule Generation</t>
  </si>
  <si>
    <t>On Overcoming Miscalibrated Conversational Priors in LLM-based Chatbots</t>
  </si>
  <si>
    <t>An LLM-based Recommender System Environment</t>
  </si>
  <si>
    <t>Equivariant amortized inference of poses for cryo-EM</t>
  </si>
  <si>
    <t>GenBench: A Benchmarking Suite for Systematic Evaluation of Genomic Foundation Models</t>
  </si>
  <si>
    <t>Unveiling Hidden Factors: Explainable AI for Feature Boosting in Speech Emotion Recognition</t>
  </si>
  <si>
    <t>Sifting through the Noise: A Survey of Diffusion Probabilistic Models and Their Applications to Biomolecules</t>
  </si>
  <si>
    <t>LightCPPgen: An Explainable Machine Learning Pipeline for Rational Design of Cell Penetrating Peptides</t>
  </si>
  <si>
    <t>System-2 Recommenders: Disentangling Utility and Engagement in Recommendation Systems via Temporal Point-Processes</t>
  </si>
  <si>
    <t>Judgement Citation Retrieval using Contextual Similarity</t>
  </si>
  <si>
    <t>Privacy-preserving recommender system using the data collaboration analysis for distributed datasets</t>
  </si>
  <si>
    <t>Backpropogation-Free Multi-modal On-Device Model Adaptation via Cloud-Device Collaboration</t>
  </si>
  <si>
    <t>Markov Chain Monte Carlo with Gaussian Process Emulation for a 1D Hemodynamics Model of CTEPH</t>
  </si>
  <si>
    <t>Quantum consistent neural/tensor networks for photonic circuits with strongly/weakly entangled states</t>
  </si>
  <si>
    <t>Schr\"{o}dinger Bridge with Quadratic State Cost is Exactly Solvable</t>
  </si>
  <si>
    <t>EditWorld: Simulating World Dynamics for Instruction-Following Image Editing</t>
  </si>
  <si>
    <t>RealCompo: Balancing Realism and Compositionality Improves Text-to-Image Diffusion Models</t>
  </si>
  <si>
    <t>Mastering Text-to-Image Diffusion: Recaptioning, Planning, and Generating with Multimodal LLMs</t>
  </si>
  <si>
    <t>Differentially Private Densest Subgraph Detection</t>
  </si>
  <si>
    <t>nn2poly: An R Package for Converting Neural Networks into Interpretable Polynomials</t>
  </si>
  <si>
    <t>Neural network learns low-dimensional polynomials with SGD near the information-theoretic limit</t>
  </si>
  <si>
    <t>An Equivalence Between Static and Dynamic Regret Minimization</t>
  </si>
  <si>
    <t>Unlocking Guidance for Discrete State-Space Diffusion and Flow Models</t>
  </si>
  <si>
    <t>Single Trajectory Conformal Prediction</t>
  </si>
  <si>
    <t>A New View on Planning in Online Reinforcement Learning</t>
  </si>
  <si>
    <t>Physics-informed deep learning and compressive collocation for high-dimensional diffusion-reaction equations: practical existence theory and numerics</t>
  </si>
  <si>
    <t>How to Count Coughs: An Event-Based Framework for Evaluating Automatic Cough Detection Algorithm Performance</t>
  </si>
  <si>
    <t>Physics-Informed Neural Networks for Dynamic Process Operations with Limited Physical Knowledge and Data</t>
  </si>
  <si>
    <t>MOSEAC: Streamlined Variable Time Step Reinforcement Learning</t>
  </si>
  <si>
    <t>Learning from Streaming Data when Users Choose</t>
  </si>
  <si>
    <t>Finding Optimally Robust Data Mixtures via Concave Maximization</t>
  </si>
  <si>
    <t>Inverse design of photonic surfaces on Inconel via multi-fidelity machine learning ensemble framework and high throughput femtosecond laser processing</t>
  </si>
  <si>
    <t>Understanding Preference Fine-Tuning Through the Lens of Coverage</t>
  </si>
  <si>
    <t>1461</t>
  </si>
  <si>
    <t>Hardness of Learning Neural Networks under the Manifold Hypothesis</t>
  </si>
  <si>
    <t>Differentially Private Tabular Data Synthesis using Large Language Models</t>
  </si>
  <si>
    <t>Asynchronous Multi-Server Federated Learning for Geo-Distributed Clients</t>
  </si>
  <si>
    <t>Grokking Modular Polynomials</t>
  </si>
  <si>
    <t>Solving Poisson Equations using Neural Walk-on-Spheres</t>
  </si>
  <si>
    <t>Highway Value Iteration Networks</t>
  </si>
  <si>
    <t>QJL: 1-Bit Quantized JL Transform for KV Cache Quantization with Zero Overhead</t>
  </si>
  <si>
    <t>Does your data spark joy? Performance gains from domain upsampling at the end of training</t>
  </si>
  <si>
    <t>Solving Differential Equations using Physics-Informed Deep Equilibrium Models</t>
  </si>
  <si>
    <t>Node-wise Filtering in Graph Neural Networks: A Mixture of Experts Approach</t>
  </si>
  <si>
    <t>3458</t>
  </si>
  <si>
    <t>Distributional Adversarial Loss</t>
  </si>
  <si>
    <t>Pre-trained Large Language Models Use Fourier Features to Compute Addition</t>
  </si>
  <si>
    <t>3437</t>
  </si>
  <si>
    <t>Transfer Learning for Latent Variable Network Models</t>
  </si>
  <si>
    <t>3434</t>
  </si>
  <si>
    <t>Unified PAC-Bayesian Study of Pessimism for Offline Policy Learning with Regularized Importance Sampling</t>
  </si>
  <si>
    <t>HelloFresh: LLM Evaluations on Streams of Real-World Human Editorial Actions across X Community Notes and Wikipedia edits</t>
  </si>
  <si>
    <t>Robust Knowledge Distillation Based on Feature Variance Against Backdoored Teacher Model</t>
  </si>
  <si>
    <t>Physics and geometry informed neural operator network with application to acoustic scattering</t>
  </si>
  <si>
    <t>LncRNA-disease association prediction method based on heterogeneous information completion and convolutional neural network</t>
  </si>
  <si>
    <t>Amalgam: A Framework for Obfuscated Neural Network Training on the Cloud</t>
  </si>
  <si>
    <t>ST-DPGAN: A Privacy-preserving Framework for Spatiotemporal Data Generation</t>
  </si>
  <si>
    <t>Structure-based Drug Design Benchmark: Do 3D Methods Really Dominate?</t>
  </si>
  <si>
    <t>Mixed-Precision Over-The-Air Federated Learning via Approximated Computing</t>
  </si>
  <si>
    <t>Methods for Class-Imbalanced Learning with Support Vector Machines: A Review and an Empirical Evaluation</t>
  </si>
  <si>
    <t>Noisy Data Visualization using Functional Data Analysis</t>
  </si>
  <si>
    <t>Author, Content or Sharers? Estimating Spread Dynamics with Bayesian Mixture Hawkes</t>
  </si>
  <si>
    <t>Learning Long Range Dependencies on Graphs via Random Walks</t>
  </si>
  <si>
    <t>What Matters in Hierarchical Search for Combinatorial Reasoning Problems?</t>
  </si>
  <si>
    <t>Cooperative learning of Pl@ntNet's Artificial Intelligence algorithm: how does it work and how can we improve it?</t>
  </si>
  <si>
    <t>Cartesia</t>
  </si>
  <si>
    <t>Verbalized Machine Learning: Revisiting Machine Learning with Language Models</t>
  </si>
  <si>
    <t>On the Expressive Power of Spectral Invariant Graph Neural Networks</t>
  </si>
  <si>
    <t>Simplified and Generalized Masked Diffusion for Discrete Data</t>
  </si>
  <si>
    <t>The Brain's Bitter Lesson: Scaling Speech Decoding With Self-Supervised Learning</t>
  </si>
  <si>
    <t>Causal Estimation of Memorisation Profiles</t>
  </si>
  <si>
    <t>ATraDiff: Accelerating Online Reinforcement Learning with Imaginary Trajectories</t>
  </si>
  <si>
    <t>Chimera: Effectively Modeling Multivariate Time Series with 2-Dimensional State Space Models</t>
  </si>
  <si>
    <t>Adaptive Sampling of k-Space in Magnetic Resonance for Rapid Pathology Prediction</t>
  </si>
  <si>
    <t>Regularized KL-Divergence for Well-Defined Function-Space Variational Inference in Bayesian neural networks</t>
  </si>
  <si>
    <t>Improving Alignment and Robustness with Short Circuiting</t>
  </si>
  <si>
    <t>Approximation-Aware Bayesian Optimization</t>
  </si>
  <si>
    <t>Semantically Diverse Language Generation for Uncertainty Estimation in Language Models</t>
  </si>
  <si>
    <t>Representational Alignment Supports Effective Machine Teaching</t>
  </si>
  <si>
    <t>NoisyGL: A Comprehensive Benchmark for Graph Neural Networks under Label Noise</t>
  </si>
  <si>
    <t>Stratified Prediction-Powered Inference for Hybrid Language Model Evaluation</t>
  </si>
  <si>
    <t>What is Dataset Distillation Learning?</t>
  </si>
  <si>
    <t>xMIL: Insightful Explanations for Multiple Instance Learning in Histopathology</t>
  </si>
  <si>
    <t>Generative AI-in-the-loop: Integrating LLMs and GPTs into the Next Generation Networks</t>
  </si>
  <si>
    <t>Self-Play with Adversarial Critic: Provable and Scalable Offline Alignment for Language Models</t>
  </si>
  <si>
    <t>Open-Endedness is Essential for Artificial Superhuman Intelligence</t>
  </si>
  <si>
    <t>Simulating, Fast and Slow: Learning Policies for Black-Box Optimization</t>
  </si>
  <si>
    <t>Data Measurements for Decentralized Data Markets</t>
  </si>
  <si>
    <t>Hypernetworks for Personalizing ASR to Atypical Speech</t>
  </si>
  <si>
    <t>Solving Inverse Problems in Protein Space Using Diffusion-Based Priors</t>
  </si>
  <si>
    <t>The CLRS-Text Algorithmic Reasoning Language Benchmark</t>
  </si>
  <si>
    <t>R-CONV: An Analytical Approach for Efficient Data Reconstruction via Convolutional Gradients</t>
  </si>
  <si>
    <t>Multi-Agent Imitation Learning: Value is Easy, Regret is Hard</t>
  </si>
  <si>
    <t>Aligning Agents like Large Language Models</t>
  </si>
  <si>
    <t>Towards Principled Superhuman AI for Multiplayer Symmetric Games</t>
  </si>
  <si>
    <t>Element-wise Multiplication Based Physics-informed Neural Networks</t>
  </si>
  <si>
    <t>Repurposing Language Models into Embedding Models: Finding the Compute-Optimal Recipe</t>
  </si>
  <si>
    <t>Learned Feature Importance Scores for Automated Feature Engineering</t>
  </si>
  <si>
    <t>Fast Redescription Mining Using Locality-Sensitive Hashing</t>
  </si>
  <si>
    <t>Optimal Batched Linear Bandits</t>
  </si>
  <si>
    <t>Compressible Dynamics in Deep Overparameterized Low-Rank Learning &amp; Adaptation</t>
  </si>
  <si>
    <t>From Tissue Plane to Organ World: A Benchmark Dataset for Multimodal Biomedical Image Registration using Deep Co-Attention Networks</t>
  </si>
  <si>
    <t>Multistep Distillation of Diffusion Models via Moment Matching</t>
  </si>
  <si>
    <t>Enhancing Weather Predictions: Super-Resolution via Deep Diffusion Models</t>
  </si>
  <si>
    <t>Scaling and evaluating sparse autoencoders</t>
  </si>
  <si>
    <t>Interpretable Lightweight Transformer via Unrolling of Learned Graph Smoothness Priors</t>
  </si>
  <si>
    <t>On Limitation of Transformer for Learning HMMs</t>
  </si>
  <si>
    <t>Deterministic Uncertainty Propagation for Improved Model-Based Offline Reinforcement Learning</t>
  </si>
  <si>
    <t>Bootstrapping Expectiles in Reinforcement Learning</t>
  </si>
  <si>
    <t>Batch-in-Batch: a new adversarial training framework for initial perturbation and sample selection</t>
  </si>
  <si>
    <t>Reassessing How to Compare and Improve the Calibration of Machine Learning Models</t>
  </si>
  <si>
    <t>Bisimulation Metrics are Optimal Transport Distances, and Can be Computed Efficiently</t>
  </si>
  <si>
    <t>Leveraging SPD Matrices on Riemannian Manifolds in Quantum Classical Hybrid Models for Structural Health Monitoring</t>
  </si>
  <si>
    <t>Multivector Neurons: Better and Faster O(n)-Equivariant Clifford Graph Neural Networks</t>
  </si>
  <si>
    <t>Energy-based Epistemic Uncertainty for Graph Neural Networks</t>
  </si>
  <si>
    <t>Linear Opinion Pooling for Uncertainty Quantification on Graphs</t>
  </si>
  <si>
    <t>Road Network Representation Learning with the Third Law of Geography</t>
  </si>
  <si>
    <t>Spatio-temporal Early Prediction based on Multi-objective Reinforcement Learning</t>
  </si>
  <si>
    <t>Unveiling the Dynamics of Information Interplay in Supervised Learning</t>
  </si>
  <si>
    <t>Position: Embracing Negative Results in Machine Learning</t>
  </si>
  <si>
    <t>Weight-based Decomposition: A Case for Bilinear MLPs</t>
  </si>
  <si>
    <t>Breeding Programs Optimization with Reinforcement Learning</t>
  </si>
  <si>
    <t>Provably Neural Active Learning Succeeds via Prioritizing Perplexing Samples</t>
  </si>
  <si>
    <t>A Probabilistic Approach to Learning the Degree of Equivariance in Steerable CNNs</t>
  </si>
  <si>
    <t>Latent Neural Operator for Solving Forward and Inverse PDE Problems</t>
  </si>
  <si>
    <t>Towards Physically Consistent Deep Learning For Climate Model Parameterizations</t>
  </si>
  <si>
    <t>Vectorized Conditional Neural Fields: A Framework for Solving Time-dependent Parametric Partial Differential Equations</t>
  </si>
  <si>
    <t>Neuro-Symbolic Temporal Point Processes</t>
  </si>
  <si>
    <t>Transductive Off-policy Proximal Policy Optimization</t>
  </si>
  <si>
    <t>Exploring Pessimism and Optimism Dynamics in Deep Reinforcement Learning</t>
  </si>
  <si>
    <t>BiomedBench: A benchmark suite of TinyML biomedical applications for low-power wearables</t>
  </si>
  <si>
    <t>Memorization in deep learning: A survey</t>
  </si>
  <si>
    <t>Decay Pruning Method: Smooth Pruning With a Self-Rectifying Procedure</t>
  </si>
  <si>
    <t>Quantum Implicit Neural Representations</t>
  </si>
  <si>
    <t>PairNet: Training with Observed Pairs to Estimate Individual Treatment Effect</t>
  </si>
  <si>
    <t>Behavior-Targeted Attack on Reinforcement Learning with Limited Access to Victim's Policy</t>
  </si>
  <si>
    <t>MuJo: Multimodal Joint Feature Space Learning for Human Activity Recognition</t>
  </si>
  <si>
    <t>A Noise-robust Multi-head Attention Mechanism for Formation Resistivity Prediction: Frequency Aware LSTM</t>
  </si>
  <si>
    <t>Open Problem: Active Representation Learning</t>
  </si>
  <si>
    <t>Exploiting Global Graph Homophily for Generalized Defense in Graph Neural Networks</t>
  </si>
  <si>
    <t>Predictability Analysis of Regression Problems via Conditional Entropy Estimations</t>
  </si>
  <si>
    <t>Subspace Clustering in Wavelet Packets Domain</t>
  </si>
  <si>
    <t>How to Scale Inverse RL to Large State Spaces? A Provably Efficient Approach</t>
  </si>
  <si>
    <t>Cross-variable Linear Integrated ENhanced Transformer for Photovoltaic power forecasting</t>
  </si>
  <si>
    <t>3794</t>
  </si>
  <si>
    <t>Infusing Self-Consistency into Density Functional Theory Hamiltonian Prediction via Deep Equilibrium Models</t>
  </si>
  <si>
    <t>Low-Rank Similarity Mining for Multimodal Dataset Distillation</t>
  </si>
  <si>
    <t>Speed of Light Exact Greedy Decoding for RNN-T Speech Recognition Models on GPU</t>
  </si>
  <si>
    <t>Enhancing Graph U-Nets for Mesh-Agnostic Spatio-Temporal Flow Prediction</t>
  </si>
  <si>
    <t>Empirical Guidelines for Deploying LLMs onto Resource-constrained Edge Devices</t>
  </si>
  <si>
    <t>DeepRacer on Physical Track: Parameters Exploration and Performance Evaluation</t>
  </si>
  <si>
    <t>Enhancing In-Context Learning Performance with just SVD-Based Weight Pruning: A Theoretical Perspective</t>
  </si>
  <si>
    <t>Adaptive Multi-Scale Decomposition Framework for Time Series Forecasting</t>
  </si>
  <si>
    <t>Your Absorbing Discrete Diffusion Secretly Models the Conditional Distributions of Clean Data</t>
  </si>
  <si>
    <t>Credit Card Fraud Detection Using Advanced Transformer Model</t>
  </si>
  <si>
    <t>Quality-Diversity with Limited Resources</t>
  </si>
  <si>
    <t>FastGAS: Fast Graph-based Annotation Selection for In-Context Learning</t>
  </si>
  <si>
    <t>Enhancing Sign Language Detection through Mediapipe and Convolutional Neural Networks (CNN)</t>
  </si>
  <si>
    <t>Efficient Graph Encoder Embedding for Large Sparse Graphs in Python</t>
  </si>
  <si>
    <t>Offline Multi-Objective Optimization</t>
  </si>
  <si>
    <t>TwinS: Revisiting Non-Stationarity in Multivariate Time Series Forecasting</t>
  </si>
  <si>
    <t>What Should Embeddings Embed? Autoregressive Models Represent Latent Generating Distributions</t>
  </si>
  <si>
    <t>Excluding the Irrelevant: Focusing Reinforcement Learning through Continuous Action Masking</t>
  </si>
  <si>
    <t>BindGPT: A Scalable Framework for 3D Molecular Design via Language Modeling and Reinforcement Learning</t>
  </si>
  <si>
    <t>Bayesian Power Steering: An Effective Approach for Domain Adaptation of Diffusion Models</t>
  </si>
  <si>
    <t>A Universal Class of Sharpness-Aware Minimization Algorithms</t>
  </si>
  <si>
    <t>Meta-learning for Positive-unlabeled Classification</t>
  </si>
  <si>
    <t>Reflective Policy Optimization</t>
  </si>
  <si>
    <t>PANDA: Expanded Width-Aware Message Passing Beyond Rewiring</t>
  </si>
  <si>
    <t>Towards Dynamic Trend Filtering through Trend Point Detection with Reinforcement Learning</t>
  </si>
  <si>
    <t>The Missing Curve Detectors of InceptionV1: Applying Sparse Autoencoders to InceptionV1 Early Vision</t>
  </si>
  <si>
    <t>Inductive Generalization in Reinforcement Learning from Specifications</t>
  </si>
  <si>
    <t>Decision-focused Graph Neural Networks for Combinatorial Optimization</t>
  </si>
  <si>
    <t>Discovering Bias in Latent Space: An Unsupervised Debiasing Approach</t>
  </si>
  <si>
    <t>Private Online Learning via Lazy Algorithms</t>
  </si>
  <si>
    <t>Symmetry Discovery Beyond Affine Transformations</t>
  </si>
  <si>
    <t>Advancing Anomaly Detection: Non-Semantic Financial Data Encoding with LLMs</t>
  </si>
  <si>
    <t>FedPylot: Navigating Federated Learning for Real-Time Object Detection in Internet of Vehicles</t>
  </si>
  <si>
    <t>Alignment Calibration: Machine Unlearning for Contrastive Learning under Auditing</t>
  </si>
  <si>
    <t>A Comparison of Recent Algorithms for Symbolic Regression to Genetic Programming</t>
  </si>
  <si>
    <t>Reconciling Heterogeneous Effects in Causal Inference</t>
  </si>
  <si>
    <t>A Geometric View of Data Complexity: Efficient Local Intrinsic Dimension Estimation with Diffusion Models</t>
  </si>
  <si>
    <t>Noise-Aware Algorithm for Heterogeneous Differentially Private Federated Learning</t>
  </si>
  <si>
    <t>MagiNet: Mask-Aware Graph Imputation Network for Incomplete Traffic Data</t>
  </si>
  <si>
    <t>Mutual Information Guided Backdoor Mitigation for Pre-trained Encoders</t>
  </si>
  <si>
    <t>Robust Prediction Model for Multidimensional and Unbalanced Datasets</t>
  </si>
  <si>
    <t>Fuzzy Convolution Neural Networks for Tabular Data Classification</t>
  </si>
  <si>
    <t>Dynamic and Adaptive Feature Generation with LLM</t>
  </si>
  <si>
    <t>Coarse-To-Fine Tensor Trains for Compact Visual Representations</t>
  </si>
  <si>
    <t>PaCE: Parsimonious Concept Engineering for Large Language Models</t>
  </si>
  <si>
    <t>VidMuse: A Simple Video-to-Music Generation Framework with Long-Short-Term Modeling</t>
  </si>
  <si>
    <t>ReFiNe: Recursive Field Networks for Cross-modal Multi-scene Representation</t>
  </si>
  <si>
    <t>Vision-LSTM: xLSTM as Generic Vision Backbone</t>
  </si>
  <si>
    <t>Transformers need glasses! Information over-squashing in language tasks</t>
  </si>
  <si>
    <t>Online learning of quantum processes</t>
  </si>
  <si>
    <t>Online learning of a panoply of quantum objects</t>
  </si>
  <si>
    <t>What Do Language Models Learn in Context? The Structured Task Hypothesis</t>
  </si>
  <si>
    <t>mCSQA: Multilingual Commonsense Reasoning Dataset with Unified Creation Strategy by Language Models and Humans</t>
  </si>
  <si>
    <t>Shield Synthesis for LTL Modulo Theories</t>
  </si>
  <si>
    <t>Essentially Sharp Estimates on the Entropy Regularization Error in Discrete Discounted Markov Decision Processes</t>
  </si>
  <si>
    <t>Pointer-Guided Pre-Training: Infusing Large Language Models with Paragraph-Level Contextual Awareness</t>
  </si>
  <si>
    <t>Improving Physics-Augmented Continuum Neural Radiance Field-Based Geometry-Agnostic System Identification with Lagrangian Particle Optimization</t>
  </si>
  <si>
    <t>Redundancy-aware Action Spaces for Robot Learning</t>
  </si>
  <si>
    <t>Do Language Models Understand Morality? Towards a Robust Detection of Moral Content</t>
  </si>
  <si>
    <t>Stochastic Polyak Step-sizes and Momentum: Convergence Guarantees and Practical Performance</t>
  </si>
  <si>
    <t>Legal Judgment Reimagined: PredEx and the Rise of Intelligent AI Interpretation in Indian Courts</t>
  </si>
  <si>
    <t>A Large-Scale Neutral Comparison Study of Survival Models on Low-Dimensional Data</t>
  </si>
  <si>
    <t>Dynamic angular synchronization under smoothness constraints</t>
  </si>
  <si>
    <t>Slicing Mutual Information Generalization Bounds for Neural Networks</t>
  </si>
  <si>
    <t>Shaping History: Advanced Machine Learning Techniques for the Analysis and Dating of Cuneiform Tablets over Three Millennia</t>
  </si>
  <si>
    <t>Pre-trained Transformer Uncovers Meaningful Patterns in Human Mobility Data</t>
  </si>
  <si>
    <t>4012</t>
  </si>
  <si>
    <t>Variational inference, Mixture of Gaussians, Bayesian Machine Learning</t>
  </si>
  <si>
    <t>HackAtari: Atari Learning Environments for Robust and Continual Reinforcement Learning</t>
  </si>
  <si>
    <t>Mini Honor of Kings: A Lightweight Environment for Multi-Agent Reinforcement Learning</t>
  </si>
  <si>
    <t>Statistical Multicriteria Benchmarking via the GSD-Front</t>
  </si>
  <si>
    <t>GenSafe: A Generalizable Safety Enhancer for Safe Reinforcement Learning Algorithms Based on Reduced Order Markov Decision Process Model</t>
  </si>
  <si>
    <t>Data-Centric Label Smoothing for Explainable Glaucoma Screening from Eye Fundus Images</t>
  </si>
  <si>
    <t>Polyp and Surgical Instrument Segmentation with Double Encoder-Decoder Networks</t>
  </si>
  <si>
    <t>Data-driven discovery of self-similarity using neural networks</t>
  </si>
  <si>
    <t>Polyhedral Conic Classifier for CTR Prediction</t>
  </si>
  <si>
    <t>Why the Metric Backbone Preserves Community Structure</t>
  </si>
  <si>
    <t>A Survey on Intelligent Internet of Things: Applications, Security, Privacy, and Future Directions</t>
  </si>
  <si>
    <t>Amortized Equation Discovery in Hybrid Dynamical Systems</t>
  </si>
  <si>
    <t>Spherinator and HiPSter: Representation Learning for Unbiased Knowledge Discovery from Simulations</t>
  </si>
  <si>
    <t>Projection-Free Variance Reduction Methods for Stochastic Constrained Multi-Level Compositional Optimization</t>
  </si>
  <si>
    <t>Privacy Preserving Semi-Decentralized Mean Estimation over Intermittently-Connected Networks</t>
  </si>
  <si>
    <t>RoboCoder: Robotic Learning from Basic Skills to General Tasks with Large Language Models</t>
  </si>
  <si>
    <t>Instance Segmentation and Teeth Classification in Panoramic X-rays</t>
  </si>
  <si>
    <t>ReDistill: Residual Encoded Distillation for Peak Memory Reduction</t>
  </si>
  <si>
    <t>Phase-Amplitude Reduction-Based Imitation Learning</t>
  </si>
  <si>
    <t>A Survey on Medical Large Language Models: Technology, Application, Trustworthiness, and Future Directions</t>
  </si>
  <si>
    <t>Synthesizing Conversations from Unlabeled Documents using Automatic Response Segmentation</t>
  </si>
  <si>
    <t>Discrete error dynamics of mini-batch gradient descent for least squares regression</t>
  </si>
  <si>
    <t>On the Effects of Data Scale on Computer Control Agents</t>
  </si>
  <si>
    <t>A Hybrid Deep Learning Classification of Perimetric Glaucoma Using Peripapillary Nerve Fiber Layer Reflectance and Other OCT Parameters from Three Anatomy Regions</t>
  </si>
  <si>
    <t>Equivalence Set Restricted Latent Class Models (ESRLCM)</t>
  </si>
  <si>
    <t>Ensembling Portfolio Strategies for Long-Term Investments: A Distribution-Free Preference Framework for Decision-Making and Algorithms</t>
  </si>
  <si>
    <t>Is Free Self-Alignment Possible?</t>
  </si>
  <si>
    <t>Style Mixture of Experts for Expressive Text-To-Speech Synthesis</t>
  </si>
  <si>
    <t>Synthetic Programming Elicitation and Repair for Text-to-Code in Very Low-Resource Programming Languages</t>
  </si>
  <si>
    <t>Active ML for 6G: Towards Efficient Data Generation, Acquisition, and Annotation</t>
  </si>
  <si>
    <t>Synthetic Oversampling: Theory and A Practical Approach Using LLMs to Address Data Imbalance</t>
  </si>
  <si>
    <t>BEACON: A Bayesian Optimization Strategy for Novelty Search in Expensive Black-Box Systems</t>
  </si>
  <si>
    <t>Hi5: 2D Hand Pose Estimation with Zero Human Annotation</t>
  </si>
  <si>
    <t>Why is "Problems" Predictive of Positive Sentiment? A Case Study of Explaining Unintuitive Features in Sentiment Classification</t>
  </si>
  <si>
    <t>BVE + EKF: A viewpoint estimator for the estimation of the object's position in the 3D task space using Extended Kalman Filters</t>
  </si>
  <si>
    <t>CountCLIP -- [Re] Teaching CLIP to Count to Ten</t>
  </si>
  <si>
    <t>A Simple Learning-Augmented Algorithm for Online Packing with Concave Objectives</t>
  </si>
  <si>
    <t>GFN: A graph feedforward network for resolution-invariant reduced operator learning in multifidelity applications</t>
  </si>
  <si>
    <t>Neural empirical interpolation method for nonlinear model reduction</t>
  </si>
  <si>
    <t>Robust Communication and Computation using Deep Learning via Joint Uncertainty Injection</t>
  </si>
  <si>
    <t>VideoPhy: Evaluating Physical Commonsense for Video Generation</t>
  </si>
  <si>
    <t>Buffered Asynchronous Secure Aggregation for Cross-Device Federated Learning</t>
  </si>
  <si>
    <t>A New Branch-and-Bound Pruning Framework for ℓ0-Regularized Problems</t>
  </si>
  <si>
    <t>Position: Rethinking Post-Hoc Search-Based Neural Approaches for Solving Large-Scale Traveling Salesman Problems</t>
  </si>
  <si>
    <t>Llumnix: Dynamic Scheduling for Large Language Model Serving</t>
  </si>
  <si>
    <t>Graphon Mean Field Games with a Representative Player: Analysis and Learning Algorithm</t>
  </si>
  <si>
    <t>Information-driven Affordance Discovery for Efficient Robotic Manipulation</t>
  </si>
  <si>
    <t>Position: A Call to Action for a Human-Centered AutoML Paradigm</t>
  </si>
  <si>
    <t>Normalizing Flows for Conformal Regression</t>
  </si>
  <si>
    <t>Feature Contamination: Neural Networks Learn Uncorrelated Features and Fail to Generalize</t>
  </si>
  <si>
    <t>Tackling GenAI Copyright Issues: Originality Estimation and Genericization</t>
  </si>
  <si>
    <t>Identifying latent state transition in non-linear dynamical systems</t>
  </si>
  <si>
    <t>Reparameterization invariance in approximate Bayesian inference</t>
  </si>
  <si>
    <t>UDQL: Bridging The Gap between MSE Loss and The Optimal Value Function in Offline Reinforcement Learning</t>
  </si>
  <si>
    <t>Reproducibility study of FairAC</t>
  </si>
  <si>
    <t>Embarrassingly Parallel GFlowNets</t>
  </si>
  <si>
    <t>FusionBench: A Comprehensive Benchmark of Deep Model Fusion</t>
  </si>
  <si>
    <t>Using GNN property predictors as molecule generators</t>
  </si>
  <si>
    <t>Revisiting Scalable Hessian Diagonal Approximations for Applications in Reinforcement Learning</t>
  </si>
  <si>
    <t>Deep Generative Models for Proton Zero Degree Calorimeter Simulations in ALICE, CERN</t>
  </si>
  <si>
    <t>On the Maximal Local Disparity of Fairness-Aware Classifiers</t>
  </si>
  <si>
    <t>Generating Explanations for Cellular Neural Networks</t>
  </si>
  <si>
    <t>Near-field Beamforming for Extremely Large-scale MIMO Based on Unsupervised Deep Learning</t>
  </si>
  <si>
    <t>Variational Pseudo Marginal Methods for Jet Reconstruction in Particle Physics</t>
  </si>
  <si>
    <t>Fine-Grained Causal Dynamics Learning with Quantization for Improving Robustness in Reinforcement Learning</t>
  </si>
  <si>
    <t>Choice of PEFT Technique in Continual Learning: Prompt Tuning is Not All You Need</t>
  </si>
  <si>
    <t>Inferring the time-varying coupling of dynamical systems with temporal convolutional autoencoders</t>
  </si>
  <si>
    <t>Challenges and Considerations in the Evaluation of Bayesian Causal Discovery</t>
  </si>
  <si>
    <t>Initialization-enhanced Physics-Informed Neural Network with Domain Decomposition (IDPINN)</t>
  </si>
  <si>
    <t>Topological Neural Networks go Persistent, Equivariant, and Continuous</t>
  </si>
  <si>
    <t>Ethical considerations of use of hold-out sets in clinical prediction model management</t>
  </si>
  <si>
    <t>Detecting Model Misspecification in Amortized Bayesian Inference with Neural Networks: An Extended Investigation</t>
  </si>
  <si>
    <t>Sample-specific Masks for Visual Reprogramming-based Prompting</t>
  </si>
  <si>
    <t>Aligning Transformers with Weisfeiler-Leman</t>
  </si>
  <si>
    <t>E(n) Equivariant Message Passing Cellular Networks</t>
  </si>
  <si>
    <t>On the Power of Randomization in Fair Classification and Representation</t>
  </si>
  <si>
    <t>Continual Traffic Forecasting via Mixture of Experts</t>
  </si>
  <si>
    <t>Computational Limits of Low-Rank Adaptation (LoRA) for Transformer-Based Models</t>
  </si>
  <si>
    <t>MESS: Modern Electronic Structure Simulations</t>
  </si>
  <si>
    <t>DEER: A Delay-Resilient Framework for Reinforcement Learning with Variable Delays</t>
  </si>
  <si>
    <t>Graph Convolutional Branch and Bound</t>
  </si>
  <si>
    <t>Enhancing the Resilience of Graph Neural Networks to Topological Perturbations in Sparse Graphs</t>
  </si>
  <si>
    <t>Exploring User Retrieval Integration towards Large Language Models for Cross-Domain Sequential Recommendation</t>
  </si>
  <si>
    <t>Learning Solutions of Stochastic Optimization Problems with Bayesian Neural Networks</t>
  </si>
  <si>
    <t>Towards Federated Domain Unlearning: Verification Methodologies and Challenges</t>
  </si>
  <si>
    <t>Local to Global: Learning Dynamics and Effect of Initialization for Transformers</t>
  </si>
  <si>
    <t>How Truncating Weights Improves Reasoning in Language Models</t>
  </si>
  <si>
    <t>Decision Boundary-aware Knowledge Consolidation Generates Better Instance-Incremental Learner</t>
  </si>
  <si>
    <t>Path-Specific Causal Reasoning for Fairness-aware Cognitive Diagnosis</t>
  </si>
  <si>
    <t>Predicting unobserved climate time series data at distant areas via spatial correlation using reservoir computing</t>
  </si>
  <si>
    <t>Efficient Exploration of the Rashomon Set of Rule Set Models</t>
  </si>
  <si>
    <t>BWS: Best Window Selection Based on Sample Scores for Data Pruning across Broad Ranges</t>
  </si>
  <si>
    <t>Are Your Models Still Fair? Fairness Attacks on Graph Neural Networks via Node Injections</t>
  </si>
  <si>
    <t>Population Transformer: Learning Population-level Representations of Intracranial Activity</t>
  </si>
  <si>
    <t>Optimal Multi-Fidelity Best-Arm Identification</t>
  </si>
  <si>
    <t>Analyzing the Influence of Training Samples on Explanations</t>
  </si>
  <si>
    <t>Residual Connections and Normalization Can Provably Prevent Oversmoothing in GNNs</t>
  </si>
  <si>
    <t>Quantifying Task Priority for Multi-Task Optimization</t>
  </si>
  <si>
    <t>Local vs. Global Interpretability: A Computational Complexity Perspective</t>
  </si>
  <si>
    <t>Tensor Polynomial Additive Model</t>
  </si>
  <si>
    <t>Efficient User Sequence Learning for Online Services via Compressed Graph Neural Networks</t>
  </si>
  <si>
    <t>Filtered not Mixed: Stochastic Filtering-Based Online Gating for Mixture of Large Language Models</t>
  </si>
  <si>
    <t>PrE-Text: Training Language Models on Private Federated Data in the Age of LLMs</t>
  </si>
  <si>
    <t>GraphAlign: Pretraining One Graph Neural Network on Multiple Graphs via Feature Alignment</t>
  </si>
  <si>
    <t>Pruner-Zero: Evolving Symbolic Pruning Metric from scratch for Large Language Models</t>
  </si>
  <si>
    <t>A comprehensive and FAIR comparison between MLP and KAN representations for differential equations and operator networks</t>
  </si>
  <si>
    <t>Zeroth-Order Fine-Tuning of LLMs with Extreme Sparsity</t>
  </si>
  <si>
    <t>Scaling Laws for Reward Model Overoptimization in Direct Alignment Algorithms</t>
  </si>
  <si>
    <t>Nonlinear Transformations Against Unlearnable Datasets</t>
  </si>
  <si>
    <t>FedStaleWeight: Buffered Asynchronous Federated Learning with Fair Aggregation via Staleness Reweighting</t>
  </si>
  <si>
    <t>Leveraging KANs For Enhanced Deep Koopman Operator Discovery</t>
  </si>
  <si>
    <t>Combinatorial Optimization with Automated Graph Neural Networks</t>
  </si>
  <si>
    <t>Oscillations enhance time-series prediction in reservoir computing with feedback</t>
  </si>
  <si>
    <t>Exact Conversion of In-Context Learning to Model Weights in Linearized-Attention Transformers</t>
  </si>
  <si>
    <t>Conditional Idempotent Generative Networks</t>
  </si>
  <si>
    <t>Stochastic Diffusion: A Diffusion Probabilistic Model for Stochastic Time Series Forecasting</t>
  </si>
  <si>
    <t>Randomized Geometric Algebra Methods for Convex Neural Networks</t>
  </si>
  <si>
    <t>Auditing Privacy Mechanisms via Label Inference Attacks</t>
  </si>
  <si>
    <t>Building Socially-Equitable Public Models</t>
  </si>
  <si>
    <t>MS-IMAP -- A Multi-Scale Graph Embedding Approach for Interpretable Manifold Learning</t>
  </si>
  <si>
    <t>Diagnostic Digital Twin for Anomaly Detection in Floating Offshore Wind Energy</t>
  </si>
  <si>
    <t>Cyclic Sparse Training: Is it Enough?</t>
  </si>
  <si>
    <t>Hyperbolic Benchmarking Unveils Network Topology-Feature Relationship in GNN Performance</t>
  </si>
  <si>
    <t>Improved context-sensitive transformer model for inland vessel trajectory prediction</t>
  </si>
  <si>
    <t>Short-term Inland Vessel Trajectory Prediction with Encoder-Decoder Models</t>
  </si>
  <si>
    <t>Spatial and social situation-aware transformer-based trajectory prediction of autonomous systems</t>
  </si>
  <si>
    <t>Adaptive Preference Scaling for Reinforcement Learning with Human Feedback</t>
  </si>
  <si>
    <t>Measuring Stochastic Data Complexity with Boltzmann Influence Functions</t>
  </si>
  <si>
    <t>Long Range Propagation on Continuous-Time Dynamic Graphs</t>
  </si>
  <si>
    <t>Synthetic Data Outliers: Navigating Identity Disclosure</t>
  </si>
  <si>
    <t>GEFL: Extended Filtration Learning for Graph Classification</t>
  </si>
  <si>
    <t>Temporal Graph Learning Recurrent Neural Network for Traffic Forecasting</t>
  </si>
  <si>
    <t>Optimal Rates for DP-SCO with a Single Epoch and Large Batches</t>
  </si>
  <si>
    <t>Self-Trained Model for ECG Complex Delineation</t>
  </si>
  <si>
    <t>Operational Latent Spaces</t>
  </si>
  <si>
    <t>iQRL -- Implicitly Quantized Representations for Sample-efficient Reinforcement Learning</t>
  </si>
  <si>
    <t>RoutePlacer: An End-to-End Routability-Aware Placer with Graph Neural Network</t>
  </si>
  <si>
    <t>By Fair Means or Foul: Quantifying Collusion in a Market Simulation with Deep Reinforcement Learning</t>
  </si>
  <si>
    <t>Exploring Effects of Hyperdimensional Vectors for Tsetlin Machines</t>
  </si>
  <si>
    <t>E-ICL: Enhancing Fine-Grained Emotion Recognition through the Lens of Prototype Theory</t>
  </si>
  <si>
    <t>EchoMamba4Rec: Harmonizing Bidirectional State Space Models with Spectral Filtering for Advanced Sequential Recommendation</t>
  </si>
  <si>
    <t>Evidentially Calibrated Source-Free Time-Series Domain Adaptation with Temporal Imputation</t>
  </si>
  <si>
    <t>Progressive Inference: Explaining Decoder-Only Sequence Classification Models Using Intermediate Predictions</t>
  </si>
  <si>
    <t>Adaptive Layer Splitting for Wireless LLM Inference in Edge Computing: A Model-Based Reinforcement Learning Approach</t>
  </si>
  <si>
    <t>A hybrid numerical methodology coupling Reduced Order Modeling and Graph Neural Networks for non-parametric geometries: applications to structural dynamics problems</t>
  </si>
  <si>
    <t>Frequency Enhanced Pre-training for Cross-city Few-shot Traffic Forecasting</t>
  </si>
  <si>
    <t>LOLA: LLM-Assisted Online Learning Algorithm for Content Experiments</t>
  </si>
  <si>
    <t>Is Data Valuation Learnable and Interpretable?</t>
  </si>
  <si>
    <t>ACCO: Accumulate while you Communicate, Hiding Communications in Distributed LLM Training</t>
  </si>
  <si>
    <t>Less is More: Pseudo-Label Filtering for Continual Test-Time Adaptation</t>
  </si>
  <si>
    <t>Multimodal Deep Learning for Low-Resource Settings: A Vector Embedding Alignment Approach for Healthcare Applications</t>
  </si>
  <si>
    <t>D-FaST: Cognitive Signal Decoding with Disentangled Frequency-Spatial-Temporal Attention</t>
  </si>
  <si>
    <t>Gated recurrent neural network with TPE Bayesian optimization for enhancing stock index prediction accuracy</t>
  </si>
  <si>
    <t>Data Quality in Edge Machine Learning: A State-of-the-Art Survey</t>
  </si>
  <si>
    <t>Towards Learning Foundation Models for Heuristic Functions to Solve Pathfinding Problems</t>
  </si>
  <si>
    <t>CoNO: Complex Neural Operator for Continous Dynamical Physical Systems</t>
  </si>
  <si>
    <t>Slow and Steady Wins the Race: Maintaining Plasticity with Hare and Tortoise Networks</t>
  </si>
  <si>
    <t>Graph Neural Networks for Brain Graph Learning: A Survey</t>
  </si>
  <si>
    <t>LOLAMEME: Logic, Language, Memory, Mechanistic Framework</t>
  </si>
  <si>
    <t>Unveiling the Potential of AI for Nanomaterial Morphology Prediction</t>
  </si>
  <si>
    <t>Capturing Climatic Variability: Using Deep Learning for Stochastic Downscaling</t>
  </si>
  <si>
    <t>Contextual Counting: A Mechanistic Study of Transformers on a Quantitative Task</t>
  </si>
  <si>
    <t>Planetary Causal Inference: Implications for the Geography of Poverty</t>
  </si>
  <si>
    <t>Exploring the Potential of Polynomial Basis Functions in Kolmogorov-Arnold Networks: A Comparative Study of Different Groups of Polynomials</t>
  </si>
  <si>
    <t>Spatiotemporal Predictions of Toxic Urban Plumes Using Deep Learning</t>
  </si>
  <si>
    <t>Constrained or Unconstrained? Neural-Network-Based Equation Discovery from Data</t>
  </si>
  <si>
    <t>Pretrained Mobility Transformer: A Foundation Model for Human Mobility</t>
  </si>
  <si>
    <t>Wings: Learning Multimodal LLMs without Text-only Forgetting</t>
  </si>
  <si>
    <t>Convolutional Neural Networks and Vision Transformers for Fashion MNIST Classification: A Literature Review</t>
  </si>
  <si>
    <t>The PESQetarian: On the Relevance of Goodhart's Law for Speech Enhancement</t>
  </si>
  <si>
    <t>FILS: Self-Supervised Video Feature Prediction In Semantic Language Space</t>
  </si>
  <si>
    <t>Cycles of Thought: Measuring LLM Confidence through Stable Explanations</t>
  </si>
  <si>
    <t>Training of Physical Neural Networks</t>
  </si>
  <si>
    <t>Posterior and variational inference for deep neural networks with heavy-tailed weights</t>
  </si>
  <si>
    <t>SpikeLM: Towards General Spike-Driven Language Modeling via Elastic Bi-Spiking Mechanisms</t>
  </si>
  <si>
    <t>Multi-Microphone Speech Emotion Recognition using the Hierarchical Token-semantic Audio Transformer Architecture</t>
  </si>
  <si>
    <t>No-Regret Algorithms for Safe Bayesian Optimization with Monotonicity Constraints</t>
  </si>
  <si>
    <t>Feature learning in finite-width Bayesian deep linear networks with multiple outputs and convolutional layers</t>
  </si>
  <si>
    <t>Relaxed Quantile Regression: Prediction Intervals for Asymmetric Noise</t>
  </si>
  <si>
    <t>CommonPower: Supercharging Machine Learning for Smart Grids</t>
  </si>
  <si>
    <t>Defending Large Language Models Against Attacks With Residual Stream Activation Analysis</t>
  </si>
  <si>
    <t>Global Clipper: Enhancing Safety and Reliability of Transformer-based Object Detection Models</t>
  </si>
  <si>
    <t>Bayesian WeakS-to-Strong from Text Classification to Generation</t>
  </si>
  <si>
    <t>The Impossibility of Fair LLMs</t>
  </si>
  <si>
    <t>Graph Neural Network Explanations are Fragile</t>
  </si>
  <si>
    <t>High-Dimensional Kernel Methods under Covariate Shift: Data-Dependent Implicit Regularization</t>
  </si>
  <si>
    <t>A Combination Model Based on Sequential General Variational Mode Decomposition Method for Time Series Prediction</t>
  </si>
  <si>
    <t>Dynamic Spectral Clustering with Provable Approximation Guarantee</t>
  </si>
  <si>
    <t>Which Side Are You On? A Multi-task Dataset for End-to-End Argument Summarisation and Evaluation</t>
  </si>
  <si>
    <t>Tiny models from tiny data: Textual and null-text inversion for few-shot distillation</t>
  </si>
  <si>
    <t>A Combination Model for Time Series Prediction using LSTM via Extracting Dynamic Features Based on Spatial Smoothing and Sequential General Variational Mode Decomposition</t>
  </si>
  <si>
    <t>Floating Anchor Diffusion Model for Multi-motif Scaffolding</t>
  </si>
  <si>
    <t>RevRIR: Joint Reverberant Speech and Room Impulse Response Embedding using Contrastive Learning with Application to Room Shape Classification</t>
  </si>
  <si>
    <t>EgoSurgery-Tool: A Dataset of Surgical Tool and Hand Detection from Egocentric Open Surgery Videos</t>
  </si>
  <si>
    <t>HASS: Hardware-Aware Sparsity Search for Dataflow DNN Accelerator</t>
  </si>
  <si>
    <t>Lossless Image Compression Using Multi-level Dictionaries: Binary Images</t>
  </si>
  <si>
    <t>Task-Oriented Wireless Communications for Collaborative Perception in Intelligent Unmanned Systems</t>
  </si>
  <si>
    <t>From Tarzan to Tolkien: Controlling the Language Proficiency Level of LLMs for Content Generation</t>
  </si>
  <si>
    <t>BadAgent: Inserting and Activating Backdoor Attacks in LLM Agents</t>
  </si>
  <si>
    <t>Quantum Algorithms and Lower Bounds for Finite-Sum Optimization</t>
  </si>
  <si>
    <t>Which exceptional low-dimensional projections of a Gaussian point cloud can be found in polynomial time?</t>
  </si>
  <si>
    <t>Adversarial Moment-Matching Distillation of Large Language Models</t>
  </si>
  <si>
    <t>Achieving Near-Optimal Convergence for Distributed Minimax Optimization with Adaptive Stepsizes</t>
  </si>
  <si>
    <t>Exploring Data Efficiency in Zero-Shot Learning with Diffusion Models</t>
  </si>
  <si>
    <t>Multivariate Physics-Informed Convolutional Autoencoder for Anomaly Detection in Power Distribution Systems with High Penetration of DERs</t>
  </si>
  <si>
    <t>SYN2REAL: Leveraging Task Arithmetic for Mitigating Synthetic-Real Discrepancies in ASR Domain Adaptation</t>
  </si>
  <si>
    <t>Text Injection for Neural Contextual Biasing</t>
  </si>
  <si>
    <t>Visual-Text Cross Alignment: Refining the Similarity Score in Vision-Language Models</t>
  </si>
  <si>
    <t>A Bi-metric Framework for Fast Similarity Search</t>
  </si>
  <si>
    <t>Representation Learning For Efficient Deep Multi-Agent Reinforcement Learning</t>
  </si>
  <si>
    <t>HYDRA: Model Factorization Framework for Black-Box LLM Personalization</t>
  </si>
  <si>
    <t>Prediction-powered Generalization of Causal Inferences</t>
  </si>
  <si>
    <t>TSPDiffuser: Diffusion Models as Learned Samplers for Traveling Salesperson Path Planning Problems</t>
  </si>
  <si>
    <t>You Only Accept Samples Once: Fast, Self-Correcting Stochastic Variational Inference</t>
  </si>
  <si>
    <t>Efficient Minimum Bayes Risk Decoding using Low-Rank Matrix Completion Algorithms</t>
  </si>
  <si>
    <t>Exploring Robustness in Doctor-Patient Conversation Summarization: An Analysis of Out-of-Domain SOAP Notes</t>
  </si>
  <si>
    <t>ORACLE: Leveraging Mutual Information for Consistent Character Generation with LoRAs in Diffusion Models</t>
  </si>
  <si>
    <t>ACCORD: Closing the Commonsense Measurability Gap</t>
  </si>
  <si>
    <t>Private Stochastic Convex Optimization with Heavy Tails: Near-Optimality from Simple Reductions</t>
  </si>
  <si>
    <t>Disentangling Logic: The Role of Context in Large Language Model Reasoning Capabilities</t>
  </si>
  <si>
    <t>Event-horizon-scale Imaging of M87* under Different Assumptions via Deep Generative Image Priors</t>
  </si>
  <si>
    <t>LADI v2: Multi-label Dataset and Classifiers for Low-Altitude Disaster Imagery</t>
  </si>
  <si>
    <t>Precise asymptotics of reweighted least-squares algorithms for linear diagonal networks</t>
  </si>
  <si>
    <t>Discovering Dynamic Symbolic Policies with Genetic Programming</t>
  </si>
  <si>
    <t>Multi-layer Learnable Attention Mask for Multimodal Tasks</t>
  </si>
  <si>
    <t>Aligning Large Language Models via Fine-grained Supervision</t>
  </si>
  <si>
    <t>DPDR: Gradient Decomposition and Reconstruction for Differentially Private Deep Learning</t>
  </si>
  <si>
    <t>Tolerant Algorithms for Learning with Arbitrary Covariate Shift</t>
  </si>
  <si>
    <t>Window to Wall Ratio Detection using SegFormer</t>
  </si>
  <si>
    <t>Symmetric Kernels with Non-Symmetric Data: A Data-Agnostic Learnability Bound</t>
  </si>
  <si>
    <t>Block Transformer: Global-to-Local Language Modeling for Fast Inference</t>
  </si>
  <si>
    <t>kNN Classification of Malware Data Dependency Graph Features</t>
  </si>
  <si>
    <t>Pancreatic Tumor Segmentation as Anomaly Detection in CT Images Using Denoising Diffusion Models</t>
  </si>
  <si>
    <t>RepCNN: Micro-sized, Mighty Models for Wakeword Detection</t>
  </si>
  <si>
    <t>Keyword-Guided Adaptation of Automatic Speech Recognition</t>
  </si>
  <si>
    <t>Astral: training physics-informed neural networks with error majorants</t>
  </si>
  <si>
    <t>Edit Distance Robust Watermarks for Language Models</t>
  </si>
  <si>
    <t>Redefining DDoS Attack Detection Using A Dual-Space Prototypical Network-Based Approach</t>
  </si>
  <si>
    <t>SSNet: A Lightweight Multi-Party Computation Scheme for Practical Privacy-Preserving Machine Learning Service in the Cloud</t>
  </si>
  <si>
    <t>Replicability in High Dimensional Statistics</t>
  </si>
  <si>
    <t>Unelicitable Backdoors in Language Models via Cryptographic Transformer Circuits</t>
  </si>
  <si>
    <t>MoFormer: Multi-objective Antimicrobial Peptide Generation Based on Conditional Transformer Joint Multi-modal Fusion Descriptor</t>
  </si>
  <si>
    <t>PPINtonus: Early Detection of Parkinson's Disease Using Deep-Learning Tonal Analysis</t>
  </si>
  <si>
    <t>Know Your Neighborhood: General and Zero-Shot Capable Binary Function Search Powered by Call Graphlets</t>
  </si>
  <si>
    <t>A Novel Defense Against Poisoning Attacks on Federated Learning: LayerCAM Augmented with Autoencoder</t>
  </si>
  <si>
    <t>Distortion-free Watermarks are not Truly Distortion-free under Watermark Key Collisions</t>
  </si>
  <si>
    <t>Exploiting Chaotic Dynamics as Deep Neural Networks</t>
  </si>
  <si>
    <t>An Open-Source Framework for Efficient Numerically-Tailored Computations</t>
  </si>
  <si>
    <t>Are PPO-ed Language Models Hackable?</t>
  </si>
  <si>
    <t>Cross-Modal Safety Alignment: Is textual unlearning all you need?</t>
  </si>
  <si>
    <t>Selfsupervised learning for pathological speech detection</t>
  </si>
  <si>
    <t>Combining X-Vectors and Bayesian Batch Active Learning: Two-Stage Active Learning Pipeline for Speech Recognition</t>
  </si>
  <si>
    <t>Less Peaky and More Accurate CTC Forced Alignment by Label Priors</t>
  </si>
  <si>
    <t>Hear Me, See Me, Understand Me: Audio-Visual Autism Behavior Recognition</t>
  </si>
  <si>
    <t>Towards Practical Single-shot Motion Synthesis</t>
  </si>
  <si>
    <t>Asynchronous Byzantine Federated Learning</t>
  </si>
  <si>
    <t>Learning Analysis of Kernel Ridgeless Regression with Asymmetric Kernel Learning</t>
  </si>
  <si>
    <t>Universal In-Context Approximation By Prompting Fully Recurrent Models</t>
  </si>
  <si>
    <t>Value Improved Actor Critic Algorithms</t>
  </si>
  <si>
    <t>Mixup Augmentation with Multiple Interpolations</t>
  </si>
  <si>
    <t>Adapting Conformal Prediction to Distribution Shifts Without Labels</t>
  </si>
  <si>
    <t>CE-NAS: An End-to-End Carbon-Efficient Neural Architecture Search Framework</t>
  </si>
  <si>
    <t>Using Constraints to Discover Sparse and Alternative Subgroup Descriptions</t>
  </si>
  <si>
    <t>RL in Latent MDPs is Tractable: Online Guarantees via Off-Policy Evaluation</t>
  </si>
  <si>
    <t>Combinatorial Multivariant Multi-Armed Bandits with Applications to Episodic Reinforcement Learning and Beyond</t>
  </si>
  <si>
    <t>A Theory of Learnability for Offline Decision Making</t>
  </si>
  <si>
    <t>Learning to Play Atari in a World of Tokens</t>
  </si>
  <si>
    <t>BMRS: Bayesian Model Reduction for Structured Pruning</t>
  </si>
  <si>
    <t>The Intelligible and Effective Graph Neural Additive Networks</t>
  </si>
  <si>
    <t>Resource-constrained Fairness</t>
  </si>
  <si>
    <t>Continuous Geometry-Aware Graph Diffusion via Hyperbolic Neural PDE</t>
  </si>
  <si>
    <t>Expected Grad-CAM: Towards gradient faithfulness</t>
  </si>
  <si>
    <t>What makes unlearning hard and what to do about it</t>
  </si>
  <si>
    <t>On the Nonlinearity of Layer Normalization</t>
  </si>
  <si>
    <t>Equivariant Machine Learning on Graphs with Nonlinear Spectral Filters</t>
  </si>
  <si>
    <t>Achieving Tractable Minimax Optimal Regret in Average Reward MDPs</t>
  </si>
  <si>
    <t>AGALE: A Graph-Aware Continual Learning Evaluation Framework</t>
  </si>
  <si>
    <t>Sparsity-Agnostic Linear Bandits with Adaptive Adversaries</t>
  </si>
  <si>
    <t>MultiMax: Sparse and Multi-Modal Attention Learning</t>
  </si>
  <si>
    <t>Automatic Input Feature Relevance via Spectral Neural Networks</t>
  </si>
  <si>
    <t>Deep Reinforcement Learning Behavioral Mode Switching Using Optimal Control Based on a Latent Space Objective</t>
  </si>
  <si>
    <t>NeoRL: Efficient Exploration for Nonepisodic RL</t>
  </si>
  <si>
    <t>When to Sense and Control? A Time-adaptive Approach for Continuous-Time RL</t>
  </si>
  <si>
    <t>Conditional Gumbel-Softmax for constrained feature selection with application to node selection in wireless sensor networks</t>
  </si>
  <si>
    <t>Looking Backward: Retrospective Backward Synthesis for Goal-Conditioned GFlowNets</t>
  </si>
  <si>
    <t>SAVA: Scalable Learning-Agnostic Data Valuation</t>
  </si>
  <si>
    <t>Latent Logic Tree Extraction for Event Sequence Explanation from LLMs</t>
  </si>
  <si>
    <t>Accelerating Heterogeneous Federated Learning with Closed-form Classifiers</t>
  </si>
  <si>
    <t>Cohort Squeeze: Beyond a Single Communication Round per Cohort in Cross-Device Federated Learning</t>
  </si>
  <si>
    <t>1114</t>
  </si>
  <si>
    <t>Globally Interpretable Classifiers via Boolean Formulas with Dynamic Propositions</t>
  </si>
  <si>
    <t>Deep reinforcement learning for weakly coupled MDP's with continuous actions</t>
  </si>
  <si>
    <t>Learning Decision Trees and Forests with Algorithmic Recourse</t>
  </si>
  <si>
    <t>1086</t>
  </si>
  <si>
    <t>Effective Subset Selection Through The Lens of Neural Network Pruning</t>
  </si>
  <si>
    <t>Topology-Aware Dynamic Reweighting for Distribution Shifts on Graph</t>
  </si>
  <si>
    <t>Causal prompting model-based offline reinforcement learning</t>
  </si>
  <si>
    <t>Confidence-Based Task Prediction in Continual Disease Classification Using Probability Distribution</t>
  </si>
  <si>
    <t>LLM and GNN are Complementary: Distilling LLM for Multimodal Graph Learning</t>
  </si>
  <si>
    <t>Scalable Ensembling For Mitigating Reward Overoptimisation</t>
  </si>
  <si>
    <t>Attention-based Iterative Decomposition for Tensor Product Representation</t>
  </si>
  <si>
    <t>Seeing the Forest through the Trees: Data Leakage from Partial Transformer Gradients</t>
  </si>
  <si>
    <t>Constraint-Aware Diffusion Models for Trajectory Optimization</t>
  </si>
  <si>
    <t>Enhancing Fairness in Unsupervised Graph Anomaly Detection through Disentanglement</t>
  </si>
  <si>
    <t>Navigating Conflicting Views: Harnessing Trust for Learning</t>
  </si>
  <si>
    <t>State Space Models on Temporal Graphs: A First-Principles Study</t>
  </si>
  <si>
    <t>Faster Diffusion-based Sampling with Randomized Midpoints: Sequential and Parallel</t>
  </si>
  <si>
    <t>Pretrained Hybrids with MAD Skills</t>
  </si>
  <si>
    <t>889</t>
  </si>
  <si>
    <t>Reservoir History Matching of the Norne field with generative exotic priors and a coupled Mixture of Experts -- Physics Informed Neural Operator Forward Model</t>
  </si>
  <si>
    <t>Evidence of Learned Look-Ahead in a Chess-Playing Neural Network</t>
  </si>
  <si>
    <t>Dual Policy Reinforcement Learning for Real-time Rebalancing in Bike-sharing Systems</t>
  </si>
  <si>
    <t>LinkLogic: A New Method and Benchmark for Explainable Knowledge Graph Predictions</t>
  </si>
  <si>
    <t>Local Methods with Adaptivity via Scaling</t>
  </si>
  <si>
    <t>Learning-Based Verification of Stochastic Dynamical Systems with Neural Network Policies</t>
  </si>
  <si>
    <t>Invisible Backdoor Attacks on Diffusion Models</t>
  </si>
  <si>
    <t>Expected Possession Value of Control and Duel Actions for Soccer Player's Skills Estimation</t>
  </si>
  <si>
    <t>Envisioning Outlier Exposure by Large Language Models for Out-of-Distribution Detection</t>
  </si>
  <si>
    <t>Extrapolability Improvement of Machine Learning-Based Evapotranspiration Models via Domain-Adversarial Neural Networks</t>
  </si>
  <si>
    <t>Ensemble Deep Random Vector Functional Link Neural Network Based on Fuzzy Inference System</t>
  </si>
  <si>
    <t>MagR: Weight Magnitude Reduction for Enhancing Post-Training Quantization</t>
  </si>
  <si>
    <t>Differentiation of Multi-objective Data-driven Decision Pipeline</t>
  </si>
  <si>
    <t>Constrained Adaptive Attack: Effective Adversarial Attack Against Deep Neural Networks for Tabular Data</t>
  </si>
  <si>
    <t>Diffusion Tuning: Transferring Diffusion Models via Chain of Forgetting</t>
  </si>
  <si>
    <t>Scaling Tractable Probabilistic Circuits: A Systems Perspective</t>
  </si>
  <si>
    <t>IENE: Identifying and Extrapolating the Node Environment for Out-of-Distribution Generalization on Graphs</t>
  </si>
  <si>
    <t>Shared-unique Features and Task-aware Prioritized Sampling on Multi-task Reinforcement Learning</t>
  </si>
  <si>
    <t>Augmenting the FedProx Algorithm by Minimizing Convergence</t>
  </si>
  <si>
    <t>Global Rewards in Restless Multi-Armed Bandits</t>
  </si>
  <si>
    <t>GLADformer: A Mixed Perspective for Graph-level Anomaly Detection</t>
  </si>
  <si>
    <t>Learning Multimodal Behaviors from Scratch with Diffusion Policy Gradient</t>
  </si>
  <si>
    <t>Bridging Multicalibration and Out-of-distribution Generalization Beyond Covariate Shift</t>
  </si>
  <si>
    <t>Generalized Exponentiated Gradient Algorithms and Their Application to On-Line Portfolio Selection</t>
  </si>
  <si>
    <t>FuRL: Visual-Language Models as Fuzzy Rewards for Reinforcement Learning</t>
  </si>
  <si>
    <t>Improving GFlowNets for Text-to-Image Diffusion Alignment</t>
  </si>
  <si>
    <t>A Multi-Graph Convolutional Neural Network Model for Short-Term Prediction of Turning Movements at Signalized Intersections</t>
  </si>
  <si>
    <t>Efficient Monte Carlo Tree Search via On-the-Fly State-Conditioned Action Abstraction</t>
  </si>
  <si>
    <t>DISCRET: Synthesizing Faithful Explanations For Treatment Effect Estimation</t>
  </si>
  <si>
    <t>Robust Fair Clustering with Group Membership Uncertainty Sets</t>
  </si>
  <si>
    <t>Multi-variable Adversarial Time-Series Forecast Model</t>
  </si>
  <si>
    <t>Generalization Bound and New Algorithm for Clean-Label Backdoor Attack</t>
  </si>
  <si>
    <t>ContextFlow++: Generalist-Specialist Flow-based Generative Models with Mixed-Variable Context Encoding</t>
  </si>
  <si>
    <t>VOICE: Variance of Induced Contrastive Explanations to quantify Uncertainty in Neural Network Interpretability</t>
  </si>
  <si>
    <t>A Gaussian Process-based Streaming Algorithm for Prediction of Time Series With Regimes and Outliers</t>
  </si>
  <si>
    <t>Redefining Contributions: Shapley-Driven Federated Learning</t>
  </si>
  <si>
    <t>An Unsupervised Approach for Periodic Source Detection in Time Series</t>
  </si>
  <si>
    <t>Learning to Approximate Particle Smoothing Trajectories via Diffusion Generative Models</t>
  </si>
  <si>
    <t>Graph Neural Network Training Systems: A Performance Comparison of Full-Graph and Mini-Batch</t>
  </si>
  <si>
    <t>Strategic Linear Contextual Bandits</t>
  </si>
  <si>
    <t>LIDAO: Towards Limited Interventions for Debiasing (Large) Language Models</t>
  </si>
  <si>
    <t>Leveraging Knowlegde Graphs for Interpretable Feature Generation</t>
  </si>
  <si>
    <t>CONFINE: Conformal Prediction for Interpretable Neural Networks</t>
  </si>
  <si>
    <t>Causal Contrastive Learning for Counterfactual Regression Over Time</t>
  </si>
  <si>
    <t>On the Use of Anchoring for Training Vision Models</t>
  </si>
  <si>
    <t>Adaptive boosting with dynamic weight adjustment</t>
  </si>
  <si>
    <t>Learning Discrete Concepts in Latent Hierarchical Models</t>
  </si>
  <si>
    <t>Empirical influence functions to understand the logic of fine-tuning</t>
  </si>
  <si>
    <t>Conformal Transformation of Kernels: A Geometric Perspective on Text Classification</t>
  </si>
  <si>
    <t>Activation-Descent Regularization for Input Optimization of ReLU Networks</t>
  </si>
  <si>
    <t>Efficient Sign-Based Optimization: Accelerating Convergence via Variance Reduction</t>
  </si>
  <si>
    <t>Federated Model Heterogeneous Matryoshka Representation Learning</t>
  </si>
  <si>
    <t>Optimistic Rates for Learning from Label Proportions</t>
  </si>
  <si>
    <t>Exploring the limits of Hierarchical World Models in Reinforcement Learning</t>
  </si>
  <si>
    <t>Learning to Solve Multiresolution Matrix Factorization by Manifold Optimization and Evolutionary Metaheuristics</t>
  </si>
  <si>
    <t>Mix-of-Granularity: Optimize the Chunking Granularity for Retrieval-Augmented Generation</t>
  </si>
  <si>
    <t>Towards a Unified Framework of Clustering-based Anomaly Detection</t>
  </si>
  <si>
    <t>Stein Random Feature Regression</t>
  </si>
  <si>
    <t>SpaFL: Communication-Efficient Federated Learning with Sparse Models and Low computational Overhead</t>
  </si>
  <si>
    <t>InterpreTabNet: Distilling Predictive Signals from Tabular Data by Salient Feature Interpretation</t>
  </si>
  <si>
    <t>GATE: How to Keep Out Intrusive Neighbors</t>
  </si>
  <si>
    <t>Posterior Label Smoothing for Node Classification</t>
  </si>
  <si>
    <t>Dual-perspective Cross Contrastive Learning in Graph Transformers</t>
  </si>
  <si>
    <t>Stochastic Restarting to Overcome Overfitting in Neural Networks with Noisy Labels</t>
  </si>
  <si>
    <t>Learning Causal Abstractions of Linear Structural Causal Models</t>
  </si>
  <si>
    <t>Alternative Methods to SHAP Derived from Properties of Kernels: A Note on Theoretical Analysis</t>
  </si>
  <si>
    <t>Modeling Randomly Observed Spatiotemporal Dynamical Systems</t>
  </si>
  <si>
    <t>Benchmarking for Deep Uplift Modeling in Online Marketing</t>
  </si>
  <si>
    <t>A Structured Review of Literature on Uncertainty in Machine Learning &amp; Deep Learning</t>
  </si>
  <si>
    <t>Do's and Don'ts: Learning Desirable Skills with Instruction Videos</t>
  </si>
  <si>
    <t>KGLink: A column type annotation method that combines knowledge graph and pre-trained language model</t>
  </si>
  <si>
    <t>FedAST: Federated Asynchronous Simultaneous Training</t>
  </si>
  <si>
    <t>Coded Computing: A Learning-Theoretic Framework</t>
  </si>
  <si>
    <t>Multi-objective Neural Architecture Search by Learning Search Space Partitions</t>
  </si>
  <si>
    <t>Neural Optimal Transport with Lagrangian Costs</t>
  </si>
  <si>
    <t>Cross-Table Pretraining towards a Universal Function Space for Heterogeneous Tabular Data</t>
  </si>
  <si>
    <t>Non-destructive Degradation Pattern Decoupling for Ultra-early Battery Prototype Verification Using Physics-informed Machine Learning</t>
  </si>
  <si>
    <t xml:space="preserve">Contrastive Learning Via Equivariant Representation </t>
  </si>
  <si>
    <t>Privacy Challenges in Meta-Learning: An Investigation on Model-Agnostic Meta-Learning</t>
  </si>
  <si>
    <t>Exploring Vulnerabilities and Protections in Large Language Models: A Survey</t>
  </si>
  <si>
    <t>Learning to Stabilize Unknown LTI Systems on a Single Trajectory under Stochastic Noise</t>
  </si>
  <si>
    <t>Mamba State-Space Models Can Be Strong Downstream Learners</t>
  </si>
  <si>
    <t>Flexible and Efficient Surrogate Gradient Modeling with Forward Gradient Injection</t>
  </si>
  <si>
    <t>μLO: Compute-Efficient Meta-Generalization of Learned Optimizers</t>
  </si>
  <si>
    <t>Non-Federated Multi-Task Split Learning for Heterogeneous Sources</t>
  </si>
  <si>
    <t>Query2CAD: Generating CAD models using natural language queries</t>
  </si>
  <si>
    <t>Anomaly Detection in Dynamic Graphs: A Comprehensive Survey</t>
  </si>
  <si>
    <t>Streamflow Prediction with Uncertainty Quantification for Water Management: A Constrained Reasoning and Learning Approach</t>
  </si>
  <si>
    <t>QuanTA: Efficient High-Rank Fine-Tuning of LLMs with Quantum-Informed Tensor Adaptation</t>
  </si>
  <si>
    <t>How In-Context Learning Emerges from Training on Unstructured Data: On the Role of Co-Occurrence, Positional Information, and Noise Structures</t>
  </si>
  <si>
    <t>Reward Machines for Deep RL in Noisy and Uncertain Environments</t>
  </si>
  <si>
    <t>ADEP: A Novel Approach Based on Discriminator-Enhanced Encoder-Decoder Architecture for Accurate Prediction of Adverse Effects in Polypharmacy</t>
  </si>
  <si>
    <t>Scalable Bayesian Learning with posteriors</t>
  </si>
  <si>
    <t>From Structured to Unstructured:A Comparative Analysis of Computer Vision and Graph Models in solving Mesh-based PDEs</t>
  </si>
  <si>
    <t>An Efficient Multi Quantile Regression Network with Ad Hoc Prevention of Quantile Crossing</t>
  </si>
  <si>
    <t>Decision Mamba: Reinforcement Learning via Hybrid Selective Sequence Modeling</t>
  </si>
  <si>
    <t>Arbitrary Length Generalization for Addition</t>
  </si>
  <si>
    <t>A Novel Review of Stability Techniques for Improved Privacy-Preserving Machine Learning</t>
  </si>
  <si>
    <t>STAT: Shrinking Transformers After Training</t>
  </si>
  <si>
    <t>DiffUHaul: A Training-Free Method for Object Dragging in Images</t>
  </si>
  <si>
    <t>Text-guided Controllable Mesh Refinement for Interactive 3D Modeling</t>
  </si>
  <si>
    <t>Tilting the Odds at the Lottery: the Interplay of Overparameterisation and Curricula in Neural Networks</t>
  </si>
  <si>
    <t>Decomposing and Interpreting Image Representations via Text in ViTs Beyond CLIP</t>
  </si>
  <si>
    <t>Stochastic Bilevel Optimization with Lower-Level Contextual Markov Decision Processes</t>
  </si>
  <si>
    <t>Helix: Distributed Serving of Large Language Models via Max-Flow on Heterogeneous GPUs</t>
  </si>
  <si>
    <t>Long and Short Guidance in Score identity Distillation for One-Step Text-to-Image Generation</t>
  </si>
  <si>
    <t>Learning equivariant tensor functions with applications to sparse vector recovery</t>
  </si>
  <si>
    <t>Learning from Mistakes: a Weakly-supervised Method for Mitigating the Distribution Shift in Autonomous Vehicle Planning</t>
  </si>
  <si>
    <t>Beyond symmetrization: effective adjacency matrices and renormalization for (un)singed directed graphs</t>
  </si>
  <si>
    <t>The Geometry of Categorical and Hierarchical Concepts in Large Language Models</t>
  </si>
  <si>
    <t>Robust Classification by Coupling Data Mollification with Label Smoothing</t>
  </si>
  <si>
    <t>Online Optimization Perspective on First-Order and Zero-Order Decentralized Nonsmooth Nonconvex Stochastic Optimization</t>
  </si>
  <si>
    <t>Stochastic Newton Proximal Extragradient Method</t>
  </si>
  <si>
    <t>Understanding Token Probability Encoding in Output Embeddings</t>
  </si>
  <si>
    <t>Automatic Fused Multimodal Deep Learning for Plant Identification</t>
  </si>
  <si>
    <t>Enabling ASR for Low-Resource Languages: A Comprehensive Dataset Creation Approach</t>
  </si>
  <si>
    <t>Problematizing AI Omnipresence in Landscape Architecture</t>
  </si>
  <si>
    <t>Mixture of Rationale: Multi-Modal Reasoning Mixture for Visual Question Answering</t>
  </si>
  <si>
    <t>Efficient Computation Using Spatial-Photonic Ising Machines: Utilizing Low-Rank and Circulant Matrix Constraints</t>
  </si>
  <si>
    <t>From Feature Visualization to Visual Circuits: Effect of Adversarial Model Manipulation</t>
  </si>
  <si>
    <t>Sequence-to-Sequence Multi-Modal Speech In-Painting</t>
  </si>
  <si>
    <t>Scale-Free Image Keypoints Using Differentiable Persistent Homology</t>
  </si>
  <si>
    <t>Improved Few-Shot Jailbreaking Can Circumvent Aligned Language Models and Their Defenses</t>
  </si>
  <si>
    <t>Large Language Models as Recommender Systems: A Study of Popularity Bias</t>
  </si>
  <si>
    <t>fruit-SALAD: A Style Aligned Artwork Dataset to reveal similarity perception in image embeddings</t>
  </si>
  <si>
    <t>Lifting Factor Graphs with Some Unknown Factors</t>
  </si>
  <si>
    <t>DumpKV: Learning based lifetime aware garbage collection for key value separation in LSM-tree</t>
  </si>
  <si>
    <t>ControlSpeech: Towards Simultaneous Zero-shot Speaker Cloning and Zero-shot Language Style Control With Decoupled Codec</t>
  </si>
  <si>
    <t>Scaling Up Deep Clustering Methods Beyond ImageNet-1K</t>
  </si>
  <si>
    <t>S-CycleGAN: Semantic Segmentation Enhanced CT-Ultrasound Image-to-Image Translation for Robotic Ultrasonography</t>
  </si>
  <si>
    <t>Patch-Based Encoder-Decoder Architecture for Automatic Transmitted Light to Fluorescence Imaging Transition: Contribution to the LightMyCells Challenge</t>
  </si>
  <si>
    <t>Agnostic Learning of Mixed Linear Regressions with EM and AM Algorithms</t>
  </si>
  <si>
    <t>Synergizing Unsupervised and Supervised Learning: A Hybrid Approach for Accurate Natural Language Task Modeling</t>
  </si>
  <si>
    <t>No Vandalism: Privacy-Preserving and Byzantine-Robust Federated Learning</t>
  </si>
  <si>
    <t>Estimating Canopy Height at Scale</t>
  </si>
  <si>
    <t>Visual Car Brand Classification by Implementing a Synthetic Image Dataset Creation Pipeline</t>
  </si>
  <si>
    <t>Virtual avatar generation models as world navigators</t>
  </si>
  <si>
    <t>An Advanced Reinforcement Learning Framework for Online Scheduling of Deferrable Workloads in Cloud Computing</t>
  </si>
  <si>
    <t>Generalized Jersey Number Recognition Using Multi-task Learning With Orientation-guided Weight Refinement</t>
  </si>
  <si>
    <t>PRICE: A Pretrained Model for Cross-Database Cardinality Estimation</t>
  </si>
  <si>
    <t>Accent Conversion in Text-To-Speech Using Multi-Level VAE and Adversarial Training</t>
  </si>
  <si>
    <t>Distributional Refinement Network: Distributional Forecasting via Deep Learning</t>
  </si>
  <si>
    <t>Cold-start Recommendation by Personalized Embedding Region Elicitation</t>
  </si>
  <si>
    <t>Improving Segment Anything on the Fly: Auxiliary Online Learning and Adaptive Fusion for Medical Image Segmentation</t>
  </si>
  <si>
    <t>Demystifying SGD with Doubly Stochastic Gradients</t>
  </si>
  <si>
    <t>Assessing the Adversarial Security of Perceptual Hashing Algorithms</t>
  </si>
  <si>
    <t>DDA: Dimensionality Driven Augmentation Search for Contrastive Learning in Laparoscopic Surgery</t>
  </si>
  <si>
    <t>Robust Multi-Modal Speech In-Painting: A Sequence-to-Sequence Approach</t>
  </si>
  <si>
    <t>Quantum Equilibrium Propagation: Gradient-Descent Training of Quantum Systems</t>
  </si>
  <si>
    <t>Scaffold Splits Overestimate Virtual Screening Performance</t>
  </si>
  <si>
    <t>DistilDIRE: A Small, Fast, Cheap and Lightweight Diffusion Synthesized Deepfake Detection</t>
  </si>
  <si>
    <t>A Tutorial on Doubly Robust Learning for Causal Inference</t>
  </si>
  <si>
    <t>Diffusion-Inspired Quantum Noise Mitigation in Parameterized Quantum Circuits</t>
  </si>
  <si>
    <t>BoNBoN Alignment for Large Language Models and the Sweetness of Best-of-n Sampling</t>
  </si>
  <si>
    <t>Lasso Bandit with Compatibility Condition on Optimal Arm</t>
  </si>
  <si>
    <t>Covariance-Adaptive Sequential Black-box Optimization for Diffusion Targeted Generation</t>
  </si>
  <si>
    <t>Graph Neural Preconditioners for Iterative Solutions of Sparse Linear Systems</t>
  </si>
  <si>
    <t>Is In-Context Learning in Large Language Models Bayesian? A Martingale Perspective</t>
  </si>
  <si>
    <t>Bayesian Joint Additive Factor Models for Multiview Learning</t>
  </si>
  <si>
    <t>Evaluating Mathematical Reasoning of Large Language Models: A Focus on Error Identification and Correction</t>
  </si>
  <si>
    <t>Freeplane: Unlocking Free Lunch in Triplane-Based Sparse-View Reconstruction Models</t>
  </si>
  <si>
    <t>Learning to Play 7 Wonders Duel Without Human Supervision</t>
  </si>
  <si>
    <t>Full-Atom Peptide Design based on Multi-modal Flow Matching</t>
  </si>
  <si>
    <t>Logistic Variational Bayes Revisited</t>
  </si>
  <si>
    <t>An Optimized Toolbox for Advanced Image Processing with Tsetlin Machine Composites</t>
  </si>
  <si>
    <t>Discovering an interpretable mathematical expression for a full wind-turbine wake with artificial intelligence enhanced symbolic regression</t>
  </si>
  <si>
    <t>Improving Accuracy-robustness Trade-off via Pixel Reweighted Adversarial Training</t>
  </si>
  <si>
    <t>An Early Investigation into the Utility of Multimodal Large Language Models in Medical Imaging</t>
  </si>
  <si>
    <t>SimSAM: Zero-shot Medical Image Segmentation via Simulated Interaction</t>
  </si>
  <si>
    <t>On Non-asymptotic Theory of Recurrent Neural Networks in Temporal Point Processes</t>
  </si>
  <si>
    <t>Transforming Computer Security and Public Trust Through the Exploration of Fine-Tuning Large Language Models</t>
  </si>
  <si>
    <t>Making Recommender Systems More Knowledgeable: A Framework to Incorporate Side Information</t>
  </si>
  <si>
    <t>Breast Cancer Diagnosis: A Comprehensive Exploration of Explainable Artificial Intelligence (XAI) Techniques</t>
  </si>
  <si>
    <t>Learning to Play Air Hockey with Model-Based Deep Reinforcement Learning</t>
  </si>
  <si>
    <t>Non-geodesically-convex optimization in the Wasserstein space</t>
  </si>
  <si>
    <t>Diffusion-based Image Generation for In-distribution Data Augmentation in Surface Defect Detection</t>
  </si>
  <si>
    <t>SAM-VMNet: Deep Neural Networks For Coronary Angiography Vessel Segmentation</t>
  </si>
  <si>
    <t>DroneVis: Versatile Computer Vision Library for Drones</t>
  </si>
  <si>
    <t>Neural Polarization: Toward Electron Density for Molecules by Extending Equivariant Networks</t>
  </si>
  <si>
    <t>A Batch Sequential Halving Algorithm without Performance Degradation</t>
  </si>
  <si>
    <t>Multimodal Metadata Assignment for Cultural Heritage Artifacts</t>
  </si>
  <si>
    <t>Representation and De-interleaving of Mixtures of Hidden Markov Processes</t>
  </si>
  <si>
    <t>Arabic Handwritten Text for Person Biometric Identification: A Deep Learning Approach</t>
  </si>
  <si>
    <t>Understanding the Convergence in Balanced Resonate-and-Fire Neurons</t>
  </si>
  <si>
    <t>DeCoOp: Robust Prompt Tuning with Out-of-Distribution Detection</t>
  </si>
  <si>
    <t>Turnstile ℓp leverage score sampling with applications</t>
  </si>
  <si>
    <t>Whole Heart 3D+T Representation Learning Through Sparse 2D Cardiac MR Images</t>
  </si>
  <si>
    <t>Optimal bounds for ℓp sensitivity sampling via ℓ2 augmentation</t>
  </si>
  <si>
    <t>Combining Experimental and Historical Data for Policy Evaluation</t>
  </si>
  <si>
    <t>Flash3D: Feed-Forward Generalisable 3D Scene Reconstruction from a Single Image</t>
  </si>
  <si>
    <t>Learning 1D Causal Visual Representation with De-focus Attention Networks</t>
  </si>
  <si>
    <t>Interpreting the Second-Order Effects of Neurons in CLIP</t>
  </si>
  <si>
    <t>RoboMamba: Multimodal State Space Model for Efficient Robot Reasoning and Manipulation</t>
  </si>
  <si>
    <t>Physics3D: Learning Physical Properties of 3D Gaussians via Video Diffusion</t>
  </si>
  <si>
    <t>Coherent Zero-Shot Visual Instruction Generation</t>
  </si>
  <si>
    <t>DeepStack: Deeply Stacking Visual Tokens is Surprisingly Simple and Effective for LMMs</t>
  </si>
  <si>
    <t>BitsFusion: 1.99 bits Weight Quantization of Diffusion Model</t>
  </si>
  <si>
    <t>ShareGPT4Video: Improving Video Understanding and Generation with Better Captions</t>
  </si>
  <si>
    <t>SF-V: Single Forward Video Generation Model</t>
  </si>
  <si>
    <t>DIRECT-3D: Learning Direct Text-to-3D Generation on Massive Noisy 3D Data</t>
  </si>
  <si>
    <t>Omni6DPose: A Benchmark and Model for Universal 6D Object Pose Estimation and Tracking</t>
  </si>
  <si>
    <t>Step-aware Preference Optimization: Aligning Preference with Denoising Performance at Each Step</t>
  </si>
  <si>
    <t>ReNO: Enhancing One-step Text-to-Image Models through Reward-based Noise Optimization</t>
  </si>
  <si>
    <t>Neural Surface Reconstruction from Sparse Views Using Epipolar Geometry</t>
  </si>
  <si>
    <t>Text-to-Drive: Diverse Driving Behavior Synthesis via Large Language Models</t>
  </si>
  <si>
    <t>Everything to the Synthetic: Diffusion-driven Test-time Adaptation via Synthetic-Domain Alignment</t>
  </si>
  <si>
    <t>VISTA: Visualized Text Embedding For Universal Multi-Modal Retrieval</t>
  </si>
  <si>
    <t>What Languages are Easy to Language-Model? A Perspective from Learning Probabilistic Regular Languages</t>
  </si>
  <si>
    <t>SpectralZoom: Efficient Segmentation with an Adaptive Hyperspectral Camera</t>
  </si>
  <si>
    <t>ABEX: Data Augmentation for Low-Resource NLU via Expanding Abstract Descriptions</t>
  </si>
  <si>
    <t>Characterizing Similarities and Divergences in Conversational Tones in Humans and LLMs by Sampling with People</t>
  </si>
  <si>
    <t>VideoTetris: Towards Compositional Text-to-Video Generation</t>
  </si>
  <si>
    <t>ELFS: Enhancing Label-Free Coreset Selection via Clustering-based Pseudo-Labeling</t>
  </si>
  <si>
    <t>Buffer of Thoughts: Thought-Augmented Reasoning with Large Language Models</t>
  </si>
  <si>
    <t>Beyond Performance Plateaus: A Comprehensive Study on Scalability in Speech Enhancement</t>
  </si>
  <si>
    <t>MLVU: A Comprehensive Benchmark for Multi-Task Long Video Understanding</t>
  </si>
  <si>
    <t>GeoGen: Geometry-Aware Generative Modeling via Signed Distance Functions</t>
  </si>
  <si>
    <t>A Survey on 3D Human Avatar Modeling -- From Reconstruction to Generation</t>
  </si>
  <si>
    <t>Localized Gaussian Point Management</t>
  </si>
  <si>
    <t>Conv-INR: Convolutional Implicit Neural Representation for Multimodal Visual Signals</t>
  </si>
  <si>
    <t>Benchmark Data Contamination of Large Language Models: A Survey</t>
  </si>
  <si>
    <t>Understanding Information Storage and Transfer in Multi-modal Large Language Models</t>
  </si>
  <si>
    <t>Toward Artificial Open-Ended Evolution within Lenia using Quality-Diversity</t>
  </si>
  <si>
    <t>FairytaleQA Translated: Enabling Educational Question and Answer Generation in Less-Resourced Languages</t>
  </si>
  <si>
    <t>Quantifying Misalignment Between Agents</t>
  </si>
  <si>
    <t>M3LEO: A Multi-Modal, Multi-Label Earth Observation Dataset Integrating Interferometric SAR and RGB Data</t>
  </si>
  <si>
    <t>Matching Anything by Segmenting Anything</t>
  </si>
  <si>
    <t>BEADs: Bias Evaluation Across Domains</t>
  </si>
  <si>
    <t>Rethinking LLM and Linguistic Steganalysis: An Efficient Detection of Strongly Concealed Stego</t>
  </si>
  <si>
    <t>ValueBench: Towards Comprehensively Evaluating Value Orientations and Understanding of Large Language Models</t>
  </si>
  <si>
    <t>Sound Event Bounding Boxes</t>
  </si>
  <si>
    <t>Gaining Cross-Platform Parallelism for HAL's Molecular Dynamics Package using SYCL</t>
  </si>
  <si>
    <t>CDMamba: Remote Sensing Image Change Detection with Mamba</t>
  </si>
  <si>
    <t>Diffusion-based image inpainting with internal learning</t>
  </si>
  <si>
    <t>Legal Documents Drafting with Fine-Tuned Pre-Trained Large Language Model</t>
  </si>
  <si>
    <t>DICE: Detecting In-distribution Contamination in LLM's Fine-tuning Phase for Math Reasoning</t>
  </si>
  <si>
    <t>Encoding Semantic Priors into the Weights of Implicit Neural Representation</t>
  </si>
  <si>
    <t>Confabulation: The Surprising Value of Large Language Model Hallucinations</t>
  </si>
  <si>
    <t>MARLander: A Local Path Planning for Drone Swarms using Multiagent Deep Reinforcement Learning</t>
  </si>
  <si>
    <t>Sparse Multi-baseline SAR Cross-modal 3D Reconstruction of Vehicle Targets</t>
  </si>
  <si>
    <t>AgentGym: Evolving Large Language Model-based Agents across Diverse Environments</t>
  </si>
  <si>
    <t>Characterizing segregation in blast rock piles a deep-learning approach leveraging aerial image analysis</t>
  </si>
  <si>
    <t>Towards Understanding Task-agnostic Debiasing Through the Lenses of Intrinsic Bias and Forgetfulness</t>
  </si>
  <si>
    <t>Every Answer Matters: Evaluating Commonsense with Probabilistic Measures</t>
  </si>
  <si>
    <t>STraDa: A Singer Traits Dataset</t>
  </si>
  <si>
    <t>The 3D-PC: a benchmark for visual perspective taking in humans and machines</t>
  </si>
  <si>
    <t>LenslessFace: An End-to-End Optimized Lensless System for Privacy-Preserving Face Verification</t>
  </si>
  <si>
    <t>Are We Done with MMLU?</t>
  </si>
  <si>
    <t>Promoting Fairness and Diversity in Speech Datasets for Mental Health and Neurological Disorders Research</t>
  </si>
  <si>
    <t>Uncovering Limitations of Large Language Models in Information Seeking from Tables</t>
  </si>
  <si>
    <t>Intention and Face in Dialog</t>
  </si>
  <si>
    <t>How Far Can We Compress Instant-NGP-Based NeRF?</t>
  </si>
  <si>
    <t>Data-driven Explainable Controller for Soft Robots based on Recurrent Neural Networks</t>
  </si>
  <si>
    <t>A Survey of Language-Based Communication in Robotics</t>
  </si>
  <si>
    <t>Leveraging automatic strategy discovery to teach people how to select better projects</t>
  </si>
  <si>
    <t>Federated TrustChain: Blockchain-Enhanced LLM Training and Unlearning</t>
  </si>
  <si>
    <t>Ask LLMs Directly, "What shapes your bias?": Measuring Social Bias in Large Language Models</t>
  </si>
  <si>
    <t>Online Learning in Betting Markets: Profit versus Prediction</t>
  </si>
  <si>
    <t>Semmeldetector: Application of Machine Learning in Commercial Bakeries</t>
  </si>
  <si>
    <t>ActionReasoningBench: Reasoning about Actions with and without Ramification Constraints</t>
  </si>
  <si>
    <t>Zero-Painter: Training-Free Layout Control for Text-to-Image Synthesis</t>
  </si>
  <si>
    <t>Jailbreak Vision Language Models via Bi-Modal Adversarial Prompt</t>
  </si>
  <si>
    <t>Contrastive Sparse Autoencoders for Interpreting Planning of Chess-Playing Agents</t>
  </si>
  <si>
    <t>3rd Place Solution for PVUW Challenge 2024: Video Panoptic Segmentation</t>
  </si>
  <si>
    <t>AC4MPC: Actor-Critic Reinforcement Learning for Nonlinear Model Predictive Control</t>
  </si>
  <si>
    <t>Assessing LLMs for Zero-shot Abstractive Summarization Through the Lens of Relevance Paraphrasing</t>
  </si>
  <si>
    <t>On The Persona-based Summarization of Domain-Specific Documents</t>
  </si>
  <si>
    <t>LNQ Challenge 2023: Learning Mediastinal Lymph Node Segmentation with a Probabilistic Lymph Node Atlas</t>
  </si>
  <si>
    <t>A + B: A General Generator-Reader Framework for Optimizing LLMs to Unleash Synergy Potential</t>
  </si>
  <si>
    <t>LDM-RSIC: Exploring Distortion Prior with Latent Diffusion Models for Remote Sensing Image Compression</t>
  </si>
  <si>
    <t>Tox-BART: Leveraging Toxicity Attributes for Explanation Generation of Implicit Hate Speech</t>
  </si>
  <si>
    <t>UltraMedical: Building Specialized Generalists in Biomedicine</t>
  </si>
  <si>
    <t>Beyond Similarity: Personalized Federated Recommendation with Composite Aggregation</t>
  </si>
  <si>
    <t>Culturally Aware and Adapted NLP: A Taxonomy and a Survey of the State of the Art</t>
  </si>
  <si>
    <t>Knowledge Transfer, Knowledge Gaps, and Knowledge Silos in Citation Networks</t>
  </si>
  <si>
    <t>Frequency-based Matcher for Long-tailed Semantic Segmentation</t>
  </si>
  <si>
    <t>ArMeme: Propagandistic Content in Arabic Memes</t>
  </si>
  <si>
    <t>Exploring the Zero-Shot Capabilities of Vision-Language Models for Improving Gaze Following</t>
  </si>
  <si>
    <t>HeSum: a Novel Dataset for Abstractive Text Summarization in Hebrew</t>
  </si>
  <si>
    <t>How Good is Zero-Shot MT Evaluation for Low Resource Indian Languages?</t>
  </si>
  <si>
    <t>Spontaneous Speech-Based Suicide Risk Detection Using Whisper and Large Language Models</t>
  </si>
  <si>
    <t>Evaluating the IWSLT2023 Speech Translation Tasks: Human Annotations, Automatic Metrics, and Segmentation</t>
  </si>
  <si>
    <t>Decoder-only Streaming Transformer for Simultaneous Translation</t>
  </si>
  <si>
    <t>Bench2Drive: Towards Multi-Ability Benchmarking of Closed-Loop End-To-End Autonomous Driving</t>
  </si>
  <si>
    <t>BLSP-Emo: Towards Empathetic Large Speech-Language Models</t>
  </si>
  <si>
    <t>GOOSE: Goal-Conditioned Reinforcement Learning for Safety-Critical Scenario Generation</t>
  </si>
  <si>
    <t>Recovering document annotations for sentence-level bitext</t>
  </si>
  <si>
    <t>PALM: A Efficient Performance Simulator for Tiled Accelerators with Large-scale Model Training</t>
  </si>
  <si>
    <t>LLplace: The 3D Indoor Scene Layout Generation and Editing via Large Language Model</t>
  </si>
  <si>
    <t>Semantic Similarity Score for Measuring Visual Similarity at Semantic Level</t>
  </si>
  <si>
    <t>Performance of large language models in numerical vs. semantic medical knowledge: Benchmarking on evidence-based Q&amp;As</t>
  </si>
  <si>
    <t>Speculative Decoding via Early-exiting for Faster LLM Inference with Thompson Sampling Control Mechanism</t>
  </si>
  <si>
    <t>Lean Workbook: A large-scale Lean problem set formalized from natural language math problems</t>
  </si>
  <si>
    <t>POEM: Interactive Prompt Optimization for Enhancing Multimodal Reasoning of Large Language Models</t>
  </si>
  <si>
    <t>Malware Classification Based on Image Segmentation</t>
  </si>
  <si>
    <t>Chaos with Keywords: Exposing Large Language Models Sycophancy to Misleading Keywords and Evaluating Defense Strategies</t>
  </si>
  <si>
    <t>SilentCipher: Deep Audio Watermarking</t>
  </si>
  <si>
    <t>ReST-MCTS*: LLM Self-Training via Process Reward Guided Tree Search</t>
  </si>
  <si>
    <t>Improving Zero-Shot Chinese-English Code-Switching ASR with kNN-CTC and Gated Monolingual Datastores</t>
  </si>
  <si>
    <t>Touch100k: A Large-Scale Touch-Language-Vision Dataset for Touch-Centric Multimodal Representation</t>
  </si>
  <si>
    <t>AutoJailbreak: Exploring Jailbreak Attacks and Defenses through a Dependency Lens</t>
  </si>
  <si>
    <t>Light-PEFT: Lightening Parameter-Efficient Fine-Tuning via Early Pruning</t>
  </si>
  <si>
    <t>End-to-End Trainable Soft Retriever for Low-resource Relation Extraction</t>
  </si>
  <si>
    <t>XL-HeadTags: Leveraging Multimodal Retrieval Augmentation for the Multilingual Generation of News Headlines and Tags</t>
  </si>
  <si>
    <t>Optimizing Multi-User Semantic Communication via Transfer Learning and Knowledge Distillation</t>
  </si>
  <si>
    <t>Character-Level Chinese Dependency Parsing via Modeling Latent Intra-Word Structure</t>
  </si>
  <si>
    <t>CORTEX: Large-Scale Brain Simulator Utilizing Indegree Sub-Graph Decomposition on Fugaku Supercomputer</t>
  </si>
  <si>
    <t>VisLTR: Visualization-in-the-Loop Table Reasoning</t>
  </si>
  <si>
    <t>NAP^2: A Benchmark for Naturalness and Privacy-Preserving Text Rewriting by Learning from Human</t>
  </si>
  <si>
    <t>Efficient Knowledge Infusion via KG-LLM Alignment</t>
  </si>
  <si>
    <t>Evaluating Durability: Benchmark Insights into Multimodal Watermarking</t>
  </si>
  <si>
    <t>LLMEmbed: Rethinking Lightweight LLM's Genuine Function in Text Classification</t>
  </si>
  <si>
    <t>Gear-NeRF: Free-Viewpoint Rendering and Tracking with Motion-aware Spatio-Temporal Sampling</t>
  </si>
  <si>
    <t>JIGMARK: A Black-Box Approach for Enhancing Image Watermarks against Diffusion Model Edits</t>
  </si>
  <si>
    <t>Generalization-Enhanced Code Vulnerability Detection via Multi-Task Instruction Fine-Tuning</t>
  </si>
  <si>
    <t>Retrieval Augmented Generation in Prompt-based Text-to-Speech Synthesis with Context-Aware Contrastive Language-Audio Pretraining</t>
  </si>
  <si>
    <t>Pi-fusion: Physics-informed diffusion model for learning fluid dynamics</t>
  </si>
  <si>
    <t>Improving Audio Codec-based Zero-Shot Text-to-Speech Synthesis with Multi-Modal Context and Large Language Model</t>
  </si>
  <si>
    <t>DSNet: A Novel Way to Use Atrous Convolutions in Semantic Segmentation</t>
  </si>
  <si>
    <t>Recognizing Everything from All Modalities at Once: Grounded Multimodal Universal Information Extraction</t>
  </si>
  <si>
    <t>M-QALM: A Benchmark to Assess Clinical Reading Comprehension and Knowledge Recall in Large Language Models via Question Answering</t>
  </si>
  <si>
    <t>Superpoint Gaussian Splatting for Real-Time High-Fidelity Dynamic Scene Reconstruction</t>
  </si>
  <si>
    <t>Untrained Neural Nets for Snapshot Compressive Imaging: Theory and Algorithms</t>
  </si>
  <si>
    <t>Evaluating the World Model Implicit in a Generative Model</t>
  </si>
  <si>
    <t>Shadow and Light: Digitally Reconstructed Radiographs for Disease Classification</t>
  </si>
  <si>
    <t>Principles of Designing Robust Remote Face Anti-Spoofing Systems</t>
  </si>
  <si>
    <t>Linguistically Conditioned Semantic Textual Similarity</t>
  </si>
  <si>
    <t>3rd Place Solution for MOSE Track in CVPR 2024 PVUW workshop: Complex Video Object Segmentation</t>
  </si>
  <si>
    <t>What Makes Language Models Good-enough?</t>
  </si>
  <si>
    <t>Refactoring to Pythonic Idioms: A Hybrid Knowledge-Driven Approach Leveraging Large Language Models</t>
  </si>
  <si>
    <t>Degrees of Freedom Matter: Inferring Dynamics from Point Trajectories</t>
  </si>
  <si>
    <t>TACT: Advancing Complex Aggregative Reasoning with Information Extraction Tools</t>
  </si>
  <si>
    <t>Fantastyc: Blockchain-based Federated Learning Made Secure and Practical</t>
  </si>
  <si>
    <t>Knowledge-Infused Legal Wisdom: Navigating LLM Consultation through the Lens of Diagnostics and Positive-Unlabeled Reinforcement Learning</t>
  </si>
  <si>
    <t>Measuring Retrieval Complexity in Question Answering Systems</t>
  </si>
  <si>
    <t>Ranking Manipulation for Conversational Search Engines</t>
  </si>
  <si>
    <t>Understanding the Limitations of Diffusion Concept Algebra Through Food</t>
  </si>
  <si>
    <t>3D-GRAND: Towards Better Grounding and Less Hallucination for 3D-LLMs</t>
  </si>
  <si>
    <t>DVOS: Self-Supervised Dense-Pattern Video Object Segmentation</t>
  </si>
  <si>
    <t>An Empirical Study on Parameter-Efficient Fine-Tuning for MultiModal Large Language Models</t>
  </si>
  <si>
    <t>Differentiable Time-Varying Linear Prediction in the Context of End-to-End Analysis-by-Synthesis</t>
  </si>
  <si>
    <t>Towards Semantic Equivalence of Tokenization in Multimodal LLM</t>
  </si>
  <si>
    <t>Energy Propagation in Scattering Convolution Networks Can Be Arbitrarily Slow</t>
  </si>
  <si>
    <t>Contextual fusion enhances robustness to image blurring</t>
  </si>
  <si>
    <t>Compositional Curvature Bounds for Deep Neural Networks</t>
  </si>
  <si>
    <t>The Expanding Scope of the Stability Gap: Unveiling its Presence in Joint Incremental Learning of Homogeneous Tasks</t>
  </si>
  <si>
    <t>LLavaGuard: VLM-based Safeguards for Vision Dataset Curation and Safety Assessment</t>
  </si>
  <si>
    <t>Categorizing Sources of Information for Explanations in Conversational AI Systems for Older Adults Aging in Place</t>
  </si>
  <si>
    <t>Large Generative Graph Models</t>
  </si>
  <si>
    <t>Adapting Physics-Informed Neural Networks To Optimize ODEs in Mosquito Population Dynamics</t>
  </si>
  <si>
    <t>LINX: A Language Driven Generative System for Goal-Oriented Automated Data Exploration</t>
  </si>
  <si>
    <t>A Novel Time Series-to-Image Encoding Approach for Weather Phenomena Classification</t>
  </si>
  <si>
    <t>CheckEmbed: Effective Verification of LLM Solutions to Open-Ended Tasks</t>
  </si>
  <si>
    <t>ArtPrompt: ASCII Art-based Jailbreak Attacks against Aligned LLMs</t>
  </si>
  <si>
    <t>Towards a theory of out-of-distribution learning</t>
  </si>
  <si>
    <t>NeuralThink: Learning Algorithms For Consistent and Efficient Extrapolation Across General Tasks</t>
  </si>
  <si>
    <t>Deep Discriminative to Kernel Density Graph for In- and Out-of-distribution Calibrated Inference</t>
  </si>
  <si>
    <t>DepsRAG: Towards Managing Software Dependencies using Large Language Models</t>
  </si>
  <si>
    <t>Provably Better Explanations with Optimized Aggregation of Feature Attributions</t>
  </si>
  <si>
    <t>Optimizing Time Series Forecasting Architectures: A Hierarchical Neural Architecture Search Approach</t>
  </si>
  <si>
    <t>Corpus Poisoning via Approximate Greedy Gradient Descent</t>
  </si>
  <si>
    <t>Robust Reward Design for Markov Decision Processes</t>
  </si>
  <si>
    <t>DORY: Deliberative Prompt Recovery for LLM</t>
  </si>
  <si>
    <t>Multi-Head RAG: Solving Multi-Aspect Problems with LLMs</t>
  </si>
  <si>
    <t>CoNo: Consistency Noise Injection for Tuning-free Long Video Diffusion</t>
  </si>
  <si>
    <t>MedYOLO: A Medical Image Object Detection Framework</t>
  </si>
  <si>
    <t>I2EDL: Interactive Instruction Error Detection and Localization</t>
  </si>
  <si>
    <t>SUMIE: A Synthetic Benchmark for Incremental Entity Summarization</t>
  </si>
  <si>
    <t>The Influencer Next Door: How Misinformation Creators Use GenAI</t>
  </si>
  <si>
    <t>Diving Deep into the Motion Representation of Video-Text Models</t>
  </si>
  <si>
    <t>Hibou: A Family of Foundational Vision Transformers for Pathology</t>
  </si>
  <si>
    <t>Linearization Turns Neural Operators into Function-Valued Gaussian Processes</t>
  </si>
  <si>
    <t>Massively Multiagent Minigames for Training Generalist Agents</t>
  </si>
  <si>
    <t>Classification Metrics for Image Explanations: Towards Building Reliable XAI-Evaluations</t>
  </si>
  <si>
    <t>Pretraining Decision Transformers with Reward Prediction for In-Context Multi-task Structured Bandit Learning</t>
  </si>
  <si>
    <t>Are Large Language Models More Empathetic than Humans?</t>
  </si>
  <si>
    <t>GenHeld: Generating and Editing Handheld Objects</t>
  </si>
  <si>
    <t>Cross-Domain Synthetic-to-Real In-the-Wild Depth and Normal Estimation for 3D Scene Understanding</t>
  </si>
  <si>
    <t>Robustness Assessment of Mathematical Reasoning in the Presence of Missing and Contradictory Conditions</t>
  </si>
  <si>
    <t>Prototype Correlation Matching and Class-Relation Reasoning for Few-Shot Medical Image Segmentation</t>
  </si>
  <si>
    <t>Hints-In-Browser: Benchmarking Language Models for Programming Feedback Generation</t>
  </si>
  <si>
    <t>A Tensor Decomposition Perspective on Second-order RNNs</t>
  </si>
  <si>
    <t>AudioSetMix: Enhancing Audio-Language Datasets with LLM-Assisted Augmentations</t>
  </si>
  <si>
    <t>Branch-Solve-Merge Improves Large Language Model Evaluation and Generation</t>
  </si>
  <si>
    <t>Learning mirror maps in policy mirror descent</t>
  </si>
  <si>
    <t>Bootstrapping Referring Multi-Object Tracking</t>
  </si>
  <si>
    <t>VITON-DiT: Learning In-the-Wild Video Try-On from Human Dance Videos via Diffusion Transformers</t>
  </si>
  <si>
    <t>Efficient 3D Shape Generation via Diffusion Mamba with Bidirectional SSMs</t>
  </si>
  <si>
    <t>TimeSieve: Extracting Temporal Dynamics through Information Bottlenecks</t>
  </si>
  <si>
    <t>Scenarios and Approaches for Situated Natural Language Explanations</t>
  </si>
  <si>
    <t>Gradient Descent on Logistic Regression with Non-Separable Data and Large Step Sizes</t>
  </si>
  <si>
    <t>How Abilities in Large Language Models are Affected by Supervised Fine-tuning Data Composition</t>
  </si>
  <si>
    <t>Optimizing Automatic Differentiation with Deep Reinforcement Learning</t>
  </si>
  <si>
    <t>Higher-order modeling of face-to-face interactions</t>
  </si>
  <si>
    <t>GANetic Loss for Generative Adversarial Networks with a Focus on Medical Applications</t>
  </si>
  <si>
    <t>Chronicling Germany: An Annotated Historical Newspaper Dataset</t>
  </si>
  <si>
    <t>Scaling up Probabilistic PDE Simulators with Structured Volumetric Information</t>
  </si>
  <si>
    <t>CHIQ: Contextual History Enhancement for Improving Query Rewriting in Conversational Search</t>
  </si>
  <si>
    <t>A Novel Cross-Perturbation for Single Domain Generalization</t>
  </si>
  <si>
    <t>Clarifying Myths About the Relationship Between Shape Bias, Accuracy, and Robustness</t>
  </si>
  <si>
    <t>Designs for Enabling Collaboration in Human-Machine Teaming via Interactive and Explainable Systems</t>
  </si>
  <si>
    <t>Benchmarking Deep Jansen-Rit Parameter Inference: An in Silico Study</t>
  </si>
  <si>
    <t>AttnDreamBooth: Towards Text-Aligned Personalized Text-to-Image Generation</t>
  </si>
  <si>
    <t>Image Coding for Machines with Edge Information Learning Using Segment Anything</t>
  </si>
  <si>
    <t>On the Independence Assumption in Neurosymbolic Learning</t>
  </si>
  <si>
    <t>Towards Generating Executable Metamorphic Relations Using Large Language Models</t>
  </si>
  <si>
    <t>ADBA:Approximation Decision Boundary Approach for Black-Box Adversarial Attacks</t>
  </si>
  <si>
    <t>On the social bias of speech self-supervised models</t>
  </si>
  <si>
    <t>Development and Validation of a Deep-Learning Model for Differential Treatment Benefit Prediction for Adults with Major Depressive Disorder Deployed in the Artificial Intelligence in Depression Medication Enhancement (AIDME) Study</t>
  </si>
  <si>
    <t>Compositional Generalization with Grounded Language Models</t>
  </si>
  <si>
    <t>Language models emulate certain cognitive profiles: An investigation of how predictability measures interact with individual differences</t>
  </si>
  <si>
    <t>Spiking Neural Networks for event-based action recognition: A new task to understand their advantage</t>
  </si>
  <si>
    <t>MEFT: Memory-Efficient Fine-Tuning through Sparse Adapter</t>
  </si>
  <si>
    <t>CityCraft: A Real Crafter for 3D City Generation</t>
  </si>
  <si>
    <t>Semantic Segmentation on VSPW Dataset through Masked Video Consistency</t>
  </si>
  <si>
    <t>3DGStream: On-the-Fly Training of 3D Gaussians for Efficient Streaming of Photo-Realistic Free-Viewpoint Videos</t>
  </si>
  <si>
    <t>UniTST: Effectively Modeling Inter-Series and Intra-Series Dependencies for Multivariate Time Series Forecasting</t>
  </si>
  <si>
    <t>GNNavi: Navigating the Information Flow in Large Language Models by Graph Neural Network</t>
  </si>
  <si>
    <t>Dealing with unbounded gradients in stochastic saddle-point optimization</t>
  </si>
  <si>
    <t>Neural Laplace for learning Stochastic Differential Equations</t>
  </si>
  <si>
    <t>Learning Divergence Fields for Shift-Robust Graph Representations</t>
  </si>
  <si>
    <t>Espresso: Robust Concept Filtering in Text-to-Image Models</t>
  </si>
  <si>
    <t>Multiplane Prior Guided Few-Shot Aerial Scene Rendering</t>
  </si>
  <si>
    <t>Multi-style Neural Radiance Field with AdaIN</t>
  </si>
  <si>
    <t>Leveraging Generative AI for Extracting Process Models from Multimodal Documents</t>
  </si>
  <si>
    <t>Expansion of situations theory for exploring shared awareness in human-intelligent autonomous systems</t>
  </si>
  <si>
    <t>Quantifying Geospatial in the Common Crawl Corpus</t>
  </si>
  <si>
    <t>Diffusion posterior sampling for simulation-based inference in tall data settings</t>
  </si>
  <si>
    <t>AAdaM at SemEval-2024 Task 1: Augmentation and Adaptation for Multilingual Semantic Textual Relatedness</t>
  </si>
  <si>
    <t>BAMO at SemEval-2024 Task 9: BRAINTEASER: A Novel Task Defying Common Sense</t>
  </si>
  <si>
    <t>Beyond Implicit Bias: The Insignificance of SGD Noise in Online Learning</t>
  </si>
  <si>
    <t>BOtied: Multi-objective Bayesian optimization with tied multivariate ranks</t>
  </si>
  <si>
    <t>Harder or Different? Understanding Generalization of Audio Deepfake Detection</t>
  </si>
  <si>
    <t>Joint Spatial-Temporal Modeling and Contrastive Learning for Self-supervised Heart Rate Measurement</t>
  </si>
  <si>
    <t>TCMD: A Traditional Chinese Medicine QA Dataset for Evaluating Large Language Models</t>
  </si>
  <si>
    <t>CarbonSense: A Multimodal Dataset and Baseline for Carbon Flux Modelling</t>
  </si>
  <si>
    <t>SpanGNN: Towards Memory-Efficient Graph Neural Networks via Spanning Subgraph Training</t>
  </si>
  <si>
    <t>The Impact of Demonstrations on Multilingual In-Context Learning: A Multidimensional Analysis</t>
  </si>
  <si>
    <t>Optimal Recurrent Network Topologies for Dynamical Systems Reconstruction</t>
  </si>
  <si>
    <t>Leveraging Activations for Superpixel Explanations</t>
  </si>
  <si>
    <t>Faster Than Lies: Real-time Deepfake Detection using Binary Neural Networks</t>
  </si>
  <si>
    <t>MA-AVT: Modality Alignment for Parameter-Efficient Audio-Visual Transformers</t>
  </si>
  <si>
    <t>Protein pathways as a catalyst to directed evolution of the topology of artificial neural networks</t>
  </si>
  <si>
    <t>LLM-based speaker diarization correction: A generalizable approach</t>
  </si>
  <si>
    <t>Through the Thicket: A Study of Number-Oriented LLMs derived from Random Forest Models</t>
  </si>
  <si>
    <t>Sim-to-real Transfer of Deep Reinforcement Learning Agents for Online Coverage Path Planning</t>
  </si>
  <si>
    <t>FRAPPE: A Group Fairness Framework for Post-Processing Everything</t>
  </si>
  <si>
    <t>RepairLLaMA: Efficient Representations and Fine-Tuned Adapters for Program Repair</t>
  </si>
  <si>
    <t>Combinatorial Complex Score-based Diffusion Modelling through Stochastic Differential Equations</t>
  </si>
  <si>
    <t>Advances in Embodied Navigation Using Large Language Models: A Survey</t>
  </si>
  <si>
    <t>The ODE Method for Stochastic Approximation and Reinforcement Learning with Markovian Noise</t>
  </si>
  <si>
    <t>Online Adaptation for Enhancing Imitation Learning Policies</t>
  </si>
  <si>
    <t>Multi-target stain normalization for histology slides</t>
  </si>
  <si>
    <t>Transformers are Expressive, But Are They Expressive Enough for Regression?</t>
  </si>
  <si>
    <t>What Do Dialect Speakers Want? A Survey of Attitudes Towards Language Technology for German Dialects</t>
  </si>
  <si>
    <t>Exploiting Activation Sparsity with Dense to Dynamic-k Mixture-of-Experts Conversion</t>
  </si>
  <si>
    <t>PolyLUT-Add: FPGA-based LUT Inference with Wide Inputs</t>
  </si>
  <si>
    <t>CoMoFusion: Fast and High-quality Fusion of Infrared and Visible Image with Consistency Model</t>
  </si>
  <si>
    <t>RU-AI: A Large Multimodal Dataset for Machine Generated Content Detection</t>
  </si>
  <si>
    <t>RAIL: Robot Affordance Imagination with Large Language Models</t>
  </si>
  <si>
    <t>XTTS: a Massively Multilingual Zero-Shot Text-to-Speech Model</t>
  </si>
  <si>
    <t>Concept Drift Detection using Ensemble of Integrally Private Models</t>
  </si>
  <si>
    <t>GTA: A Geometry-Aware Attention Mechanism for Multi-View Transformers</t>
  </si>
  <si>
    <t>Labeled Data Selection for Category Discovery</t>
  </si>
  <si>
    <t>From Link Prediction to Forecasting: Information Loss in Batch-based Temporal Graph Learning</t>
  </si>
  <si>
    <t>Stabilizing Extreme Q-learning by Maclaurin Expansion</t>
  </si>
  <si>
    <t>ChaosBench: A Multi-Channel, Physics-Based Benchmark for Subseasonal-to-Seasonal Climate Prediction</t>
  </si>
  <si>
    <t>Towards General Loop Invariant Generation: A Benchmark of Programs with Memory Manipulation</t>
  </si>
  <si>
    <t>A Subexponential Quantum Algorithm for the Semidirect Discrete Logarithm Problem</t>
  </si>
  <si>
    <t>Zero-Shot Video Editing through Adaptive Sliding Score Distillation</t>
  </si>
  <si>
    <t>Seeing the Unseen: Visual Metaphor Captioning for Videos</t>
  </si>
  <si>
    <t>A Deep Dive into the Trade-Offs of Parameter-Efficient Preference Alignment Techniques</t>
  </si>
  <si>
    <t>InCharacter: Evaluating Personality Fidelity in Role-Playing Agents through Psychological Interviews</t>
  </si>
  <si>
    <t>HateDebias: On the Diversity and Variability of Hate Speech Debiasing</t>
  </si>
  <si>
    <t>3DRealCar: An In-the-wild RGB-D Car Dataset with 360-degree Views</t>
  </si>
  <si>
    <t>Ada-VE: Training-Free Consistent Video Editing Using Adaptive Motion Prior</t>
  </si>
  <si>
    <t>Diversified Batch Selection for Training Acceleration</t>
  </si>
  <si>
    <t>Synth2: Boosting Visual-Language Models with Synthetic Captions and Image Embeddings</t>
  </si>
  <si>
    <t>Mind Mansion: Exploring Metaphorical Interactions to Engage with Negative Thoughts in Virtual Reality</t>
  </si>
  <si>
    <t>Deep learning for precipitation nowcasting: A survey from the perspective of time series forecasting</t>
  </si>
  <si>
    <t>SALAD-Bench: A Hierarchical and Comprehensive Safety Benchmark for Large Language Models</t>
  </si>
  <si>
    <t>ComplexTempQA: A Large-Scale Dataset for Complex Temporal Question Answering</t>
  </si>
  <si>
    <t>The Probabilities Also Matter: A More Faithful Metric for Faithfulness of Free-Text Explanations in Large Language Models</t>
  </si>
  <si>
    <t>RLStop: A Reinforcement Learning Stopping Method for TAR</t>
  </si>
  <si>
    <t>Normal-guided Detail-Preserving Neural Implicit Functions for High-Fidelity 3D Surface Reconstruction</t>
  </si>
  <si>
    <t>Multi-View Stochastic Block Models</t>
  </si>
  <si>
    <t>Stochastic full waveform inversion with deep generative prior for uncertainty quantification</t>
  </si>
  <si>
    <t>Auto-Multilift: Distributed Learning and Control for Cooperative Load Transportation With Quadrotors</t>
  </si>
  <si>
    <t>The Russian Legislative Corpus</t>
  </si>
  <si>
    <t>Uncertainty Aware Learning for Language Model Alignment</t>
  </si>
  <si>
    <t>Time-Series JEPA for Predictive Remote Control under Capacity-Limited Networks</t>
  </si>
  <si>
    <t>Digital assistant in a point of sales</t>
  </si>
  <si>
    <t>CTBENCH: A Library and Benchmark for Certified Training</t>
  </si>
  <si>
    <t>CoViS-Net: A Cooperative Visual Spatial Foundation Model for Multi-Robot Applications</t>
  </si>
  <si>
    <t>Do Language Models Exhibit Human-like Structural Priming Effects?</t>
  </si>
  <si>
    <t>FedLLM-Bench: Realistic Benchmarks for Federated Learning of Large Language Models</t>
  </si>
  <si>
    <t>Multi-Granularity Language-Guided Multi-Object Tracking</t>
  </si>
  <si>
    <t>Variational Flow Matching for Graph Generation</t>
  </si>
  <si>
    <t>Neural Control System for Continuous Glucose Monitoring and Maintenance</t>
  </si>
  <si>
    <t>3rd Place Solution for MeViS Track in CVPR 2024 PVUW workshop: Motion Expression guided Video Segmentation</t>
  </si>
  <si>
    <t>Primitive Agentic First-Order Optimization</t>
  </si>
  <si>
    <t>TraceableSpeech: Towards Proactively Traceable Text-to-Speech with Watermarking</t>
  </si>
  <si>
    <t>Integrating Multimodal Data for Joint Generative Modeling of Complex Dynamics</t>
  </si>
  <si>
    <t>When and How: Learning Identifiable Latent States for Nonstationary Time Series Forecasting</t>
  </si>
  <si>
    <t>Revisiting Catastrophic Forgetting in Large Language Model Tuning</t>
  </si>
  <si>
    <t>Human-Centered AI Product Prototyping with No-Code AutoML: Conceptual Framework, Potentials and Limitations</t>
  </si>
  <si>
    <t>SLR: Learning Quadruped Locomotion without Privileged Information</t>
  </si>
  <si>
    <t>Annotating FrameNet via Structure-Conditioned Language Generation</t>
  </si>
  <si>
    <t>A Remark on the Expressivity of Asynchronous TeamLTL and HyperLTL</t>
  </si>
  <si>
    <t>EGOR: Efficient Generated Objects Replay for incremental object detection</t>
  </si>
  <si>
    <t>QAGCF: Graph Collaborative Filtering for Q&amp;A Recommendation</t>
  </si>
  <si>
    <t>CodeR: Issue Resolving with Multi-Agent and Task Graphs</t>
  </si>
  <si>
    <t>Black Box Differential Privacy Auditing Using Total Variation Distance</t>
  </si>
  <si>
    <t>Graph Mining under Data scarcity</t>
  </si>
  <si>
    <t>M2NO: Multiresolution Operator Learning with Multiwavelet-based Algebraic Multigrid Method</t>
  </si>
  <si>
    <t>BERTs are Generative In-Context Learners</t>
  </si>
  <si>
    <t>FunBO: Discovering Acquisition Functions for Bayesian Optimization with FunSearch</t>
  </si>
  <si>
    <t>Deep Learning Powered Estimate of The Extrinsic Parameters on Unmanned Surface Vehicles</t>
  </si>
  <si>
    <t>Navigating Efficiency in MobileViT through Gaussian Process on Global Architecture Factors</t>
  </si>
  <si>
    <t>A Manifold Representation of the Key in Vision Transformers</t>
  </si>
  <si>
    <t>CONFIDE: Contextual Finite Differences Modelling of PDEs</t>
  </si>
  <si>
    <t>Experiences from Integrating Large Language Model Chatbots into the Classroom</t>
  </si>
  <si>
    <t>Skill-aware Mutual Information Optimisation for Generalisation in Reinforcement Learning</t>
  </si>
  <si>
    <t>Online Continual Learning of Video Diffusion Models From a Single Video Stream</t>
  </si>
  <si>
    <t>Neural Networks with (Low-Precision) Polynomial Approximations: New Insights and Techniques for Accuracy Improvement</t>
  </si>
  <si>
    <t>Byzantine Robustness and Partial Participation Can Be Achieved at Once: Just Clip Gradient Differences</t>
  </si>
  <si>
    <t>IllumiNeRF: 3D Relighting without Inverse Rendering</t>
  </si>
  <si>
    <t>GaussianCity: Generative Gaussian Splatting for Unbounded 3D City Generation</t>
  </si>
  <si>
    <t>Autoregressive Model Beats Diffusion: Llama for Scalable Image Generation</t>
  </si>
  <si>
    <t>NaRCan: Natural Refined Canonical Image with Integration of Diffusion Prior for Video Editing</t>
  </si>
  <si>
    <t>PGSR: Planar-based Gaussian Splatting for Efficient and High-Fidelity Surface Reconstruction</t>
  </si>
  <si>
    <t>Decentralized Personalized Federated Learning</t>
  </si>
  <si>
    <t>UMBRELA: UMbrela is the (Open-Source Reproduction of the) Bing RELevance Assessor</t>
  </si>
  <si>
    <t>Data Augmentation for Multivariate Time Series Classification: An Experimental Study</t>
  </si>
  <si>
    <t>Genomics-guided Representation Learning for Pathologic Pan-cancer Tumor Microenvironment Subtype Prediction</t>
  </si>
  <si>
    <t>Distribution-Free Predictive Inference under Unknown Temporal Drift</t>
  </si>
  <si>
    <t>Random Features Approximation for Control-Affine Systems</t>
  </si>
  <si>
    <t>Merlin: A Vision Language Foundation Model for 3D Computed Tomography</t>
  </si>
  <si>
    <t>Robust Distribution Learning with Local and Global Adversarial Corruptions</t>
  </si>
  <si>
    <t>Monkey See, Monkey Do: Harnessing Self-attention in Motion Diffusion for Zero-shot Motion Transfer</t>
  </si>
  <si>
    <t>Verification-Guided Shielding for Deep Reinforcement Learning</t>
  </si>
  <si>
    <t>Equivariant Neural Tangent Kernels</t>
  </si>
  <si>
    <t>Adaptive Opponent Policy Detection in Multi-Agent MDPs: Real-Time Strategy Switch Identification Using Running Error Estimation</t>
  </si>
  <si>
    <t>NarrativeBridge: Enhancing Video Captioning with Causal-Temporal Narrative</t>
  </si>
  <si>
    <t>Demonstrating HumanTHOR: A Simulation Platform and Benchmark for Human-Robot Collaboration in a Shared Workspace</t>
  </si>
  <si>
    <t>Direct Preference Optimization for Suppressing Hallucinated Prior Exams in Radiology Report Generation</t>
  </si>
  <si>
    <t>Boosting Robustness in Preference-Based Reinforcement Learning with Dynamic Sparsity</t>
  </si>
  <si>
    <t>Scaling Continuous Latent Variable Models as Probabilistic Integral Circuits</t>
  </si>
  <si>
    <t>When is Multicalibration Post-Processing Necessary?</t>
  </si>
  <si>
    <t>Continuum Attention for Neural Operators</t>
  </si>
  <si>
    <t>Can Language Models Serve as Text-Based World Simulators?</t>
  </si>
  <si>
    <t>Parallelizing Linear Transformers with the Delta Rule over Sequence Length</t>
  </si>
  <si>
    <t>A Taxonomy and Comparative Analysis of IPv4 ID Selection Correctness, Security, and Performance</t>
  </si>
  <si>
    <t>Quantum Equilibrium Propagation for efficient training of quantum systems based on Onsager reciprocity</t>
  </si>
  <si>
    <t>Graph-Based Bidirectional Transformer Decision Threshold Adjustment Algorithm for Class-Imbalanced Molecular Data</t>
  </si>
  <si>
    <t>OmniLytics+: A Secure, Efficient, and Affordable Blockchain Data Market for Machine Learning through Off-Chain Processing</t>
  </si>
  <si>
    <t>Survey for Landing Generative AI in Social and E-commerce Recsys -- the Industry Perspectives</t>
  </si>
  <si>
    <t>Towards a Personal Health Large Language Model</t>
  </si>
  <si>
    <t>DiffAudit: Auditing Privacy Practices of Online Services for Children and Adolescents</t>
  </si>
  <si>
    <t>GKAN: Graph Kolmogorov-Arnold Networks</t>
  </si>
  <si>
    <t>Husky: A Unified, Open-Source Language Agent for Multi-Step Reasoning</t>
  </si>
  <si>
    <t>How Far Can Transformers Reason? The Locality Barrier and Inductive Scratchpad</t>
  </si>
  <si>
    <t>ICE-G: Image Conditional Editing of 3D Gaussian Splats</t>
  </si>
  <si>
    <t>Beyond LLaVA-HD: Diving into High-Resolution Large Multimodal Models</t>
  </si>
  <si>
    <t>On Evaluating Adversarial Robustness of Volumetric Medical Segmentation Models</t>
  </si>
  <si>
    <t>Real2Code: Reconstruct Articulated Objects via Code Generation</t>
  </si>
  <si>
    <t>Human 3Diffusion: Realistic Avatar Creation via Explicit 3D Consistent Diffusion Models</t>
  </si>
  <si>
    <t>RMem: Restricted Memory Banks Improve Video Object Segmentation</t>
  </si>
  <si>
    <t>Improving LLMs for Recommendation with Out-Of-Vocabulary Tokens</t>
  </si>
  <si>
    <t>What If We Recaption Billions of Web Images with LLaMA-3?</t>
  </si>
  <si>
    <t>Real3D: Scaling Up Large Reconstruction Models with Real-World Images</t>
  </si>
  <si>
    <t>Linear equations with monomial constraints and decision problems in abelian-by-cyclic groups</t>
  </si>
  <si>
    <t>Enhancing End-to-End Autonomous Driving with Latent World Model</t>
  </si>
  <si>
    <t>Words Worth a Thousand Pictures: Measuring and Understanding Perceptual Variability in Text-to-Image Generation</t>
  </si>
  <si>
    <t>DafnyBench: A Benchmark for Formal Software Verification</t>
  </si>
  <si>
    <t>PAL: Pluralistic Alignment Framework for Learning from Heterogeneous Preferences</t>
  </si>
  <si>
    <t>Surprise! Using Physiological Stress for Allostatic Regulation Under the Active Inference Framework [Pre-Print]</t>
  </si>
  <si>
    <t>RILe: Reinforced Imitation Learning</t>
  </si>
  <si>
    <t>Strategies for Pretraining Neural Operators</t>
  </si>
  <si>
    <t>Scaling Laws in Linear Regression: Compute, Parameters, and Data</t>
  </si>
  <si>
    <t>Towards Musically Informed Evaluation of Piano Transcription Models</t>
  </si>
  <si>
    <t>AToM-Bot: Embodied Fulfillment of Unspoken Human Needs with Affective Theory of Mind</t>
  </si>
  <si>
    <t>ConceptHash: Interpretable Fine-Grained Hashing via Concept Discovery</t>
  </si>
  <si>
    <t>Bridging the Gap: Unravelling Local Government Data Sharing Barriers in Estonia and Beyond</t>
  </si>
  <si>
    <t>Self-supervised Learning of Neural Implicit Feature Fields for Camera Pose Refinement</t>
  </si>
  <si>
    <t>Magpie: Alignment Data Synthesis from Scratch by Prompting Aligned LLMs with Nothing</t>
  </si>
  <si>
    <t>Nonconvex Federated Learning on Compact Smooth Submanifolds With Heterogeneous Data</t>
  </si>
  <si>
    <t>Adaptive Swarm Mesh Refinement using Deep Reinforcement Learning with Local Rewards</t>
  </si>
  <si>
    <t>Transformation-Dependent Adversarial Attacks</t>
  </si>
  <si>
    <t>PixMamba: Leveraging State Space Models in a Dual-Level Architecture for Underwater Image Enhancement</t>
  </si>
  <si>
    <t>SVSNet+: Enhancing Speaker Voice Similarity Assessment Models with Representations from Speech Foundation Models</t>
  </si>
  <si>
    <t>OLMES: A Standard for Language Model Evaluations</t>
  </si>
  <si>
    <t>The Impact of Initialization on LoRA Finetuning Dynamics</t>
  </si>
  <si>
    <t>GUI Odyssey: A Comprehensive Dataset for Cross-App GUI Navigation on Mobile Devices</t>
  </si>
  <si>
    <t>ORES-Inspect: A technology probe for machine learning audits on enwiki</t>
  </si>
  <si>
    <t>Model Merging and Safety Alignment: One Bad Model Spoils the Bunch</t>
  </si>
  <si>
    <t>Whiteboard-of-Thought: Thinking Step-by-Step Across Modalities</t>
  </si>
  <si>
    <t>How to Compute the Probability of a Word</t>
  </si>
  <si>
    <t>Disentangled Representation Learning for Environment-agnostic Speaker Recognition</t>
  </si>
  <si>
    <t>CooHOI: Learning Cooperative Human-Object Interaction with Manipulated Object Dynamics</t>
  </si>
  <si>
    <t>Asynchronous Large Language Model Enhanced Planner for Autonomous Driving</t>
  </si>
  <si>
    <t>A Survey of Multimodal-Guided Image Editing with Text-to-Image Diffusion Models</t>
  </si>
  <si>
    <t>xCOMET-lite: Bridging the Gap Between Efficiency and Quality in Learned MT Evaluation Metrics</t>
  </si>
  <si>
    <t>Advancing Fine-Grained Classification by Structure and Subject Preserving Augmentation</t>
  </si>
  <si>
    <t>GraphReader: Building Graph-based Agent to Enhance Long-Context Abilities of Large Language Models</t>
  </si>
  <si>
    <t>Uncovering Latent Memories: Assessing Data Leakage and Memorization Patterns in Large Language Models</t>
  </si>
  <si>
    <t>Consistency Models Made Easy</t>
  </si>
  <si>
    <t>Connecting the Dots: LLMs can Infer and Verbalize Latent Structure from Disparate Training Data</t>
  </si>
  <si>
    <t>Unmasking Database Vulnerabilities: Zero-Knowledge Schema Inference Attacks in Text-to-SQL Systems</t>
  </si>
  <si>
    <t>Prism: A Framework for Decoupling and Assessing the Capabilities of VLMs</t>
  </si>
  <si>
    <t>Are LLMs Naturally Good at Synthetic Tabular Data Generation?</t>
  </si>
  <si>
    <t>IRASim: Learning Interactive Real-Robot Action Simulators</t>
  </si>
  <si>
    <t>Invertible Consistency Distillation for Text-Guided Image Editing in Around 7 Steps</t>
  </si>
  <si>
    <t>MacroHFT: Memory Augmented Context-aware Reinforcement Learning On High Frequency Trading</t>
  </si>
  <si>
    <t>Epicardium Prompt-guided Real-time Cardiac Ultrasound Frame-to-volume Registration</t>
  </si>
  <si>
    <t>RL on Incorrect Synthetic Data Scales the Efficiency of LLM Math Reasoning by Eight-Fold</t>
  </si>
  <si>
    <t>A Benchmarking Study of Kolmogorov-Arnold Networks on Tabular Data</t>
  </si>
  <si>
    <t>Fantastic Copyrighted Beasts and How (Not) to Generate Them</t>
  </si>
  <si>
    <t>DeciMamba: Exploring the Length Extrapolation Potential of Mamba</t>
  </si>
  <si>
    <t>Towards evolution of Deep Neural Networks through contrastive Self-Supervised learning</t>
  </si>
  <si>
    <t>Learning thresholds lead to stable language coexistence</t>
  </si>
  <si>
    <t>PostMark: A Robust Blackbox Watermark for Large Language Models</t>
  </si>
  <si>
    <t>MMBench-Video: A Long-Form Multi-Shot Benchmark for Holistic Video Understanding</t>
  </si>
  <si>
    <t>Solving a Stackelberg Game on Transportation Networks in a Dynamic Crime Scenario: A Mixed Approach on Multi-Layer Networks</t>
  </si>
  <si>
    <t>Investigating Mysteries of CoT-Augmented Distillation</t>
  </si>
  <si>
    <t>V-LASIK: Consistent Glasses-Removal from Videos Using Synthetic Data</t>
  </si>
  <si>
    <t>Evidence of a log scaling law for political persuasion with large language models</t>
  </si>
  <si>
    <t>On Newton's Method to Unlearn Neural Networks</t>
  </si>
  <si>
    <t>Online Matching and Contention Resolution for Edge Arrivals with Vanishing Probabilities</t>
  </si>
  <si>
    <t>Translating Across Cultures: LLMs for Intralingual Cultural Adaptation</t>
  </si>
  <si>
    <t>Overview of the CAIL 2023 Argument Mining Track</t>
  </si>
  <si>
    <t>Improving Expert Radiology Report Summarization by Prompting Large Language Models with a Layperson Summary</t>
  </si>
  <si>
    <t>LLaSA: Large Multimodal Agent for Human Activity Analysis Through Wearable Sensors</t>
  </si>
  <si>
    <t>CodeRAG-Bench: Can Retrieval Augment Code Generation?</t>
  </si>
  <si>
    <t>African or European Swallow? Benchmarking Large Vision-Language Models for Fine-Grained Object Classification</t>
  </si>
  <si>
    <t>rKAN: Rational Kolmogorov-Arnold Networks</t>
  </si>
  <si>
    <t>Teaching Software Metrology: The Science of Measurement for Software Engineering</t>
  </si>
  <si>
    <t>Does Object Grounding Really Reduce Hallucination of Large Vision-Language Models?</t>
  </si>
  <si>
    <t>Instruction Pre-Training: Language Models are Supervised Multitask Learners</t>
  </si>
  <si>
    <t>A Fuzzy Logic-Based Quality Model For Identifying Microservices With Low Maintainability</t>
  </si>
  <si>
    <t>Proceedings of The second international workshop on eXplainable AI for the Arts (XAIxArts)</t>
  </si>
  <si>
    <t>Valid Error Bars for Neural Weather Models using Conformal Prediction</t>
  </si>
  <si>
    <t>Visible-Thermal Tiny Object Detection: A Benchmark Dataset and Baselines</t>
  </si>
  <si>
    <t>Revealing Vision-Language Integration in the Brain with Multimodal Networks</t>
  </si>
  <si>
    <t>On Layer-wise Representation Similarity: Application for Multi-Exit Models with a Single Classifier</t>
  </si>
  <si>
    <t>Toward data-driven research: preliminary study to predict surface roughness in material extrusion using previously published data with Machine Learning</t>
  </si>
  <si>
    <t>SafeSora: Towards Safety Alignment of Text2Video Generation via a Human Preference Dataset</t>
  </si>
  <si>
    <t>Learning telic-controllable state representations</t>
  </si>
  <si>
    <t>Data-Centric AI in the Age of Large Language Models</t>
  </si>
  <si>
    <t>Self-supervised Multi-actor Social Activity Understanding in Streaming Videos</t>
  </si>
  <si>
    <t>Model-driven realization of IDTA submodel specifications: The good, the bad, the incompatible?</t>
  </si>
  <si>
    <t>Fusion of Movement and Naive Predictions for Point Forecasting in Univariate Random Walks</t>
  </si>
  <si>
    <t>A Review of Common Online Speaker Diarization Methods</t>
  </si>
  <si>
    <t>Explicit and Implicit Large Language Model Personas Generate Opinions but Fail to Replicate Deeper Perceptions and Biases</t>
  </si>
  <si>
    <t>Podcast Outcasts: Understanding Rumble's Podcast Dynamics</t>
  </si>
  <si>
    <t>Healing Powers of BERT: How Task-Specific Fine-Tuning Recovers Corrupted Language Models</t>
  </si>
  <si>
    <t>Centimeter Positioning Accuracy using AI/ML for 6G Applications</t>
  </si>
  <si>
    <t>Rewarding What Matters: Step-by-Step Reinforcement Learning for Task-Oriented Dialogue</t>
  </si>
  <si>
    <t>Capturing Temporal Components for Time Series Classification</t>
  </si>
  <si>
    <t>MM-GTUNets: Unified Multi-Modal Graph Deep Learning for Brain Disorders Prediction</t>
  </si>
  <si>
    <t>Science in a Blink: Supporting Ensemble Perception in Scalar Fields</t>
  </si>
  <si>
    <t>APEER: Automatic Prompt Engineering Enhances Large Language Model Reranking</t>
  </si>
  <si>
    <t>Vahana.jl -- A framework (not only) for large-scale agent-based models</t>
  </si>
  <si>
    <t>Video Generation with Learned Action Prior</t>
  </si>
  <si>
    <t>Towards Truthful Multilingual Large Language Models: Benchmarking and Alignment Strategies</t>
  </si>
  <si>
    <t>CollaFuse: Collaborative Diffusion Models</t>
  </si>
  <si>
    <t>Control when confidence is costly</t>
  </si>
  <si>
    <t>Transferable Boltzmann Generators</t>
  </si>
  <si>
    <t>SynDARin: Synthesising Datasets for Automated Reasoning in Low-Resource Languages</t>
  </si>
  <si>
    <t>CascadeServe: Unlocking Model Cascades for Inference Serving</t>
  </si>
  <si>
    <t>FutureNet-LOF: Joint Trajectory Prediction and Lane Occupancy Field Prediction with Future Context Encoding</t>
  </si>
  <si>
    <t>Communication-efficient Vertical Federated Learning via Compressed Error Feedback</t>
  </si>
  <si>
    <t>Vectorized Representation Dreamer (VRD): Dreaming-Assisted Multi-Agent Motion-Forecasting</t>
  </si>
  <si>
    <t>Benchmarking Monocular 3D Dog Pose Estimation Using In-The-Wild Motion Capture Data</t>
  </si>
  <si>
    <t>FVEL: Interactive Formal Verification Environment with Large Language Models via Theorem Proving</t>
  </si>
  <si>
    <t>Predicting Probabilities of Error to Combine Quantization and Early Exiting: QuEE</t>
  </si>
  <si>
    <t>Logic-based analogical proportions</t>
  </si>
  <si>
    <t>Fair Streaming Feature Selection</t>
  </si>
  <si>
    <t>WEATHER-5K: A Large-scale Global Station Weather Dataset Towards Comprehensive Time-series Forecasting Benchmark</t>
  </si>
  <si>
    <t>ATAC-Net: Zoomed view works better for Anomaly Detection</t>
  </si>
  <si>
    <t>Jupyter Scatter: Interactive Exploration of Large-Scale Datasets</t>
  </si>
  <si>
    <t>SEC-QA: A Systematic Evaluation Corpus for Financial QA</t>
  </si>
  <si>
    <t>Jailbreaking as a Reward Misspecification Problem</t>
  </si>
  <si>
    <t>Safety-Critical Edge Robotics Architecture with Bounded End-to-End Latency</t>
  </si>
  <si>
    <t>Active Diffusion Subsampling</t>
  </si>
  <si>
    <t>Estimating Treatment Effects under Recommender Interference: A Structured Neural Networks Approach</t>
  </si>
  <si>
    <t>Computation-Efficient Semi-Supervised Learning for ECG-based Cardiovascular Diseases Detection</t>
  </si>
  <si>
    <t>Enhanced Bank Check Security: Introducing a Novel Dataset and Transformer-Based Approach for Detection and Verification</t>
  </si>
  <si>
    <t>PoseBench: Benchmarking the Robustness of Pose Estimation Models under Corruptions</t>
  </si>
  <si>
    <t>Mask the Unknown: Assessing Different Strategies to Handle Weak Annotations in the MICCAI2023 Mediastinal Lymph Node Quantification Challenge</t>
  </si>
  <si>
    <t>Communication-Efficient Byzantine-Resilient Federated Zero-Order Optimization</t>
  </si>
  <si>
    <t>Robustness Analysis of AI Models in Critical Energy Systems</t>
  </si>
  <si>
    <t>Deblurring Neural Radiance Fields with Event-driven Bundle Adjustment</t>
  </si>
  <si>
    <t>Learning to Transfer for Evolutionary Multitasking</t>
  </si>
  <si>
    <t>The neural correlates of logical-mathematical symbol systems processing resemble that of spatial cognition more than natural language processing</t>
  </si>
  <si>
    <t>Automatic Labels are as Effective as Manual Labels in Biomedical Images Classification with Deep Learning</t>
  </si>
  <si>
    <t>Can you trust your explanations? A robustness test for feature attribution methods</t>
  </si>
  <si>
    <t>∇2DFT: A Universal Quantum Chemistry Dataset of Drug-Like Molecules and a Benchmark for Neural Network Potentials</t>
  </si>
  <si>
    <t>iWISDM: Assessing instruction following in multimodal models at scale</t>
  </si>
  <si>
    <t>Learning rate adaptive stochastic gradient descent optimization methods: numerical simulations for deep learning methods for partial differential equations and convergence analyses</t>
  </si>
  <si>
    <t>Adaptive Robust Controller for handling Unknown Uncertainty of Robotic Manipulators</t>
  </si>
  <si>
    <t>Exploring Spatial Representations in the Historical Lake District Texts with LLM-based Relation Extraction</t>
  </si>
  <si>
    <t>Self-supervised Interpretable Concept-based Models for Text Classification</t>
  </si>
  <si>
    <t>LARP: Language Audio Relational Pre-training for Cold-Start Playlist Continuation</t>
  </si>
  <si>
    <t>medIKAL: Integrating Knowledge Graphs as Assistants of LLMs for Enhanced Clinical Diagnosis on EMRs</t>
  </si>
  <si>
    <t>Reproducibility in Machine Learning-based Research: Overview, Barriers and Drivers</t>
  </si>
  <si>
    <t>Revealing the learning process in reinforcement learning agents through attention-oriented metrics</t>
  </si>
  <si>
    <t>Mind the Privacy Unit! User-Level Differential Privacy for Language Model Fine-Tuning</t>
  </si>
  <si>
    <t>LiveMind: Low-latency Large Language Models with Simultaneous Inference</t>
  </si>
  <si>
    <t>The Fire Thief Is Also the Keeper: Balancing Usability and Privacy in Prompts</t>
  </si>
  <si>
    <t>AI-coupled HPC Workflow Applications, Middleware and Performance</t>
  </si>
  <si>
    <t>Identifying User Goals from UI Trajectories</t>
  </si>
  <si>
    <t>Robust Few-shot Transfer Learning for Knowledge Base Question Answering with Unanswerable Questions</t>
  </si>
  <si>
    <t>Infusing clinical knowledge into tokenisers for language models</t>
  </si>
  <si>
    <t>Cross-level Requirement Traceability: A Novel Approach Integrating Bag-of-Words and Word Embedding for Enhanced Similarity Functionality</t>
  </si>
  <si>
    <t>Emerging-properties Mapping Using Spatial Embedding Statistics: EMUSES</t>
  </si>
  <si>
    <t>FIESTA: Fourier-Based Semantic Augmentation with Uncertainty Guidance for Enhanced Domain Generalizability in Medical Image Segmentation</t>
  </si>
  <si>
    <t>QuST-LLM: Integrating Large Language Models for Comprehensive Spatial Transcriptomics Analysis</t>
  </si>
  <si>
    <t>Identifiable Exchangeable Mechanisms for Causal Structure and Representation Learning</t>
  </si>
  <si>
    <t>AI in Space for Scientific Missions: Strategies for Minimizing Neural-Network Model Upload</t>
  </si>
  <si>
    <t>Crowdfunding for Equitable EV Charging Infrastructure</t>
  </si>
  <si>
    <t>DASB -- Discrete Audio and Speech Benchmark</t>
  </si>
  <si>
    <t>Segmentation of Non-Small Cell Lung Carcinomas: Introducing DRU-Net and Multi-Lens Distortion</t>
  </si>
  <si>
    <t>VAIYAKARANA : A Benchmark for Automatic Grammar Correction in Bangla</t>
  </si>
  <si>
    <t>Q*: Improving Multi-step Reasoning for LLMs with Deliberative Planning</t>
  </si>
  <si>
    <t>Learning to Plan for Retrieval-Augmented Large Language Models from Knowledge Graphs</t>
  </si>
  <si>
    <t>FairX: A comprehensive benchmarking tool for model analysis using fairness, utility, and explainability</t>
  </si>
  <si>
    <t>Augmenting Query and Passage for Retrieval-Augmented Generation using LLMs for Open-Domain Question Answering</t>
  </si>
  <si>
    <t>Step-Back Profiling: Distilling User History for Personalized Scientific Writing</t>
  </si>
  <si>
    <t>Learning to Discover Knowledge: A Weakly-Supervised Partial Domain Adaptation Approach</t>
  </si>
  <si>
    <t>The Impact of AI on Perceived Job Decency and Meaningfulness: A Case Study</t>
  </si>
  <si>
    <t>MultiTalk: Enhancing 3D Talking Head Generation Across Languages with Multilingual Video Dataset</t>
  </si>
  <si>
    <t>On the Evaluation Practices in Multilingual NLP: Can Machine Translation Offer an Alternative to Human Translations?</t>
  </si>
  <si>
    <t>Intelligent Interface: Enhancing Lecture Engagement with Didactic Activity Summaries</t>
  </si>
  <si>
    <t>VeriFlow: Modeling Distributions for Neural Network Verification</t>
  </si>
  <si>
    <t>Zero-Shot Image Denoising for High-Resolution Electron Microscopy</t>
  </si>
  <si>
    <t>Unleashing the Potential of Tracklets for Unsupervised Video Person Re-Identification</t>
  </si>
  <si>
    <t>MEAT: Median-Ensemble Adversarial Training for Improving Robustness and Generalization</t>
  </si>
  <si>
    <t>14255</t>
  </si>
  <si>
    <t>DuMapNet: An End-to-End Vectorization System for City-Scale Lane-Level Map Generation</t>
  </si>
  <si>
    <t>E-ANT: A Large-Scale Dataset for Efficient Automatic GUI NavigaTion</t>
  </si>
  <si>
    <t>AuditMAI: Towards An Infrastructure for Continuous AI Auditing</t>
  </si>
  <si>
    <t>CityNav: Language-Goal Aerial Navigation Dataset with Geographic Information</t>
  </si>
  <si>
    <t>LeYOLO, New Scalable and Efficient CNN Architecture for Object Detection</t>
  </si>
  <si>
    <t>Towards Compositionality in Concept Learning</t>
  </si>
  <si>
    <t>On Scaling Up 3D Gaussian Splatting Training</t>
  </si>
  <si>
    <t>Symbolic Learning Enables Self-Evolving Agents</t>
  </si>
  <si>
    <t>MatchTime: Towards Automatic Soccer Game Commentary Generation</t>
  </si>
  <si>
    <t>Confident Natural Policy Gradient for Local Planning in qπ-realizable Constrained MDPs</t>
  </si>
  <si>
    <t>PrExMe! Large Scale Prompt Exploration of Open Source LLMs for Machine Translation and Summarization Evaluation</t>
  </si>
  <si>
    <t>MultiDiff: Consistent Novel View Synthesis from a Single Image</t>
  </si>
  <si>
    <t>ChronoMagic-Bench: A Benchmark for Metamorphic Evaluation of Text-to-Time-lapse Video Generation</t>
  </si>
  <si>
    <t>CharXiv: Charting Gaps in Realistic Chart Understanding in Multimodal LLMs</t>
  </si>
  <si>
    <t>Distinguishing mechanisms of social contagion from local network view</t>
  </si>
  <si>
    <t>APIGen: Automated Pipeline for Generating Verifiable and Diverse Function-Calling Datasets</t>
  </si>
  <si>
    <t>Denoising as Adaptation: Noise-Space Domain Adaptation for Image Restoration</t>
  </si>
  <si>
    <t>"Is ChatGPT a Better Explainer than My Professor?": Evaluating the Explanation Capabilities of LLMs in Conversation Compared to a Human Baseline</t>
  </si>
  <si>
    <t>WildTeaming at Scale: From In-the-Wild Jailbreaks to (Adversarially) Safer Language Models</t>
  </si>
  <si>
    <t>Mental Modeling of Reinforcement Learning Agents by Language Models</t>
  </si>
  <si>
    <t>Is In-Context Learning a Type of Gradient-Based Learning? Evidence from the Inverse Frequency Effect in Structural Priming</t>
  </si>
  <si>
    <t>WildGuard: Open One-Stop Moderation Tools for Safety Risks, Jailbreaks, and Refusals of LLMs</t>
  </si>
  <si>
    <t>Prodia</t>
  </si>
  <si>
    <t>prodia.com</t>
  </si>
  <si>
    <t>EverArt</t>
  </si>
  <si>
    <t>everart.ai</t>
  </si>
  <si>
    <t>exa.ai</t>
  </si>
  <si>
    <t>Exa</t>
  </si>
  <si>
    <t>VoxLab</t>
  </si>
  <si>
    <t>voxlab.ai</t>
  </si>
  <si>
    <t>shortie.app</t>
  </si>
  <si>
    <t>Shortie</t>
  </si>
  <si>
    <t>Evolution</t>
  </si>
  <si>
    <t>evolution.ai</t>
  </si>
  <si>
    <t>Odd-One-Out: Anomaly Detection by Comparing with Neighbors</t>
  </si>
  <si>
    <t>Web2Code: A Large-scale Webpage-to-Code Dataset and Evaluation Framework for Multimodal LLMs</t>
  </si>
  <si>
    <t>Scaling Synthetic Data Creation with 1,000,000,000 Personas</t>
  </si>
  <si>
    <t>GEO: Generative Engine Optimization</t>
  </si>
  <si>
    <t>Fishnets: Information-Optimal, Scalable Aggregation for Sets and Graphs</t>
  </si>
  <si>
    <t>LLaRA: Supercharging Robot Learning Data for Vision-Language Policy</t>
  </si>
  <si>
    <t>Scalable Training of Graph Foundation Models for Atomistic Materials Modeling: A Case Study with HydraGNN</t>
  </si>
  <si>
    <t>LLaVolta: Efficient Multi-modal Models via Stage-wise Visual Context Compression</t>
  </si>
  <si>
    <t>AutoMix: Automatically Mixing Language Models</t>
  </si>
  <si>
    <t>ProgressGym: Alignment with a Millennium of Moral Progress</t>
  </si>
  <si>
    <t>Token Erasure as a Footprint of Implicit Vocabulary Items in LLMs</t>
  </si>
  <si>
    <t>Auto Cherry-Picker: Learning from High-quality Generative Data Driven by Language</t>
  </si>
  <si>
    <t>PoliFormer: Scaling On-Policy RL with Transformers Results in Masterful Navigators</t>
  </si>
  <si>
    <t>Segment Anything without Supervision</t>
  </si>
  <si>
    <t>ChIRAAG: ChatGPT Informed Rapid and Automated Assertion Generation</t>
  </si>
  <si>
    <t>AI for Extreme Event Modeling and Understanding: Methodologies and Challenges</t>
  </si>
  <si>
    <t>Molecular Facts: Desiderata for Decontextualization in LLM Fact Verification</t>
  </si>
  <si>
    <t>GM-DF: Generalized Multi-Scenario Deepfake Detection</t>
  </si>
  <si>
    <t>HouseCrafter: Lifting Floorplans to 3D Scenes with 2D Diffusion Model</t>
  </si>
  <si>
    <t>EVF-SAM: Early Vision-Language Fusion for Text-Prompted Segment Anything Model</t>
  </si>
  <si>
    <t>ASSR-NeRF: Arbitrary-Scale Super-Resolution on Voxel Grid for High-Quality Radiance Fields Reconstruction</t>
  </si>
  <si>
    <t>Fully-Adaptive Dynamic Connectivity of Square Intersection Graphs</t>
  </si>
  <si>
    <t>Cost-aware Bayesian optimization via the Pandora's Box Gittins index</t>
  </si>
  <si>
    <t>Applying RLAIF for Code Generation with API-usage in Lightweight LLMs</t>
  </si>
  <si>
    <t>The Impact of Feature Representation on the Accuracy of Photonic Neural Networks</t>
  </si>
  <si>
    <t>The Finiteness Problem for Automaton Semigroups of Extended Bounded Activity</t>
  </si>
  <si>
    <t>SpotlessSplats: Ignoring Distractors in 3D Gaussian Splatting</t>
  </si>
  <si>
    <t>To Word Senses and Beyond: Inducing Concepts with Contextualized Language Models</t>
  </si>
  <si>
    <t>Covert Malicious Finetuning: Challenges in Safeguarding LLM Adaptation</t>
  </si>
  <si>
    <t>Understanding and Mitigating Language Confusion in LLMs</t>
  </si>
  <si>
    <t>PruningBench: A Comprehensive Benchmark of Structural Pruning</t>
  </si>
  <si>
    <t>Evaluation of autonomous systems under data distribution shifts</t>
  </si>
  <si>
    <t>HAITCH: A Framework for Distortion and Motion Correction in Fetal Multi-Shell Diffusion-Weighted MRI</t>
  </si>
  <si>
    <t>EnSolver: Uncertainty-Aware Ensemble CAPTCHA Solvers with Theoretical Guarantees</t>
  </si>
  <si>
    <t>BMW Agents -- A Framework For Task Automation Through Multi-agent Collaboration</t>
  </si>
  <si>
    <t>MBIAS: Mitigating Bias in Large Language Models While Retaining Context</t>
  </si>
  <si>
    <t>BioMNER: A Dataset for Biomedical Method Entity Recognition</t>
  </si>
  <si>
    <t>Explore as a Storm, Exploit as a Raindrop: On the Benefit of Fine-Tuning Kernel Schedulers with Coordinate Descent</t>
  </si>
  <si>
    <t>A Simple Mixture Policy Parameterization for Improving Sample Efficiency of CVaR Optimization</t>
  </si>
  <si>
    <t>Systematizing Modeler Experience (MX) in Model-Driven Engineering Success Stories</t>
  </si>
  <si>
    <t>Optimal Flow Admission Control in Edge Computing via Safe Reinforcement Learning</t>
  </si>
  <si>
    <t>MKRAG: Medical Knowledge Retrieval Augmented Generation for Medical Question Answering</t>
  </si>
  <si>
    <t>Pairwise Difference Learning for Classification</t>
  </si>
  <si>
    <t>LEMoE: Advanced Mixture of Experts Adaptor for Lifelong Model Editing of Large Language Models</t>
  </si>
  <si>
    <t>eMoE-Tracker: Environmental MoE-based Transformer for Robust Event-guided Object Tracking</t>
  </si>
  <si>
    <t>LLMs and Memorization: On Quality and Specificity of Copyright Compliance</t>
  </si>
  <si>
    <t>Capacity Bounds for Broadcast Channels with Bidirectional Conferencing Decoders</t>
  </si>
  <si>
    <t>Blitzcrank: Fast Semantic Compression for In-memory Online Transaction Processing</t>
  </si>
  <si>
    <t>ToolBeHonest: A Multi-level Hallucination Diagnostic Benchmark for Tool-Augmented Large Language Models</t>
  </si>
  <si>
    <t>On the Trade-off between Flatness and Optimization in Distributed Learning</t>
  </si>
  <si>
    <t>Malaria Cell Detection Using Deep Neural Networks</t>
  </si>
  <si>
    <t>A Small and Fast BERT for Chinese Medical Punctuation Restoration</t>
  </si>
  <si>
    <t>Robustness Assessment of a Runway Object Classifier for Safe Aircraft Taxiing</t>
  </si>
  <si>
    <t>Scaling laws for learning with real and surrogate data</t>
  </si>
  <si>
    <t>The SIFo Benchmark: Investigating the Sequential Instruction Following Ability of Large Language Models</t>
  </si>
  <si>
    <t>Distributed Speculative Inference of Large Language Models</t>
  </si>
  <si>
    <t>Wavelets Are All You Need for Autoregressive Image Generation</t>
  </si>
  <si>
    <t>Single Parent Family: A Spectrum of Family Members from a Single Pre-Trained Foundation Model</t>
  </si>
  <si>
    <t>NetNN: Neural Intrusion Detection System in Programmable Networks</t>
  </si>
  <si>
    <t>Concept Lens: Visually Analyzing the Consistency of Semantic Manipulation in GANs</t>
  </si>
  <si>
    <t>Scalable Bayesian uncertainty quantification with data-driven priors for radio interferometric imaging</t>
  </si>
  <si>
    <t>Dynamic planning in hierarchical active inference</t>
  </si>
  <si>
    <t>Machine Learning Predictors for Min-Entropy Estimation</t>
  </si>
  <si>
    <t>Digital Twin Calibration for Biological System-of-Systems: Cell Culture Manufacturing Process</t>
  </si>
  <si>
    <t>Nearest Neighbor Sampling for Covariate Shift Adaptation</t>
  </si>
  <si>
    <t>Improved Monte Carlo tree search (MCTS) formulation with multiple root nodes for discrete sizing optimization of truss structures</t>
  </si>
  <si>
    <t>Comparative Analysis of LSTM Neural Networks and Traditional Machine Learning Models for Predicting Diabetes Patient Readmission</t>
  </si>
  <si>
    <t>ScaleBiO: Scalable Bilevel Optimization for LLM Data Reweighting</t>
  </si>
  <si>
    <t>STLLaVA-Med: Self-Training Large Language and Vision Assistant for Medical</t>
  </si>
  <si>
    <t>How well ChatGPT understand Malaysian English? An Evaluation on Named Entity Recognition and Relation Extraction</t>
  </si>
  <si>
    <t>HumanVLA: Towards Vision-Language Directed Object Rearrangement by Physical Humanoid</t>
  </si>
  <si>
    <t>Perception Stitching: Zero-Shot Perception Encoder Transfer for Visuomotor Robot Policies</t>
  </si>
  <si>
    <t>Into the Unknown: Generating Geospatial Descriptions for New Environments</t>
  </si>
  <si>
    <t>Simulating Financial Market via Large Language Model based Agents</t>
  </si>
  <si>
    <t>Are LLM-based Evaluators Confusing NLG Quality Criteria?</t>
  </si>
  <si>
    <t>Learning to utilize image second-order derivative information for crisp edge detection</t>
  </si>
  <si>
    <t>Text2Robot: Evolutionary Robot Design from Text Descriptions</t>
  </si>
  <si>
    <t>RealMAN: A Real-Recorded and Annotated Microphone Array Dataset for Dynamic Speech Enhancement and Localization</t>
  </si>
  <si>
    <t>BESTOW: Efficient and Streamable Speech Language Model with the Best of Two Worlds in GPT and T5</t>
  </si>
  <si>
    <t>Mining Reasons For And Against Vaccination From Unstructured Data Using Nichesourcing and AI Data Augmentation</t>
  </si>
  <si>
    <t>DWARF: Disease-weighted network for attention map refinement</t>
  </si>
  <si>
    <t>Calibrating LLMs with Preference Optimization on Thought Trees for Generating Rationale in Science Question Scoring</t>
  </si>
  <si>
    <t>The Complexity of Simplifying ω-Automata through the Alternating Cycle Decomposition</t>
  </si>
  <si>
    <t>Kolmogorov-Smirnov GAN</t>
  </si>
  <si>
    <t>Latent variable model for high-dimensional point process with structured missingness</t>
  </si>
  <si>
    <t>Catastrophic-risk-aware reinforcement learning with extreme-value-theory-based policy gradients</t>
  </si>
  <si>
    <t>Impact of Initialization on Intra-subject Pediatric Brain MR Image Registration: A Comparative Analysis between SyN ANTs and Deep Learning-Based Approaches</t>
  </si>
  <si>
    <t>GRACE: Graph-Regularized Attentive Convolutional Entanglement with Laplacian Smoothing for Robust DeepFake Video Detection</t>
  </si>
  <si>
    <t>Modeling State Shifting via Local-Global Distillation for Event-Frame Gaze Tracking</t>
  </si>
  <si>
    <t>From the Least to the Most: Building a Plug-and-Play Visual Reasoner via Data Synthesis</t>
  </si>
  <si>
    <t>Tracking Object Positions in Reinforcement Learning: A Metric for Keypoint Detection (extended version)</t>
  </si>
  <si>
    <t>Decoupling General and Personalized Knowledge in Federated Learning via Additive and Low-Rank Decomposition</t>
  </si>
  <si>
    <t>Interactive Topic Models with Optimal Transport</t>
  </si>
  <si>
    <t>Fully Dynamic k-Means Coreset in Near-Optimal Update Time</t>
  </si>
  <si>
    <t>Parallax-tolerant Image Stitching via Segmentation-guided Multi-homography Warping</t>
  </si>
  <si>
    <t>Automated Deep Neural Network Inference Partitioning for Distributed Embedded Systems</t>
  </si>
  <si>
    <t>Learning Decision Policies with Instrumental Variables through Double Machine Learning</t>
  </si>
  <si>
    <t>NoteChat: A Dataset of Synthetic Doctor-Patient Conversations Conditioned on Clinical Notes</t>
  </si>
  <si>
    <t>MatText: Do Language Models Need More than Text &amp; Scale for Materials Modeling?</t>
  </si>
  <si>
    <t>JMLR: Joint Medical LLM and Retrieval Training for Enhancing Reasoning and Professional Question Answering Capability</t>
  </si>
  <si>
    <t>Solving Token Gradient Conflict in Mixture-of-Experts for Large Vision-Language Model</t>
  </si>
  <si>
    <t>LatentExplainer: Explaining Latent Representations in Deep Generative Models with Multi-modal Foundation Models</t>
  </si>
  <si>
    <t>Towards Learning Stochastic Population Models by Gradient Descent</t>
  </si>
  <si>
    <t>A Framework for Learning and Reusing Robotic Skills</t>
  </si>
  <si>
    <t>On the Value of PHH3 for Mitotic Figure Detection on H&amp;E-stained Images</t>
  </si>
  <si>
    <t>Paraphrase Types Elicit Prompt Engineering Capabilities</t>
  </si>
  <si>
    <t>FI-CBL: A Probabilistic Method for Concept-Based Learning with Expert Rules</t>
  </si>
  <si>
    <t>AuthAttLyzer-V2: Unveiling Code Authorship Attribution using Enhanced Ensemble Learning Models &amp; Generating Benchmark Dataset</t>
  </si>
  <si>
    <t>Deep Maxout Network-based Feature Fusion and Political Tangent Search Optimizer enabled Transfer Learning for Thalassemia Detection</t>
  </si>
  <si>
    <t>Learning Human-Robot Handshaking Preferences for Quadruped Robots</t>
  </si>
  <si>
    <t>Untangling the Unrestricted Web: Automatic Identification of Multilingual Registers</t>
  </si>
  <si>
    <t>A Unified Data Augmentation Framework for Low-Resource Multi-Domain Dialogue Generation</t>
  </si>
  <si>
    <t>MALIBO: Meta-learning for Likelihood-free Bayesian Optimization</t>
  </si>
  <si>
    <t>Fine-tuning of Geospatial Foundation Models for Aboveground Biomass Estimation</t>
  </si>
  <si>
    <t>Investigating the Timescales of Language Processing with EEG and Language Models</t>
  </si>
  <si>
    <t>PDFA Distillation via String Probability Queries</t>
  </si>
  <si>
    <t>InfiniBench: A Comprehensive Benchmark for Large Multimodal Models in Very Long Video Understanding</t>
  </si>
  <si>
    <t>Detecting Subtle Differences between Human and Model Languages Using Spectrum of Relative Likelihood</t>
  </si>
  <si>
    <t>Operator World Models for Reinforcement Learning</t>
  </si>
  <si>
    <t>Mining Open Semantics from CLIP: A Relation Transition Perspective for Few-Shot Learning</t>
  </si>
  <si>
    <t>MetaDesigner: Advancing Artistic Typography through AI-Driven, User-Centric, and Multilingual WordArt Synthesis</t>
  </si>
  <si>
    <t>YuLan: An Open-source Large Language Model</t>
  </si>
  <si>
    <t>FootBots: A Transformer-based Architecture for Motion Prediction in Soccer</t>
  </si>
  <si>
    <t>Generative AI-Driven Human Digital Twin in IoT-Healthcare: A Comprehensive Survey</t>
  </si>
  <si>
    <t>CodeAgent: Collaborative Agents for Software Engineering</t>
  </si>
  <si>
    <t>3D Operation of Autonomous Excavator based on Reinforcement Learning through Independent Reward for Individual Joints</t>
  </si>
  <si>
    <t>An Analysis of MLOps Architectures: A Systematic Mapping Study</t>
  </si>
  <si>
    <t>Virtual Context: Enhancing Jailbreak Attacks with Special Token Injection</t>
  </si>
  <si>
    <t>StreamMOTP: Streaming and Unified Framework for Joint 3D Multi-Object Tracking and Trajectory Prediction</t>
  </si>
  <si>
    <t>Hierarchical Reinforcement Learning Based on Planning Operators</t>
  </si>
  <si>
    <t>Spike Accumulation Forwarding for Effective Training of Spiking Neural Networks</t>
  </si>
  <si>
    <t>AnomaLLMy -- Detecting anomalous tokens in black-box LLMs through low-confidence single-token predictions</t>
  </si>
  <si>
    <t>Kandinsky 3.0 Technical Report</t>
  </si>
  <si>
    <t>LightStereo: Channel Boost Is All Your Need for Efficient 2D Cost Aggregation</t>
  </si>
  <si>
    <t>MuGSI: Distilling GNNs with Multi-Granularity Structural Information for Graph Classification</t>
  </si>
  <si>
    <t>Minimising the Probabilistic Bisimilarity Distance</t>
  </si>
  <si>
    <t>Towards Stable and Storage-efficient Dataset Distillation: Matching Convexified Trajectory</t>
  </si>
  <si>
    <t>BeamAggR: Beam Aggregation Reasoning over Multi-source Knowledge for Multi-hop Question Answering</t>
  </si>
  <si>
    <t>Reinforcement Learning for Efficient Design and Control Co-optimisation of Energy Systems</t>
  </si>
  <si>
    <t>Extract More from Less: Efficient Fine-Grained Visual Recognition in Low-Data Regimes</t>
  </si>
  <si>
    <t>Fuzzy Logic Guided Reward Function Variation: An Oracle for Testing Reinforcement Learning Programs</t>
  </si>
  <si>
    <t>EgoGaussian: Dynamic Scene Understanding from Egocentric Video with 3D Gaussian Splatting</t>
  </si>
  <si>
    <t>Deceptive Diffusion: Generating Synthetic Adversarial Examples</t>
  </si>
  <si>
    <t>Scalable and Domain-General Abstractive Proposition Segmentation</t>
  </si>
  <si>
    <t>Modeling the Real World with High-Density Visual Particle Dynamics</t>
  </si>
  <si>
    <t>Comprehensive Generative Replay for Task-Incremental Segmentation with Concurrent Appearance and Semantic Forgetting</t>
  </si>
  <si>
    <t>Improving Performance Prediction of Electrolyte Formulations with Transformer-based Molecular Representation Model</t>
  </si>
  <si>
    <t>Mobile Robot Oriented Large-Scale Indoor Dataset for Dynamic Scene Understanding</t>
  </si>
  <si>
    <t>NLPerturbator: Studying the Robustness of Code LLMs to Natural Language Variations</t>
  </si>
  <si>
    <t>LCSim: A Large-Scale Controllable Traffic Simulator</t>
  </si>
  <si>
    <t>MDF: A Dynamic Fusion Model for Multi-modal Fake News Detection</t>
  </si>
  <si>
    <t>Direct Preference Knowledge Distillation for Large Language Models</t>
  </si>
  <si>
    <t>Self-Supervised Spatial-Temporal Normality Learning for Time Series Anomaly Detection</t>
  </si>
  <si>
    <t>Contextualized Hybrid Ensemble Q-learning: Learning Fast with Control Priors</t>
  </si>
  <si>
    <t>Systematic Literature Review on Application of Learning-based Approaches in Continuous Integration</t>
  </si>
  <si>
    <t>Belief Revision: The Adaptability of Large Language Models Reasoning</t>
  </si>
  <si>
    <t>xSemAD: Explainable Semantic Anomaly Detection in Event Logs Using Sequence-to-Sequence Models</t>
  </si>
  <si>
    <t>Learning Interpretable Legal Case Retrieval via Knowledge-Guided Case Reformulation</t>
  </si>
  <si>
    <t>Breaking the Script Barrier in Multilingual Pre-Trained Language Models with Transliteration-Based Post-Training Alignment</t>
  </si>
  <si>
    <t>Structure-aware World Model for Probe Guidance via Large-scale Self-supervised Pre-train</t>
  </si>
  <si>
    <t>Protein Representation Learning with Sequence Information Embedding: Does it Always Lead to a Better Performance?</t>
  </si>
  <si>
    <t>Backdoor Attack in Prompt-Based Continual Learning</t>
  </si>
  <si>
    <t>SPIRONet: Spatial-Frequency Learning and Topological Channel Interaction Network for Vessel Segmentation</t>
  </si>
  <si>
    <t>Voluminous Fur Stroking Experience through Interactive Visuo-Haptic Model in Virtual Reality</t>
  </si>
  <si>
    <t>ROS-LLM: A ROS framework for embodied AI with task feedback and structured reasoning</t>
  </si>
  <si>
    <t>MM-Instruct: Generated Visual Instructions for Large Multimodal Model Alignment</t>
  </si>
  <si>
    <t>Message du troisi{è}me type : irruption d'un tiers dans un dialogue en ligne</t>
  </si>
  <si>
    <t>Le sens de la famille : analyse du vocabulaire de la parent{é} par les plongements de mots</t>
  </si>
  <si>
    <t>EPOCH: Jointly Estimating the 3D Pose of Cameras and Humans</t>
  </si>
  <si>
    <t>CUPID: Improving Battle Fairness and Position Satisfaction in Online MOBA Games with a Re-matchmaking System</t>
  </si>
  <si>
    <t>Uncertainty Quantification in Large Language Models Through Convex Hull Analysis</t>
  </si>
  <si>
    <t>A Differentiable Approach to Multi-scale Brain Modeling</t>
  </si>
  <si>
    <t>InfiniGen: Efficient Generative Inference of Large Language Models with Dynamic KV Cache Management</t>
  </si>
  <si>
    <t>SAML: Speaker Adaptive Mixture of LoRA Experts for End-to-End ASR</t>
  </si>
  <si>
    <t>Vision Transformer with Key-select Routing Attention for Single Image Dehazing</t>
  </si>
  <si>
    <t>MMRo: Are Multimodal LLMs Eligible as the Brain for In-Home Robotics?</t>
  </si>
  <si>
    <t>Deep Fusion Model for Brain Tumor Classification Using Fine-Grained Gradient Preservation</t>
  </si>
  <si>
    <t>Enhancing Radiological Diagnosis: A Collaborative Approach Integrating AI and Human Expertise for Visual Miss Correction</t>
  </si>
  <si>
    <t>MimicMotion: High-Quality Human Motion Video Generation with Confidence-aware Pose Guidance</t>
  </si>
  <si>
    <t>Deep Learning-based Depth Estimation Methods from Monocular Image and Videos: A Comprehensive Survey</t>
  </si>
  <si>
    <t>Less is More: Accurate Speech Recognition &amp; Translation without Web-Scale Data</t>
  </si>
  <si>
    <t>Function+Data Flow: A Framework to Specify Machine Learning Pipelines for Digital Twinning</t>
  </si>
  <si>
    <t>PopAlign: Population-Level Alignment for Fair Text-to-Image Generation</t>
  </si>
  <si>
    <t>CSAKD: Knowledge Distillation with Cross Self-Attention for Hyperspectral and Multispectral Image Fusion</t>
  </si>
  <si>
    <t>PM-VIS+: High-Performance Video Instance Segmentation without Video Annotation</t>
  </si>
  <si>
    <t>Recent Advances in Deep Learning for Channel Coding: A Survey</t>
  </si>
  <si>
    <t>Finite basis Kolmogorov-Arnold networks: domain decomposition for data-driven and physics-informed problems</t>
  </si>
  <si>
    <t>LLMEasyQuant -- An Easy to Use Toolkit for LLM Quantization</t>
  </si>
  <si>
    <t>Basketball-SORT: An Association Method for Complex Multi-object Occlusion Problems in Basketball Multi-object Tracking</t>
  </si>
  <si>
    <t>ACES: Automatic Cohort Extraction System for Event-Stream Datasets</t>
  </si>
  <si>
    <t>DECOR: Improving Coherence in L2 English Writing with a Novel Benchmark for Incoherence Detection, Reasoning, and Rewriting</t>
  </si>
  <si>
    <t>CANDY: A Benchmark for Continuous Approximate Nearest Neighbor Search with Dynamic Data Ingestion</t>
  </si>
  <si>
    <t>AstMatch: Adversarial Self-training Consistency Framework for Semi-Supervised Medical Image Segmentation</t>
  </si>
  <si>
    <t>Designing and Evaluating Multi-Chatbot Interface for Human-AI Communication: Preliminary Findings from a Persuasion Task</t>
  </si>
  <si>
    <t>Doc2Token: Bridging Vocabulary Gap by Predicting Missing Tokens for E-commerce Search</t>
  </si>
  <si>
    <t>Directly Training Temporal Spiking Neural Network with Sparse Surrogate Gradient</t>
  </si>
  <si>
    <t>Beyond Human Preferences: Exploring Reinforcement Learning Trajectory Evaluation and Improvement through LLMs</t>
  </si>
  <si>
    <t>Unlocking Varied Perspectives: A Persona-Based Multi-Agent Framework with Debate-Driven Text Planning for Argument Generation</t>
  </si>
  <si>
    <t>IDT: Dual-Task Adversarial Attacks for Privacy Protection</t>
  </si>
  <si>
    <t>Efficient Event Stream Super-Resolution with Recursive Multi-Branch Fusion</t>
  </si>
  <si>
    <t>Precision matters: Precision-aware ensemble for weakly supervised semantic segmentation</t>
  </si>
  <si>
    <t>MInference 1.0: Accelerating Pre-filling for Long-Context LLMs via Dynamic Sparse Attention</t>
  </si>
  <si>
    <t>Magic Insert: Style-Aware Drag-and-Drop</t>
  </si>
  <si>
    <t>Neurocache: Efficient Vector Retrieval for Long-range Language Modeling</t>
  </si>
  <si>
    <t>RankRAG: Unifying Context Ranking with Retrieval-Augmented Generation in LLMs</t>
  </si>
  <si>
    <t>Characterizing the Interpretability of Attention Maps in Digital Pathology</t>
  </si>
  <si>
    <t>MMedAgent: Learning to Use Medical Tools with Multi-modal Agent</t>
  </si>
  <si>
    <t>Boosting Consistency in Story Visualization with Rich-Contextual Conditional Diffusion Models</t>
  </si>
  <si>
    <t>Understanding Alignment in Multimodal LLMs: A Comprehensive Study</t>
  </si>
  <si>
    <t>Scalable Multi-Output Gaussian Processes with Stochastic Variational Inference</t>
  </si>
  <si>
    <t>Open Scene Graphs for Open World Object-Goal Navigation</t>
  </si>
  <si>
    <t>Improved Space-Efficient Approximate Nearest Neighbor Search Using Function Inversion</t>
  </si>
  <si>
    <t>ValueScope: Unveiling Implicit Norms and Values via Return Potential Model of Social Interactions</t>
  </si>
  <si>
    <t>PWM: Policy Learning with Large World Models</t>
  </si>
  <si>
    <t>Belief sharing: a blessing or a curse</t>
  </si>
  <si>
    <t>Reliable Confidence Intervals for Information Retrieval Evaluation Using Generative A.I</t>
  </si>
  <si>
    <t>Decentralized Intelligence Network (DIN)</t>
  </si>
  <si>
    <t>Meta 3D AssetGen: Text-to-Mesh Generation with High-Quality Geometry, Texture, and PBR Materials</t>
  </si>
  <si>
    <t>Predicting vs. Acting: A Trade-off Between World Modeling &amp; Agent Modeling</t>
  </si>
  <si>
    <t>PLeaS -- Merging Models with Permutations and Least Squares</t>
  </si>
  <si>
    <t>Ensemble of pre-trained language models and data augmentation for hate speech detection from Arabic tweets</t>
  </si>
  <si>
    <t>Predicting Visual Attention in Graphic Design Documents</t>
  </si>
  <si>
    <t>Evaluating the Robustness of Adverse Drug Event Classification Models Using Templates</t>
  </si>
  <si>
    <t>On the Robustness of Graph Reduction Against GNN Backdoor</t>
  </si>
  <si>
    <t>Meta 3D TextureGen: Fast and Consistent Texture Generation for 3D Objects</t>
  </si>
  <si>
    <t>Comparative Evaluation of Learning Models for Bionic Robots: Non-Linear Transfer Function Identifications</t>
  </si>
  <si>
    <t>Reinforcement Learning and Machine ethics:a systematic review</t>
  </si>
  <si>
    <t>A Pattern Language for Machine Learning Tasks</t>
  </si>
  <si>
    <t>On the Anatomy of Attention</t>
  </si>
  <si>
    <t>Close, But Not There: Boosting Geographic Distance Sensitivity in Visual Place Recognition</t>
  </si>
  <si>
    <t>AXIAL: Attention-based eXplainability for Interpretable Alzheimer's Localized Diagnosis using 2D CNNs on 3D MRI brain scans</t>
  </si>
  <si>
    <t>Video Watermarking: Safeguarding Your Video from (Unauthorized) Annotations by Video-based LLMs</t>
  </si>
  <si>
    <t>Effective Context Selection in LLM-based Leaderboard Generation: An Empirical Study</t>
  </si>
  <si>
    <t>CEB: Compositional Evaluation Benchmark for Fairness in Large Language Models</t>
  </si>
  <si>
    <t>Face Reconstruction Transfer Attack as Out-of-Distribution Generalization</t>
  </si>
  <si>
    <t>Assessing the Code Clone Detection Capability of Large Language Models</t>
  </si>
  <si>
    <t>Consistency Flow Matching: Defining Straight Flows with Velocity Consistency</t>
  </si>
  <si>
    <t>Learning to Refine with Fine-Grained Natural Language Feedback</t>
  </si>
  <si>
    <t>Is Your AI-Generated Code Really Secure? Evaluating Large Language Models on Secure Code Generation with CodeSecEval</t>
  </si>
  <si>
    <t>Similarity Distance-Based Label Assignment for Tiny Object Detection</t>
  </si>
  <si>
    <t>TokenPacker: Efficient Visual Projector for Multimodal LLM</t>
  </si>
  <si>
    <t>SafaRi:Adaptive Sequence Transformer for Weakly Supervised Referring Expression Segmentation</t>
  </si>
  <si>
    <t>Real HSI-MSI-PAN image dataset for the hyperspectral/multi-spectral/panchromatic image fusion and super-resolution fields</t>
  </si>
  <si>
    <t>OpenSlot: Mixed Open-set Recognition with Object-centric Learning</t>
  </si>
  <si>
    <t>Light-SLAM: A Robust Deep-Learning Visual SLAM System Based on LightGlue under Challenging Lighting Conditions</t>
  </si>
  <si>
    <t>What Should Be Considered to Support well-being with AI: Considerations Based on Responsible Research and Innovation</t>
  </si>
  <si>
    <t>OpenVid-1M: A Large-Scale High-Quality Dataset for Text-to-video Generation</t>
  </si>
  <si>
    <t>Investigating Event-Based Cameras for Video Frame Interpolation in Sports</t>
  </si>
  <si>
    <t>Two-Step Q-Learning</t>
  </si>
  <si>
    <t>Fast, Scalable, Energy-Efficient Non-element-wise Matrix Multiplication on FPGA</t>
  </si>
  <si>
    <t>GCF: Graph Convolutional Networks for Facial Expression Recognition</t>
  </si>
  <si>
    <t>Enable the Right to be Forgotten with Federated Client Unlearning in Medical Imaging</t>
  </si>
  <si>
    <t>Talking to Machines: do you read me?</t>
  </si>
  <si>
    <t>Roadmap to Neuromorphic Computing with Emerging Technologies</t>
  </si>
  <si>
    <t>Pelican: Correcting Hallucination in Vision-LLMs via Claim Decomposition and Program of Thought Verification</t>
  </si>
  <si>
    <t>Generative Large Language Models in Automated Fact-Checking: A Survey</t>
  </si>
  <si>
    <t>Conceptual Codebook Learning for Vision-Language Models</t>
  </si>
  <si>
    <t>Revisiting Cascaded Ensembles for Efficient Inference</t>
  </si>
  <si>
    <t>MORPHEUS: Modeling Role from Personalized Dialogue History by Exploring and Utilizing Latent Space</t>
  </si>
  <si>
    <t>RVISA: Reasoning and Verification for Implicit Sentiment Analysis</t>
  </si>
  <si>
    <t>Open foundation models for Azerbaijani language</t>
  </si>
  <si>
    <t>Mining Constraints from Reference Process Models for Detecting Best-Practice Violations in Event Log</t>
  </si>
  <si>
    <t>CALICO: Confident Active Learning with Integrated Calibration</t>
  </si>
  <si>
    <t>Why do LLaVA Vision-Language Models Reply to Images in English?</t>
  </si>
  <si>
    <t>MIGC++: Advanced Multi-Instance Generation Controller for Image Synthesis</t>
  </si>
  <si>
    <t>Efficient Sparse Attention needs Adaptive Token Release</t>
  </si>
  <si>
    <t>QSync: Quantization-Minimized Synchronous Distributed Training Across Hybrid Devices</t>
  </si>
  <si>
    <t>Stochastic Differential Equations models for Least-Squares Stochastic Gradient Descent</t>
  </si>
  <si>
    <t>Exploring the Role of Transliteration in In-Context Learning for Low-resource Languages Written in Non-Latin Scripts</t>
  </si>
  <si>
    <t>The Solution for Temporal Sound Localisation Task of ICCV 1st Perception Test Challenge 2023</t>
  </si>
  <si>
    <t>Soft Language Prompts for Language Transfer</t>
  </si>
  <si>
    <t>VFIMamba: Video Frame Interpolation with State Space Models</t>
  </si>
  <si>
    <t>Evaluating the Ability of LLMs to Solve Semantics-Aware Process Mining Tasks</t>
  </si>
  <si>
    <t>Semantically Guided Representation Learning For Action Anticipation</t>
  </si>
  <si>
    <t>Towards Human Understanding of Paraphrase Types in ChatGPT</t>
  </si>
  <si>
    <t>CFinBench: A Comprehensive Chinese Financial Benchmark for Large Language Models</t>
  </si>
  <si>
    <t>Renard: A Modular Pipeline for Extracting Character Networks from Narrative Texts</t>
  </si>
  <si>
    <t>A Refreshed Similarity-based Upsampler for Direct High-Ratio Feature Upsampling</t>
  </si>
  <si>
    <t>Learning Bipedal Walking on a Quadruped Robot via Adversarial Motion Priors</t>
  </si>
  <si>
    <t>FedIA: Federated Medical Image Segmentation with Heterogeneous Annotation Completeness</t>
  </si>
  <si>
    <t>How to Boost Any Loss Function</t>
  </si>
  <si>
    <t>MelodyT5: A Unified Score-to-Score Transformer for Symbolic Music Processing</t>
  </si>
  <si>
    <t>Learning Paradigms and Modelling Methodologies for Digital Twins in Process Industry</t>
  </si>
  <si>
    <t>DextrAH-G: Pixels-to-Action Dexterous Arm-Hand Grasping with Geometric Fabrics</t>
  </si>
  <si>
    <t>Multilingual Trolley Problems for Language Models</t>
  </si>
  <si>
    <t>Aligning Human Motion Generation with Human Perceptions</t>
  </si>
  <si>
    <t>Improving Explainability of Softmax Classifiers Using a Prototype-Based Joint Embedding Method</t>
  </si>
  <si>
    <t>DrugCLIP: Contrastive Drug-Disease Interaction For Drug Repurposing</t>
  </si>
  <si>
    <t>SOAF: Scene Occlusion-aware Neural Acoustic Field</t>
  </si>
  <si>
    <t>FreeCG: Free the Design Space of Clebsch-Gordan Transform for machine learning force field</t>
  </si>
  <si>
    <t>Federated Distillation for Medical Image Classification: Towards Trustworthy Computer-Aided Diagnosis</t>
  </si>
  <si>
    <t>SiamTST: A Novel Representation Learning Framework for Enhanced Multivariate Time Series Forecasting applied to Telco Networks</t>
  </si>
  <si>
    <t>Parameter-Selective Continual Test-Time Adaptation</t>
  </si>
  <si>
    <t>GlyphDraw2: Automatic Generation of Complex Glyph Posters with Diffusion Models and Large Language Models</t>
  </si>
  <si>
    <t>EvolBA: Evolutionary Boundary Attack under Hard-label Black Box condition</t>
  </si>
  <si>
    <t>Safe CoR: A Dual-Expert Approach to Integrating Imitation Learning and Safe Reinforcement Learning Using Constraint Rewards</t>
  </si>
  <si>
    <t>Robust Zero-Shot Text-to-Speech Synthesis with Reverse Inference Optimization</t>
  </si>
  <si>
    <t>Sign Language Recognition Based On Facial Expression and Hand Skeleton</t>
  </si>
  <si>
    <t>MALT Powers Up Adversarial Attacks</t>
  </si>
  <si>
    <t>MIREncoder: Multi-modal IR-based Pretrained Embeddings for Performance Optimizations</t>
  </si>
  <si>
    <t>Indian Stock Market Prediction using Augmented Financial Intelligence ML</t>
  </si>
  <si>
    <t>Towards a Holistic Framework for Multimodal Large Language Models in Three-dimensional Brain CT Report Generation</t>
  </si>
  <si>
    <t>Synthetic Multimodal Question Generation</t>
  </si>
  <si>
    <t>Safety-Driven Deep Reinforcement Learning Framework for Cobots: A Sim2Real Approach</t>
  </si>
  <si>
    <t>LaMoD: Latent Motion Diffusion Model For Myocardial Strain Generation</t>
  </si>
  <si>
    <t>MTMamba: Enhancing Multi-Task Dense Scene Understanding by Mamba-Based Decoders</t>
  </si>
  <si>
    <t>Detecting Driver Fatigue With Eye Blink Behavior</t>
  </si>
  <si>
    <t>Embodied AI in Mobile Robots: Coverage Path Planning with Large Language Models</t>
  </si>
  <si>
    <t>Multi-Modal Video Dialog State Tracking in the Wild</t>
  </si>
  <si>
    <t>Physics-Informed Model and Hybrid Planning for Efficient Dyna-Style Reinforcement Learning</t>
  </si>
  <si>
    <t>PromptIntern: Saving Inference Costs by Internalizing Recurrent Prompt during Large Language Model Fine-tuning</t>
  </si>
  <si>
    <t>Generative Monoculture in Large Language Models</t>
  </si>
  <si>
    <t>How to Learn in a Noisy World? Self-Correcting the Real-World Data Noise on Machine Translation</t>
  </si>
  <si>
    <t>Automatic Adaptation Rule Optimization via Large Language Models</t>
  </si>
  <si>
    <t>Research on Reliable and Safe Occupancy Grid Prediction in Underground Parking Lots</t>
  </si>
  <si>
    <t>Virtually Objective Quantification of in vitro Wound Healing Scratch Assays with the Segment Anything Model</t>
  </si>
  <si>
    <t>Occlusion-Aware Seamless Segmentation</t>
  </si>
  <si>
    <t>BeNeRF: Neural Radiance Fields from a Single Blurry Image and Event Stream</t>
  </si>
  <si>
    <t>GMM-ResNet2: Ensemble of Group ResNet Networks for Synthetic Speech Detection</t>
  </si>
  <si>
    <t>WildAvatar: Web-scale In-the-wild Video Dataset for 3D Avatar Creation</t>
  </si>
  <si>
    <t>SparseSSP: 3D Subcellular Structure Prediction from Sparse-View Transmitted Light Images</t>
  </si>
  <si>
    <t>UltraPixel: Advancing Ultra-High-Resolution Image Synthesis to New Peaks</t>
  </si>
  <si>
    <t>FineCLIPER: Multi-modal Fine-grained CLIP for Dynamic Facial Expression Recognition with AdaptERs</t>
  </si>
  <si>
    <t>Towards Training Music Taggers on Synthetic Data</t>
  </si>
  <si>
    <t>Equidistribution-based training of Free Knot Splines and ReLU Neural Networks</t>
  </si>
  <si>
    <t>Labeling Sentences with Symbolic and Deictic Gestures via Semantic Similarity</t>
  </si>
  <si>
    <t>VRBiom: A New Periocular Dataset for Biometric Applications of HMD</t>
  </si>
  <si>
    <t>LlamAr &amp; GemmAr: Enhancing LLMs Through Arabic Instruction-Tuning</t>
  </si>
  <si>
    <t>Counterfactual Data Augmentation with Denoising Diffusion for Graph Anomaly Detection</t>
  </si>
  <si>
    <t>Efficient Nearest Neighbor based Uncertainty Estimation for Natural Language Processing Tasks</t>
  </si>
  <si>
    <t>Black Big Boxes: Do Language Models Hide a Theory of Adjective Order?</t>
  </si>
  <si>
    <t>Abstract Markov Random Fields</t>
  </si>
  <si>
    <t>ReliaAvatar: A Robust Real-Time Avatar Animator with Integrated Motion Prediction</t>
  </si>
  <si>
    <t>Distributional Regression U-Nets for the Postprocessing of Precipitation Ensemble Forecasts</t>
  </si>
  <si>
    <t>Hybrid Feature Collaborative Reconstruction Network for Few-Shot Fine-Grained Image Classification</t>
  </si>
  <si>
    <t>Fake News Detection: It's All in the Data!</t>
  </si>
  <si>
    <t>Cost-Effective Proxy Reward Model Construction with On-Policy and Active Learning</t>
  </si>
  <si>
    <t>Breaking Language Barriers: Cross-Lingual Continual Pre-Training at Scale</t>
  </si>
  <si>
    <t>A Data-Centric Perspective on Evaluating Machine Learning Models for Tabular Data</t>
  </si>
  <si>
    <t>Exploring Federated Learning Dynamics for Black-and-White-Box DNN Traitor Tracing</t>
  </si>
  <si>
    <t>HRSAM: Efficiently Segment Anything in High-Resolution Images</t>
  </si>
  <si>
    <t>Joint-Dataset Learning and Cross-Consistent Regularization for Text-to-Motion Retrieval</t>
  </si>
  <si>
    <t>Helpful assistant or fruitful facilitator? Investigating how personas affect language model behavior</t>
  </si>
  <si>
    <t>DM3D: Distortion-Minimized Weight Pruning for Lossless 3D Object Detection</t>
  </si>
  <si>
    <t>TIGER: A Generating-Then-Ranking Framework for Practical Python Type Inference</t>
  </si>
  <si>
    <t>Universal Plans: One Action Sequence to Solve Them All!</t>
  </si>
  <si>
    <t>GPTCast: a weather language model for precipitation nowcasting</t>
  </si>
  <si>
    <t>On the Performance and Memory Footprint of Distributed Training: An Empirical Study on Transformers</t>
  </si>
  <si>
    <t>Theseus: Towards High-Efficiency Wafer-Scale Chip Design Space Exploration for Large Language Models</t>
  </si>
  <si>
    <t>Hierarchical Temporal Context Learning for Camera-based Semantic Scene Completion</t>
  </si>
  <si>
    <t>Label Anything: Multi-Class Few-Shot Semantic Segmentation with Visual Prompts</t>
  </si>
  <si>
    <t>CGAP: Urban Region Representation Learning with Coarsened Graph Attention Pooling</t>
  </si>
  <si>
    <t>Contribution Evaluation of Heterogeneous Participants in Federated Learning via Prototypical Representations</t>
  </si>
  <si>
    <t>Latent Diffusion Model for Generating Ensembles of Climate Simulations</t>
  </si>
  <si>
    <t>LPViT: Low-Power Semi-structured Pruning for Vision Transformers</t>
  </si>
  <si>
    <t>Crossroads of Continents: Automated Artifact Extraction for Cultural Adaptation with Large Multimodal Models</t>
  </si>
  <si>
    <t>BiasDora: Exploring Hidden Biased Associations in Vision-Language Models</t>
  </si>
  <si>
    <t>Fuzzy synthetic method for evaluating explanations in recommender systems</t>
  </si>
  <si>
    <t>Are Data Augmentation Methods in Named Entity Recognition Applicable for Uncertainty Estimation?</t>
  </si>
  <si>
    <t>Integrate the Essence and Eliminate the Dross: Fine-Grained Self-Consistency for Free-Form Language Generation</t>
  </si>
  <si>
    <t>Abstract Dialectical Frameworks are Boolean Networks (full version)</t>
  </si>
  <si>
    <t>Secure Semantic Communication via Paired Adversarial Residual Networks</t>
  </si>
  <si>
    <t>The USTC-NERCSLIP Systems for The ICMC-ASR Challenge</t>
  </si>
  <si>
    <t>Accompanied Singing Voice Synthesis with Fully Text-controlled Melody</t>
  </si>
  <si>
    <t>Revolutionising Role-Playing Games with ChatGPT</t>
  </si>
  <si>
    <t>CountFormer: Multi-View Crowd Counting Transformer</t>
  </si>
  <si>
    <t>Concise and Precise Context Compression for Tool-Using Language Models</t>
  </si>
  <si>
    <t>Fake News Detection and Manipulation Reasoning via Large Vision-Language Models</t>
  </si>
  <si>
    <t>ScaleDreamer: Scalable Text-to-3D Synthesis with Asynchronous Score Distillation</t>
  </si>
  <si>
    <t>Prompt Stability Scoring for Text Annotation with Large Language Models</t>
  </si>
  <si>
    <t>Camera-LiDAR Cross-modality Gait Recognition</t>
  </si>
  <si>
    <t>TrAME: Trajectory-Anchored Multi-View Editing for Text-Guided 3D Gaussian Splatting Manipulation</t>
  </si>
  <si>
    <t>SwiftDiffusion: Efficient Diffusion Model Serving with Add-on Modules</t>
  </si>
  <si>
    <t>Breaking Bias, Building Bridges: Evaluation and Mitigation of Social Biases in LLMs via Contact Hypothesis</t>
  </si>
  <si>
    <t>Why does in-context learning fail sometimes? Evaluating in-context learning on open and closed questions</t>
  </si>
  <si>
    <t>Privacy Risks of General-Purpose AI Systems: A Foundation for Investigating Practitioner Perspectives</t>
  </si>
  <si>
    <t>On the Expressive Power of Sparse Geometric MPNNs</t>
  </si>
  <si>
    <t>A Proposal for a FAIR Management of 3D Data in Cultural Heritage: The Aldrovandi Digital Twin Case</t>
  </si>
  <si>
    <t>Multi-Grained Contrast for Data-Efficient Unsupervised Representation Learning</t>
  </si>
  <si>
    <t>DiGRAF: Diffeomorphic Graph-Adaptive Activation Function</t>
  </si>
  <si>
    <t>An End-to-End Speech Summarization Using Large Language Model</t>
  </si>
  <si>
    <t>SAVE: Segment Audio-Visual Easy way using Segment Anything Model</t>
  </si>
  <si>
    <t>ViG-Bias: Visually Grounded Bias Discovery and Mitigation</t>
  </si>
  <si>
    <t>Is Your Large Language Model Knowledgeable or a Choices-Only Cheater?</t>
  </si>
  <si>
    <t>AHMsys: An Automated HVAC Modeling System for BIM Project</t>
  </si>
  <si>
    <t>The Epistemic Uncertainty Hole: an issue of Bayesian Neural Networks</t>
  </si>
  <si>
    <t>SADL: An Effective In-Context Learning Method for Compositional Visual QA</t>
  </si>
  <si>
    <t>Unveiling Global Interactive Patterns across Graphs: Towards Interpretable Graph Neural Networks</t>
  </si>
  <si>
    <t>A Bounding Box is Worth One Token: Interleaving Layout and Text in a Large Language Model for Document Understanding</t>
  </si>
  <si>
    <t>MeMemo: On-device Retrieval Augmentation for Private and Personalized Text Generation</t>
  </si>
  <si>
    <t>Pseudo-Labeling by Multi-Policy Viewfinder Network for Image Cropping</t>
  </si>
  <si>
    <t>Unsettled Law: Time to Generate New Approaches?</t>
  </si>
  <si>
    <t>Unleash the Power of Local Representations for Few-Shot Classification</t>
  </si>
  <si>
    <t>AdaCQR: Enhancing Query Reformulation for Conversational Search via Sparse and Dense Retrieval Alignment</t>
  </si>
  <si>
    <t>Enabling Discriminative Reasoning in Large Language Models for Legal Judgment Prediction</t>
  </si>
  <si>
    <t>Zero-shot Video Restoration and Enhancement Using Pre-Trained Image Diffusion Model</t>
  </si>
  <si>
    <t>FlowTrack: Point-level Flow Network for 3D Single Object Tracking</t>
  </si>
  <si>
    <t>S2D: Sorted Speculative Decoding For More Efficient Deployment of Nested Large Language Models</t>
  </si>
  <si>
    <t>CatMemo at the FinLLM Challenge Task: Fine-Tuning Large Language Models using Data Fusion in Financial Applications</t>
  </si>
  <si>
    <t>Extracting and Encoding: Leveraging Large Language Models and Medical Knowledge to Enhance Radiological Text Representation</t>
  </si>
  <si>
    <t>Indoor 3D Reconstruction with an Unknown Camera-Projector Pair</t>
  </si>
  <si>
    <t>Certainly Uncertain: A Benchmark and Metric for Multimodal Epistemic and Aleatoric Awareness</t>
  </si>
  <si>
    <t>Efficient-Empathy: Towards Efficient and Effective Selection of Empathy Data</t>
  </si>
  <si>
    <t>Probabilistic 3D Correspondence Prediction from Sparse Unsegmented Images</t>
  </si>
  <si>
    <t>Self-Cooperation Knowledge Distillation for Novel Class Discovery</t>
  </si>
  <si>
    <t>What We Talk About When We Talk About LMs: Implicit Paradigm Shifts and the Ship of Language Models</t>
  </si>
  <si>
    <t>SymPoint Revolutionized: Boosting Panoptic Symbol Spotting with Layer Feature Enhancement</t>
  </si>
  <si>
    <t>Chemical Shift Encoding based Double Bonds Quantification in Triglycerides using Deep Image Prior</t>
  </si>
  <si>
    <t>Looking From the Future: Multi-order Iterations Can Enhance Adversarial Attack Transferability</t>
  </si>
  <si>
    <t>GVDIFF: Grounded Text-to-Video Generation with Diffusion Models</t>
  </si>
  <si>
    <t>To Forget or Not? Towards Practical Knowledge Unlearning for Large Language Models</t>
  </si>
  <si>
    <t>A Method to Facilitate Membership Inference Attacks in Deep Learning Models</t>
  </si>
  <si>
    <t>Securing Distributed Network Digital Twin Systems Against Model Poisoning Attacks</t>
  </si>
  <si>
    <t>Sequential Manipulation Against Rank Aggregation: Theory and Algorithm</t>
  </si>
  <si>
    <t>Investigating the Effects of Large-Scale Pseudo-Stereo Data and Different Speech Foundation Model on Dialogue Generative Spoken Language Model</t>
  </si>
  <si>
    <t>MG-Verilog: Multi-grained Dataset Towards Enhanced LLM-assisted Verilog Generation</t>
  </si>
  <si>
    <t>Pinyin Regularization in Error Correction for Chinese Speech Recognition with Large Language Models</t>
  </si>
  <si>
    <t>Efficient Stochastic Differential Equation for DEM Super Resolution with Void Filling</t>
  </si>
  <si>
    <t>The Solution for the ICCV 2023 Perception Test Challenge 2023 -- Task 6 -- Grounded videoQA</t>
  </si>
  <si>
    <t>Let the Expert Stick to His Last: Expert-Specialized Fine-Tuning for Sparse Architectural Large Language Models</t>
  </si>
  <si>
    <t>Enhancing Multi-Class Anomaly Detection via Diffusion Refinement with Dual Conditioning</t>
  </si>
  <si>
    <t>Text-Aware Diffusion for Policy Learning</t>
  </si>
  <si>
    <t>SoP: Unlock the Power of Social Facilitation for Automatic Jailbreak Attack</t>
  </si>
  <si>
    <t>Scope-enhanced Compositional Semantic Parsing for DRT</t>
  </si>
  <si>
    <t>Proposal Report for the 2nd SciCAP Competition 2024</t>
  </si>
  <si>
    <t>LogEval: A Comprehensive Benchmark Suite for Large Language Models In Log Analysis</t>
  </si>
  <si>
    <t>Adaptive Modality Balanced Online Knowledge Distillation for Brain-Eye-Computer based Dim Object Detection</t>
  </si>
  <si>
    <t>CausalPrism: A Visual Analytics Approach for Subgroup-based Causal Heterogeneity Exploration</t>
  </si>
  <si>
    <t>GRASP: A Grid-Based Benchmark for Evaluating Commonsense Spatial Reasoning</t>
  </si>
  <si>
    <t>Beyond Numeric Awards: In-Context Dueling Bandits with LLM Agents</t>
  </si>
  <si>
    <t>Core Knowledge Learning Framework for Graph Adaptation and Scalability Learning</t>
  </si>
  <si>
    <t>Survey on Knowledge Distillation for Large Language Models: Methods, Evaluation, and Application</t>
  </si>
  <si>
    <t>EIT-1M: One Million EEG-Image-Text Pairs for Human Visual-textual Recognition and More</t>
  </si>
  <si>
    <t>Compare without Despair: Reliable Preference Evaluation with Generation Separability</t>
  </si>
  <si>
    <t>Spatio-Temporal Graphical Counterfactuals: An Overview</t>
  </si>
  <si>
    <t>Automated Text Scoring in the Age of Generative AI for the GPU-poor</t>
  </si>
  <si>
    <t>Referring Atomic Video Action Recognition</t>
  </si>
  <si>
    <t>Let it shine: Autofluorescence of Papanicolaou-stain improves AI-based cytological oral cancer detection</t>
  </si>
  <si>
    <t>Image-GS: Content-Adaptive Image Representation via 2D Gaussians</t>
  </si>
  <si>
    <t>Research on target detection method of distracted driving behavior based on improved YOLOv8</t>
  </si>
  <si>
    <t>VSP: Assessing the dual challenges of perception and reasoning in spatial planning tasks for VLMs</t>
  </si>
  <si>
    <t>Autonomous Ground Navigation in Highly Constrained Spaces: Lessons learned from The 3rd BARN Challenge at ICRA 2024</t>
  </si>
  <si>
    <t>Constant Directivity Loudspeaker Beamforming</t>
  </si>
  <si>
    <t>SpeakerBeam-SS: Real-time Target Speaker Extraction with Lightweight Conv-TasNet and State Space Modeling</t>
  </si>
  <si>
    <t>Adaptive RKHS Fourier Features for Compositional Gaussian Process Models</t>
  </si>
  <si>
    <t>Improving Multilingual Instruction Finetuning via Linguistically Natural and Diverse Datasets</t>
  </si>
  <si>
    <t>Meerkat: Audio-Visual Large Language Model for Grounding in Space and Time</t>
  </si>
  <si>
    <t>Purple-teaming LLMs with Adversarial Defender Training</t>
  </si>
  <si>
    <t>Investigating the Segment Anything Foundation Model for Mapping Smallholder Agriculture Field Boundaries Without Training Labels</t>
  </si>
  <si>
    <t>CLIP the Divergence: Language-guided Unsupervised Domain Adaptation</t>
  </si>
  <si>
    <t>To Switch or Not to Switch? Balanced Policy Switching in Offline Reinforcement Learning</t>
  </si>
  <si>
    <t>A Study of Nationality Bias in Names and Perplexity using Off-the-Shelf Affect-related Tweet Classifiers</t>
  </si>
  <si>
    <t>Empirical Tests of Optimization Assumptions in Deep Learning</t>
  </si>
  <si>
    <t>Empathic Grounding: Explorations using Multimodal Interaction and Large Language Models with Conversational Agents</t>
  </si>
  <si>
    <t>Active Human Pose Estimation via an Autonomous UAV Agent</t>
  </si>
  <si>
    <t>Freeview Sketching: View-Aware Fine-Grained Sketch-Based Image Retrieval</t>
  </si>
  <si>
    <t>DCoM: Active Learning for All Learners</t>
  </si>
  <si>
    <t>Normalization and effective learning rates in reinforcement learning</t>
  </si>
  <si>
    <t>Ground Every Sentence: Improving Retrieval-Augmented LLMs with Interleaved Reference-Claim Generation</t>
  </si>
  <si>
    <t>μ-Bench: A Vision-Language Benchmark for Microscopy Understanding</t>
  </si>
  <si>
    <t>Label-free Neural Semantic Image Synthesis</t>
  </si>
  <si>
    <t>Analyzing Persuasive Strategies in Meme Texts: A Fusion of Language Models with Paraphrase Enrichment</t>
  </si>
  <si>
    <t>Addressing a fundamental limitation in deep vision models: lack of spatial attention</t>
  </si>
  <si>
    <t>fVDB: A Deep-Learning Framework for Sparse, Large-Scale, and High-Performance Spatial Intelligence</t>
  </si>
  <si>
    <t>Deepfake Audio Detection Using Spectrogram-based Feature and Ensemble of Deep Learning Models</t>
  </si>
  <si>
    <t>Assessing Photorealism of Rendered Objects in Real-World Images: A Transparent and Reproducible User Study</t>
  </si>
  <si>
    <t>DRAGON: Drone and Ground Gaussian Splatting for 3D Building Reconstruction</t>
  </si>
  <si>
    <t>Predicting Trust Dynamics with Dynamic SEM in Human-AI Cooperation</t>
  </si>
  <si>
    <t>Adaptive control of reaction-diffusion PDEs via neural operator-approximated gain kernels</t>
  </si>
  <si>
    <t>The Continuous Tensor Abstraction: Where Indices are Real</t>
  </si>
  <si>
    <t>SONIC: Connect the Unconnected via FM Radio &amp; SMS</t>
  </si>
  <si>
    <t>Planetarium: A Rigorous Benchmark for Translating Text to Structured Planning Languages</t>
  </si>
  <si>
    <t>InternLM-XComposer-2.5: A Versatile Large Vision Language Model Supporting Long-Contextual Input and Output</t>
  </si>
  <si>
    <t>BACON: Supercharge Your VLM with Bag-of-Concept Graph to Mitigate Hallucinations</t>
  </si>
  <si>
    <t>Value-Penalized Auxiliary Control from Examples for Learning without Rewards or Demonstrations</t>
  </si>
  <si>
    <t>Universal Length Generalization with Turing Programs</t>
  </si>
  <si>
    <t>Accelerated Proton Resonance Frequency-based Magnetic Resonance Thermometry by Optimized Deep Learning Method</t>
  </si>
  <si>
    <t>HoloHisto: End-to-end Gigapixel WSI Segmentation with 4K Resolution Sequential Tokenization</t>
  </si>
  <si>
    <t>A Review of the Applications of Deep Learning-Based Emergent Communication</t>
  </si>
  <si>
    <t>DisCo-Diff: Enhancing Continuous Diffusion Models with Discrete Latents</t>
  </si>
  <si>
    <t>Improved Noise Schedule for Diffusion Training</t>
  </si>
  <si>
    <t>Biomechanics-informed Non-rigid Medical Image Registration and its Inverse Material Property Estimation with Linear and Nonlinear Elasticity</t>
  </si>
  <si>
    <t>VCHAR:Variance-Driven Complex Human Activity Recognition framework with Generative Representation</t>
  </si>
  <si>
    <t>Large Language Models for JSON Schema Discovery</t>
  </si>
  <si>
    <t>LLM Internal States Reveal Hallucination Risk Faced With a Query</t>
  </si>
  <si>
    <t>Evaluating Automatic Metrics with Incremental Machine Translation Systems</t>
  </si>
  <si>
    <t>For a semiotic AI: Bridging computer vision and visual semiotics for computational observation of large scale facial image archives</t>
  </si>
  <si>
    <t>A Unified Framework for 3D Scene Understanding</t>
  </si>
  <si>
    <t>Modern Neighborhood Components Analysis: A Deep Tabular Baseline Two Decades Later</t>
  </si>
  <si>
    <t>STF: Sentence Transformer Fine-Tuning For Topic Categorization With Limited Data</t>
  </si>
  <si>
    <t>ACTRESS: Active Retraining for Semi-supervised Visual Grounding</t>
  </si>
  <si>
    <t>TieBot: Learning to Knot a Tie from Visual Demonstration through a Real-to-Sim-to-Real Approach</t>
  </si>
  <si>
    <t>Visual Grounding with Attention-Driven Constraint Balancing</t>
  </si>
  <si>
    <t>Cyclic Refiner: Object-Aware Temporal Representation Learning for Multi-View 3D Detection and Tracking</t>
  </si>
  <si>
    <t>Solving the inverse problem of microscopy deconvolution with a residual Beylkin-Coifman-Rokhlin neural network</t>
  </si>
  <si>
    <t>CATT: Character-based Arabic Tashkeel Transformer</t>
  </si>
  <si>
    <t>Self-Evaluation as a Defense Against Adversarial Attacks on LLMs</t>
  </si>
  <si>
    <t>Single Character Perturbations Break LLM Alignment</t>
  </si>
  <si>
    <t>Improving Retrieval-augmented Text-to-SQL with AST-based Ranking and Schema Pruning</t>
  </si>
  <si>
    <t>Programmable Photonic Extreme Learning Machines</t>
  </si>
  <si>
    <t>MHNet: Multi-view High-order Network for Diagnosing Neurodevelopmental Disorders Using Resting-state fMRI</t>
  </si>
  <si>
    <t>Learning Disentangled Representation in Object-Centric Models for Visual Dynamics Prediction via Transformers</t>
  </si>
  <si>
    <t>How Does Quantization Affect Multilingual LLMs?</t>
  </si>
  <si>
    <t>Combining AI Control Systems and Human Decision Support via Robustness and Criticality</t>
  </si>
  <si>
    <t>Category-Aware Dynamic Label Assignment with High-Quality Oriented Proposal</t>
  </si>
  <si>
    <t>Expressive Gaussian Human Avatars from Monocular RGB Video</t>
  </si>
  <si>
    <t>TheoremLlama: Transforming General-Purpose LLMs into Lean4 Experts</t>
  </si>
  <si>
    <t>SegVG: Transferring Object Bounding Box to Segmentation for Visual Grounding</t>
  </si>
  <si>
    <t>DyFADet: Dynamic Feature Aggregation for Temporal Action Detection</t>
  </si>
  <si>
    <t>Prediction Instability in Machine Learning Ensembles</t>
  </si>
  <si>
    <t>CiteAssist: A System for Automated Preprint Citation and BibTeX Generation</t>
  </si>
  <si>
    <t>MuDiT &amp; MuSiT: Alignment with Colloquial Expression in Description-to-Song Generation</t>
  </si>
  <si>
    <t>Multiple-Resolution Tokenization for Time Series Forecasting with an Application to Pricing</t>
  </si>
  <si>
    <t>A Formal Model for Artificial Intelligence Applications in Automation Systems</t>
  </si>
  <si>
    <t>Fine-Tuning with Divergent Chains of Thought Boosts Reasoning Through Self-Correction in Language Models</t>
  </si>
  <si>
    <t>A multi-objective combinatorial optimisation framework for large scale hierarchical population synthesis</t>
  </si>
  <si>
    <t>Motion meets Attention: Video Motion Prompts</t>
  </si>
  <si>
    <t>Relating CNN-Transformer Fusion Network for Change Detection</t>
  </si>
  <si>
    <t>EDPNet: An Efficient Dual Prototype Network for Motor Imagery EEG Decoding</t>
  </si>
  <si>
    <t>IMC 2024 Methods &amp; Solutions Review</t>
  </si>
  <si>
    <t>Investigating Decoder-only Large Language Models for Speech-to-text Translation</t>
  </si>
  <si>
    <t>LivePortrait: Efficient Portrait Animation with Stitching and Retargeting Control</t>
  </si>
  <si>
    <t>Global Context Modeling in YOLOv8 for Pediatric Wrist Fracture Detection</t>
  </si>
  <si>
    <t>Bunny-VisionPro: Real-Time Bimanual Dexterous Teleoperation for Imitation Learning</t>
  </si>
  <si>
    <t>SOS! Soft Prompt Attack Against Open-Source Large Language Models</t>
  </si>
  <si>
    <t>Let the Code LLM Edit Itself When You Edit the Code</t>
  </si>
  <si>
    <t>Reinforcement Learning for Sequence Design Leveraging Protein Language Models</t>
  </si>
  <si>
    <t>Efficient Shapley Values for Attributing Global Properties of Diffusion Models to Data Group</t>
  </si>
  <si>
    <t>Stereo Risk: A Continuous Modeling Approach to Stereo Matching</t>
  </si>
  <si>
    <t>Enhancing Class Fairness in Classification with A Two-Player Game Approach</t>
  </si>
  <si>
    <t>Enhancing Translation Accuracy of Large Language Models through Continual Pre-Training on Parallel Data</t>
  </si>
  <si>
    <t>Machine Learning Models for Improved Tracking from Range-Doppler Map Images</t>
  </si>
  <si>
    <t>GMM-ResNext: Combining Generative and Discriminative Models for Speaker Verification</t>
  </si>
  <si>
    <t>Speaker- and Text-Independent Estimation of Articulatory Movements and Phoneme Alignments from Speech</t>
  </si>
  <si>
    <t>MVGT: A Multi-view Graph Transformer Based on Spatial Relations for EEG Emotion Recognition</t>
  </si>
  <si>
    <t>Towards Efficient Pixel Labeling for Industrial Anomaly Detection and Localization</t>
  </si>
  <si>
    <t>Social Bias Evaluation for Large Language Models Requires Prompt Variations</t>
  </si>
  <si>
    <t>Foundations and Frontiers of Graph Learning Theory</t>
  </si>
  <si>
    <t>Compressed Latent Replays for Lightweight Continual Learning on Spiking Neural Networks</t>
  </si>
  <si>
    <t>A Toolchain for Comprehensive Audio/Video Analysis Using Deep Learning Based Multimodal Approach (A use case of riot or violent context detection)</t>
  </si>
  <si>
    <t>How Reliable and Stable are Explanations of XAI Methods?</t>
  </si>
  <si>
    <t>Anti-Collapse Loss for Deep Metric Learning Based on Coding Rate Metric</t>
  </si>
  <si>
    <t>On Generalization for Generative Flow Networks</t>
  </si>
  <si>
    <t>KeyVideoLLM: Towards Large-scale Video Keyframe Selection</t>
  </si>
  <si>
    <t>Cactus: Towards Psychological Counseling Conversations using Cognitive Behavioral Theory</t>
  </si>
  <si>
    <t>The Fréchet Distance Unleashed: Approximating a Dog with a Frog</t>
  </si>
  <si>
    <t>Revisiting the Performance of Deep Learning-Based Vulnerability Detection on Realistic Datasets</t>
  </si>
  <si>
    <t>Spatio-Temporal Adaptive Diffusion Models for EEG Super-Resolution in Epilepsy Diagnosis</t>
  </si>
  <si>
    <t>Artificial Inductive Bias for Synthetic Tabular Data Generation in Data-Scarce Scenarios</t>
  </si>
  <si>
    <t>A Case Study on Context-Aware Neural Machine Translation with Multi-Task Learning</t>
  </si>
  <si>
    <t>Warm-up Free Policy Optimization: Improved Regret in Linear Markov Decision Processes</t>
  </si>
  <si>
    <t>ScreenTK: Seamless Detection of Time-Killing Moments Using Continuous Mobile Screen Text Monitoring</t>
  </si>
  <si>
    <t>ALTER: Augmentation for Large-Table-Based Reasoning</t>
  </si>
  <si>
    <t>FairJob: A Real-World Dataset for Fairness in Online Systems</t>
  </si>
  <si>
    <t>Improving Zero-shot Generalization of Learned Prompts via Unsupervised Knowledge Distillation</t>
  </si>
  <si>
    <t>Improving Conversational Abilities of Quantized Large Language Models via Direct Preference Alignment</t>
  </si>
  <si>
    <t>Enhancements for Real-Time Monte-Carlo Tree Search in General Video Game Playing</t>
  </si>
  <si>
    <t>JailbreakHunter: A Visual Analytics Approach for Jailbreak Prompts Discovery from Large-Scale Human-LLM Conversational Datasets</t>
  </si>
  <si>
    <t>SlerpFace: Face Template Protection via Spherical Linear Interpolation</t>
  </si>
  <si>
    <t>Raw Text is All you Need: Knowledge-intensive Multi-turn Instruction Tuning for Large Language Model</t>
  </si>
  <si>
    <t>On the Client Preference of LLM Fine-tuning in Federated Learning</t>
  </si>
  <si>
    <t>Vision-driven Automated Mobile GUI Testing via Multimodal Large Language Model</t>
  </si>
  <si>
    <t>SAFT: Towards Out-of-Distribution Generalization in Fine-Tuning</t>
  </si>
  <si>
    <t>NLP Sampling: Combining MCMC and NLP Methods for Diverse Constrained Sampling</t>
  </si>
  <si>
    <t>Attention Incorporated Network for Sharing Low-rank, Image and K-space Information during MR Image Reconstruction to Achieve Single Breath-hold Cardiac Cine Imaging</t>
  </si>
  <si>
    <t>ISWSST: Index-space-wave State Superposition Transformers for Multispectral Remotely Sensed Imagery Semantic Segmentation</t>
  </si>
  <si>
    <t>Strategies for Arabic Readability Modeling</t>
  </si>
  <si>
    <t>Qifusion-Net: Layer-adapted Stream/Non-stream Model for End-to-End Multi-Accent Speech Recognition</t>
  </si>
  <si>
    <t>Exploiting Dialect Identification in Automatic Dialectal Text Normalization</t>
  </si>
  <si>
    <t>An Organism Starts with a Single Pix-Cell: A Neural Cellular Diffusion for High-Resolution Image Synthesis</t>
  </si>
  <si>
    <t>Context-Aware Video Instance Segmentation</t>
  </si>
  <si>
    <t>Model Guidance via Explanations Turns Image Classifiers into Segmentation Models</t>
  </si>
  <si>
    <t>Align and Aggregate: Compositional Reasoning with Video Alignment and Answer Aggregation for Video Question-Answering</t>
  </si>
  <si>
    <t>What Affects the Stability of Tool Learning? An Empirical Study on the Robustness of Tool Learning Frameworks</t>
  </si>
  <si>
    <t>Frequency-Controlled Diffusion Model for Versatile Text-Guided Image-to-Image Translation</t>
  </si>
  <si>
    <t>Human-like Linguistic Biases in Neural Speech Models: Phonetic Categorization and Phonotactic Constraints in Wav2Vec2.0</t>
  </si>
  <si>
    <t>SemioLLM: Assessing Large Language Models for Semiological Analysis in Epilepsy Research</t>
  </si>
  <si>
    <t>VIVA: A Benchmark for Vision-Grounded Decision-Making with Human Values</t>
  </si>
  <si>
    <t>Are Large Language Models Consistent over Value-laden Questions?</t>
  </si>
  <si>
    <t>MedPix 2.0: A Comprehensive Multimodal Biomedical Dataset for Advanced AI Applications</t>
  </si>
  <si>
    <t>Graph and Skipped Transformer: Exploiting Spatial and Temporal Modeling Capacities for Efficient 3D Human Pose Estimation</t>
  </si>
  <si>
    <t>YOLOv5, YOLOv8 and YOLOv10: The Go-To Detectors for Real-time Vision</t>
  </si>
  <si>
    <t>LoRA-Guard: Parameter-Efficient Guardrail Adaptation for Content Moderation of Large Language Models</t>
  </si>
  <si>
    <t>Semantically Rich Local Dataset Generation for Explainable AI in Genomics</t>
  </si>
  <si>
    <t>Mast Kalandar at SemEval-2024 Task 8: On the Trail of Textual Origins: RoBERTa-BiLSTM Approach to Detect AI-Generated Text</t>
  </si>
  <si>
    <t>Large Language Models as Evaluators for Scientific Synthesis</t>
  </si>
  <si>
    <t>IM-MoCo: Self-supervised MRI Motion Correction using Motion-Guided Implicit Neural Representations</t>
  </si>
  <si>
    <t>Unified Anomaly Detection methods on Edge Device using Knowledge Distillation and Quantization</t>
  </si>
  <si>
    <t>FSM: A Finite State Machine Based Zero-Shot Prompting Paradigm for Multi-Hop Question Answering</t>
  </si>
  <si>
    <t>Towards a Scalable Reference-Free Evaluation of Generative Models</t>
  </si>
  <si>
    <t>ObfuscaTune: Obfuscated Offsite Fine-tuning and Inference of Proprietary LLMs on Private Datasets</t>
  </si>
  <si>
    <t>IncogniText: Privacy-enhancing Conditional Text Anonymization via LLM-based Private Attribute Randomization</t>
  </si>
  <si>
    <t>3D Multimodal Image Registration for Plant Phenotyping</t>
  </si>
  <si>
    <t>VEGS: View Extrapolation of Urban Scenes in 3D Gaussian Splatting using Learned Priors</t>
  </si>
  <si>
    <t>Control Flow Management in Modern GPUs</t>
  </si>
  <si>
    <t>PII-Compass: Guiding LLM training data extraction prompts towards the target PII via grounding</t>
  </si>
  <si>
    <t>Recompression Based JPEG Tamper Detection and Localization Using Deep Neural Network Eliminating Compression Factor Dependency</t>
  </si>
  <si>
    <t>Probing the Feasibility of Multilingual Speaker Anonymization</t>
  </si>
  <si>
    <t>GraCoRe: Benchmarking Graph Comprehension and Complex Reasoning in Large Language Models</t>
  </si>
  <si>
    <t>PosMLP-Video: Spatial and Temporal Relative Position Encoding for Efficient Video Recognition</t>
  </si>
  <si>
    <t>Explainable vertebral fracture analysis with uncertainty estimation using differentiable rule-based classification</t>
  </si>
  <si>
    <t>EgoFlowNet: Non-Rigid Scene Flow from Point Clouds with Ego-Motion Support</t>
  </si>
  <si>
    <t>Free-SurGS: SfM-Free 3D Gaussian Splatting for Surgical Scene Reconstruction</t>
  </si>
  <si>
    <t>Towards Negotiative Dialogue for the Talkamatic Dialogue Manager</t>
  </si>
  <si>
    <t>The More the Merrier? Navigating Accuracy vs. Energy Efficiency Design Trade-Offs in Ensemble Learning Systems</t>
  </si>
  <si>
    <t>SFC: Achieve Accurate Fast Convolution under Low-precision Arithmetic</t>
  </si>
  <si>
    <t>Non-Adversarial Learning: Vector-Quantized Common Latent Space for Multi-Sequence MRI</t>
  </si>
  <si>
    <t>Domain-independent detection of known anomalies</t>
  </si>
  <si>
    <t>Single Image Rolling Shutter Removal with Diffusion Models</t>
  </si>
  <si>
    <t>"It's like a rubber duck that talks back": Understanding Generative AI-Assisted Data Analysis Workflows through a Participatory Prompting Study</t>
  </si>
  <si>
    <t>Self-supervised Vision Transformer are Scalable Generative Models for Domain Generalization</t>
  </si>
  <si>
    <t>Translatotron-V(ison): An End-to-End Model for In-Image Machine Translation</t>
  </si>
  <si>
    <t>An Uncertainty-guided Tiered Self-training Framework for Active Source-free Domain Adaptation in Prostate Segmentation</t>
  </si>
  <si>
    <t>GPTQT: Quantize Large Language Models Twice to Push the Efficiency</t>
  </si>
  <si>
    <t>A Wolf in Sheep's Clothing: Practical Black-box Adversarial Attacks for Evading Learning-based Windows Malware Detection in the Wild</t>
  </si>
  <si>
    <t>CogErgLLM: Exploring Large Language Model Systems Design Perspective Using Cognitive Ergonomics</t>
  </si>
  <si>
    <t>CoIR: A Comprehensive Benchmark for Code Information Retrieval Models</t>
  </si>
  <si>
    <t>ShiftAddAug: Augment Multiplication-Free Tiny Neural Network with Hybrid Computation</t>
  </si>
  <si>
    <t>Knowledge Composition using Task Vectors with Learned Anisotropic Scaling</t>
  </si>
  <si>
    <t>Robot Shape and Location Retention in Video Generation Using Diffusion Models</t>
  </si>
  <si>
    <t>LMBF-Net: A Lightweight Multipath Bidirectional Focal Attention Network for Multifeatures Segmentation</t>
  </si>
  <si>
    <t>Membership Inference Attacks Against Time-Series Models</t>
  </si>
  <si>
    <t>PicoAudio: Enabling Precise Timestamp and Frequency Controllability of Audio Events in Text-to-audio Generation</t>
  </si>
  <si>
    <t>AudioTime: A Temporally-aligned Audio-text Benchmark Dataset</t>
  </si>
  <si>
    <t>Safe Unlearning: A Surprisingly Effective and Generalizable Solution to Defend Against Jailbreak Attacks</t>
  </si>
  <si>
    <t>Universal Gloss-level Representation for Gloss-free Sign Language Translation and Production</t>
  </si>
  <si>
    <t>Plant Doctor: A hybrid machine learning and image segmentation software to quantify plant damage in video footage</t>
  </si>
  <si>
    <t>Multi-Task Domain Adaptation for Language Grounding with 3D Objects</t>
  </si>
  <si>
    <t>Multi-Attention Integrated Deep Learning Frameworks for Enhanced Breast Cancer Segmentation and Identification</t>
  </si>
  <si>
    <t>MindBench: A Comprehensive Benchmark for Mind Map Structure Recognition and Analysis</t>
  </si>
  <si>
    <t>Convergence of Implicit Gradient Descent for Training Two-Layer Physics-Informed Neural Networks</t>
  </si>
  <si>
    <t>Representation learning with CGAN for casual inference</t>
  </si>
  <si>
    <t>Exploring the Capabilities of LLMs for Code Change Related Tasks</t>
  </si>
  <si>
    <t>Effect of a Process Mining based Pre-processing Step in Prediction of the Critical Health Outcomes</t>
  </si>
  <si>
    <t>Investigating the Contextualised Word Embedding Dimensions Responsible for Contextual and Temporal Semantic Changes</t>
  </si>
  <si>
    <t>Efficient Training of Language Models with Compact and Consistent Next Token Distributions</t>
  </si>
  <si>
    <t>Large and Small Deviations for Statistical Sequence Matching</t>
  </si>
  <si>
    <t>Efficient DNN-Powered Software with Fair Sparse Models</t>
  </si>
  <si>
    <t>Game-Based Discovery: Harnessing Mini-Games within Primary Games for Scientific Data Collection and Problem Solving</t>
  </si>
  <si>
    <t>Learning Positional Attention for Sequential Recommendation</t>
  </si>
  <si>
    <t>Model-Enhanced LLM-Driven VUI Testing of VPA Apps</t>
  </si>
  <si>
    <t>52B to 1T: Lessons Learned via Tele-FLM Series</t>
  </si>
  <si>
    <t>Foster Adaptivity and Balance in Learning with Noisy Labels</t>
  </si>
  <si>
    <t>MLKD-BERT: Multi-level Knowledge Distillation for Pre-trained Language Models</t>
  </si>
  <si>
    <t>OpenVNA: A Framework for Analyzing the Behavior of Multimodal Language Understanding System under Noisy Scenarios</t>
  </si>
  <si>
    <t>Automatic gradient descent with generalized Newton's method</t>
  </si>
  <si>
    <t>Large language models, physics-based modeling, experimental measurements: the trinity of data-scarce learning of polymer properties</t>
  </si>
  <si>
    <t>Fine-Grained Scene Image Classification with Modality-Agnostic Adapter</t>
  </si>
  <si>
    <t>Knowledge Transfer with Simulated Inter-Image Erasing for Weakly Supervised Semantic Segmentation</t>
  </si>
  <si>
    <t>Balancing Patient Privacy and Health Data Security: The Role of Compliance in Protected Health Information (PHI) Sharing</t>
  </si>
  <si>
    <t>ADFQ-ViT: Activation-Distribution-Friendly Post-Training Quantization for Vision Transformers</t>
  </si>
  <si>
    <t>Emotion and Intent Joint Understanding in Multimodal Conversation: A Benchmarking Dataset</t>
  </si>
  <si>
    <t>Learning to Reduce: Towards Improving Performance of Large Language Models on Structured Data</t>
  </si>
  <si>
    <t>VAE-based Phoneme Alignment Using Gradient Annealing and SSL Acoustic Features</t>
  </si>
  <si>
    <t>Highly Accelerated MRI via Implicit Neural Representation Guided Posterior Sampling of Diffusion Models</t>
  </si>
  <si>
    <t>A Comparative Study of DSL Code Generation: Fine-Tuning vs. Optimized Retrieval Augmentation</t>
  </si>
  <si>
    <t>ZEAL: Surgical Skill Assessment with Zero-shot Tool Inference Using Unified Foundation Model</t>
  </si>
  <si>
    <t>Development of Machine Learning Classifiers for Blood-based Diagnosis and Prognosis of Suspected Acute Infections and Sepsis</t>
  </si>
  <si>
    <t>MentalAgora: A Gateway to Advanced Personalized Care in Mental Health through Multi-Agent Debating and Attribute Control</t>
  </si>
  <si>
    <t>Supporting Cross-language Cross-project Bug Localization Using Pre-trained Language Models</t>
  </si>
  <si>
    <t>Artificial intelligence and machine learning generated conjectures with TxGraffiti</t>
  </si>
  <si>
    <t>MedVH: Towards Systematic Evaluation of Hallucination for Large Vision Language Models in the Medical Context</t>
  </si>
  <si>
    <t>e-Health CSIRO at "Discharge Me!" 2024: Generating Discharge Summary Sections with Fine-tuned Language Models</t>
  </si>
  <si>
    <t>Boosting Biomedical Concept Extraction by Rule-Based Data Augmentation</t>
  </si>
  <si>
    <t>Light-weight Fine-tuning Method for Defending Adversarial Noise in Pre-trained Medical Vision-Language Models</t>
  </si>
  <si>
    <t>Design and Development of PainBit: a Portable Device for Supporting Patients with Chronic Pain to Log their Pain</t>
  </si>
  <si>
    <t>LLM-Select: Feature Selection with Large Language Models</t>
  </si>
  <si>
    <t>Funny Valen-Tine: Solving visual abstract reasoning problems through defining the solution distribution</t>
  </si>
  <si>
    <t>No Training, No Problem: Rethinking Classifier-Free Guidance for Diffusion Models</t>
  </si>
  <si>
    <t>Open Panoramic Segmentation</t>
  </si>
  <si>
    <t>Uniform Transformation: Refining Latent Representation in Variational Autoencoders</t>
  </si>
  <si>
    <t>KGym: A Platform and Dataset to Benchmark Large Language Models on Linux Kernel Crash Resolution</t>
  </si>
  <si>
    <t>Reasoning in Large Language Models: A Geometric Perspective</t>
  </si>
  <si>
    <t>Depth-Aware Endoscopic Video Inpainting</t>
  </si>
  <si>
    <t>A Novel Approach to Image EEG Sleep Data for Improving Quality of Life in Patients Suffering From Brain Injuries Using DreamDiffusion</t>
  </si>
  <si>
    <t>Adversarial Magnification to Deceive Deepfake Detection through Super Resolution</t>
  </si>
  <si>
    <t>MomentsNeRF: Leveraging Orthogonal Moments for Few-Shot Neural Rendering</t>
  </si>
  <si>
    <t>SMILe: Leveraging Submodular Mutual Information For Robust Few-Shot Object Detection</t>
  </si>
  <si>
    <t>Supporters and Skeptics: LLM-based Analysis of Engagement with Mental Health (Mis)Information Content on Video-sharing Platforms</t>
  </si>
  <si>
    <t>Ensuring Responsible Sourcing of Large Language Model Training Data Through Knowledge Graph Comparison</t>
  </si>
  <si>
    <t>Joint Segmentation and Image Reconstruction with Error Prediction in Photoacoustic Imaging using Deep Learning</t>
  </si>
  <si>
    <t>Improving Steering and Verification in AI-Assisted Data Analysis with Interactive Task Decomposition</t>
  </si>
  <si>
    <t>Spectral Graph Reasoning Network for Hyperspectral Image Classification</t>
  </si>
  <si>
    <t>A Practical Review of Mechanistic Interpretability for Transformer-Based Language Models</t>
  </si>
  <si>
    <t>ResearchBot: Bridging the Gap between Academic Research and Practical Programming Communities</t>
  </si>
  <si>
    <t>Learning Graph Structures and Uncertainty for Accurate and Calibrated Time-series Forecasting</t>
  </si>
  <si>
    <t>Change My Frame: Reframing in the Wild in r/ChangeMyView</t>
  </si>
  <si>
    <t>HOIMotion: Forecasting Human Motion During Human-Object Interactions Using Egocentric 3D Object Bounding Boxes</t>
  </si>
  <si>
    <t>Nollywood: Let's Go to the Movies!</t>
  </si>
  <si>
    <t>The text2term tool to map free-text descriptions of biomedical terms to ontologies</t>
  </si>
  <si>
    <t>Lung-CADex: Fully automatic Zero-Shot Detection and Classification of Lung Nodules in Thoracic CT Images</t>
  </si>
  <si>
    <t>Deep Learning Based Apparent Diffusion Coefficient Map Generation1 from Multi-parametric MR Images for Patients with Diffuse Gliomas</t>
  </si>
  <si>
    <t>D-Rax: Domain-specific Radiologic assistant leveraging multi-modal data and eXpert model predictions</t>
  </si>
  <si>
    <t>Meta 3D Gen</t>
  </si>
  <si>
    <t>Towards More Realistic Extraction Attacks: An Adversarial Perspective</t>
  </si>
  <si>
    <t>Improving Visual Storytelling with Multimodal Large Language Models</t>
  </si>
  <si>
    <t>RLHF Can Speak Many Languages: Unlocking Multilingual Preference Optimization for LLMs</t>
  </si>
  <si>
    <t>Diffusion Models for Tabular Data Imputation and Synthetic Data Generation</t>
  </si>
  <si>
    <t>Towards the Next Frontier in Speech Representation Learning Using Disentanglement</t>
  </si>
  <si>
    <t>CGRclust: Chaos Game Representation for Twin Contrastive Clustering of Unlabelled DNA Sequences</t>
  </si>
  <si>
    <t>Image-to-Text Logic Jailbreak: Your Imagination can Help You Do Anything</t>
  </si>
  <si>
    <t>Determining Research Priorities Using Machine Learning</t>
  </si>
  <si>
    <t>Meta Large Language Model Compiler: Foundation Models of Compiler Optimization</t>
  </si>
  <si>
    <t>Anvil: An integration of artificial intelligence, sampling techniques, and a combined CAD-CFD tool</t>
  </si>
  <si>
    <t>INDICT: Code Generation with Internal Dialogues of Critiques for Both Security and Helpfulness</t>
  </si>
  <si>
    <t>LOGIC-LM++: Multi-Step Refinement for Symbolic Formulations</t>
  </si>
  <si>
    <t>LLM-A*: Large Language Model Enhanced Incremental Heuristic Search on Path Planning</t>
  </si>
  <si>
    <t>Minds, Brains, AI</t>
  </si>
  <si>
    <t>DiscoveryBench: Towards Data-Driven Discovery with Large Language Models</t>
  </si>
  <si>
    <t>Optimized Learning for X-Ray Image Classification for Multi-Class Disease Diagnoses with Accelerated Computing Strategies</t>
  </si>
  <si>
    <t>Weight Clipping for Deep Continual and Reinforcement Learning</t>
  </si>
  <si>
    <t>Deciphering the Factors Influencing the Efficacy of Chain-of-Thought: Probability, Memorization, and Noisy Reasoning</t>
  </si>
  <si>
    <t>Statistical signatures of abstraction in deep neural networks</t>
  </si>
  <si>
    <t>FAFE: Immune Complex Modeling with Geodesic Distance Loss on Noisy Group Frames</t>
  </si>
  <si>
    <t>Aligning Target-Aware Molecule Diffusion Models with Exact Energy Optimization</t>
  </si>
  <si>
    <t>ESALE: Enhancing Code-Summary Alignment Learning for Source Code Summarization</t>
  </si>
  <si>
    <t>Sign Gradient Descent-based Neuronal Dynamics: ANN-to-SNN Conversion Beyond ReLU Network</t>
  </si>
  <si>
    <t>BADM: Batch ADMM for Deep Learning</t>
  </si>
  <si>
    <t>ModelVerification.jl: a Comprehensive Toolbox for Formally Verifying Deep Neural Networks</t>
  </si>
  <si>
    <t>LASSI: An LLM-based Automated Self-Correcting Pipeline for Translating Parallel Scientific Codes</t>
  </si>
  <si>
    <t>Learning Frequency-Aware Dynamic Transformers for All-In-One Image Restoration</t>
  </si>
  <si>
    <t>Potential Renovation of Information Search Process with the Power of Large Language Model for Healthcare</t>
  </si>
  <si>
    <t>Enhancing Stability for Large Models Training in Constrained Bandwidth Networks</t>
  </si>
  <si>
    <t>Self-adaptive weights based on balanced residual decay rate for physics-informed neural networks and deep operator networks</t>
  </si>
  <si>
    <t>On Discrete Prompt Optimization for Diffusion Models</t>
  </si>
  <si>
    <t>A Review of Large Language Models and Autonomous Agents in Chemistry</t>
  </si>
  <si>
    <t>Clustering in pure-attention hardmax transformers and its role in sentiment analysis</t>
  </si>
  <si>
    <t>Unveiling and Controlling Anomalous Attention Distribution in Transformers</t>
  </si>
  <si>
    <t>JailbreakZoo: Survey, Landscapes, and Horizons in Jailbreaking Large Language and Vision-Language Models</t>
  </si>
  <si>
    <t>Fairpriori: Improving Biased Subgroup Discovery for Deep Neural Network Fairness</t>
  </si>
  <si>
    <t>DrugWatch: A Comprehensive Multi-Source Data Visualisation Platform for Drug Safety Information</t>
  </si>
  <si>
    <t>Technical Report for CVPR 2024 WeatherProof Dataset Challenge: Semantic Segmentation on Paired Real Data</t>
  </si>
  <si>
    <t>A Hybrid-Layered System for Image-Guided Navigation and Robot Assisted Spine Surgeries</t>
  </si>
  <si>
    <t>MOT: A Mixture of Actors Reinforcement Learning Method by Optimal Transport for Algorithmic Trading</t>
  </si>
  <si>
    <t>A Short Note on Modeling 2D Taut Ropes with Visibility Decompositions</t>
  </si>
  <si>
    <t>cryoSPHERE: Single-particle heterogeneous reconstruction from cryo EM</t>
  </si>
  <si>
    <t>Model-Based Diffusion for Trajectory Optimization</t>
  </si>
  <si>
    <t>Exploring Sectoral Profitability in the Indian Stock Market Using Deep Learning</t>
  </si>
  <si>
    <t>A Contextual Online Learning Theory of Brokerage</t>
  </si>
  <si>
    <t>Synthetic Data in Radiological Imaging: Current State and Future Outlook</t>
  </si>
  <si>
    <t>3DMeshNet: A Three-Dimensional Differential Neural Network for Structured Mesh Generation</t>
  </si>
  <si>
    <t>Data-driven approaches for electrical impedance tomography image segmentation from partial boundary data</t>
  </si>
  <si>
    <t>Fish-bone diagram of research issue: Gain a bird's-eye view on a specific research topic</t>
  </si>
  <si>
    <t>Leveraging Prompts in LLMs to Overcome Imbalances in Complex Educational Text Data</t>
  </si>
  <si>
    <t>From Cognition to Computation: A Comparative Review of Human Attention and Transformer Architectures</t>
  </si>
  <si>
    <t>xLSTM-UNet can be an Effective 2D &amp; 3D Medical Image Segmentation Backbone with Vision-LSTM (ViL) better than its Mamba Counterpart</t>
  </si>
  <si>
    <t>KV Cache Compression, But What Must We Give in Return? A Comprehensive Benchmark of Long Context Capable Approaches</t>
  </si>
  <si>
    <t>Scalable Nested Optimization for Deep Learning</t>
  </si>
  <si>
    <t>Empowering 3D Visual Grounding with Reasoning Capabilities</t>
  </si>
  <si>
    <t>MMLongBench-Doc: Benchmarking Long-context Document Understanding with Visualizations</t>
  </si>
  <si>
    <t>Improving Diffusion Inverse Problem Solving with Decoupled Noise Annealing</t>
  </si>
  <si>
    <t>DiffIR2VR-Zero: Zero-Shot Video Restoration with Diffusion-based Image Restoration Models</t>
  </si>
  <si>
    <t>Centerline Boundary Dice Loss for Vascular Segmentation</t>
  </si>
  <si>
    <t>E.T. the Exceptional Trajectories: Text-to-camera-trajectory generation with character awareness</t>
  </si>
  <si>
    <t>CRAB: Cross-environment Agent Benchmark for Multimodal Language Model Agents</t>
  </si>
  <si>
    <t>MIA-Bench: Towards Better Instruction Following Evaluation of Multimodal LLMs</t>
  </si>
  <si>
    <t>Self-Cognition in Large Language Models: An Exploratory Study</t>
  </si>
  <si>
    <t>AI Agents That Matter</t>
  </si>
  <si>
    <t>Pictures Of MIDI: Controlled Music Generation via Graphical Prompts for Image-Based Diffusion Inpainting</t>
  </si>
  <si>
    <t>FoleyCrafter: Bring Silent Videos to Life with Lifelike and Synchronized Sounds</t>
  </si>
  <si>
    <t>RegMix: Data Mixture as Regression for Language Model Pre-training</t>
  </si>
  <si>
    <t>Expressive and Generalizable Low-rank Adaptation for Large Models via Slow Cascaded Learning</t>
  </si>
  <si>
    <t>LLM See, LLM Do: Guiding Data Generation to Target Non-Differentiable Objectives</t>
  </si>
  <si>
    <t>Agentless: Demystifying LLM-based Software Engineering Agents</t>
  </si>
  <si>
    <t>LEXI: Large Language Models Experimentation Interface</t>
  </si>
  <si>
    <t>Tree Search for Language Model Agents</t>
  </si>
  <si>
    <t>DogeRM: Equipping Reward Models with Domain Knowledge through Model Merging</t>
  </si>
  <si>
    <t>The Balanced-Pairwise-Affinities Feature Transform</t>
  </si>
  <si>
    <t>Retrieval-augmented generation in multilingual settings</t>
  </si>
  <si>
    <t>Enhancing the Capability and Robustness of Large Language Models through Reinforcement Learning-Driven Query Refinement</t>
  </si>
  <si>
    <t>On Implications of Scaling Laws on Feature Superposition</t>
  </si>
  <si>
    <t>Contractual Reinforcement Learning: Pulling Arms with Invisible Hands</t>
  </si>
  <si>
    <t>Information-Theoretic Foundations for Neural Scaling Laws</t>
  </si>
  <si>
    <t>TimeToM: Temporal Space is the Key to Unlocking the Door of Large Language Models' Theory-of-Mind</t>
  </si>
  <si>
    <t>On Feature Learning for Titi Monkey Activity Detection</t>
  </si>
  <si>
    <t>ColPali: Efficient Document Retrieval with Vision Language Models</t>
  </si>
  <si>
    <t>FastCLIP: A Suite of Optimization Techniques to Accelerate CLIP Training with Limited Resources</t>
  </si>
  <si>
    <t>Needle in the Haystack for Memory Based Large Language Models</t>
  </si>
  <si>
    <t>FORA: Fast-Forward Caching in Diffusion Transformer Acceleration</t>
  </si>
  <si>
    <t>Neurovascular Segmentation in sOCT with Deep Learning and Synthetic Training Data</t>
  </si>
  <si>
    <t>StyleShot: A Snapshot on Any Style</t>
  </si>
  <si>
    <t>HyperLoader: Integrating Hypernetwork-Based LoRA and Adapter Layers into Multi-Task Transformers for Sequence Labellin</t>
  </si>
  <si>
    <t>Dynamic Few-Shot Learning for Knowledge Graph Question Answering</t>
  </si>
  <si>
    <t>Semantic Compositions Enhance Vision-Language Contrastive Learning</t>
  </si>
  <si>
    <t>Adapting Multilingual LLMs to Low-Resource Languages with Knowledge Graphs via Adapters</t>
  </si>
  <si>
    <t>Optimization of Retrieval-Augmented Generation Context with Outlier Detection</t>
  </si>
  <si>
    <t>GalLoP: Learning Global and Local Prompts for Vision-Language Models</t>
  </si>
  <si>
    <t>Mask and Compress: Efficient Skeleton-based Action Recognition in Continual Learning</t>
  </si>
  <si>
    <t>Gloss2Text: Sign Language Gloss translation using LLMs and Semantically Aware Label Smoothing</t>
  </si>
  <si>
    <t>Diffusion Forcing: Next-token Prediction Meets Full-Sequence Diffusion</t>
  </si>
  <si>
    <t>Free-text Rationale Generation under Readability Level Control</t>
  </si>
  <si>
    <t>Beyond Throughput and Compression Ratios: Towards High End-to-end Utility of Gradient Compression</t>
  </si>
  <si>
    <t>Badllama 3: removing safety finetuning from Llama 3 in minutes</t>
  </si>
  <si>
    <t>TransferAttn: Transferable-guided Attention Is All You Need for Video Domain Adaptation</t>
  </si>
  <si>
    <t>Bridging the Gap: Transfer Learning from English PLMs to Malaysian English</t>
  </si>
  <si>
    <t>Binary Losses for Density Ratio Estimation</t>
  </si>
  <si>
    <t>Summary of a Haystack: A Challenge to Long-Context LLMs and RAG Systems</t>
  </si>
  <si>
    <t>Evaluating Knowledge-based Cross-lingual Inconsistency in Large Language Models</t>
  </si>
  <si>
    <t>Hyperspectral Pansharpening: Critical Review, Tools and Future Perspectives</t>
  </si>
  <si>
    <t>PanopticRecon: Leverage Open-vocabulary Instance Segmentation for Zero-shot Panoptic Reconstruction</t>
  </si>
  <si>
    <t>Coordination Failure in Cooperative Offline MARL</t>
  </si>
  <si>
    <t>AdaDistill: Adaptive Knowledge Distillation for Deep Face Recognition</t>
  </si>
  <si>
    <t>Restyling Unsupervised Concept Based Interpretable Networks with Generative Models</t>
  </si>
  <si>
    <t>Learning Unsigned Distance Fields from Local Shape Functions for 3D Surface Reconstruction</t>
  </si>
  <si>
    <t>Gradient-based Class Weighting for Unsupervised Domain Adaptation in Dense Prediction Visual Tasks</t>
  </si>
  <si>
    <t>Increasing Model Capacity for Free: A Simple Strategy for Parameter Efficient Fine-tuning</t>
  </si>
  <si>
    <t>Deep Dive into MRI: Exploring Deep Learning Applications in 0.55T and 7T MRI</t>
  </si>
  <si>
    <t>Leveraging Speaker Embeddings in End-to-End Neural Diarization for Two-Speaker Scenarios</t>
  </si>
  <si>
    <t>Evaluating Model Performance Under Worst-case Subpopulations</t>
  </si>
  <si>
    <t>Language Portability Strategies for Open-domain Dialogue with Pre-trained Language Models from High to Low Resource Languages</t>
  </si>
  <si>
    <t>ToCoAD: Two-Stage Contrastive Learning for Industrial Anomaly Detection</t>
  </si>
  <si>
    <t>Multi-State-Action Tokenisation in Decision Transformers for Multi-Discrete Action Spaces</t>
  </si>
  <si>
    <t>RoDyn-SLAM: Robust Dynamic Dense RGB-D SLAM with Neural Radiance Fields</t>
  </si>
  <si>
    <t>GaussianStego: A Generalizable Stenography Pipeline for Generative 3D Gaussians Splatting</t>
  </si>
  <si>
    <t>Collaborative Performance Prediction for Large Language Models</t>
  </si>
  <si>
    <t>Preserving Full Degradation Details for Blind Image Super-Resolution</t>
  </si>
  <si>
    <t>Formal Verification of Object Detection</t>
  </si>
  <si>
    <t>Lightweight Zero-shot Text-to-Speech with Mixture of Adapters</t>
  </si>
  <si>
    <t>Hypformer: Exploring Efficient Hyperbolic Transformer Fully in Hyperbolic Space</t>
  </si>
  <si>
    <t>We-Math: Does Your Large Multimodal Model Achieve Human-like Mathematical Reasoning?</t>
  </si>
  <si>
    <t>Leveraging Large Language Models for Actionable Course Evaluation Student Feedback to Lecturers</t>
  </si>
  <si>
    <t>Show Less, Instruct More: Enriching Prompts with Definitions and Guidelines for Zero-Shot NER</t>
  </si>
  <si>
    <t>First Place Solution of 2023 Global Artificial Intelligence Technology Innovation Competition Track 1</t>
  </si>
  <si>
    <t>OSL-ActionSpotting: A Unified Library for Action Spotting in Sports Videos</t>
  </si>
  <si>
    <t>SignCLIP: Connecting Text and Sign Language by Contrastive Learning</t>
  </si>
  <si>
    <t xml:space="preserve">DeepiSign-G: Generic Watermark to Stamp Hidden DNN Parameters for Self-contained Tracking </t>
  </si>
  <si>
    <t>uDistil-Whisper: Label-Free Data Filtering for Knowledge Distillation via Large-Scale Pseudo Labelling</t>
  </si>
  <si>
    <t>SINKT: A Structure-Aware Inductive Knowledge Tracing Model with Large Language Model</t>
  </si>
  <si>
    <t>CLHOP: Combined Audio-Video Learning for Horse 3D Pose and Shape Estimation</t>
  </si>
  <si>
    <t>SGCCNet: Single-Stage 3D Object Detector With Saliency-Guided Data Augmentation and Confidence Correction Mechanism</t>
  </si>
  <si>
    <t>Large Language Models are Zero-Shot Recognizers for Activities of Daily Living</t>
  </si>
  <si>
    <t>A Fingerprint for Large Language Models</t>
  </si>
  <si>
    <t>MIRAI: Evaluating LLM Agents for Event Forecasting</t>
  </si>
  <si>
    <t>DaBiT: Depth and Blur informed Transformer for Joint Refocusing and Super-Resolution</t>
  </si>
  <si>
    <t>Fast and Efficient: Mask Neural Fields for 3D Scene Segmentation</t>
  </si>
  <si>
    <t>Searching for Best Practices in Retrieval-Augmented Generation</t>
  </si>
  <si>
    <t>EconNLI: Evaluating Large Language Models on Economics Reasoning</t>
  </si>
  <si>
    <t>Efficient Cutting Tool Wear Segmentation Based on Segment Anything Model</t>
  </si>
  <si>
    <t>Deep Learning Approach for Enhanced Transferability and Learning Capacity in Tool Wear Estimation</t>
  </si>
  <si>
    <t>Deep Learning Based Tool Wear Estimation Considering Cutting Conditions</t>
  </si>
  <si>
    <t>Cross-Architecture Auxiliary Feature Space Translation for Efficient Few-Shot Personalized Object Detection</t>
  </si>
  <si>
    <t>TCSR-SQL: Towards Table Content-aware Text-to-SQL with Self-retrieval</t>
  </si>
  <si>
    <t>Memory3: Language Modeling with Explicit Memory</t>
  </si>
  <si>
    <t>Neural Conditional Probability for Inference</t>
  </si>
  <si>
    <t>GazeNoter: Co-Piloted AR Note-Taking via Gaze Selection of LLM Suggestions to Match Users' Intentions</t>
  </si>
  <si>
    <t>Learning to Explore and Select for Coverage-Conditioned Retrieval-Augmented Generation</t>
  </si>
  <si>
    <t>Unaligning Everything: Or Aligning Any Text to Any Image in Multimodal Model</t>
  </si>
  <si>
    <t>Cross-Slice Attention and Evidential Critical Loss for Uncertainty-Aware Prostate Cancer Detection</t>
  </si>
  <si>
    <t>Are you sure? Analysing Uncertainty Quantification Approaches for Real-world Speech Emotion Recognition</t>
  </si>
  <si>
    <t>Integrated feature analysis for deep learning interpretation and class activation maps</t>
  </si>
  <si>
    <t>M2IST: Multi-Modal Interactive Side-Tuning for Memory-efficient Referring Expression Comprehension</t>
  </si>
  <si>
    <t>Cross-Lingual Transfer Learning for Speech Translation</t>
  </si>
  <si>
    <t>RMS-FlowNet++: Efficient and Robust Multi-Scale Scene Flow Estimation for Large-Scale Point Clouds</t>
  </si>
  <si>
    <t>Investigating the potential of Sparse Mixtures-of-Experts for multi-domain neural machine translation</t>
  </si>
  <si>
    <t>Calibrated Large Language Models for Binary Question Answering</t>
  </si>
  <si>
    <t>Pron vs Prompt: Can Large Language Models already Challenge a World-Class Fiction Author at Creative Text Writing?</t>
  </si>
  <si>
    <t>Enabling Mixed Effects Neural Networks for Diverse, Clustered Data Using Monte Carlo Methods</t>
  </si>
  <si>
    <t>Proximity Matters: Local Proximity Preserved Balancing for Treatment Effect Estimation</t>
  </si>
  <si>
    <t>Semantic-guided Adversarial Diffusion Model for Self-supervised Shadow Removal</t>
  </si>
  <si>
    <t>FedRC: A Rapid-Converged Hierarchical Federated Learning Framework in Street Scene Semantic Understanding</t>
  </si>
  <si>
    <t>BERGEN: A Benchmarking Library for Retrieval-Augmented Generation</t>
  </si>
  <si>
    <t>Eliminating Position Bias of Language Models: A Mechanistic Approach</t>
  </si>
  <si>
    <t>Evaluation of Text-to-Video Generation Models: A Dynamics Perspective</t>
  </si>
  <si>
    <t>IBSEN: Director-Actor Agent Collaboration for Controllable and Interactive Drama Script Generation</t>
  </si>
  <si>
    <t>Kolmogorov-Arnold Convolutions: Design Principles and Empirical Studies</t>
  </si>
  <si>
    <t>M2QA: Multi-domain Multilingual Question Answering</t>
  </si>
  <si>
    <t>Learning 3D Gaussians for Extremely Sparse-View Cone-Beam CT Reconstruction</t>
  </si>
  <si>
    <t>Rethinking LLM-based Preference Evaluation</t>
  </si>
  <si>
    <t>Min P Sampling: Balancing Creativity and Coherence at High Temperature</t>
  </si>
  <si>
    <t>CVLUE: A New Benchmark Dataset for Chinese Vision-Language Understanding Evaluation</t>
  </si>
  <si>
    <t>Face4RAG: Factual Consistency Evaluation for Retrieval Augmented Generation in Chinese</t>
  </si>
  <si>
    <t>On Statistical Rates and Provably Efficient Criteria of Latent Diffusion Transformers (DiTs)</t>
  </si>
  <si>
    <t>Multimodal Conditional 3D Face Geometry Generation</t>
  </si>
  <si>
    <t>No More Potentially Dynamic Objects: Static Point Cloud Map Generation based on 3D Object Detection and Ground Projection</t>
  </si>
  <si>
    <t>Human-like object concept representations emerge naturally in multimodal large language models</t>
  </si>
  <si>
    <t>Joint Pruning and Channel-wise Mixed-Precision Quantization for Efficient Deep Neural Networks</t>
  </si>
  <si>
    <t>Evolutionary Morphology Towards Overconstrained Locomotion via Large-Scale, Multi-Terrain Deep Reinforcement Learning</t>
  </si>
  <si>
    <t>SE(3)-Hyena Operator for Scalable Equivariant Learning</t>
  </si>
  <si>
    <t>Development of Cognitive Intelligence in Pre-trained Language Models</t>
  </si>
  <si>
    <t>FRoG: Evaluating Fuzzy Reasoning of Generalized Quantifiers in Large Language Models</t>
  </si>
  <si>
    <t>Enhancing Speech-Driven 3D Facial Animation with Audio-Visual Guidance from Lip Reading Expert</t>
  </si>
  <si>
    <t>Neural Networks Trained by Weight Permutation are Universal Approximators</t>
  </si>
  <si>
    <t>Overcoming Common Flaws in the Evaluation of Selective Classification Systems</t>
  </si>
  <si>
    <t>PocketLLM: Enabling On-Device Fine-Tuning for Personalized LLMs</t>
  </si>
  <si>
    <t>EndoSparse: Real-Time Sparse View Synthesis of Endoscopic Scenes using Gaussian Splatting</t>
  </si>
  <si>
    <t>Blind Inversion using Latent Diffusion Priors</t>
  </si>
  <si>
    <t>DistML.js: Installation-free Distributed Deep Learning Framework for Web Browsers</t>
  </si>
  <si>
    <t>SOOD++: Leveraging Unlabeled Data to Boost Oriented Object Detection</t>
  </si>
  <si>
    <t>An Expectation-Maximization Algorithm for Training Clean Diffusion Models from Corrupted Observations</t>
  </si>
  <si>
    <t>Swish-T : Enhancing Swish Activation with Tanh Bias for Improved Neural Network Performance</t>
  </si>
  <si>
    <t>DynaThink: Fast or Slow? A Dynamic Decision-Making Framework for Large Language Models</t>
  </si>
  <si>
    <t>Embedded Prompt Tuning: Towards Enhanced Calibration of Pretrained Models for Medical Images</t>
  </si>
  <si>
    <t>Engineering Conversational Search Systems: A Review of Applications, Architectures, and Functional Components</t>
  </si>
  <si>
    <t>Can Small Language Models Learn, Unlearn, and Retain Noise Patterns?</t>
  </si>
  <si>
    <t>Data on the Move: Traffic-Oriented Data Trading Platform Powered by AI Agent with Common Sense</t>
  </si>
  <si>
    <t>LLM Uncertainty Quantification through Directional Entailment Graph and Claim Level Response Augmentation</t>
  </si>
  <si>
    <t>Object Segmentation from Open-Vocabulary Manipulation Instructions Based on Optimal Transport Polygon Matching with Multimodal Foundation Models</t>
  </si>
  <si>
    <t>Individual brain parcellation: Review of methods, validations and applications</t>
  </si>
  <si>
    <t>FairMedFM: Fairness Benchmarking for Medical Imaging Foundation Models</t>
  </si>
  <si>
    <t>VisEval: A Benchmark for Data Visualization in the Era of Large Language Models</t>
  </si>
  <si>
    <t>Cross-Modal Attention Alignment Network with Auxiliary Text Description for zero-shot sketch-based image retrieval</t>
  </si>
  <si>
    <t>Hybrid RAG-empowered Multi-modal LLM for Secure Healthcare Data Management: A Diffusion-based Contract Theory Approach</t>
  </si>
  <si>
    <t>FALCON: Frequency Adjoint Link with CONtinuous Density Mask for Fast Single Image Dehazing</t>
  </si>
  <si>
    <t>How Does Overparameterization Affect Features?</t>
  </si>
  <si>
    <t>Deep learning for automated detection of breast cancer in deep ultraviolet fluorescence images with diffusion probabilistic model</t>
  </si>
  <si>
    <t>Universal Approximation Theory: The basic theory for large language models</t>
  </si>
  <si>
    <t>Expressivity of Neural Networks with Random Weights and Learned Biases</t>
  </si>
  <si>
    <t>A Closer Look at Deep Learning on Tabular Data</t>
  </si>
  <si>
    <t>SplitLoRA: A Split Parameter-Efficient Fine-Tuning Framework for Large Language Models</t>
  </si>
  <si>
    <t>SpectralKAN: Kolmogorov-Arnold Network for Hyperspectral Images Change Detection</t>
  </si>
  <si>
    <t>The House Always Wins: A Framework for Evaluating Strategic Deception in LLMs</t>
  </si>
  <si>
    <t>Efficient Expert Pruning for Sparse Mixture-of-Experts Language Models: Enhancing Performance and Reducing Inference Costs</t>
  </si>
  <si>
    <t>Diffusion Transformer Model With Compact Prior for Low-dose PET Reconstruction</t>
  </si>
  <si>
    <t>ProductAgent: Benchmarking Conversational Product Search Agent with Asking Clarification Questions</t>
  </si>
  <si>
    <t>MalAlgoQA: A Pedagogical Approach for Evaluating Counterfactual Reasoning Abilities</t>
  </si>
  <si>
    <t>Large Language Model Enhanced Knowledge Representation Learning: A Survey</t>
  </si>
  <si>
    <t>Look Ahead or Look Around? A Theoretical Comparison Between Autoregressive and Masked Pretraining</t>
  </si>
  <si>
    <t>CLEME2.0: Towards More Interpretable Evaluation by Disentangling Edits for Grammatical Error Correction</t>
  </si>
  <si>
    <t>FoldGPT: Simple and Effective Large Language Model Compression Scheme</t>
  </si>
  <si>
    <t>SIDQL: An Efficient Keyframe Extraction and Motion Reconstruction Framework in Motion Capture</t>
  </si>
  <si>
    <t>EXCGEC: A Benchmark of Edit-wise Explainable Chinese Grammatical Error Correction</t>
  </si>
  <si>
    <t>Preserving Multilingual Quality While Tuning Query Encoder on English Only</t>
  </si>
  <si>
    <t>PointViG: A Lightweight GNN-based Model for Efficient Point Cloud Analysis</t>
  </si>
  <si>
    <t>From Category to Scenery: An End-to-End Framework for Multi-Person Human-Object Interaction Recognition in Videos</t>
  </si>
  <si>
    <t>SecureSpectra: Safeguarding Digital Identity from Deep Fake Threats via Intelligent Signatures</t>
  </si>
  <si>
    <t>Deep Image-to-Recipe Translation</t>
  </si>
  <si>
    <t>FineSurE: Fine-grained Summarization Evaluation using LLMs</t>
  </si>
  <si>
    <t>Learning Robust 3D Representation from CLIP via Dual Denoising</t>
  </si>
  <si>
    <t>Background-aware Multi-source Fusion Financial Trend Forecasting Mechanism</t>
  </si>
  <si>
    <t>From Introspection to Best Practices: Principled Analysis of Demonstrations in Multimodal In-Context Learning</t>
  </si>
  <si>
    <t>MathCAMPS: Fine-grained Synthesis of Mathematical Problems From Human Curricula</t>
  </si>
  <si>
    <t>How to Leverage Digit Embeddings to Represent Numbers?</t>
  </si>
  <si>
    <t>ZeroDDI: A Zero-Shot Drug-Drug Interaction Event Prediction Method with Semantic Enhanced Learning and Dual-Modal Uniform Alignment</t>
  </si>
  <si>
    <t>Macroeconomic Forecasting with Large Language Models</t>
  </si>
  <si>
    <t>Papez: Resource-Efficient Speech Separation with Auditory Working Memory</t>
  </si>
  <si>
    <t>Mechanistic Interpretation through Contextual Decomposition in Transformers</t>
  </si>
  <si>
    <t>MoE-CT: A Novel Approach For Large Language Models Training With Resistance To Catastrophic Forgetting</t>
  </si>
  <si>
    <t>Roleplay-doh: Enabling Domain-Experts to Create LLM-simulated Patients via Eliciting and Adhering to Principles</t>
  </si>
  <si>
    <t>Large Language Models Are Involuntary Truth-Tellers: Exploiting Fallacy Failure for Jailbreak Attacks</t>
  </si>
  <si>
    <t>SAFE: a SAR Feature Extractor based on self-supervised learning and masked Siamese ViTs</t>
  </si>
  <si>
    <t>Towards Understanding Sensitive and Decisive Patterns in Explainable AI: A Case Study of Model Interpretation in Geometric Deep Learning</t>
  </si>
  <si>
    <t>Ego-to-Exo: Interfacing Third Person Visuals from Egocentric Views in Real-time for Improved ROV Teleoperation</t>
  </si>
  <si>
    <t>MUSE-Net: Missingness-aware mUlti-branching Self-attention Encoder for Irregular Longitudinal Electronic Health Records</t>
  </si>
  <si>
    <t>Towards Robust Speech Representation Learning for Thousands of Languages</t>
  </si>
  <si>
    <t>NAIST Simultaneous Speech Translation System for IWSLT 2024</t>
  </si>
  <si>
    <t>A data-driven approach to modeling brain activity using differential equations</t>
  </si>
  <si>
    <t>Benchmarks for Reinforcement Learning with Biased Offline Data and Imperfect Simulators</t>
  </si>
  <si>
    <t>Controlling Face's Frame generation in StyleGAN's latent space operations: Modifying faces to deceive our memory</t>
  </si>
  <si>
    <t>InstantStyle-Plus: Style Transfer with Content-Preserving in Text-to-Image Generation</t>
  </si>
  <si>
    <t>Diffusion Models and Representation Learning: A Survey</t>
  </si>
  <si>
    <t>Step-Controlled DPO: Leveraging Stepwise Error for Enhanced Mathematical Reasoning</t>
  </si>
  <si>
    <t>An Attribute Interpolation Method in Speech Synthesis by Model Merging</t>
  </si>
  <si>
    <t>Structured and Balanced Multi-component and Multi-layer Neural Networks</t>
  </si>
  <si>
    <t>Analysis of Modern Computer Vision Models for Blood Cell Classification</t>
  </si>
  <si>
    <t>Less Forgetting for Better Generalization: Exploring Continual-learning Fine-tuning Methods for Speech Self-supervised Representations</t>
  </si>
  <si>
    <t>FLY-TTS: Fast, Lightweight and High-Quality End-to-End Text-to-Speech Synthesis</t>
  </si>
  <si>
    <t>Chest-Diffusion: A Light-Weight Text-to-Image Model for Report-to-CXR Generation</t>
  </si>
  <si>
    <t>A Comparative Study of Quality Evaluation Methods for Text Summarization</t>
  </si>
  <si>
    <t>Disentangled Representations for Causal Cognition</t>
  </si>
  <si>
    <t>AIMDiT: Modality Augmentation and Interaction via Multimodal Dimension Transformation for Emotion Recognition in Conversations</t>
  </si>
  <si>
    <t>Diffusion Models for Offline Multi-agent Reinforcement Learning with Safety Constraints</t>
  </si>
  <si>
    <t>Locate&amp;Edit: Energy-based Text Editing for Efficient, Flexible, and Faithful Controlled Text Generation</t>
  </si>
  <si>
    <t>Engineering an Efficient Object Tracker for Non-Linear Motion</t>
  </si>
  <si>
    <t>LLM4GEN: Leveraging Semantic Representation of LLMs for Text-to-Image Generation</t>
  </si>
  <si>
    <t>Generative prediction of flow field based on the diffusion model</t>
  </si>
  <si>
    <t>Large Language Models Struggle in Token-Level Clinical Named Entity Recognition</t>
  </si>
  <si>
    <t>ASPS: Augmented Segment Anything Model for Polyp Segmentation</t>
  </si>
  <si>
    <t>BAPO: Base-Anchored Preference Optimization for Personalized Alignment in Large Language Models</t>
  </si>
  <si>
    <t>Multi-Task Learning for Affect Analysis</t>
  </si>
  <si>
    <t>A Review of Image Processing Methods in Prostate Ultrasound</t>
  </si>
  <si>
    <t>Instruct-IPT: All-in-One Image Processing Transformer via Weight Modulation</t>
  </si>
  <si>
    <t>HRDE: Retrieval-Augmented Large Language Models for Chinese Health Rumor Detection and Explainability</t>
  </si>
  <si>
    <t>Resolving Variable Respiratory Motion From Unsorted 4D Computed Tomography</t>
  </si>
  <si>
    <t>SCMIL: Sparse Context-aware Multiple Instance Learning for Predicting Cancer Survival Probability Distribution in Whole Slide Images</t>
  </si>
  <si>
    <t>Multi-Agent Training for Pommerman: Curriculum Learning and Population-based Self-Play Approach</t>
  </si>
  <si>
    <t>Improving Real-Time Music Accompaniment Separation with MMDenseNet</t>
  </si>
  <si>
    <t>Chain-of-Knowledge: Integrating Knowledge Reasoning into Large Language Models by Learning from Knowledge Graphs</t>
  </si>
  <si>
    <t>LegalTurk Optimized BERT for Multi-Label Text Classification and NER</t>
  </si>
  <si>
    <t>HASNAS: A Hardware-Aware Spiking Neural Architecture Search Framework for Neuromorphic Compute-in-Memory Systems</t>
  </si>
  <si>
    <t>DP-MLM: Differentially Private Text Rewriting Using Masked Language Models</t>
  </si>
  <si>
    <t>Dense Retrieval with Continuous Explicit Feedback for Systematic Review Screening Prioritisation</t>
  </si>
  <si>
    <t>Tarsier: Recipes for Training and Evaluating Large Video Description Models</t>
  </si>
  <si>
    <t>CAMON: Cooperative Agents for Multi-Object Navigation with LLM-based Conversations</t>
  </si>
  <si>
    <t>TrialBench: Multi-Modal Artificial Intelligence-Ready Clinical Trial Datasets</t>
  </si>
  <si>
    <t>Maximum Entropy Inverse Reinforcement Learning of Diffusion Models with Energy-Based Models</t>
  </si>
  <si>
    <t>Consistency Purification: Effective and Efficient Diffusion Purification towards Certified Robustness</t>
  </si>
  <si>
    <t>Iterative Nash Policy Optimization: Aligning LLMs with General Preferences via No-Regret Learning</t>
  </si>
  <si>
    <t>WallFacer: Guiding Transformer Model Training Out of the Long-Context Dark Forest with N-body Problem</t>
  </si>
  <si>
    <t>ESGNN: Towards Equivariant Scene Graph Neural Network for 3D Scene Understanding</t>
  </si>
  <si>
    <t>Efficient Personalized Text-to-image Generation by Leveraging Textual Subspace</t>
  </si>
  <si>
    <t>Fast-OverlaPIM: A Fast Overlap-driven Mapping Framework for Processing In-Memory Neural Network Acceleration</t>
  </si>
  <si>
    <t>Hierarchical Memory for Long Video QA</t>
  </si>
  <si>
    <t>Parm: Efficient Training of Large Sparsely-Activated Models with Dedicated Schedules</t>
  </si>
  <si>
    <t>HATs: Hierarchical Adaptive Taxonomy Segmentation for Panoramic Pathology Image Analysis</t>
  </si>
  <si>
    <t>Unveiling Glitches: A Deep Dive into Image Encoding Bugs within CLIP</t>
  </si>
  <si>
    <t>MasonTigers at SemEval-2024 Task 10: Emotion Discovery and Flip Reasoning in Conversation with Ensemble of Transformers and Prompting</t>
  </si>
  <si>
    <t>OfCaM: Global Human Mesh Recovery via Optimization-free Camera Motion Scale Calibration</t>
  </si>
  <si>
    <t>Investigating and Mitigating the Multimodal Hallucination Snowballing in Large Vision-Language Models</t>
  </si>
  <si>
    <t>Explaining Chest X-ray Pathology Models using Textual Concepts</t>
  </si>
  <si>
    <t>Answering real-world clinical questions using large language model based systems</t>
  </si>
  <si>
    <t>Privacy-Preserving and Trustworthy Deep Learning for Medical Imaging</t>
  </si>
  <si>
    <t>Accelerating Longitudinal MRI using Prior Informed Latent Diffusion</t>
  </si>
  <si>
    <t>AI-powered multimodal modeling of personalized hemodynamics in aortic stenosis</t>
  </si>
  <si>
    <t>Interpreting Pretrained Speech Models for Automatic Speech Assessment of Voice Disorders</t>
  </si>
  <si>
    <t>Detecting and Identifying Selection Structure in Sequential Data</t>
  </si>
  <si>
    <t>Toward a Diffusion-Based Generalist for Dense Vision Tasks</t>
  </si>
  <si>
    <t>Intrinsic PAPR for Point-level 3D Scene Albedo and Shading Editing</t>
  </si>
  <si>
    <t>LLMs-as-Instructors: Learning from Errors Toward Automating Model Improvement</t>
  </si>
  <si>
    <t>A Bayesian Solution To The Imitation Gap</t>
  </si>
  <si>
    <t>PFME: A Modular Approach for Fine-grained Hallucination Detection and Editing of Large Language Models</t>
  </si>
  <si>
    <t>It's Morphing Time: Unleashing the Potential of Multiple LLMs via Multi-objective Optimization</t>
  </si>
  <si>
    <t>Development of an interactive GUI using MATLAB for the detection of type and stage of Breast Tumor</t>
  </si>
  <si>
    <t>MH-pFLGB: Model Heterogeneous personalized Federated Learning via Global Bypass for Medical Image Analysis</t>
  </si>
  <si>
    <t>MMEvalPro: Calibrating Multimodal Benchmarks Towards Trustworthy and Efficient Evaluation</t>
  </si>
  <si>
    <t>VcLLM: Video Codecs are Secretly Tensor Codecs</t>
  </si>
  <si>
    <t>BioKGBench: A Knowledge Graph Checking Benchmark of AI Agent for Biomedical Science</t>
  </si>
  <si>
    <t>Characterizing Continual Learning Scenarios and Strategies for Audio Analysis</t>
  </si>
  <si>
    <t>Open-Source Conversational AI with SpeechBrain 1.0</t>
  </si>
  <si>
    <t>pFLFE: Cross-silo Personalized Federated Learning via Feature Enhancement on Medical Image Segmentation</t>
  </si>
  <si>
    <t>Beyond Functional Correctness: Investigating Coding Style Inconsistencies in Large Language Models</t>
  </si>
  <si>
    <t>Self-Translate-Train: A Simple but Strong Baseline for Cross-lingual Transfer of Large Language Models</t>
  </si>
  <si>
    <t>PerSEval: Assessing Personalization in Text Summarizers</t>
  </si>
  <si>
    <t>KHNNs: hypercomplex neural networks computations via Keras using TensorFlow and PyTorch</t>
  </si>
  <si>
    <t>Fully tensorial approach to hypercomplex neural networks</t>
  </si>
  <si>
    <t>AI Age Discrepancy: A Novel Parameter for Frailty Assessment in Kidney Tumor Patients</t>
  </si>
  <si>
    <t>A Recipe of Parallel Corpora Exploitation for Multilingual Large Language Models</t>
  </si>
  <si>
    <t>RTGS: Enabling Real-Time Gaussian Splatting on Mobile Devices Using Efficiency-Guided Pruning and Foveated Rendering</t>
  </si>
  <si>
    <t>Location embedding based pairwise distance learning for fine-grained diagnosis of urinary stones</t>
  </si>
  <si>
    <t>Time Series Clustering with General State Space Models via Stochastic Variational Inference</t>
  </si>
  <si>
    <t>Too Late to Train, Too Early To Use? A Study on Necessity and Viability of Low-Resource Bengali LLMs</t>
  </si>
  <si>
    <t>Explainability of Machine Learning Models under Missing Data</t>
  </si>
  <si>
    <t>Parametric Primitive Analysis of CAD Sketches with Vision Transformer</t>
  </si>
  <si>
    <t>Is It Really Long Context if All You Need Is Retrieval? Towards Genuinely Difficult Long Context NLP</t>
  </si>
  <si>
    <t>PUZZLES: A Benchmark for Neural Algorithmic Reasoning</t>
  </si>
  <si>
    <t>A Study on Effect of Reference Knowledge Choice in Generating Technical Content Relevant to SAPPhIRE Model Using Large Language Model</t>
  </si>
  <si>
    <t>Advancing Process Verification for Large Language Models via Tree-Based Preference Learning</t>
  </si>
  <si>
    <t>GraphArena: Benchmarking Large Language Models on Graph Computational Problems</t>
  </si>
  <si>
    <t>The Factuality Tax of Diversity-Intervened Text-to-Image Generation: Benchmark and Fact-Augmented Intervention</t>
  </si>
  <si>
    <t>How to Train Your Fact Verifier: Knowledge Transfer with Multimodal Open Models</t>
  </si>
  <si>
    <t>SVG: 3D Stereoscopic Video Generation via Denoising Frame Matrix</t>
  </si>
  <si>
    <t>Financial Knowledge Large Language Model</t>
  </si>
  <si>
    <t>JSCDS: A Core Data Selection Method with Jason-Shannon Divergence for Caries RGB Images-Efficient Learning</t>
  </si>
  <si>
    <t>From RAG to RICHES: Retrieval Interlaced with Sequence Generation</t>
  </si>
  <si>
    <t>Enhancing Accuracy and Parameter-Efficiency of Neural Representations for Network Parameterization</t>
  </si>
  <si>
    <t>Machine Learning Models for Dengue Forecasting in Singapore</t>
  </si>
  <si>
    <t>Teola: Towards End-to-End Optimization of LLM-based Applications</t>
  </si>
  <si>
    <t>LLM-Generated Natural Language Meets Scaling Laws: New Explorations and Data Augmentation Methods</t>
  </si>
  <si>
    <t>OccFusion: Rendering Occluded Humans with Generative Diffusion Priors</t>
  </si>
  <si>
    <t>Learning Unsupervised Gaze Representation via Eye Mask Driven Information Bottleneck</t>
  </si>
  <si>
    <t>Student-AI Interaction: A Case Study of CS1 students</t>
  </si>
  <si>
    <t>Benchmark Evaluation of Image Fusion algorithms for Smartphone Camera Capture</t>
  </si>
  <si>
    <t>UADSN: Uncertainty-Aware Dual-Stream Network for Facial Nerve Segmentation</t>
  </si>
  <si>
    <t>FMSG-JLESS Submission for DCASE 2024 Task4 on Sound Event Detection with Heterogeneous Training Dataset and Potentially Missing Labels</t>
  </si>
  <si>
    <t>Personalised Outfit Recommendation via History-aware Transformers</t>
  </si>
  <si>
    <t>IVCA: Inter-Relation-Aware Video Complexity Analyzer</t>
  </si>
  <si>
    <t>Learning a Clinically-Relevant Concept Bottleneck for Lesion Detection in Breast Ultrasound</t>
  </si>
  <si>
    <t>Generative Iris Prior Embedded Transformer for Iris Restoration</t>
  </si>
  <si>
    <t>One Prompt is not Enough: Automated Construction of a Mixture-of-Expert Prompts</t>
  </si>
  <si>
    <t>An Exhaustive Study of Two-Node McCulloch-Pitts Networks</t>
  </si>
  <si>
    <t>Assistive Image Annotation Systems with Deep Learning and Natural Language Capabilities: A Review</t>
  </si>
  <si>
    <t>Mind the Gap: Analyzing Lacunae with Transformer-Based Transcription</t>
  </si>
  <si>
    <t>Prompt Refinement with Image Pivot for Text-to-Image Generation</t>
  </si>
  <si>
    <t>EHRmonize: A Framework for Medical Concept Abstraction from Electronic Health Records using Large Language Models</t>
  </si>
  <si>
    <t>SemUV: Deep Learning based semantic manipulation over UV texture map of virtual human heads</t>
  </si>
  <si>
    <t>Transformer-based Image and Video Inpainting: Current Challenges and Future Directions</t>
  </si>
  <si>
    <t>Multimodal Prototyping for cancer survival prediction</t>
  </si>
  <si>
    <t>PathGen-1.6M: 1.6 Million Pathology Image-text Pairs Generation through Multi-agent Collaboration</t>
  </si>
  <si>
    <t>Deconvolving Complex Neuronal Networks into Interpretable Task-Specific Connectomes</t>
  </si>
  <si>
    <t>A Novel Labeled Human Voice Signal Dataset for Misbehavior Detection</t>
  </si>
  <si>
    <t>SMPLOlympics: Sports Environments for Physically Simulated Humanoids</t>
  </si>
  <si>
    <t>DCSM 2.0: Deep Conditional Shape Models for Data Efficient Segmentation</t>
  </si>
  <si>
    <t>Permutation invariant multi-output Gaussian Processes for drug combination prediction in cancer</t>
  </si>
  <si>
    <t>Can GPT-4 Help Detect Quit Vaping Intentions? An Exploration of Automatic Data Annotation Approach</t>
  </si>
  <si>
    <t>Localizing Anomalies via Multiscale Score Matching Analysis</t>
  </si>
  <si>
    <t>Predicting Elevated Risk of Hospitalization Following Emergency Department Discharges</t>
  </si>
  <si>
    <t>The Qiyas Benchmark: Measuring ChatGPT Mathematical and Language Understanding in Arabic</t>
  </si>
  <si>
    <t>Graph Neural Networks for Gut Microbiome Metaomic data: A preliminary work</t>
  </si>
  <si>
    <t>Analyzing Quality, Bias, and Performance in Text-to-Image Generative Models</t>
  </si>
  <si>
    <t>A Simple Attention-Based Mechanism for Bimodal Emotion Classification</t>
  </si>
  <si>
    <t>ShortcutsBench: A Large-Scale Real-world Benchmark for API-based Agents</t>
  </si>
  <si>
    <t>Multimodal Learning and Cognitive Processes in Radiology: MedGaze for Chest X-ray Scanpath Prediction</t>
  </si>
  <si>
    <t>Granite-Function Calling Model: Introducing Function Calling Abilities via Multi-task Learning of Granular Tasks</t>
  </si>
  <si>
    <t>Automated Web-Based Malaria Detection System with Machine Learning and Deep Learning Techniques</t>
  </si>
  <si>
    <t>Efficient Long-distance Latent Relation-aware Graph Neural Network for Multi-modal Emotion Recognition in Conversations</t>
  </si>
  <si>
    <t>From Efficient Multimodal Models to World Models: A Survey</t>
  </si>
  <si>
    <t>Machine learning meets mass spectrometry: a focused perspective</t>
  </si>
  <si>
    <t>Generative AI for Synthetic Data Across Multiple Medical Modalities: A Systematic Review of Recent Developments and Challenges</t>
  </si>
  <si>
    <t>OmniJARVIS: Unified Vision-Language-Action Tokenization Enables Open-World Instruction Following Agents</t>
  </si>
  <si>
    <t>Accurate Prediction of Ligand-Protein Interaction Affinities with Fine-Tuned Small Language Models</t>
  </si>
  <si>
    <t>A Case Study on Contextual Machine Translation in a Professional Scenario of Subtitling</t>
  </si>
  <si>
    <t>WineGraph: A Graph Representation For Food-Wine Pairing</t>
  </si>
  <si>
    <t>Multiple Kronecker RLS fusion-based link propagation for drug-side effect prediction</t>
  </si>
  <si>
    <t>AI-Driven Skin Cancer Diagnosis: Grad-CAM and Expert Annotations for Enhanced Interpretability</t>
  </si>
  <si>
    <t>Curriculum Learning with Quality-Driven Data Selection</t>
  </si>
  <si>
    <t>Scalable, Trustworthy Generative Model for Virtual Multi-Staining from H&amp;E Whole Slide Images</t>
  </si>
  <si>
    <t>ARES: Alternating Reinforcement Learning and Supervised Fine-Tuning for Enhanced Multi-Modal Chain-of-Thought Reasoning Through Diverse AI Feedback</t>
  </si>
  <si>
    <t>Mooncake: A KVCache-centric Disaggregated Architecture for LLM Serving</t>
  </si>
  <si>
    <t>Pistis-RAG: A Scalable Cascading Framework Towards Content-Centric Retrieval-Augmented Generation</t>
  </si>
  <si>
    <t>Compress then Serve: Serving Thousands of LoRA Adapters with Little Overhead</t>
  </si>
  <si>
    <t>A Personalised Learning Tool for Physics Undergraduate Students Built On a Large Language Model for Symbolic Regression</t>
  </si>
  <si>
    <t>FoldToken2: Learning compact, invariant and generative protein structure language</t>
  </si>
  <si>
    <t>A Machine Learning Approach for Identifying Anatomical Biomarkers of Early Mild Cognitive Impairment</t>
  </si>
  <si>
    <t>Decoding moral judgement from text: a pilot study</t>
  </si>
  <si>
    <t>Uncovering cognitive taskonomy through transfer learning in masked autoencoder-based fMRI reconstruction</t>
  </si>
  <si>
    <t>Distributed Inference Performance Optimization for LLMs on CPUs</t>
  </si>
  <si>
    <t>Harnessing XGBoost for Robust Biomarker Selection of Obsessive-Compulsive Disorder (OCD) from Adolescent Brain Cognitive Development (ABCD) data</t>
  </si>
  <si>
    <t>Anywhere: A Web Crawler Automation Management Interface</t>
  </si>
  <si>
    <t>LMVD: A Large-Scale Multimodal Vlog Dataset for Depression Detection in the Wild</t>
  </si>
  <si>
    <t>Preble: Efficient Distributed Prompt Scheduling for LLM Serving</t>
  </si>
  <si>
    <t>Simplifying Kinematic Parameter Estimation in sEMG Prosthetic Hands: A Two-Point Approach</t>
  </si>
  <si>
    <t>Multi-objective generative AI for designing novel brain-targeting small molecules</t>
  </si>
  <si>
    <t>2015-x</t>
  </si>
  <si>
    <t>Deep Unsupervised Learning using Nonequilibrium Thermodynamics</t>
  </si>
  <si>
    <t>https://arxiv.org/abs/1503.03585</t>
  </si>
  <si>
    <t>Jascha Sohl-Dickstein, Eric A. Weiss, Niru Maheswaranathan, Surya Ganguli (Stanford)</t>
  </si>
  <si>
    <t>The first diffusion paper?</t>
  </si>
  <si>
    <t>Planning benchmark for planning languages</t>
  </si>
  <si>
    <t>RoPE</t>
  </si>
  <si>
    <t>context length extrapolation</t>
  </si>
  <si>
    <t>Very impressive OS LLVM</t>
  </si>
  <si>
    <t>Alibaba, Academics</t>
  </si>
  <si>
    <t>Bootstrap text-to-image with improved context details</t>
  </si>
  <si>
    <t>Utoronto, Ualberta</t>
  </si>
  <si>
    <t>RL policy learning for robotics</t>
  </si>
  <si>
    <t>Chain of thought implementation</t>
  </si>
  <si>
    <t>Harvard</t>
  </si>
  <si>
    <t>MRI+FUS</t>
  </si>
  <si>
    <t>Chinese Academics</t>
  </si>
  <si>
    <t>Shanghai AI Lab</t>
  </si>
  <si>
    <t>Brown University</t>
  </si>
  <si>
    <t>Digital pathology</t>
  </si>
  <si>
    <t>Nvidia, Vanderbilt, Yucheng Tang &lt;yucheng.tang@vanderbilt.edu&gt;</t>
  </si>
  <si>
    <t>CMU</t>
  </si>
  <si>
    <t>Linguistics general review</t>
  </si>
  <si>
    <t>Discrete latents for continuous diffusion models</t>
  </si>
  <si>
    <t>Chinese Academic + Microsoft</t>
  </si>
  <si>
    <t>Improved diffusion training technique</t>
  </si>
  <si>
    <t>Enforcing Equity in Neural Climate Emulators</t>
  </si>
  <si>
    <t>Machine-Learning-Driven Runtime Optimization of BLAS Level 3 on Modern Multi-Core Systems</t>
  </si>
  <si>
    <t>ScoreFusion: fusing score-based generative models via Kullback-Leibler barycenters</t>
  </si>
  <si>
    <t>Stochastic Zeroth-Order Optimization under Strongly Convexity and Lipschitz Hessian: Minimax Sample Complexity</t>
  </si>
  <si>
    <t>VarteX: Enhancing Weather Forecast through Distributed Variable Representation</t>
  </si>
  <si>
    <t>A Survey on Data Quality Dimensions and Tools for Machine Learning</t>
  </si>
  <si>
    <t>Multimodal Data Integration for Precision Oncology: Challenges and Future Directions</t>
  </si>
  <si>
    <t>Mixture of In-Context Experts Enhance LLMs' Long Context Awareness</t>
  </si>
  <si>
    <t>SK-VQA: Synthetic Knowledge Generation at Scale for Training Context-Augmented Multimodal LLMs</t>
  </si>
  <si>
    <t>Network Bending of Diffusion Models for Audio-Visual Generation</t>
  </si>
  <si>
    <t>PathAlign: A vision-language model for whole slide images in histopathology</t>
  </si>
  <si>
    <t>Deep Temporal Sequence Classification and Mathematical Modeling for Cell Tracking in Dense 3D Microscopy Videos of Bacterial Biofilms</t>
  </si>
  <si>
    <t>On Counterfactual Interventions in Vector Autoregressive Models</t>
  </si>
  <si>
    <t>Synthetic Cancer -- Augmenting Worms with LLMs</t>
  </si>
  <si>
    <t>What Matters in Detecting AI-Generated Videos like Sora?</t>
  </si>
  <si>
    <t>Voices Unheard: NLP Resources and Models for Yorùbá Regional Dialects</t>
  </si>
  <si>
    <t>Robustness Testing of Black-Box Models Against CT Degradation Through Test-Time Augmentation</t>
  </si>
  <si>
    <t>BOrg: A Brain Organoid-Based Mitosis Dataset for Automatic Analysis of Brain Diseases</t>
  </si>
  <si>
    <t>Rethinking harmless refusals when fine-tuning foundation models</t>
  </si>
  <si>
    <t>Leveraging Machine-Generated Rationales to Facilitate Social Meaning Detection in Conversations</t>
  </si>
  <si>
    <t>Where Are Large Language Models for Code Generation on GitHub?</t>
  </si>
  <si>
    <t>Weighted Circle Fusion: Ensembling Circle Representation from Different Object Detection Results</t>
  </si>
  <si>
    <t>Context Matters: An Empirical Study of the Impact of Contextual Information in Temporal Question Answering Systems</t>
  </si>
  <si>
    <t>Handling Ontology Gaps in Semantic Parsing</t>
  </si>
  <si>
    <t>Forward and Backward State Abstractions for Off-policy Evaluation</t>
  </si>
  <si>
    <t>Using Large Language Models to Assist Video Content Analysis: An Exploratory Study of Short Videos on Depression</t>
  </si>
  <si>
    <t>TocBERT: Medical Document Structure Extraction Using Bidirectional Transformers</t>
  </si>
  <si>
    <t>Comparative Analysis Of Color Models For Human Perception And Visual Color Difference</t>
  </si>
  <si>
    <t>Captioning Visualizations with Large Language Models (CVLLM): A Tutorial</t>
  </si>
  <si>
    <t>Code Linting using Language Models</t>
  </si>
  <si>
    <t>Too Good to be True? Turn Any Model Differentially Private With DP-Weights</t>
  </si>
  <si>
    <t>Are Generative Language Models Multicultural? A Study on Hausa Culture and Emotions using ChatGPT</t>
  </si>
  <si>
    <t>Investigating How Large Language Models Leverage Internal Knowledge to Perform Complex Reasoning</t>
  </si>
  <si>
    <t>Monitoring Latent World States in Language Models with Propositional Probes</t>
  </si>
  <si>
    <t>Knowledge acquisition for dialogue agents using reinforcement learning on graph representations</t>
  </si>
  <si>
    <t>Development and Evaluation of a Retrieval-Augmented Generation Tool for Creating SAPPhIRE Models of Artificial Systems</t>
  </si>
  <si>
    <t>High-resolution segmentations of the hypothalamus and its subregions for training of segmentation models</t>
  </si>
  <si>
    <t>LoPT: Low-Rank Prompt Tuning for Parameter Efficient Language Models</t>
  </si>
  <si>
    <t>GAPNet: Granularity Attention Network with Anatomy-Prior-Constraint for Carotid Artery Segmentation</t>
  </si>
  <si>
    <t>xTower: A Multilingual LLM for Explaining and Correcting Translation Errors</t>
  </si>
  <si>
    <t>Sparse Regression for Machine Translation</t>
  </si>
  <si>
    <t>Multi-agent Cooperative Games Using Belief Map Assisted Training</t>
  </si>
  <si>
    <t>Changing Answer Order Can Decrease MMLU Accuracy</t>
  </si>
  <si>
    <t>Can Large Language Models Generate High-quality Patent Claims?</t>
  </si>
  <si>
    <t>ManiWAV: Learning Robot Manipulation from In-the-Wild Audio-Visual Data</t>
  </si>
  <si>
    <t>Efficient and Distributed Large-Scale 3D Map Registration using Tomographic Features</t>
  </si>
  <si>
    <t>A Sanity Check for AI-generated Image Detection</t>
  </si>
  <si>
    <t>Lightweight Predictive 3D Gaussian Splats</t>
  </si>
  <si>
    <t>"Glue pizza and eat rocks" -- Exploiting Vulnerabilities in Retrieval-Augmented Generative Models</t>
  </si>
  <si>
    <t>An Analysis of Multilingual FActScore</t>
  </si>
  <si>
    <t>Stock Volume Forecasting with Advanced Information by Conditional Variational Auto-Encoder</t>
  </si>
  <si>
    <t>YOLOv10 to Its Genesis: A Decadal and Comprehensive Review of The You Only Look Once Series</t>
  </si>
  <si>
    <t>Temporal distribution of clusters of investors and their application in prediction with expert advice</t>
  </si>
  <si>
    <t>Modelling financial volume curves with hierarchical Poisson processes</t>
  </si>
  <si>
    <t>Deep Convolutional Neural Networks Meet Variational Shape Compactness Priors for Image Segmentation</t>
  </si>
  <si>
    <t>Predicting Customer Goals in Financial Institution Services: A Data-Driven LSTM Approach</t>
  </si>
  <si>
    <t>Woven Fabric Capture with a Reflection-Transmission Photo Pair</t>
  </si>
  <si>
    <t>How scanning probe microscopy can be supported by Artificial Intelligence and quantum computing</t>
  </si>
  <si>
    <t>SimLOB: Learning Representations of Limited Order Book for Financial Market Simulation</t>
  </si>
  <si>
    <t>Dataset Size Recovery from LoRA Weights</t>
  </si>
  <si>
    <t>HUWSOD: Holistic Self-training for Unified Weakly Supervised Object Detection</t>
  </si>
  <si>
    <t>Looking 3D: Anomaly Detection with 2D-3D Alignment</t>
  </si>
  <si>
    <t>ReXTime: A Benchmark Suite for Reasoning-Across-Time in Videos</t>
  </si>
  <si>
    <t>Fibottention: Inceptive Visual Representation Learning with Diverse Attention Across Heads</t>
  </si>
  <si>
    <t>SALVe: Semantic Alignment Verification for Floorplan Reconstruction from Sparse Panoramas</t>
  </si>
  <si>
    <t>OMG-LLaVA: Bridging Image-level, Object-level, Pixel-level Reasoning and Understanding</t>
  </si>
  <si>
    <t>Taming Data and Transformers for Audio Generation</t>
  </si>
  <si>
    <t>The Remarkable Robustness of LLMs: Stages of Inference?</t>
  </si>
  <si>
    <t>TabReD: A Benchmark of Tabular Machine Learning in-the-Wild</t>
  </si>
  <si>
    <t>Suri: Multi-constraint Instruction Following for Long-form Text Generation</t>
  </si>
  <si>
    <t>Emergence of Hidden Capabilities: Exploring Learning Dynamics in Concept Space</t>
  </si>
  <si>
    <t>Mamba or RWKV: Exploring High-Quality and High-Efficiency Segment Anything Model</t>
  </si>
  <si>
    <t>SimTxtSeg: Weakly-Supervised Medical Image Segmentation with Simple Text Cues</t>
  </si>
  <si>
    <t>STAL3D: Unsupervised Domain Adaptation for 3D Object Detection via Collaborating Self-Training and Adversarial Learning</t>
  </si>
  <si>
    <t>The Model Arena for Cross-lingual Sentiment Analysis: A Comparative Study in the Era of Large Language Models</t>
  </si>
  <si>
    <t>DiVERT: Distractor Generation with Variational Errors Represented as Text for Math Multiple-choice Questions</t>
  </si>
  <si>
    <t>Fundamental Problems With Model Editing: How Should Rational Belief Revision Work in LLMs?</t>
  </si>
  <si>
    <t>CORE4D: A 4D Human-Object-Human Interaction Dataset for Collaborative Object Rearrangement</t>
  </si>
  <si>
    <t>Learning Visual Conditioning Tokens to Correct Domain Shift for Fully Test-time Adaptation</t>
  </si>
  <si>
    <t>Subtractive Training for Music Stem Insertion using Latent Diffusion Models</t>
  </si>
  <si>
    <t>Efficient World Models with Context-Aware Tokenization</t>
  </si>
  <si>
    <t>Jump Starting Bandits with LLM-Generated Prior Knowledge</t>
  </si>
  <si>
    <t>LiveBench: A Challenging, Contamination-Free LLM Benchmark</t>
  </si>
  <si>
    <t>Zero-Query Adversarial Attack on Black-box Automatic Speech Recognition Systems</t>
  </si>
  <si>
    <t>Which Neurons Matter in IR? Applying Integrated Gradients-based Methods to Understand Cross-Encoders</t>
  </si>
  <si>
    <t>The Odyssey of Commonsense Causality: From Foundational Benchmarks to Cutting-Edge Reasoning</t>
  </si>
  <si>
    <t>MCNC: Manifold Constrained Network Compression</t>
  </si>
  <si>
    <t>scTree: Discovering Cellular Hierarchies in the Presence of Batch Effects in scRNA-seq Data</t>
  </si>
  <si>
    <t>PNeRV: A Polynomial Neural Representation for Videos</t>
  </si>
  <si>
    <t>Compositional Image Decomposition with Diffusion Models</t>
  </si>
  <si>
    <t>Enhancing Continual Learning in Visual Question Answering with Modality-Aware Feature Distillation</t>
  </si>
  <si>
    <t>From Artificial Needles to Real Haystacks: Improving Retrieval Capabilities in LLMs by Finetuning on Synthetic Data</t>
  </si>
  <si>
    <t>Wikipedia Citations: Reproducible Citation Extraction from Multilingual Wikipedia</t>
  </si>
  <si>
    <t>Human Modelling and Pose Estimation Overview</t>
  </si>
  <si>
    <t>PhysioLLM: Supporting Personalized Health Insights with Wearables and Large Language Models</t>
  </si>
  <si>
    <t>Grounded and Transparent Response Generation for Conversational Information-Seeking Systems</t>
  </si>
  <si>
    <t>HuatuoGPT-Vision, Towards Injecting Medical Visual Knowledge into Multimodal LLMs at Scale</t>
  </si>
  <si>
    <t>VERISCORE: Evaluating the factuality of verifiable claims in long-form text generation</t>
  </si>
  <si>
    <t>AutoPureData: Automated Filtering of Web Data for LLM Fine-tuning</t>
  </si>
  <si>
    <t>Leveraging Contrastive Learning for Enhanced Node Representations in Tokenized Graph Transformers</t>
  </si>
  <si>
    <t>AI Data Readiness Inspector (AIDRIN) for Quantitative Assessment of Data Readiness for AI</t>
  </si>
  <si>
    <t>Enhancing Video-Language Representations with Structural Spatio-Temporal Alignment</t>
  </si>
  <si>
    <t>Advection Augmented Convolutional Neural Networks</t>
  </si>
  <si>
    <t>AutoRAG-HP: Automatic Online Hyper-Parameter Tuning for Retrieval-Augmented Generation</t>
  </si>
  <si>
    <t>NTFormer: A Composite Node Tokenized Graph Transformer for Node Classification</t>
  </si>
  <si>
    <t>Staggered Quantizers for Perfect Perceptual Quality: A Connection between Quantizers with Common Randomness and Without</t>
  </si>
  <si>
    <t>Local Manifold Learning for No-Reference Image Quality Assessment</t>
  </si>
  <si>
    <t>Application of ASV for Voice Identification after VC and Duration Predictor Improvement in TTS Models</t>
  </si>
  <si>
    <t>ALMA: a mathematics-driven approach for determining tuning parameters in generalized LASSO problems, with applications to MRI</t>
  </si>
  <si>
    <t>Revealing Fine-Grained Values and Opinions in Large Language Models</t>
  </si>
  <si>
    <t>FlowVQA: Mapping Multimodal Logic in Visual Question Answering with Flowcharts</t>
  </si>
  <si>
    <t>Spiking Convolutional Neural Networks for Text Classification</t>
  </si>
  <si>
    <t>Aligning Teacher with Student Preferences for Tailored Training Data Generation</t>
  </si>
  <si>
    <t>Simulating Classroom Education with LLM-Empowered Agents</t>
  </si>
  <si>
    <t>T-FREE: Tokenizer-Free Generative LLMs via Sparse Representations for Memory-Efficient Embeddings</t>
  </si>
  <si>
    <t>Think Step by Step: Chain-of-Gesture Prompting for Error Detection in Robotic Surgical Videos</t>
  </si>
  <si>
    <t>SeaKR: Self-aware Knowledge Retrieval for Adaptive Retrieval Augmented Generation</t>
  </si>
  <si>
    <t>BISeizuRe: BERT-Inspired Seizure Data Representation to Improve Epilepsy Monitoring</t>
  </si>
  <si>
    <t>Averaging log-likelihoods in direct alignment</t>
  </si>
  <si>
    <t>Contrastive Policy Gradient: Aligning LLMs on sequence-level scores in a supervised-friendly fashion</t>
  </si>
  <si>
    <t>Towards Reducing Data Acquisition and Labeling for Defect Detection using Simulated Data</t>
  </si>
  <si>
    <t>The Illusion of Competence: Evaluating the Effect of Explanations on Users' Mental Models of Visual Question Answering Systems</t>
  </si>
  <si>
    <t>Single Image Estimation of Cell Migration Direction by Deep Circular Regression</t>
  </si>
  <si>
    <t>Heterogeneous Causal Metapath Graph Neural Network for Gene-Microbe-Disease Association Prediction</t>
  </si>
  <si>
    <t>Advancing operational PM2.5 forecasting with dual deep neural networks (D-DNet)</t>
  </si>
  <si>
    <t>RAVEN: Multitask Retrieval Augmented Vision-Language Learning</t>
  </si>
  <si>
    <t>BackMix: Mitigating Shortcut Learning in Echocardiography with Minimal Supervision</t>
  </si>
  <si>
    <t>Resolving Discrepancies in Compute-Optimal Scaling of Language Models</t>
  </si>
  <si>
    <t>YZS-model: A Predictive Model for Organic Drug Solubility Based on Graph Convolutional Networks and Transformer-Attention</t>
  </si>
  <si>
    <t>DEX-TTS: Diffusion-based EXpressive Text-to-Speech with Style Modeling on Time Variability</t>
  </si>
  <si>
    <t>CELLO: Causal Evaluation of Large Vision-Language Models</t>
  </si>
  <si>
    <t>Evidential Concept Embedding Models: Towards Reliable Concept Explanations for Skin Disease Diagnosis</t>
  </si>
  <si>
    <t>Super-resolution imaging using super-oscillatory diffractive neural networks</t>
  </si>
  <si>
    <t>Towards Learning Abductive Reasoning using VSA Distributed Representations</t>
  </si>
  <si>
    <t>CHEW: A Dataset of CHanging Events in Wikipedia</t>
  </si>
  <si>
    <t>A Teacher Is Worth A Million Instructions</t>
  </si>
  <si>
    <t>Computational Life: How Well-formed, Self-replicating Programs Emerge from Simple Interaction</t>
  </si>
  <si>
    <t>FDLite: A Single Stage Lightweight Face Detector Network</t>
  </si>
  <si>
    <t>Statements: Universal Information Extraction from Tables with Large Language Models for ESG KPIs</t>
  </si>
  <si>
    <t>DocKylin: A Large Multimodal Model for Visual Document Understanding with Efficient Visual Slimming</t>
  </si>
  <si>
    <t>Adaptive Stochastic Weight Averaging</t>
  </si>
  <si>
    <t>Dimensions underlying the representational alignment of deep neural networks with humans</t>
  </si>
  <si>
    <t>Unsupervised Latent Stain Adaptation for Computational Pathology</t>
  </si>
  <si>
    <t>AMBROSIA: A Benchmark for Parsing Ambiguous Questions into Database Queries</t>
  </si>
  <si>
    <t>EmPO: Theory-Driven Dataset Construction for Empathetic Response Generation through Preference Optimization</t>
  </si>
  <si>
    <t>FAGhead: Fully Animate Gaussian Head from Monocular Videos</t>
  </si>
  <si>
    <t>STBench: Assessing the Ability of Large Language Models in Spatio-Temporal Analysis</t>
  </si>
  <si>
    <t>Understanding the Impact of openPMD on BIT1, a Particle-in-Cell Monte Carlo Code, through Instrumentation, Monitoring, and In-Situ Analysis</t>
  </si>
  <si>
    <t>Segment Anything Model for automated image data annotation: empirical studies using text prompts from Grounding DINO</t>
  </si>
  <si>
    <t>SimpleFusion: A Simple Fusion Framework for Infrared and Visible Images</t>
  </si>
  <si>
    <t>A look under the hood of the Interactive Deep Learning Enterprise (No-IDLE)</t>
  </si>
  <si>
    <t>AnyTaskTune: Advanced Domain-Specific Solutions through Task-Fine-Tuning</t>
  </si>
  <si>
    <t>FBI-LLM: Scaling Up Fully Binarized LLMs from Scratch via Autoregressive Distillation</t>
  </si>
  <si>
    <t>V-VIPE: Variational View Invariant Pose Embedding</t>
  </si>
  <si>
    <t>3D Gaussian Ray Tracing: Fast Tracing of Particle Scenes</t>
  </si>
  <si>
    <t>Fine-Tuning Linear Layers Only Is a Simple yet Effective Way for Task Arithmetic</t>
  </si>
  <si>
    <t>CopyBench: Measuring Literal and Non-Literal Reproduction of Copyright-Protected Text in Language Model Generation</t>
  </si>
  <si>
    <t>Hypothetical Minds: Scaffolding Theory of Mind for Multi-Agent Tasks with Large Language Models</t>
  </si>
  <si>
    <t>Can Learned Optimization Make Reinforcement Learning Less Difficult?</t>
  </si>
  <si>
    <t>Adapting LLMs to Hebrew: Unveiling DictaLM 2.0 with Enhanced Vocabulary and Instruction Capabilities</t>
  </si>
  <si>
    <t>MoSt-DSA: Modeling Motion and Structural Interactions for Direct Multi-Frame Interpolation in DSA Images</t>
  </si>
  <si>
    <t>ConceptExpress: Harnessing Diffusion Models for Single-image Unsupervised Concept Extraction</t>
  </si>
  <si>
    <t>MADE-for-ASD: A Multi-Atlas Deep Ensemble Network for Diagnosing Autism Spectrum Disorder</t>
  </si>
  <si>
    <t>Hyperion - A fast, versatile symbolic Gaussian Belief Propagation framework for Continuous-Time SLAM</t>
  </si>
  <si>
    <t>Lookback Lens: Detecting and Mitigating Contextual Hallucinations in Large Language Models Using Only Attention Maps</t>
  </si>
  <si>
    <t>Prompting Techniques for Secure Code Generation: A Systematic Investigation</t>
  </si>
  <si>
    <t>Internet of Agents: Weaving a Web of Heterogeneous Agents for Collaborative Intelligence</t>
  </si>
  <si>
    <t>Differentiable Optimization of Similarity Scores Between Models and Brains</t>
  </si>
  <si>
    <t>CAPformer: Compression-Aware Pre-trained Transformer for Low-Light Image Enhancement</t>
  </si>
  <si>
    <t>Multimodal Self-Instruct: Synthetic Abstract Image and Visual Reasoning Instruction Using Language Model</t>
  </si>
  <si>
    <t>Latent Space Imaging</t>
  </si>
  <si>
    <t>CorMulT: A Semi-supervised Modality Correlation-aware Multimodal Transformer for Sentiment Analysis</t>
  </si>
  <si>
    <t>ProtoSAM - One Shot Medical Image Segmentation With Foundational Models</t>
  </si>
  <si>
    <t>Vision-and-Language Navigation Today and Tomorrow: A Survey in the Era of Foundation Models</t>
  </si>
  <si>
    <t>Exploring Scalability of Self-Training for Open-Vocabulary Temporal Action Localization</t>
  </si>
  <si>
    <t>Using Large Language Models for Generating Smart Contracts for Health Insurance from Textual Policies</t>
  </si>
  <si>
    <t>End-To-End Causal Effect Estimation from Unstructured Natural Language Data</t>
  </si>
  <si>
    <t>A Framework for Multimodal Medical Image Interaction</t>
  </si>
  <si>
    <t>An Attempt to Devise a Pairwise Ising-Type Maximum Entropy Model Integrated Cost Function for Optimizing SNN Deployment</t>
  </si>
  <si>
    <t>Induction Heads as an Essential Mechanism for Pattern Matching in In-context Learning</t>
  </si>
  <si>
    <t>Explainable AI for Enhancing Efficiency of DL-based Channel Estimation</t>
  </si>
  <si>
    <t>Metron: Holistic Performance Evaluation Framework for LLM Inference Systems</t>
  </si>
  <si>
    <t>CTRL-F: Pairing Convolution with Transformer for Image Classification via Multi-Level Feature Cross-Attention and Representation Learning Fusion</t>
  </si>
  <si>
    <t>Mixture-of-Modules: Reinventing Transformers as Dynamic Assemblies of Modules</t>
  </si>
  <si>
    <t>MRI Volume-Based Robust Brain Age Estimation Using Weight-Shared Spatial Attention in 3D CNNs</t>
  </si>
  <si>
    <t>SW 7/21/24 L28V</t>
  </si>
  <si>
    <t>SW 7/21/24 Duration</t>
  </si>
  <si>
    <t>www.tiktok.com</t>
  </si>
  <si>
    <t>Cache Me If You Can: Accelerating Diffusion Models Through Block Caching. Wimbauer et al. ArXiv 1/12/24</t>
  </si>
  <si>
    <t>https://arxiv.org/pdf/2312.03209</t>
  </si>
  <si>
    <t>https://fwmb.github.io/</t>
  </si>
  <si>
    <t>Diffusion Models</t>
  </si>
  <si>
    <t>EO Avoid List</t>
  </si>
  <si>
    <t>arXiv</t>
  </si>
  <si>
    <t>Top Papers</t>
  </si>
  <si>
    <t xml:space="preserve">  LLM</t>
  </si>
  <si>
    <t>Amphista</t>
  </si>
  <si>
    <t>Amphista: Accelerate LLM Inference with Bi-Directional Multiple Drafting Heads in a Non-Autoregressive Style. ArXiv 6/19/24</t>
  </si>
  <si>
    <t>https://arxiv.org/pdf/2406.13170</t>
  </si>
  <si>
    <t>Mamba</t>
  </si>
  <si>
    <t>Effectively Compress KV Heads for LLM. Yu et al. ArXiv 6/11/24</t>
  </si>
  <si>
    <t>https://arxiv.org/abs/2406.07056</t>
  </si>
  <si>
    <t>A Unified Sampling Framework for Solver Searching of Diffusion Probabilistic Models</t>
  </si>
  <si>
    <t>https://arxiv.org/pdf/2312.07243</t>
  </si>
  <si>
    <t>Speculative Decoding</t>
  </si>
  <si>
    <t>https://arxiv.org/pdf/2310.12072</t>
  </si>
  <si>
    <t>Coleman Hooper</t>
  </si>
  <si>
    <t>Sehoon Kim</t>
  </si>
  <si>
    <t>Hiva Mohammadzadeh</t>
  </si>
  <si>
    <t>Hasan Genc</t>
  </si>
  <si>
    <t>Kurt Keutzer</t>
  </si>
  <si>
    <t>Amir Gholami</t>
  </si>
  <si>
    <t>Yakun Sophia Shao</t>
  </si>
  <si>
    <t>SPEED: Speculative Pipelined Execution for Efficient Decoding. Hooper et al., UC Berkeley. arXiv 1/3/24, NeurIPS 2023</t>
  </si>
  <si>
    <t>Generalized Out-of-Distribution Detection and Beyond in Vision Language Model Era: A Survey</t>
  </si>
  <si>
    <t>Safetywashing: Do AI Safety Benchmarks Actually Measure Safety Progress?</t>
  </si>
  <si>
    <t>Deep Learning for Options Trading: An End-To-End Approach</t>
  </si>
  <si>
    <t>Vision-Language Model Based Handwriting Verification</t>
  </si>
  <si>
    <t>Large Language Monkeys: Scaling Inference Compute with Repeated Sampling</t>
  </si>
  <si>
    <t>The Llama 3 Herd of Models</t>
  </si>
  <si>
    <t>Berkeley Humanoid: A Research Platform for Learning-based Control</t>
  </si>
  <si>
    <t>Tulip Agent -- Enabling LLM-Based Agents to Solve Tasks Using Large Tool Libraries</t>
  </si>
  <si>
    <t>RainMamba: Enhanced Locality Learning with State Space Models for Video Deraining</t>
  </si>
  <si>
    <t>ShieldGemma: Generative AI Content Moderation Based on Gemma</t>
  </si>
  <si>
    <t>Paying More Attention to Image: A Training-Free Method for Alleviating Hallucination in LVLMs</t>
  </si>
  <si>
    <t>MoMa: Efficient Early-Fusion Pre-training with Mixture of Modality-Aware Experts</t>
  </si>
  <si>
    <t>Does empirical evidence from healthy aging studies predict a practical difference between visualizations for different age groups?</t>
  </si>
  <si>
    <t>ReplanVLM: Replanning Robotic Tasks with Visual Language Models</t>
  </si>
  <si>
    <t>MOSAIC: Multimodal Multistakeholder-aware Visual Art Recommendation</t>
  </si>
  <si>
    <t>Learning Video Context as Interleaved Multimodal Sequences</t>
  </si>
  <si>
    <t>A Federated Learning-Friendly Approach for Parameter-Efficient Fine-Tuning of SAM in 3D Segmentation</t>
  </si>
  <si>
    <t>Leveraging Self-Supervised Learning for Fetal Cardiac Planes Classification using Ultrasound Scan Videos</t>
  </si>
  <si>
    <t>Unifying Event-based Flow, Stereo and Depth Estimation via Feature Similarity Matching</t>
  </si>
  <si>
    <t>Human-Machine Co-Adaptation for Robot-Assisted Rehabilitation via Dual-Agent Multiple Model Reinforcement Learning (DAMMRL)</t>
  </si>
  <si>
    <t>Artificial Intelligence Approaches for Energy Efficiency: A Review</t>
  </si>
  <si>
    <t>Open-Vocabulary Audio-Visual Semantic Segmentation</t>
  </si>
  <si>
    <t>Detecting, Explaining, and Mitigating Memorization in Diffusion Models</t>
  </si>
  <si>
    <t>Assessing the State of AI Policy</t>
  </si>
  <si>
    <t>UMMAN: Unsupervised Multi-graph Merge Adversarial Network for Disease Prediction Based on Intestinal Flora</t>
  </si>
  <si>
    <t>Social Learning through Interactions with Other Agents: A Survey</t>
  </si>
  <si>
    <t>Adaptive Retrieval-Augmented Generation for Conversational Systems</t>
  </si>
  <si>
    <t>CEAR: Automatic construction of a knowledge graph of chemical entities and roles from scientific literature</t>
  </si>
  <si>
    <t>Tora: Trajectory-oriented Diffusion Transformer for Video Generation</t>
  </si>
  <si>
    <t>Hyper-parameter tuning for text guided image editing</t>
  </si>
  <si>
    <t>TransferTOD: A Generalizable Chinese Multi-Domain Task-Oriented Dialogue System with Transfer Capabilities</t>
  </si>
  <si>
    <t>Explainable Artificial Intelligence for Quantifying Interfering and High-Risk Behaviors in Autism Spectrum Disorder in a Real-World Classroom Environment Using Privacy-Preserving Video Analysis</t>
  </si>
  <si>
    <t>Dynamic Object Queries for Transformer-based Incremental Object Detection</t>
  </si>
  <si>
    <t>Expressive Whole-Body 3D Gaussian Avatar</t>
  </si>
  <si>
    <t>Universal Approximation Theory: Foundations for Parallelism in Neural Networks</t>
  </si>
  <si>
    <t>An Explainable Vision Transformer with Transfer Learning Combined with Support Vector Machine Based Efficient Drought Stress Identification</t>
  </si>
  <si>
    <t>A State-of-the-Art Review of Computational Models for Analyzing Longitudinal Wearable Sensor Data in Healthcare</t>
  </si>
  <si>
    <t>Defending Jailbreak Attack in VLMs via Cross-modality Information Detector</t>
  </si>
  <si>
    <t>Beat this! Accurate beat tracking without DBN postprocessing</t>
  </si>
  <si>
    <t>Comgra: A Tool for Analyzing and Debugging Neural Networks</t>
  </si>
  <si>
    <t>MTA-CLIP: Language-Guided Semantic Segmentation with Mask-Text Alignment</t>
  </si>
  <si>
    <t>Spatial Transformer Network YOLO Model for Agricultural Object Detection</t>
  </si>
  <si>
    <t>Human interaction classifier for LLM based chatbot</t>
  </si>
  <si>
    <t>Towards Achieving Human Parity on End-to-end Simultaneous Speech Translation via LLM Agent</t>
  </si>
  <si>
    <t>Lyapunov weights to convey the meaning of time in physics-informed neural networks</t>
  </si>
  <si>
    <t>MSA2Net: Multi-scale Adaptive Attention-guided Network for Medical Image Segmentation</t>
  </si>
  <si>
    <t>Quality Control for Radiology Report Generation Models via Auxiliary Auditing Components</t>
  </si>
  <si>
    <t>MART: MultiscAle Relational Transformer Networks for Multi-agent Trajectory Prediction</t>
  </si>
  <si>
    <t>Zero-Shot Cross-Domain Dialogue State Tracking via Dual Low-Rank Adaptation</t>
  </si>
  <si>
    <t>RoadFormer+: Delivering RGB-X Scene Parsing through Scale-Aware Information Decoupling and Advanced Heterogeneous Feature Fusion</t>
  </si>
  <si>
    <t>TAROT: Task-Oriented Authorship Obfuscation Using Policy Optimization Methods</t>
  </si>
  <si>
    <t>Extended Fiducial Inference: Toward an Automated Process of Statistical Inference</t>
  </si>
  <si>
    <t>EZSR: Event-based Zero-Shot Recognition</t>
  </si>
  <si>
    <t>Between the AI and Me: Analysing Listeners' Perspectives on AI- and Human-Composed Progressive Metal Music</t>
  </si>
  <si>
    <t>MicroMIL: Graph-based Contextual Multiple Instance Learning for Patient Diagnosis Using Microscopy Images</t>
  </si>
  <si>
    <t>Robust Simultaneous Multislice MRI Reconstruction Using Deep Generative Priors</t>
  </si>
  <si>
    <t>Evaluating SAM2's Role in Camouflaged Object Detection: From SAM to SAM2</t>
  </si>
  <si>
    <t>LLM-for-X: Application-agnostic Integration of Large Language Models to Support Personal Writing Workflows</t>
  </si>
  <si>
    <t>Measuring What Matters: Intrinsic Distance Preservation as a Robust Metric for Embedding Quality</t>
  </si>
  <si>
    <t>Adaptive Mix for Semi-Supervised Medical Image Segmentation</t>
  </si>
  <si>
    <t>Voxel Scene Graph for Intracranial Hemorrhage</t>
  </si>
  <si>
    <t>A Performance Study of LLM-Generated Code on Leetcode</t>
  </si>
  <si>
    <t>Multi-Site Class-Incremental Learning with Weighted Experts in Echocardiography</t>
  </si>
  <si>
    <t>PMoE: Progressive Mixture of Experts with Asymmetric Transformer for Continual Learning</t>
  </si>
  <si>
    <t>Vision and Contact based Optimal Control for Autonomous Trocar Docking</t>
  </si>
  <si>
    <t>Analysis of Functional Insufficiencies and Triggering Conditions to Improve the SOTIF of an MPC-based Trajectory Planner</t>
  </si>
  <si>
    <t>TRGR: Transmissive RIS-aided Gait Recognition Through Walls</t>
  </si>
  <si>
    <t>Multi-agent reinforcement learning for the control of three-dimensional Rayleigh-Bénard convection</t>
  </si>
  <si>
    <t>Generative Sentiment Analysis via Latent Category Distribution and Constrained Decoding</t>
  </si>
  <si>
    <t>Conditioned Prompt-Optimization for Continual Deepfake Detection</t>
  </si>
  <si>
    <t>CXSimulator: A User Behavior Simulation using LLM Embeddings for Web-Marketing Campaign Assessment</t>
  </si>
  <si>
    <t>Black box meta-learning intrinsic rewards for sparse-reward environments</t>
  </si>
  <si>
    <t>Tracing Intricate Cues in Dialogue: Joint Graph Structure and Sentiment Dynamics for Multimodal Emotion Recognition</t>
  </si>
  <si>
    <t>Probabilistic Scoring Lists for Interpretable Machine Learning</t>
  </si>
  <si>
    <t>ControlMLLM: Training-Free Visual Prompt Learning for Multimodal Large Language Models</t>
  </si>
  <si>
    <t>Can LLMs "Reason" in Music? An Evaluation of LLMs' Capability of Music Understanding and Generation</t>
  </si>
  <si>
    <t>Tabular Data Augmentation for Machine Learning: Progress and Prospects of Embracing Generative AI</t>
  </si>
  <si>
    <t>The Impacts of AI Avatar Appearance and Disclosure on User Motivation</t>
  </si>
  <si>
    <t>PhysFlow: Skin tone transfer for remote heart rate estimation through conditional normalizing flows</t>
  </si>
  <si>
    <t>A Simple Low-bit Quantization Framework for Video Snapshot Compressive Imaging</t>
  </si>
  <si>
    <t>Expanding the Medical Decathlon dataset: segmentation of colon and colorectal cancer from computed tomography images</t>
  </si>
  <si>
    <t>Learning Effective Representations for Retrieval Using Self-Distillation with Adaptive Relevance Margins</t>
  </si>
  <si>
    <t>Interpreting and learning voice commands with a Large Language Model for a robot system</t>
  </si>
  <si>
    <t>PEAR: Phrase-Based Hand-Object Interaction Anticipation</t>
  </si>
  <si>
    <t>Machine Learning In-Sensors: Computation-enabled Intelligent Sensors For Next Generation of IoT</t>
  </si>
  <si>
    <t>FSSC: Federated Learning of Transformer Neural Networks for Semantic Image Communication</t>
  </si>
  <si>
    <t>Root Cause Analysis Of Productivity Losses In Manufacturing Systems Utilizing Ensemble Machine Learning</t>
  </si>
  <si>
    <t>DIABLO: A 6-DoF Wheeled Bipedal Robot Composed Entirely of Direct-Drive Joints</t>
  </si>
  <si>
    <t>MaskUno: Switch-Split Block For Enhancing Instance Segmentation</t>
  </si>
  <si>
    <t>Mitral Regurgitation Recogniton based on Unsupervised Out-of-Distribution Detection with Residual Diffusion Amplification</t>
  </si>
  <si>
    <t>Generative Expressive Conversational Speech Synthesis</t>
  </si>
  <si>
    <t>Explainable and Controllable Motion Curve Guided Cardiac Ultrasound Video Generation</t>
  </si>
  <si>
    <t>Maverick: Efficient and Accurate Coreference Resolution Defying Recent Trends</t>
  </si>
  <si>
    <t>On the Problem of Text-To-Speech Model Selection for Synthetic Data Generation in Automatic Speech Recognition</t>
  </si>
  <si>
    <t>Fine-gained Zero-shot Video Sampling</t>
  </si>
  <si>
    <t>Deep Learning-Based Longitudinal Prediction of Childhood Myopia Progression Using Fundus Image Sequences and Baseline Refraction Data</t>
  </si>
  <si>
    <t>MarvelOVD: Marrying Object Recognition and Vision-Language Models for Robust Open-Vocabulary Object Detection</t>
  </si>
  <si>
    <t>KemenkeuGPT: Leveraging a Large Language Model on Indonesia's Government Financial Data and Regulations to Enhance Decision Making</t>
  </si>
  <si>
    <t>TinyChirp: Bird Song Recognition Using TinyML Models on Low-power Wireless Acoustic Sensors</t>
  </si>
  <si>
    <t>Forecasting Future Videos from Novel Views via Disentangled 3D Scene Representation</t>
  </si>
  <si>
    <t>Accelerating Image Super-Resolution Networks with Pixel-Level Classification</t>
  </si>
  <si>
    <t>Improving Faithfulness of Large Language Models in Summarization via Sliding Generation and Self-Consistency</t>
  </si>
  <si>
    <t>QuestGen: Effectiveness of Question Generation Methods for Fact-Checking Applications</t>
  </si>
  <si>
    <t>MLLM Is a Strong Reranker: Advancing Multimodal Retrieval-augmented Generation via Knowledge-enhanced Reranking and Noise-injected Training</t>
  </si>
  <si>
    <t>A Plug-and-Play Method for Rare Human-Object Interactions Detection by Bridging Domain Gap</t>
  </si>
  <si>
    <t>Enriching thermal point clouds of buildings using semantic 3D building modelsenriching thermal point clouds of buildings using semantic 3D building models</t>
  </si>
  <si>
    <t>ABCDE: Application-Based Cluster Diff Evals</t>
  </si>
  <si>
    <t>Chat-like Asserts Prediction with the Support of Large Language Model</t>
  </si>
  <si>
    <t>Deformable 3D Shape Diffusion Model</t>
  </si>
  <si>
    <t>Cost-Effective Hallucination Detection for LLMs</t>
  </si>
  <si>
    <t>Generalized Tampered Scene Text Detection in the era of Generative AI</t>
  </si>
  <si>
    <t>FTuner: A Fast Dynamic Shape Tensors Program Auto-Tuner for Deep Learning Compilers</t>
  </si>
  <si>
    <t>Dancing in Chains: Reconciling Instruction Following and Faithfulness in Language Models</t>
  </si>
  <si>
    <t>VIPeR: Visual Incremental Place Recognition with Adaptive Mining and Lifelong Learning</t>
  </si>
  <si>
    <t>Towards interfacing large language models with ASR systems using confidence measures and prompting</t>
  </si>
  <si>
    <t>Benchmarking AIGC Video Quality Assessment: A Dataset and Unified Model</t>
  </si>
  <si>
    <t>Exploring the Role of Social Support when Integrating Generative AI into Small Business Workflows</t>
  </si>
  <si>
    <t>DD-rPPGNet: De-interfering and Descriptive Feature Learning for Unsupervised rPPG Estimation</t>
  </si>
  <si>
    <t>Rico: extended TIAGo robot towards up-to-date social and assistive robot usage scenarios</t>
  </si>
  <si>
    <t>Force Sensing Guided Artery-Vein Segmentation via Sequential Ultrasound Images</t>
  </si>
  <si>
    <t>Design and Development of Laughter Recognition System Based on Multimodal Fusion and Deep Learning</t>
  </si>
  <si>
    <t>SmileyNet -- Towards the Prediction of the Lottery by Reading Tea Leaves with AI</t>
  </si>
  <si>
    <t>GEGA: Graph Convolutional Networks and Evidence Retrieval Guided Attention for Enhanced Document-level Relation Extraction</t>
  </si>
  <si>
    <t>Identity-Consistent Diffusion Network for Grading Knee Osteoarthritis Progression in Radiographic Imaging</t>
  </si>
  <si>
    <t>Dynamic Gesture Recognition in Ultra-Range Distance for Effective Human-Robot Interaction</t>
  </si>
  <si>
    <t>SHA-CNN: Scalable Hierarchical Aware Convolutional Neural Network for Edge AI</t>
  </si>
  <si>
    <t>An LLM-based Readability Measurement for Unit Tests' Context-aware Inputs</t>
  </si>
  <si>
    <t>Prompting Medical Large Vision-Language Models to Diagnose Pathologies by Visual Question Answering</t>
  </si>
  <si>
    <t>Tree-of-Traversals: A Zero-Shot Reasoning Algorithm for Augmenting Black-box Language Models with Knowledge Graphs</t>
  </si>
  <si>
    <t>Interactive embodied evolution for socially adept Artificial General Creatures</t>
  </si>
  <si>
    <t>Small Object Few-shot Segmentation for Vision-based Industrial Inspection</t>
  </si>
  <si>
    <t>Dual-Constrained Dynamical Neural ODEs for Ambiguity-aware Continuous Emotion Prediction</t>
  </si>
  <si>
    <t>MIST: A Simple and Scalable End-To-End 3D Medical Imaging Segmentation Framework</t>
  </si>
  <si>
    <t>Chat2Layout: Interactive 3D Furniture Layout with a Multimodal LLM</t>
  </si>
  <si>
    <t>Optimizing Diffusion Models for Joint Trajectory Prediction and Controllable Generation</t>
  </si>
  <si>
    <t>MM-Vet v2: A Challenging Benchmark to Evaluate Large Multimodal Models for Integrated Capabilities</t>
  </si>
  <si>
    <t>AgentGen: Enhancing Planning Abilities for Large Language Model based Agent via Environment and Task Generation</t>
  </si>
  <si>
    <t>UniTalker: Scaling up Audio-Driven 3D Facial Animation through A Unified Model</t>
  </si>
  <si>
    <t>Tamper-Resistant Safeguards for Open-Weight LLMs</t>
  </si>
  <si>
    <t>Smoothed Energy Guidance: Guiding Diffusion Models with Reduced Energy Curvature of Attention</t>
  </si>
  <si>
    <t>Text-Guided Video Masked Autoencoder</t>
  </si>
  <si>
    <t>Segment anything model 2: an application to 2D and 3D medical images</t>
  </si>
  <si>
    <t>Coarse Correspondence Elicit 3D Spacetime Understanding in Multimodal Language Model</t>
  </si>
  <si>
    <t>A deep learning-enabled smart garment for versatile sleep behaviour monitoring</t>
  </si>
  <si>
    <t>Leaf Angle Estimation using Mask R-CNN and LETR Vision Transformer</t>
  </si>
  <si>
    <t>On the Low-Temperature MCMC threshold: the cases of sparse tensor PCA, sparse regression, and a geometric rule</t>
  </si>
  <si>
    <t>Collaborative Vision-Text Representation Optimizing for Open-Vocabulary Segmentation</t>
  </si>
  <si>
    <t>DynamoLLM: Designing LLM Inference Clusters for Performance and Energy Efficiency</t>
  </si>
  <si>
    <t>Virchow 2: Scaling Self-Supervised Mixed Magnification Models in Pathology</t>
  </si>
  <si>
    <t>TurboEdit: Text-Based Image Editing Using Few-Step Diffusion Models</t>
  </si>
  <si>
    <t>CERT-ED: Certifiably Robust Text Classification for Edit Distance</t>
  </si>
  <si>
    <t>Improving Retrieval-Augmented Generation in Medicine with Iterative Follow-up Questions</t>
  </si>
  <si>
    <t>An Empirical Analysis of Compute-Optimal Inference for Problem-Solving with Language Models</t>
  </si>
  <si>
    <t>A Natural Language Processing Framework for Hotel Recommendation Based on Users' Text Reviews</t>
  </si>
  <si>
    <t>SAM 2: Segment Anything in Images and Videos</t>
  </si>
  <si>
    <t>MotionFix: Text-Driven 3D Human Motion Editing</t>
  </si>
  <si>
    <t>Investigating Brain Connectivity and Regional Statistics from EEG for early stage Parkinson's Classification</t>
  </si>
  <si>
    <t>Synthetic dual image generation for reduction of labeling efforts in semantic segmentation of micrographs with a customized metric function</t>
  </si>
  <si>
    <t>Point-supervised Brain Tumor Segmentation with Box-prompted MedSAM</t>
  </si>
  <si>
    <t>Future of Artificial Intelligence in Agile Software Development</t>
  </si>
  <si>
    <t>Joint Neural Networks for One-shot Object Recognition and Detection</t>
  </si>
  <si>
    <t>You Can't Ignore Either: Unifying Structure and Feature Denoising for Robust Graph Learning</t>
  </si>
  <si>
    <t>Granular-Balls based Fuzzy Twin Support Vector Machine for Classification</t>
  </si>
  <si>
    <t>Accelerating Full Waveform Inversion By Transfer Learning</t>
  </si>
  <si>
    <t>Improving Text Embeddings for Smaller Language Models Using Contrastive Fine-tuning</t>
  </si>
  <si>
    <t>Can Developers Prompt? A Controlled Experiment for Code Documentation Generation</t>
  </si>
  <si>
    <t>Alpha-VI DeepONet: A prior-robust variational Bayesian approach for enhancing DeepONets with uncertainty quantification</t>
  </si>
  <si>
    <t>Scaling Backwards: Minimal Synthetic Pre-training?</t>
  </si>
  <si>
    <t>An effect analysis of the balancing techniques on the counterfactual explanations of student success prediction models</t>
  </si>
  <si>
    <t>Leveraging Entailment Judgements in Cross-Lingual Summarisation</t>
  </si>
  <si>
    <t>ChordSync: Conformer-Based Alignment of Chord Annotations to Music Audio</t>
  </si>
  <si>
    <t>Modeling stochastic eye tracking data: A comparison of quantum generative adversarial networks and Markov models</t>
  </si>
  <si>
    <t>ExpertAF: Expert Actionable Feedback from Video</t>
  </si>
  <si>
    <t>AutoM3L: An Automated Multimodal Machine Learning Framework with Large Language Models</t>
  </si>
  <si>
    <t>Disentangling Dense Embeddings with Sparse Autoencoders</t>
  </si>
  <si>
    <t>SentenceVAE: Faster, Longer and More Accurate Inference with Next-sentence Prediction for Large Language Models</t>
  </si>
  <si>
    <t>SF3D: Stable Fast 3D Mesh Reconstruction with UV-unwrapping and Illumination Disentanglement</t>
  </si>
  <si>
    <t>Towards End-to-End Explainable Facial Action Unit Recognition via Vision-Language Joint Learning</t>
  </si>
  <si>
    <t>AMAES: Augmented Masked Autoencoder Pretraining on Public Brain MRI Data for 3D-Native Segmentation</t>
  </si>
  <si>
    <t>CrystalTac: 3D-Printed Vision-Based Tactile Sensor Family through Rapid Monolithic Manufacturing Technique</t>
  </si>
  <si>
    <t>Deep Learning in Medical Image Classification from MRI-based Brain Tumor Images</t>
  </si>
  <si>
    <t>DisTrack: a new Tool for Semi-automatic Misinformation Tracking in Online Social Networks</t>
  </si>
  <si>
    <t>SynesLM: A Unified Approach for Audio-visual Speech Recognition and Translation via Language Model and Synthetic Data</t>
  </si>
  <si>
    <t>Are Bigger Encoders Always Better in Vision Large Models?</t>
  </si>
  <si>
    <t>Harnessing Uncertainty-aware Bounding Boxes for Unsupervised 3D Object Detection</t>
  </si>
  <si>
    <t>Unlocking Fair Use in the Generative AI Supply Chain: A Systematized Literature Review</t>
  </si>
  <si>
    <t>Using CSNNs to Perform Event-based Data Processing &amp; Classification on ASL-DVS</t>
  </si>
  <si>
    <t>Regional quality estimation for echocardiography using deep learning</t>
  </si>
  <si>
    <t>Closing the gap between open-source and commercial large language models for medical evidence summarization</t>
  </si>
  <si>
    <t>Non Verbis, Sed Rebus: Large Language Models are Weak Solvers of Italian Rebuses</t>
  </si>
  <si>
    <t>Convergence Analysis of Natural Gradient Descent for Over-parameterized Physics-Informed Neural Networks</t>
  </si>
  <si>
    <t>Alleviating Hallucination in Large Vision-Language Models with Active Retrieval Augmentation</t>
  </si>
  <si>
    <t>Mitigating Multilingual Hallucination in Large Vision-Language Models</t>
  </si>
  <si>
    <t>Illustrating Classic Brazilian Books using a Text-To-Image Diffusion Model</t>
  </si>
  <si>
    <t>Intermittent Semi-working Mask: A New Masking Paradigm for LLMs</t>
  </si>
  <si>
    <t>High-Quality, ROS Compatible Video Encoding and Decoding for High-Definition Datasets</t>
  </si>
  <si>
    <t>Contrastive Learning with Dynamic Localized Repulsion for Brain Age Prediction on 3D Stiffness Maps</t>
  </si>
  <si>
    <t>Identifying the Hierarchical Emotional Areas in the Human Brain Through Information Fusion</t>
  </si>
  <si>
    <t>Jailbreaking Text-to-Image Models with LLM-Based Agents</t>
  </si>
  <si>
    <t>A new approach for encoding code and assisting code understanding</t>
  </si>
  <si>
    <t>FlowGPT: Exploring Domains, Output Modalities, and Goals of Community-Generated AI Chatbots</t>
  </si>
  <si>
    <t>Block-Operations: Using Modular Routing to Improve Compositional Generalization</t>
  </si>
  <si>
    <t>How Effective are Self-Supervised Models for Contact Identification in Videos</t>
  </si>
  <si>
    <t>SegStitch: Multidimensional Transformer for Robust and Efficient Medical Imaging Segmentation</t>
  </si>
  <si>
    <t>Explainable Emotion Decoding for Human and Computer Vision</t>
  </si>
  <si>
    <t>GalleryGPT: Analyzing Paintings with Large Multimodal Models</t>
  </si>
  <si>
    <t>Graph Representation Learning via Causal Diffusion for Out-of-Distribution Recommendation</t>
  </si>
  <si>
    <t>A Systematic Review on Long-Tailed Learning</t>
  </si>
  <si>
    <t>HBot: A Chatbot for Healthcare Applications in Traditional Chinese Medicine Based on Human Body 3D Visualization</t>
  </si>
  <si>
    <t>Towards Explainable and Interpretable Musical Difficulty Estimation: A Parameter-efficient Approach</t>
  </si>
  <si>
    <t>A Preliminary Investigation of MLOps: Initial Insights into Developer Perception and Adoption</t>
  </si>
  <si>
    <t>Designing Efficient LLM Accelerators for Edge Devices</t>
  </si>
  <si>
    <t>Reenact Anything: Semantic Video Motion Transfer Using Motion-Textual Inversion</t>
  </si>
  <si>
    <t>DiscipLink: Unfolding Interdisciplinary Information Seeking Process via Human-AI Co-Exploration</t>
  </si>
  <si>
    <t>Ontological Relations from Word Embeddings</t>
  </si>
  <si>
    <t>Focus, Distinguish, and Prompt: Unleashing CLIP for Efficient and Flexible Scene Text Retrieval</t>
  </si>
  <si>
    <t>MonoMM: A Multi-scale Mamba-Enhanced Network for Real-time Monocular 3D Object Detection</t>
  </si>
  <si>
    <t>Efficient Patient Fine-Tuned Seizure Detection with a Tensor Kernel Machine</t>
  </si>
  <si>
    <t>CARMIL: Context-Aware Regularization on Multiple Instance Learning models for Whole Slide Images</t>
  </si>
  <si>
    <t>A Cross-Domain Benchmark for Active Learning</t>
  </si>
  <si>
    <t>Towards Evolutionary-based Automated Machine Learning for Small Molecule Pharmacokinetic Prediction</t>
  </si>
  <si>
    <t>MPT-PAR:Mix-Parameters Transformer for Panoramic Activity Recognition</t>
  </si>
  <si>
    <t>Towards Reliable Advertising Image Generation Using Human Feedback</t>
  </si>
  <si>
    <t>In-Context Example Selection via Similarity Search Improves Low-Resource Machine Translation</t>
  </si>
  <si>
    <t>Deepfake Media Forensics: State of the Art and Challenges Ahead</t>
  </si>
  <si>
    <t>What comes after transformers? -- A selective survey connecting ideas in deep learning</t>
  </si>
  <si>
    <t>Enhancing Whole Slide Pathology Foundation Models through Stain Normalization</t>
  </si>
  <si>
    <t>A deep spatio-temporal attention model of dynamic functional network connectivity shows sensitivity to Alzheimer's in asymptomatic individuals</t>
  </si>
  <si>
    <t>On the Limitations and Prospects of Machine Unlearning for Generative AI</t>
  </si>
  <si>
    <t>Few-shot Defect Image Generation based on Consistency Modeling</t>
  </si>
  <si>
    <t>DiM-Gesture: Co-Speech Gesture Generation with Adaptive Layer Normalization Mamba-2 framework</t>
  </si>
  <si>
    <t>Multimodal Fusion and Coherence Modeling for Video Topic Segmentation</t>
  </si>
  <si>
    <t>Memorization Capacity for Additive Fine-Tuning with Small ReLU Networks</t>
  </si>
  <si>
    <t>DeliLaw: A Chinese Legal Counselling System Based on a Large Language Model</t>
  </si>
  <si>
    <t>DNTextSpotter: Arbitrary-Shaped Scene Text Spotting via Improved Denoising Training</t>
  </si>
  <si>
    <t>Autonomous LLM-Enhanced Adversarial Attack for Text-to-Motion</t>
  </si>
  <si>
    <t>Hierarchically Structured Neural Bones for Reconstructing Animatable Objects from Casual Videos</t>
  </si>
  <si>
    <t>A Simple Background Augmentation Method for Object Detection with Diffusion Model</t>
  </si>
  <si>
    <t>Securing the Diagnosis of Medical Imaging: An In-depth Analysis of AI-Resistant Attacks</t>
  </si>
  <si>
    <t>Advancing Medical Image Segmentation: Morphology-Driven Learning with Diffusion Transformer</t>
  </si>
  <si>
    <t>Neural Graph Matching for Video Retrieval in Large-Scale Video-driven E-commerce</t>
  </si>
  <si>
    <t>DistillGrasp: Integrating Features Correlation with Knowledge Distillation for Depth Completion of Transparent Objects</t>
  </si>
  <si>
    <t>Vision-based Wearable Steering Assistance for People with Impaired Vision in Jogging</t>
  </si>
  <si>
    <t>DECIDER: Leveraging Foundation Model Priors for Improved Model Failure Detection and Explanation</t>
  </si>
  <si>
    <t>Exploiting Preferences in Loss Functions for Sequential Recommendation via Weak Transitivity</t>
  </si>
  <si>
    <t>Iterative Prototype Refinement for Ambiguous Speech Emotion Recognition</t>
  </si>
  <si>
    <t>ADBM: Adversarial diffusion bridge model for reliable adversarial purification</t>
  </si>
  <si>
    <t>Adversarial Text Rewriting for Text-aware Recommender Systems</t>
  </si>
  <si>
    <t>Translating Imaging to Genomics: Leveraging Transformers for Predictive Modeling</t>
  </si>
  <si>
    <t>ABC Align: Large Language Model Alignment for Safety &amp; Accuracy</t>
  </si>
  <si>
    <t>Towards Flexible Evaluation for Generative Visual Question Answering</t>
  </si>
  <si>
    <t>Tails Tell Tales: Chapter-Wide Manga Transcriptions with Character Names</t>
  </si>
  <si>
    <t>EmoTalk3D: High-Fidelity Free-View Synthesis of Emotional 3D Talking Head</t>
  </si>
  <si>
    <t>Head360: Learning a Parametric 3D Full-Head for Free-View Synthesis in 360°</t>
  </si>
  <si>
    <t>Contrastive Graph Representation Learning with Adversarial Cross-view Reconstruction and Information Bottleneck</t>
  </si>
  <si>
    <t>Gradient Flow Decoding</t>
  </si>
  <si>
    <t>Multi-Modal Parameter-Efficient Fine-tuning via Graph Neural Network</t>
  </si>
  <si>
    <t>Gradient Harmonization in Unsupervised Domain Adaptation</t>
  </si>
  <si>
    <t>Diff3DETR:Agent-based Diffusion Model for Semi-supervised 3D Object Detection</t>
  </si>
  <si>
    <t>Bailing-TTS: Chinese Dialectal Speech Synthesis Towards Human-like Spontaneous Representation</t>
  </si>
  <si>
    <t>Navigating Text-to-Image Generative Bias across Indic Languages</t>
  </si>
  <si>
    <t>Towards Scalable GPU-Accelerated SNN Training via Temporal Fusion</t>
  </si>
  <si>
    <t>DMESA: Densely Matching Everything by Segmenting Anything</t>
  </si>
  <si>
    <t>High Performance Im2win and Direct Convolutions using Three Tensor Layouts on SIMD Architectures</t>
  </si>
  <si>
    <t>QUITO: Accelerating Long-Context Reasoning through Query-Guided Context Compression</t>
  </si>
  <si>
    <t>3D U-KAN Implementation for Multi-modal MRI Brain Tumor Segmentation</t>
  </si>
  <si>
    <t>Clover-2: Accurate Inference for Regressive Lightweight Speculative Decoding</t>
  </si>
  <si>
    <t>Improving Image De-raining Using Reference-Guided Transformers</t>
  </si>
  <si>
    <t>RoCo:Robust Collaborative Perception By Iterative Object Matching and Pose Adjustment</t>
  </si>
  <si>
    <t>Revocable Backdoor for Deep Model Trading</t>
  </si>
  <si>
    <t>LoopSparseGS: Loop Based Sparse-View Friendly Gaussian Splatting</t>
  </si>
  <si>
    <t>Task-Adapter: Task-specific Adaptation of Image Models for Few-shot Action Recognition</t>
  </si>
  <si>
    <t>Enhanced Structured State Space Models via Grouped FIR Filtering and Attention Sink Mechanisms</t>
  </si>
  <si>
    <t>CDFGNN: a Systematic Design of Cache-based Distributed Full-Batch Graph Neural Network Training with Communication Reduction</t>
  </si>
  <si>
    <t>Lost in Translation: Latent Concept Misalignment in Text-to-Image Diffusion Models</t>
  </si>
  <si>
    <t>multiGradICON: A Foundation Model for Multimodal Medical Image Registration</t>
  </si>
  <si>
    <t>Penzai + Treescope: A Toolkit for Interpreting, Visualizing, and Editing Models As Data</t>
  </si>
  <si>
    <t>A Prior Embedding-Driven Architecture for Long Distance Blind Iris Recognition</t>
  </si>
  <si>
    <t>Prognosis of COVID-19 using Artificial Intelligence: A Systematic Review and Meta-analysis</t>
  </si>
  <si>
    <t>Sentence-wise Speech Summarization: Task, Datasets, and End-to-End Modeling with LM Knowledge Distillation</t>
  </si>
  <si>
    <t>OmniParser for Pure Vision Based GUI Agent</t>
  </si>
  <si>
    <t>UnPaSt: unsupervised patient stratification by differentially expressed biclusters in omics data</t>
  </si>
  <si>
    <t>Automated Software Vulnerability Static Code Analysis Using Generative Pre-Trained Transformer Models</t>
  </si>
  <si>
    <t>Combining audio control and style transfer using latent diffusion</t>
  </si>
  <si>
    <t>Resilience and Security of Deep Neural Networks Against Intentional and Unintentional Perturbations: Survey and Research Challenges</t>
  </si>
  <si>
    <t>S-SYNTH: Knowledge-Based, Synthetic Generation of Skin Images</t>
  </si>
  <si>
    <t>CC-SAM: SAM with Cross-feature Attention and Context for Ultrasound Image Segmentation</t>
  </si>
  <si>
    <t>CREW: Facilitating Human-AI Teaming Research</t>
  </si>
  <si>
    <t>Strike the Balance: On-the-Fly Uncertainty based User Interactions for Long-Term Video Object Segmentation</t>
  </si>
  <si>
    <t>Finch: Prompt-guided Key-Value Cache Compression</t>
  </si>
  <si>
    <t>Non-convolutional Graph Neural Networks</t>
  </si>
  <si>
    <t>Automatic Generation of Behavioral Test Cases For Natural Language Processing Using Clustering and Prompting</t>
  </si>
  <si>
    <t>Hierarchical Conditioning of Diffusion Models Using Tree-of-Life for Studying Species Evolution</t>
  </si>
  <si>
    <t>Generative Learning of the Solution of Parametric Partial Differential Equations Using Guided Diffusion Models and Virtual Observations</t>
  </si>
  <si>
    <t>Understanding Feedback Mechanisms in Machine Learning Jupyter Notebooks</t>
  </si>
  <si>
    <t>StyleRF-VolVis: Style Transfer of Neural Radiance Fields for Expressive Volume Visualization</t>
  </si>
  <si>
    <t>Distributed In-Context Learning under Non-IID Among Clients</t>
  </si>
  <si>
    <t>Correcting Negative Bias in Large Language Models through Negative Attention Score Alignment</t>
  </si>
  <si>
    <t>Vera Verto: Multimodal Hijacking Attack</t>
  </si>
  <si>
    <t>A Course Shared Task on Evaluating LLM Output for Clinical Questions</t>
  </si>
  <si>
    <t>Gemma 2: Improving Open Language Models at a Practical Size</t>
  </si>
  <si>
    <t>Certifying Robustness of Learning-Based Keypoint Detection and Pose Estimation Methods</t>
  </si>
  <si>
    <t>Inductive or Deductive? Rethinking the Fundamental Reasoning Abilities of LLMs</t>
  </si>
  <si>
    <t>Measuring Progress in Dictionary Learning for Language Model Interpretability with Board Game Models</t>
  </si>
  <si>
    <t>Automated Sperm Morphology Analysis Based on Instance-Aware Part Segmentation</t>
  </si>
  <si>
    <t>WAS: Dataset and Methods for Artistic Text Segmentation</t>
  </si>
  <si>
    <t>From Attributes to Natural Language: A Survey and Foresight on Text-based Person Re-identification</t>
  </si>
  <si>
    <t>Localized Gaussian Splatting Editing with Contextual Awareness</t>
  </si>
  <si>
    <t>TASI Lectures on Physics for Machine Learning</t>
  </si>
  <si>
    <t>GOProteinGNN: Leveraging Protein Knowledge Graphs for Protein Representation Learning</t>
  </si>
  <si>
    <t>Temporal Subspace Clustering for Molecular Dynamics Data</t>
  </si>
  <si>
    <t>Algorithms for Collaborative Machine Learning under Statistical Heterogeneity</t>
  </si>
  <si>
    <t>A User Study Method on Healthy Participants for Assessing an Assistive Wearable Robot Utilising EMG Sensing</t>
  </si>
  <si>
    <t>Con4m: Context-aware Consistency Learning Framework for Segmented Time Series Classification</t>
  </si>
  <si>
    <t>Barlow Twins Deep Neural Network for Advanced 1D Drug-Target Interaction Prediction</t>
  </si>
  <si>
    <t>MIMNet: Multi-Interest Meta Network with Multi-Granularity Target-Guided Attention for Cross-domain Recommendation</t>
  </si>
  <si>
    <t>A New Type of Foundation Model Based on Recordings of People's Emotions and Physiology</t>
  </si>
  <si>
    <t>Need of AI in Modern Education: in the Eyes of Explainable AI (xAI)</t>
  </si>
  <si>
    <t>Deceptive AI systems that give explanations are more convincing than honest AI systems and can amplify belief in misinformation</t>
  </si>
  <si>
    <t>On the Perturbed States for Transformed Input-robust Reinforcement Learning</t>
  </si>
  <si>
    <t>WebApp1K: A Practical Code-Generation Benchmark for Web App Development</t>
  </si>
  <si>
    <t>An efficient implementation of parallel simulated annealing algorithm in GPUs</t>
  </si>
  <si>
    <t>Towards a Universal Method for Meaningful Signal Detection</t>
  </si>
  <si>
    <t>ScaleLLM: A Resource-Frugal LLM Serving Framework by Optimizing End-to-End Efficiency</t>
  </si>
  <si>
    <t>Framework for Curating Speech Datasets and Evaluating ASR Systems: A Case Study for Polish</t>
  </si>
  <si>
    <t>Handling Numeric Expressions in Automatic Speech Recognition</t>
  </si>
  <si>
    <t>Evaluating Transfer Learning in Deep Learning Models for Classification on a Custom Wildlife Dataset: Can YOLOv8 Surpass Other Architectures?</t>
  </si>
  <si>
    <t>Replication in Visual Diffusion Models: A Survey and Outlook</t>
  </si>
  <si>
    <t>Performance of Recent Large Language Models for a Low-Resourced Language</t>
  </si>
  <si>
    <t>Knowledge-Guided Prompt Learning for Lifespan Brain MR Image Segmentation</t>
  </si>
  <si>
    <t>EdgeLLM: A Highly Efficient CPU-FPGA Heterogeneous Edge Accelerator for Large Language Models</t>
  </si>
  <si>
    <t>STANet: A Novel Spatio-Temporal Aggregation Network for Depression Classification with Small and Unbalanced FMRI Data</t>
  </si>
  <si>
    <t>MetaOpenFOAM: an LLM-based multi-agent framework for CFD</t>
  </si>
  <si>
    <t>Big Cooperative Learning</t>
  </si>
  <si>
    <t>Pathology Foundation Models</t>
  </si>
  <si>
    <t>Diff-Cleanse: Identifying and Mitigating Backdoor Attacks in Diffusion Models</t>
  </si>
  <si>
    <t>Beyond Silent Letters: Amplifying LLMs in Emotion Recognition with Vocal Nuances</t>
  </si>
  <si>
    <t>State-observation augmented diffusion model for nonlinear assimilation</t>
  </si>
  <si>
    <t>EUDA: An Efficient Unsupervised Domain Adaptation via Self-Supervised Vision Transformer</t>
  </si>
  <si>
    <t>Enhanced Self-Checkout System for Retail Based on Improved YOLOv10</t>
  </si>
  <si>
    <t>Implementing Streaming algorithm and k-means clusters to RAG</t>
  </si>
  <si>
    <t>SimpleLLM4AD: An End-to-End Vision-Language Model with Graph Visual Question Answering for Autonomous Driving</t>
  </si>
  <si>
    <t>Fine-grained Metrics for Point Cloud Semantic Segmentation</t>
  </si>
  <si>
    <t>Robust Box Prompt based SAM for Medical Image Segmentation</t>
  </si>
  <si>
    <t>FedBChain: A Blockchain-enabled Federated Learning Framework for Improving DeepConvLSTM with Comparative Strategy Insights</t>
  </si>
  <si>
    <t>Multi-Level Querying using A Knowledge Pyramid</t>
  </si>
  <si>
    <t>FreqTSF: Time Series Forecasting Via Simulating Frequency Kramer-Kronig Relations</t>
  </si>
  <si>
    <t>Enhanced Uncertainty Estimation in Ultrasound Image Segmentation with MSU-Net</t>
  </si>
  <si>
    <t>Automated Quantification of Hyperreflective Foci in SD-OCT With Diabetic Retinopathy</t>
  </si>
  <si>
    <t>DEF-oriCORN: efficient 3D scene understanding for robust language-directed manipulation without demonstrations</t>
  </si>
  <si>
    <t>DDU-Net: A Domain Decomposition-based CNN for High-Resolution Image Segmentation on Multiple GPUs</t>
  </si>
  <si>
    <t>Model Attribution in Machine-Generated Disinformation: A Domain Generalization Approach with Supervised Contrastive Learning</t>
  </si>
  <si>
    <t>Outlier Detection in Large Radiological Datasets using UMAP</t>
  </si>
  <si>
    <t>Tractable and Provably Efficient Distributional Reinforcement Learning with General Value Function Approximation</t>
  </si>
  <si>
    <t>Leveraging Adaptive Implicit Representation Mapping for Ultra High-Resolution Image Segmentation</t>
  </si>
  <si>
    <t>Responsive ML inference in multi-tenanted environments using AQUA</t>
  </si>
  <si>
    <t>Lifelong Person Search</t>
  </si>
  <si>
    <t>Adaptive Pre-training Data Detection for Large Language Models via Surprising Tokens</t>
  </si>
  <si>
    <t>Four-Axis Adaptive Fingers Hand for Object Insertion: FAAF Hand</t>
  </si>
  <si>
    <t>VITAL: Visual Teleoperation to Enhance Robot Learning through Human-in-the-Loop Corrections</t>
  </si>
  <si>
    <t>Informed Correctors for Discrete Diffusion Models</t>
  </si>
  <si>
    <t>GNUMAP: A Parameter-Free Approach to Unsupervised Dimensionality Reduction via Graph Neural Networks</t>
  </si>
  <si>
    <t>TMA-Grid: An open-source, zero-footprint web application for FAIR Tissue MicroArray De-arraying</t>
  </si>
  <si>
    <t>Advancing Vietnamese Visual Question Answering with Transformer and Convolutional Integration</t>
  </si>
  <si>
    <t>Assessing Programming Task Difficulty for Efficient Evaluation of Large Language Models</t>
  </si>
  <si>
    <t>DeepBaR: Fault Backdoor Attack on Deep Neural Network Layers</t>
  </si>
  <si>
    <t>Distribution-Aware Replay for Continual MRI Segmentation</t>
  </si>
  <si>
    <t>Diffusion-Based Generation of Neural Activity from Disentangled Latent Codes</t>
  </si>
  <si>
    <t>Optical Computing for Deep Neural Network Acceleration: Foundations, Recent Developments, and Emerging Directions</t>
  </si>
  <si>
    <t>DKL-KAN: Scalable Deep Kernel Learning using Kolmogorov-Arnold Networks</t>
  </si>
  <si>
    <t>Decomposed Prompting to Answer Questions on a Course Discussion Board</t>
  </si>
  <si>
    <t>Embedding Space Selection for Detecting Memorization and Fingerprinting in Generative Models</t>
  </si>
  <si>
    <t>Event-Arguments Extraction Corpus and Modeling using BERT for Arabic</t>
  </si>
  <si>
    <t>PLANesT-3D: A new annotated dataset for segmentation of 3D plant point clouds</t>
  </si>
  <si>
    <t>Domain Shift Analysis in Chest Radiographs Classification in a Veterans Healthcare Administration Population</t>
  </si>
  <si>
    <t>Enhancing Semantic Similarity Understanding in Arabic NLP with Nested Embedding Learning</t>
  </si>
  <si>
    <t>Adding Multi-modal Controls to Whole-body Human Motion Generation</t>
  </si>
  <si>
    <t>Computational music analysis from first principles</t>
  </si>
  <si>
    <t>Zero Shot Health Trajectory Prediction Using Transformer</t>
  </si>
  <si>
    <t>Taming the Frequency Factory of Sinusoidal Networks</t>
  </si>
  <si>
    <t>Palu: Compressing KV-Cache with Low-Rank Projection</t>
  </si>
  <si>
    <t>Entropy, Thermodynamics and the Geometrization of the Language Model</t>
  </si>
  <si>
    <t>The Stochastic Conjugate Subgradient Algorithm For Kernel Support Vector Machines</t>
  </si>
  <si>
    <t>Accelerating Large Language Model Inference with Self-Supervised Early Exits</t>
  </si>
  <si>
    <t>Convergence rates for the Adam optimizer</t>
  </si>
  <si>
    <t>Genetic Instruct: Scaling up Synthetic Generation of Coding Instructions for Large Language Models</t>
  </si>
  <si>
    <t>Apple Intelligence Foundation Language Models</t>
  </si>
  <si>
    <t>Enhancing Adversarial Text Attacks on BERT Models with Projected Gradient Descent</t>
  </si>
  <si>
    <t>Beyond Metrics: A Critical Analysis of the Variability in Large Language Model Evaluation Frameworks</t>
  </si>
  <si>
    <t>Exploring Genre and Success Classification through Song Lyrics using DistilBERT: A Fun NLP Venture</t>
  </si>
  <si>
    <t>ELP-Adapters: Parameter Efficient Adapter Tuning for Various Speech Processing Tasks</t>
  </si>
  <si>
    <t>LawLLM: Law Large Language Model for the US Legal System</t>
  </si>
  <si>
    <t>Network and Sentiment Analysis of Enron Emails</t>
  </si>
  <si>
    <t>Improving noisy student training for low-resource languages in End-to-End ASR using CycleGAN and inter-domain losses</t>
  </si>
  <si>
    <t>Using Large Language Models for the Interpretation of Building Regulations</t>
  </si>
  <si>
    <t>Modular RAG: Transforming RAG Systems into LEGO-like Reconfigurable Frameworks</t>
  </si>
  <si>
    <t>Understanding the Interplay of Scale, Data, and Bias in Language Models: A Case Study with BERT</t>
  </si>
  <si>
    <t>Focused on autonomous vehicles</t>
  </si>
  <si>
    <t>UC Berkeley, UT Austin, Stellantis</t>
  </si>
  <si>
    <t>Nat U Singapore, Microsoft, AMD</t>
  </si>
  <si>
    <t>New LMM/VL benchmark</t>
  </si>
  <si>
    <t>Prompt Recursive Search: A Living Framework with Adaptive Growth in LLM Auto-Prompting</t>
  </si>
  <si>
    <t>Mission Impossible: A Statistical Perspective on Jailbreaking LLMs</t>
  </si>
  <si>
    <t>DebateQA: Evaluating Question Answering on Debatable Knowledge</t>
  </si>
  <si>
    <t>Conditional LoRA Parameter Generation</t>
  </si>
  <si>
    <t>The Quest for the Right Mediator: A History, Survey, and Theoretical Grounding of Causal Interpretability</t>
  </si>
  <si>
    <t>Talk Less, Interact Better: Evaluating In-context Conversational Adaptation in Multimodal LLMs</t>
  </si>
  <si>
    <t>Derivation of Back-propagation for Graph Convolutional Networks using Matrix Calculus and its Application to Explainable Artificial Intelligence</t>
  </si>
  <si>
    <t>Pre-trained Language Models Improve the Few-shot Prompt Ability of Decision Transformer</t>
  </si>
  <si>
    <t>Improving Multilingual Neural Machine Translation by Utilizing Semantic and Linguistic Features</t>
  </si>
  <si>
    <t>FT K-Means: A High-Performance K-Means on GPU with Fault Tolerance</t>
  </si>
  <si>
    <t>NeuralBeta: Estimating Beta Using Deep Learning</t>
  </si>
  <si>
    <t>NOLO: Navigate Only Look Once</t>
  </si>
  <si>
    <t>Explaining a probabilistic prediction on the simplex with Shapley compositions</t>
  </si>
  <si>
    <t>Coalitions of Large Language Models Increase the Robustness of AI Agents</t>
  </si>
  <si>
    <t>Adaptive Recruitment Resource Allocation to Improve Cohort Representativeness in Participatory Biomedical Datasets</t>
  </si>
  <si>
    <t>Hybrid Coordinate Descent for Efficient Neural Network Learning Using Line Search and Gradient Descent</t>
  </si>
  <si>
    <t>Spatial-Spectral Morphological Mamba for Hyperspectral Image Classification</t>
  </si>
  <si>
    <t>Transformers are Universal In-context Learners</t>
  </si>
  <si>
    <t>Toward Automatic Relevance Judgment using Vision--Language Models for Image--Text Retrieval Evaluation</t>
  </si>
  <si>
    <t>Autoencoders in Function Space</t>
  </si>
  <si>
    <t>Balanced Residual Distillation Learning for 3D Point Cloud Class-Incremental Semantic Segmentation</t>
  </si>
  <si>
    <t>Hallu-PI: Evaluating Hallucination in Multi-modal Large Language Models within Perturbed Inputs</t>
  </si>
  <si>
    <t>MCGMark: An Encodable and Robust Online Watermark for LLM-Generated Malicious Code</t>
  </si>
  <si>
    <t>Prompt Refinement or Fine-tuning? Best Practices for using LLMs in Computational Social Science Tasks</t>
  </si>
  <si>
    <t>StitchFusion: Weaving Any Visual Modalities to Enhance Multimodal Semantic Segmentation</t>
  </si>
  <si>
    <t>Leveraging Knowledge Graph Embedding for Effective Conversational Recommendation</t>
  </si>
  <si>
    <t>MuChoMusic: Evaluating Music Understanding in Multimodal Audio-Language Models</t>
  </si>
  <si>
    <t>Sparse Linear Regression when Noises and Covariates are Heavy-Tailed and Contaminated by Outliers</t>
  </si>
  <si>
    <t>UnifiedNN: Efficient Neural Network Training on the Cloud</t>
  </si>
  <si>
    <t>FANNO: Augmenting High-Quality Instruction Data with Open-Sourced LLMs Only</t>
  </si>
  <si>
    <t>A Comprehensive Review of Multimodal Large Language Models: Performance and Challenges Across Different Tasks</t>
  </si>
  <si>
    <t>Synergistic pathways of modulation enable robust task packing within neural dynamics</t>
  </si>
  <si>
    <t>PsybORG+: Cognitive Modeling for Triggering and Detection of Cognitive Biases of Advanced Persistent Threats</t>
  </si>
  <si>
    <t>Reconsidering Token Embeddings with the Definitions for Pre-trained Language Models</t>
  </si>
  <si>
    <t>A Decision-driven Methodology for Designing Uncertainty-aware AI Self-Assessment</t>
  </si>
  <si>
    <t>Assessing Robustness of Machine Learning Models using Covariate Perturbations</t>
  </si>
  <si>
    <t>Optimal Mixed Integer Linear Optimization Trained Multivariate Classification Trees</t>
  </si>
  <si>
    <t>Underwater Object Detection Enhancement via Channel Stabilization</t>
  </si>
  <si>
    <t>3DPX: Progressive 2D-to-3D Oral Image Reconstruction with Hybrid MLP-CNN Networks</t>
  </si>
  <si>
    <t>TexGen: Text-Guided 3D Texture Generation with Multi-view Sampling and Resampling</t>
  </si>
  <si>
    <t>Deep Learning based Visually Rich Document Content Understanding: A Survey</t>
  </si>
  <si>
    <t>Out-Of-Distribution Detection for Audio-visual Generalized Zero-Shot Learning: A General Framework</t>
  </si>
  <si>
    <t>Wave-Mamba: Wavelet State Space Model for Ultra-High-Definition Low-Light Image Enhancement</t>
  </si>
  <si>
    <t>Certified Robust Invariant Polytope Training in Neural Controlled ODEs</t>
  </si>
  <si>
    <t>HRFT: Mining High-Frequency Risk Factor Collections End-to-End via Transformer</t>
  </si>
  <si>
    <t>A General Framework to Boost 3D GS Initialization for Text-to-3D Generation by Lexical Richness</t>
  </si>
  <si>
    <t>RAGEval: Scenario Specific RAG Evaluation Dataset Generation Framework</t>
  </si>
  <si>
    <t>TrIM: Triangular Input Movement Systolic Array for Convolutional Neural Networks -- Part I: Dataflow and Analytical Modelling</t>
  </si>
  <si>
    <t>Deep progressive reinforcement learning-based flexible resource scheduling framework for IRS and UAV-assisted MEC system</t>
  </si>
  <si>
    <t>Automated Classification of Dry Bean Varieties Using XGBoost and SVM Models</t>
  </si>
  <si>
    <t>Tailoring Graph Neural Network-based Flow-guided Localization to Individual Bloodstreams and Activities</t>
  </si>
  <si>
    <t>CLIP4Sketch: Enhancing Sketch to Mugshot Matching through Dataset Augmentation using Diffusion Models</t>
  </si>
  <si>
    <t>WaveMamba: Spatial-Spectral Wavelet Mamba for Hyperspectral Image Classification</t>
  </si>
  <si>
    <t>Multi-head Spatial-Spectral Mamba for Hyperspectral Image Classification</t>
  </si>
  <si>
    <t>S2TD-Face: Reconstruct a Detailed 3D Face with Controllable Texture from a Single Sketch</t>
  </si>
  <si>
    <t>ZNorm: Z-Score Gradient Normalization for Accelerating Neural Network Training</t>
  </si>
  <si>
    <t>High-Throughput Phenotyping of Clinical Text Using Large Language Models</t>
  </si>
  <si>
    <t>A Weakly Supervised and Globally Explainable Learning Framework for Brain Tumor Segmentation</t>
  </si>
  <si>
    <t>VAR-CLIP: Text-to-Image Generator with Visual Auto-Regressive Modeling</t>
  </si>
  <si>
    <t>Nested Music Transformer: Sequentially Decoding Compound Tokens in Symbolic Music and Audio Generation</t>
  </si>
  <si>
    <t>EmoBack: Backdoor Attacks Against Speaker Identification Using Emotional Prosody</t>
  </si>
  <si>
    <t>Rethinking Pre-trained Feature Extractor Selection in Multiple Instance Learning for Whole Slide Image Classification</t>
  </si>
  <si>
    <t>Continuous-Time Neural Networks Can Stably Memorize Random Spike Trains</t>
  </si>
  <si>
    <t>Domain Adaptation-Enhanced Searchlight: Enabling brain decoding from visual perception to mental imagery</t>
  </si>
  <si>
    <t>PreMix: Boosting Multiple Instance Learning in Digital Histopathology through Pre-training with Intra-Batch Slide Mixing</t>
  </si>
  <si>
    <t>Robust Curve Detection in Volumetric Medical Imaging via Attraction Field</t>
  </si>
  <si>
    <t>TCR-GPT: Integrating Autoregressive Model and Reinforcement Learning for T-Cell Receptor Repertoires Generation</t>
  </si>
  <si>
    <t>Actra: Optimized Transformer Architecture for Vision-Language-Action Models in Robot Learning</t>
  </si>
  <si>
    <t>Enhanced Prediction of Ventilator-Associated Pneumonia in Patients with Traumatic Brain Injury Using Advanced Machine Learning Techniques</t>
  </si>
  <si>
    <t>Interpreting Global Perturbation Robustness of Image Models using Axiomatic Spectral Importance Decomposition</t>
  </si>
  <si>
    <t>PGNeXt: High-Resolution Salient Object Detection via Pyramid Grafting Network</t>
  </si>
  <si>
    <t>A Survey of Mamba</t>
  </si>
  <si>
    <t>IG-SLAM: Instant Gaussian SLAM</t>
  </si>
  <si>
    <t>CFBench: A Comprehensive Constraints-Following Benchmark for LLMs</t>
  </si>
  <si>
    <t>An Efficient and Effective Transformer Decoder-Based Framework for Multi-Task Visual Grounding</t>
  </si>
  <si>
    <t>Task Prompt Vectors: Effective Initialization through Multi-Task Soft-Prompt Transfer</t>
  </si>
  <si>
    <t>Agentic LLM Workflows for Generating Patient-Friendly Medical Reports</t>
  </si>
  <si>
    <t>BioRAG: A RAG-LLM Framework for Biological Question Reasoning</t>
  </si>
  <si>
    <t>LessonPlanner: Assisting Novice Teachers to Prepare Pedagogy-Driven Lesson Plans with Large Language Models</t>
  </si>
  <si>
    <t>Contribution-based Low-Rank Adaptation with Pre-training Model for Real Image Restoration</t>
  </si>
  <si>
    <t>Six Dragons Fly Again: Reviving 15th-Century Korean Court Music with Transformers and Novel Encoding</t>
  </si>
  <si>
    <t>An Encoding--Searching Separation Perspective on Bi-Encoder Neural Search</t>
  </si>
  <si>
    <t>Dissecting Dissonance: Benchmarking Large Multimodal Models Against Self-Contradictory Instructions</t>
  </si>
  <si>
    <t>Adaptive Contrastive Decoding in Retrieval-Augmented Generation for Handling Noisy Contexts</t>
  </si>
  <si>
    <t>FCDFusion: a Fast, Low Color Deviation Method for Fusing Visible and Infrared Image Pairs</t>
  </si>
  <si>
    <t>PhysMamba: Leveraging Dual-Stream Cross-Attention SSD for Remote Physiological Measurement</t>
  </si>
  <si>
    <t>Exploiting the Semantic Knowledge of Pre-trained Text-Encoders for Continual Learning</t>
  </si>
  <si>
    <t>The EAP-AIAS: Adapting the AI Assessment Scale for English for Academic Purposes</t>
  </si>
  <si>
    <t>A Survey on Self-play Methods in Reinforcement Learning</t>
  </si>
  <si>
    <t>Amodal Segmentation for Laparoscopic Surgery Video Instruments</t>
  </si>
  <si>
    <t>Leveraging Large Language Models for Mobile App Review Feature Extraction</t>
  </si>
  <si>
    <t>LLM as Runtime Error Handler: A Promising Pathway to Adaptive Self-Healing of Software Systems</t>
  </si>
  <si>
    <t>The Impact of Hyperparameters on Large Language Model Inference Performance: An Evaluation of vLLM and HuggingFace Pipelines</t>
  </si>
  <si>
    <t>Boosting Gaze Object Prediction via Pixel-level Supervision from Vision Foundation Model</t>
  </si>
  <si>
    <t>UNER: A Unified Prediction Head for Named Entity Recognition in Visually-rich Documents</t>
  </si>
  <si>
    <t>MambaST: A Plug-and-Play Cross-Spectral Spatial-Temporal Fuser for Efficient Pedestrian Detection</t>
  </si>
  <si>
    <t>Structure from Motion-based Motion Estimation and 3D Reconstruction of Unknown Shaped Space Debris</t>
  </si>
  <si>
    <t>POA: Pre-training Once for Models of All Sizes</t>
  </si>
  <si>
    <t>PINNs for Medical Image Analysis: A Survey</t>
  </si>
  <si>
    <t>Semantic Skill Grounding for Embodied Instruction-Following in Cross-Domain Environments</t>
  </si>
  <si>
    <t>GNN-MolKAN: Harnessing the Power of KAN to Advance Molecular Representation Learning with GNNs</t>
  </si>
  <si>
    <t>Tensor Train Low-rank Approximation (TT-LoRA): Democratizing AI with Accelerated LLMs</t>
  </si>
  <si>
    <t>Enhancing Financial Market Predictions: Causality-Driven Feature Selection</t>
  </si>
  <si>
    <t>Piculet: Specialized Models-Guided Hallucination Decrease for MultiModal Large Language Models</t>
  </si>
  <si>
    <t>FBSDiff: Plug-and-Play Frequency Band Substitution of Diffusion Features for Highly Controllable Text-Driven Image Translation</t>
  </si>
  <si>
    <t>Reconstructing Richtmyer-Meshkov instabilities from noisy radiographs using low dimensional features and attention-based neural networks</t>
  </si>
  <si>
    <t>META-ANOVA: Screening interactions for interpretable machine learning</t>
  </si>
  <si>
    <t>Multimodal Fusion via Hypergraph Autoencoder and Contrastive Learning for Emotion Recognition in Conversation</t>
  </si>
  <si>
    <t>Visible-Thermal Multiple Object Tracking: Large-scale Video Dataset and Progressive Fusion Approach</t>
  </si>
  <si>
    <t>PERSOMA: PERsonalized SOft ProMpt Adapter Architecture for Personalized Language Prompting</t>
  </si>
  <si>
    <t>Aggregation Models with Optimal Weights for Distributed Gaussian Processes</t>
  </si>
  <si>
    <t>Equivariant neural networks and piecewise linear representation theory</t>
  </si>
  <si>
    <t>Generalisation of Total Uncertainty in AI: A Theoretical Study</t>
  </si>
  <si>
    <t>A dual-task mutual learning framework for predicting post-thrombectomy cerebral hemorrhage</t>
  </si>
  <si>
    <t>CIResDiff: A Clinically-Informed Residual Diffusion Model for Predicting Idiopathic Pulmonary Fibrosis Progression</t>
  </si>
  <si>
    <t>Towards Zero-Shot Annotation of the Built Environment with Vision-Language Models (Vision Paper)</t>
  </si>
  <si>
    <t>Reclaiming Residual Knowledge: A Novel Paradigm to Low-Bit Quantization</t>
  </si>
  <si>
    <t>Automatic Pull Request Description Generation Using LLMs: A T5 Model Approach</t>
  </si>
  <si>
    <t>Granting GPT-4 License and Opportunity: Enhancing Accuracy and Confidence Estimation for Few-Shot Event Detection</t>
  </si>
  <si>
    <t>Distance-Preserving Generative Modeling of Spatial Transcriptomics</t>
  </si>
  <si>
    <t>Parkinson's Disease Detection from Resting State EEG using Multi-Head Graph Structure Learning with Gradient Weighted Graph Attention Explanations</t>
  </si>
  <si>
    <t>Expressive MIDI-format Piano Performance Generation</t>
  </si>
  <si>
    <t>Peptide Sequencing Via Protein Language Models</t>
  </si>
  <si>
    <t>Temporal Evolution of Knee Osteoarthritis: A Diffusion-based Morphing Model for X-ray Medical Image Synthesis</t>
  </si>
  <si>
    <t>Hybrid Querying Over Relational Databases and Large Language Models</t>
  </si>
  <si>
    <t>SaludConectaMX: Lessons Learned from Deploying a Cooperative Mobile Health System for Pediatric Cancer Care in Mexico</t>
  </si>
  <si>
    <t>Annotator in the Loop: A Case Study of In-Depth Rater Engagement to Create a Bridging Benchmark Dataset</t>
  </si>
  <si>
    <t>Multi-Aspect Reviewed-Item Retrieval via LLM Query Decomposition and Aspect Fusion</t>
  </si>
  <si>
    <t>Medical SAM 2: Segment medical images as video via Segment Anything Model 2</t>
  </si>
  <si>
    <t>UniMoT: Unified Molecule-Text Language Model with Discrete Token Representation</t>
  </si>
  <si>
    <t>UlRe-NeRF: 3D Ultrasound Imaging through Neural Rendering with Ultrasound Reflection Direction Parameterization</t>
  </si>
  <si>
    <t>LICM: Effective and Efficient Long Interest Chain Modeling for News Recommendation</t>
  </si>
  <si>
    <t>Deep Learning Approach for Changepoint Detection: Penalty Parameter Optimization</t>
  </si>
  <si>
    <t>Y Social: an LLM-powered Social Media Digital Twin</t>
  </si>
  <si>
    <t>ChipExpert: The Open-Source Integrated-Circuit-Design-Specific Large Language Model</t>
  </si>
  <si>
    <t>Leveraging LLM Reasoning Enhances Personalized Recommender Systems</t>
  </si>
  <si>
    <t>Chatbot-Based Ontology Interaction Using Large Language Models and Domain-Specific Standards</t>
  </si>
  <si>
    <t>Golden-Retriever: High-Fidelity Agentic Retrieval Augmented Generation for Industrial Knowledge Base</t>
  </si>
  <si>
    <t>CCSRP: Robust Pruning of Spiking Neural Networks through Cooperative Coevolution</t>
  </si>
  <si>
    <t>From 2015 to 2023: How Machine Learning Aids Natural Product Analysis</t>
  </si>
  <si>
    <t>A Scalable and Generalized Deep Learning Framework for Anomaly Detection in Surveillance Videos</t>
  </si>
  <si>
    <t>Improving Audio Spectrogram Transformers for Sound Event Detection Through Multi-Stage Training</t>
  </si>
  <si>
    <t>Improving Air Mobility for Pre-Disaster Planning with Neural Network Accelerated Genetic Algorithm</t>
  </si>
  <si>
    <t>SpikeVoice: High-Quality Text-to-Speech Via Efficient Spiking Neural Network</t>
  </si>
  <si>
    <t>Data-driven Verification of DNNs for Object Recognition</t>
  </si>
  <si>
    <t>In-Depth Analysis of Emotion Recognition through Knowledge-Based Large Language Models</t>
  </si>
  <si>
    <t>Frontend Diffusion: Exploring Intent-Based User Interfaces through Abstract-to-Detailed Task Transitions</t>
  </si>
  <si>
    <t>CATD: Unified Representation Learning for EEG-to-fMRI Cross-Modal Generation</t>
  </si>
  <si>
    <t>Dilated convolution neural operator for multiscale partial differential equations</t>
  </si>
  <si>
    <t>Hybrid Deep Learning Framework for Enhanced Melanoma Detection</t>
  </si>
  <si>
    <t>2D Neural Fields with Learned Discontinuities</t>
  </si>
  <si>
    <t>HAIGEN: Towards Human-AI Collaboration for Facilitating Creativity and Style Generation in Fashion Design</t>
  </si>
  <si>
    <t>XHand: Real-time Expressive Hand Avatar</t>
  </si>
  <si>
    <t>AI-Assisted Generation of Difficult Math Questions</t>
  </si>
  <si>
    <t>CLEFT: Language-Image Contrastive Learning with Efficient Large Language Model and Prompt Fine-Tuning</t>
  </si>
  <si>
    <t>Add-SD: Rational Generation without Manual Reference</t>
  </si>
  <si>
    <t>Matting by Generation</t>
  </si>
  <si>
    <t>ThinK: Thinner Key Cache by Query-Driven Pruning</t>
  </si>
  <si>
    <t>LLM-Find: An Autonomous GIS Agent Framework for Geospatial Data Retrieval</t>
  </si>
  <si>
    <t>Reinforcement Learning in High-frequency Market Making</t>
  </si>
  <si>
    <t>Multi-group Uncertainty Quantification for Long-form Text Generation</t>
  </si>
  <si>
    <t>Bailicai: A Domain-Optimized Retrieval-Augmented Generation Framework for Medical Applications</t>
  </si>
  <si>
    <t>Sentiment Reasoning for Healthcare</t>
  </si>
  <si>
    <t>Knowledge Models for Cancer Clinical Practice Guidelines : Construction, Management and Usage in Question Answering</t>
  </si>
  <si>
    <t>An Active Inference Strategy for Prompting Reliable Responses from Large Language Models in Medical Practice</t>
  </si>
  <si>
    <t>Artificial Intelligence in Extracting Diagnostic Data from Dental Records</t>
  </si>
  <si>
    <t>APTNESS: Incorporating Appraisal Theory and Emotion Support Strategies for Empathetic Response Generation</t>
  </si>
  <si>
    <t>PAV: Personalized Head Avatar from Unstructured Video Collection</t>
  </si>
  <si>
    <t>Promises and Pitfalls of Generative Masked Language Modeling: Theoretical Framework and Practical Guidelines</t>
  </si>
  <si>
    <t>Unlocking the Potential: Benchmarking Large Language Models in Water Engineering and Research</t>
  </si>
  <si>
    <t>They Look Like Each Other: Case-based Reasoning for Explainable Depression Detection on Twitter using Large Language Models</t>
  </si>
  <si>
    <t>Towards Automated Data Sciences with Natural Language and SageCopilot: Practices and Lessons Learned</t>
  </si>
  <si>
    <t>Mapping Patient Trajectories: Understanding and Visualizing Sepsis Prognostic Pathways from Patients Clinical Narratives</t>
  </si>
  <si>
    <t>Advancing Chart Question Answering with Robust Chart Component Recognition</t>
  </si>
  <si>
    <t>An Application of Large Language Models to Coding Negotiation Transcripts</t>
  </si>
  <si>
    <t>Direct Unlearning Optimization for Robust and Safe Text-to-Image Models</t>
  </si>
  <si>
    <t>Safeguard Text-to-Image Diffusion Models with Human Feedback Inversion</t>
  </si>
  <si>
    <t>Cluster and Separate: a GNN Approach to Voice and Staff Prediction for Score Engraving</t>
  </si>
  <si>
    <t>Antibody DomainBed: Out-of-Distribution Generalization in Therapeutic Protein Design</t>
  </si>
  <si>
    <t>MoFO: Momentum-Filtered Optimizer for Mitigating Forgetting in LLM Fine-Tuning</t>
  </si>
  <si>
    <t>From Feature Importance to Natural Language Explanations Using LLMs with RAG</t>
  </si>
  <si>
    <t>Contrasting Deep Learning Models for Direct Respiratory Insufficiency Detection Versus Blood Oxygen Saturation Estimation</t>
  </si>
  <si>
    <t>MMTrail: A Multimodal Trailer Video Dataset with Language and Music Descriptions</t>
  </si>
  <si>
    <t>Learning Ordinality in Semantic Segmentation</t>
  </si>
  <si>
    <t>An Effective Dynamic Gradient Calibration Method for Continual Learning</t>
  </si>
  <si>
    <t>Emotion-driven Piano Music Generation via Two-stage Disentanglement and Functional Representation</t>
  </si>
  <si>
    <t>dopanim: A Dataset of Doppelganger Animals with Noisy Annotations from Multiple Humans</t>
  </si>
  <si>
    <t>An Asynchronous Multi-core Accelerator for SNN inference</t>
  </si>
  <si>
    <t>EAR: Edge-Aware Reconstruction of 3-D vertebrae structures from bi-planar X-ray images</t>
  </si>
  <si>
    <t>UniProcessor: A Text-induced Unified Low-level Image Processor</t>
  </si>
  <si>
    <t>SSPA: Split-and-Synthesize Prompting with Gated Alignments for Multi-Label Image Recognition</t>
  </si>
  <si>
    <t>How to Choose a Reinforcement-Learning Algorithm</t>
  </si>
  <si>
    <t>Dynamic Scene Understanding through Object-Centric Voxelization and Neural Rendering</t>
  </si>
  <si>
    <t>Automated Review Generation Method Based on Large Language Models</t>
  </si>
  <si>
    <t>Machine learning surrogates for efficient hydrologic modeling: Insights from stochastic simulations of managed aquifer recharge</t>
  </si>
  <si>
    <t>Faithful and Plausible Natural Language Explanations for Image Classification: A Pipeline Approach</t>
  </si>
  <si>
    <t>MambaCapsule: Towards Transparent Cardiac Disease Diagnosis with Electrocardiography Using Mamba Capsule Network</t>
  </si>
  <si>
    <t>What is YOLOv5: A deep look into the internal features of the popular object detector</t>
  </si>
  <si>
    <t>Bayesian Low-Rank LeArning (Bella): A Practical Approach to Bayesian Neural Networks</t>
  </si>
  <si>
    <t>Effective Black Box Testing of Sentiment Analysis Classification Networks</t>
  </si>
  <si>
    <t>PiCoGen: Generate Piano Covers with a Two-stage Approach</t>
  </si>
  <si>
    <t>A Scalable Tool For Analyzing Genomic Variants Of Humans Using Knowledge Graphs and Machine Learning</t>
  </si>
  <si>
    <t>S3PET: Semi-supervised Standard-dose PET Image Reconstruction via Dose-aware Token Swap</t>
  </si>
  <si>
    <t>A Comparative Analysis of YOLOv5, YOLOv8, and YOLOv10 in Kitchen Safety</t>
  </si>
  <si>
    <t>A Comparative Study of Neural Surface Reconstruction for Scientific Visualization</t>
  </si>
  <si>
    <t>DeTurb: Atmospheric Turbulence Mitigation with Deformable 3D Convolutions and 3D Swin Transformers</t>
  </si>
  <si>
    <t>NIS-SLAM: Neural Implicit Semantic RGB-D SLAM for 3D Consistent Scene Understanding</t>
  </si>
  <si>
    <t>Assessing Graphical Perception of Image Embedding Models using Channel Effectiveness</t>
  </si>
  <si>
    <t>DFE-IANet: A Method for Polyp Image Classification Based on Dual-domain Feature Extraction and Interaction Attention</t>
  </si>
  <si>
    <t>Large Language Model (LLM)-enabled Graphs in Dynamic Networking</t>
  </si>
  <si>
    <t>How to Measure the Intelligence of Large Language Models?</t>
  </si>
  <si>
    <t>WARM-3D: A Weakly-Supervised Sim2Real Domain Adaptation Framework for Roadside Monocular 3D Object Detection</t>
  </si>
  <si>
    <t>ARCLE: The Abstraction and Reasoning Corpus Learning Environment for Reinforcement Learning</t>
  </si>
  <si>
    <t>AhmedML: High-Fidelity Computational Fluid Dynamics Dataset for Incompressible, Low-Speed Bluff Body Aerodynamics</t>
  </si>
  <si>
    <t>SpotFormer: Multi-Scale Spatio-Temporal Transformer for Facial Expression Spotting</t>
  </si>
  <si>
    <t>Diffusion Augmented Agents: A Framework for Efficient Exploration and Transfer Learning</t>
  </si>
  <si>
    <t>Be aware of overfitting by hyperparameter optimization!</t>
  </si>
  <si>
    <t>Retinex-Diffusion: On Controlling Illumination Conditions in Diffusion Models via Retinex Theory</t>
  </si>
  <si>
    <t>Inverse Problems with Diffusion Models: A MAP Estimation Perspective</t>
  </si>
  <si>
    <t>Interpretable Pre-Trained Transformers for Heart Time-Series Data</t>
  </si>
  <si>
    <t>HyperMM : Robust Multimodal Learning with Varying-sized Inputs</t>
  </si>
  <si>
    <t>Highly Efficient No-reference 4K Video Quality Assessment with Full-Pixel Covering Sampling and Training Strategy</t>
  </si>
  <si>
    <t>Integrating audiological datasets via federated merging of Auditory Profiles</t>
  </si>
  <si>
    <t>OmniBal: Towards Fast Instruct-tuning for Vision-Language Models via Omniverse Computation Balance</t>
  </si>
  <si>
    <t>SynthVLM: High-Efficiency and High-Quality Synthetic Data for Vision Language Models</t>
  </si>
  <si>
    <t>JaColBERTv2.5: Optimising Multi-Vector Retrievers to Create State-of-the-Art Japanese Retrievers with Constrained Resources</t>
  </si>
  <si>
    <t>Meltemi: The first open Large Language Model for Greek</t>
  </si>
  <si>
    <t>Improving PINNs By Algebraic Inclusion of Boundary and Initial Conditions</t>
  </si>
  <si>
    <t>Adapting Safe-for-Work Classifier for Malaysian Language Text: Enhancing Alignment in LLM-Ops Framework</t>
  </si>
  <si>
    <t>Autogenic Language Embedding for Coherent Point Tracking</t>
  </si>
  <si>
    <t>Neural Fields for Continuous Periodic Motion Estimation in 4D Cardiovascular Imaging</t>
  </si>
  <si>
    <t>SceneTeller: Language-to-3D Scene Generation</t>
  </si>
  <si>
    <t>Exploring Loss Landscapes through the Lens of Spin Glass Theory</t>
  </si>
  <si>
    <t>Understanding the Impact of Synchronous, Asynchronous, and Hybrid In-Situ Techniques in Computational Fluid Dynamics Applications</t>
  </si>
  <si>
    <t>Integer-Valued Training and Spike-Driven Inference Spiking Neural Network for High-performance and Energy-efficient Object Detection</t>
  </si>
  <si>
    <t>Weak neural variational inference for solving Bayesian inverse problems without forward models: applications in elastography</t>
  </si>
  <si>
    <t>Time Series Anomaly Detection with CNN for Environmental Sensors in Healthcare-IoT</t>
  </si>
  <si>
    <t>Boosting Audio Visual Question Answering via Key Semantic-Aware Cues</t>
  </si>
  <si>
    <t>CultureVo: The Serious Game of Utilizing Gen AI for Enhancing Cultural Intelligence</t>
  </si>
  <si>
    <t>RevGNN: Negative Sampling Enhanced Contrastive Graph Learning for Academic Reviewer Recommendation</t>
  </si>
  <si>
    <t>The Susceptibility of Example-Based Explainability Methods to Class Outliers</t>
  </si>
  <si>
    <t>TactIcons: Designing 3D Printed Map Icons for People who are Blind or have Low Vision</t>
  </si>
  <si>
    <t>Label-Guided Prompt for Multi-label Few-shot Aspect Category Detection</t>
  </si>
  <si>
    <t>Mimicking the Mavens: Agent-based Opinion Synthesis and Emotion Prediction for Social Media Influencers</t>
  </si>
  <si>
    <t>Rethinking the Function of Neurons in KANs</t>
  </si>
  <si>
    <t>3D-GRES: Generalized 3D Referring Expression Segmentation</t>
  </si>
  <si>
    <t>ArabicNLU 2024: The First Arabic Natural Language Understanding Shared Task</t>
  </si>
  <si>
    <t>DocXPand-25k: a large and diverse benchmark dataset for identity documents analysis</t>
  </si>
  <si>
    <t>Prompt-Driven Contrastive Learning for Transferable Adversarial Attacks</t>
  </si>
  <si>
    <t>Efficient Multi-Objective Neural Architecture Search via Pareto Dominance-based Novelty Search</t>
  </si>
  <si>
    <t>Prompting Encoder Models for Zero-Shot Classification: A Cross-Domain Study in Italian</t>
  </si>
  <si>
    <t>FACL-Attack: Frequency-Aware Contrastive Learning for Transferable Adversarial Attacks</t>
  </si>
  <si>
    <t>Towards Generalizable Reinforcement Learning via Causality-Guided Self-Adaptive Representations</t>
  </si>
  <si>
    <t>No learning rates needed: Introducing SALSA -- Stable Armijo Line Search Adaptation</t>
  </si>
  <si>
    <t>Image Re-Identification: Where Self-supervision Meets Vision-Language Learning</t>
  </si>
  <si>
    <t>Generalizing AI-driven Assessment of Immunohistochemistry across Immunostains and Cancer Types: A Universal Immunohistochemistry Analyzer</t>
  </si>
  <si>
    <t>Effectively Leveraging CLIP for Generating Situational Summaries of Images and Videos</t>
  </si>
  <si>
    <t>Improved Bounds for Pure Private Agnostic Learning: Item-Level and User-Level Privacy</t>
  </si>
  <si>
    <t>A Qualitative Investigation to Design Empathetic Agents as Conversation Partners for People with Autism Spectrum Disorder</t>
  </si>
  <si>
    <t>Autonomous Improvement of Instruction Following Skills via Foundation Models</t>
  </si>
  <si>
    <t>Spiking-DD: Neuromorphic Event Camera based Driver Distraction Detection with Spiking Neural Network</t>
  </si>
  <si>
    <t>SharkTrack: an accurate, generalisable software for streamlining shark and ray underwater video analysis</t>
  </si>
  <si>
    <t>Decoding Linguistic Representations of Human Brain</t>
  </si>
  <si>
    <t>Questionnaires for Everyone: Streamlining Cross-Cultural Questionnaire Adaptation with GPT-Based Translation Quality Evaluation</t>
  </si>
  <si>
    <t>Investigating Sparsity in Recurrent Neural Networks</t>
  </si>
  <si>
    <t>Knowledge Fused Recognition: Fusing Hierarchical Knowledge for Image Recognition through Quantitative Relativity Modeling and Deep Metric Learning</t>
  </si>
  <si>
    <t>Joint Diffusion Processes as an Inductive Bias in Sheaf Neural Networks</t>
  </si>
  <si>
    <t>Benchmarking Histopathology Foundation Models for Ovarian Cancer Bevacizumab Treatment Response Prediction from Whole Slide Images</t>
  </si>
  <si>
    <t>Harvesting Textual and Structured Data from the HAL Publication Repository</t>
  </si>
  <si>
    <t>EgoSonics: Generating Synchronized Audio for Silent Egocentric Videos</t>
  </si>
  <si>
    <t>Exploring Liquid Neural Networks on Loihi-2</t>
  </si>
  <si>
    <t>Evolutionary Approximation of Ternary Neurons for On-sensor Printed Neural Networks</t>
  </si>
  <si>
    <t>Pruning Large Language Models with Semi-Structural Adaptive Sparse Training</t>
  </si>
  <si>
    <t>Image-based Detection of Segment Misalignment in Multi-mirror Satellites using Transfer Learning</t>
  </si>
  <si>
    <t>Knesset-DictaBERT: A Hebrew Language Model for Parliamentary Proceedings</t>
  </si>
  <si>
    <t>Comparison of Large Language Models for Generating Contextually Relevant Questions</t>
  </si>
  <si>
    <t>Fine-Tuned Large Language Model for Visualization System: A Study on Self-Regulated Learning in Education</t>
  </si>
  <si>
    <t>Monocular Human-Object Reconstruction in the Wild</t>
  </si>
  <si>
    <t>CLR-Fact: Evaluating the Complex Logical Reasoning Capability of Large Language Models over Factual Knowledge</t>
  </si>
  <si>
    <t>Invariant deep neural networks under the finite group for solving partial differential equations</t>
  </si>
  <si>
    <t>CELLM: An Efficient Communication in Large Language Models Training for Federated Learning</t>
  </si>
  <si>
    <t>DiffusionCounterfactuals: Inferring High-dimensional Counterfactuals with Guidance of Causal Representations</t>
  </si>
  <si>
    <t>Neuromorphic on-chip reservoir computing with spiking neural network architectures</t>
  </si>
  <si>
    <t>HandDAGT: A Denoising Adaptive Graph Transformer for 3D Hand Pose Estimation</t>
  </si>
  <si>
    <t>DeepSpeech models show Human-like Performance and Processing of Cochlear Implant Inputs</t>
  </si>
  <si>
    <t>SuperCodec: A Neural Speech Codec with Selective Back-Projection Network</t>
  </si>
  <si>
    <t>Contrastive Feedback Mechanism for Simultaneous Speech Translation</t>
  </si>
  <si>
    <t>DuA: Dual Attentive Transformer in Long-Term Continuous EEG Emotion Analysis</t>
  </si>
  <si>
    <t>High-Resolution Spatial Transcriptomics from Histology Images using HisToSGE</t>
  </si>
  <si>
    <t>Markers Identification for Relative Pose Estimation of an Uncooperative Target</t>
  </si>
  <si>
    <t>Prompt2DeModel: Declarative Neuro-Symbolic Modeling with Natural Language</t>
  </si>
  <si>
    <t>Unveiling the Potential of Spiking Dynamics in Graph Representation Learning through Spatial-Temporal Normalization and Coding Strategies</t>
  </si>
  <si>
    <t>Boosting Efficiency in Task-Agnostic Exploration through Causal Knowledge</t>
  </si>
  <si>
    <t>Interpreting and Mitigating Hallucination in MLLMs through Multi-agent Debate</t>
  </si>
  <si>
    <t>A federated large language model for long-term time series forecasting</t>
  </si>
  <si>
    <t>Restoring Real-World Degraded Events Improves Deblurring Quality</t>
  </si>
  <si>
    <t>Optimizing Long-tailed Link Prediction in Graph Neural Networks through Structure Representation Enhancement</t>
  </si>
  <si>
    <t>Toward Efficient Permutation for Hierarchical N:M Sparsity on GPUs</t>
  </si>
  <si>
    <t>Enhancing Quantitative Image Synthesis through Pretraining and Resolution Scaling for Bone Mineral Density Estimation from a Plain X-ray Image</t>
  </si>
  <si>
    <t>MLOPS in a multicloud environment: Typical Network Topology</t>
  </si>
  <si>
    <t>A2SF: Accumulative Attention Scoring with Forgetting Factor for Token Pruning in Transformer Decoder</t>
  </si>
  <si>
    <t>Distribution Learning for Molecular Regression</t>
  </si>
  <si>
    <t>Relaxed Equivariant Graph Neural Networks</t>
  </si>
  <si>
    <t>Graphite: A Graph-based Extreme Multi-Label Short Text Classifier for Keyphrase Recommendation</t>
  </si>
  <si>
    <t>Weakly Supervised Intracranial Hemorrhage Segmentation with YOLO and an Uncertainty Rectified Segment Anything Model</t>
  </si>
  <si>
    <t>Learning Feature-Preserving Portrait Editing from Generated Pairs</t>
  </si>
  <si>
    <t>CoMMIT: Coordinated Instruction Tuning for Multimodal Large Language Models</t>
  </si>
  <si>
    <t>Domain Adaptable Prescriptive AI Agent for Enterprise</t>
  </si>
  <si>
    <t>LiDAR-Event Stereo Fusion with Hallucinations</t>
  </si>
  <si>
    <t>Arctic-TILT. Business Document Understanding at Sub-Billion Scale</t>
  </si>
  <si>
    <t>Puppet-Master: Scaling Interactive Video Generation as a Motion Prior for Part-Level Dynamics</t>
  </si>
  <si>
    <t>LogogramNLP: Comparing Visual and Textual Representations of Ancient Logographic Writing Systems for NLP</t>
  </si>
  <si>
    <t>Transformer Explainer: Interactive Learning of Text-Generative Models</t>
  </si>
  <si>
    <t>Better Alignment with Instruction Back-and-Forth Translation</t>
  </si>
  <si>
    <t>Quantifying the Impact of Population Shift Across Age and Sex for Abdominal Organ Segmentation</t>
  </si>
  <si>
    <t>Enhanced Prototypical Part Network (EPPNet) For Explainable Image Classification Via Prototypes</t>
  </si>
  <si>
    <t>Fall Detection for Industrial Setups Using YOLOv8 Variants</t>
  </si>
  <si>
    <t>Towards High-resolution 3D Anomaly Detection via Group-Level Feature Contrastive Learning</t>
  </si>
  <si>
    <t>Improving Network Interpretability via Explanation Consistency Evaluation</t>
  </si>
  <si>
    <t>Code-switching in text and speech reveals information-theoretic audience design</t>
  </si>
  <si>
    <t>Img-Diff: Contrastive Data Synthesis for Multimodal Large Language Models</t>
  </si>
  <si>
    <t>Self-Taught Evaluators</t>
  </si>
  <si>
    <t>SAM 2 in Robotic Surgery: An Empirical Evaluation for Robustness and Generalization in Surgical Video Segmentation</t>
  </si>
  <si>
    <t>HiLo: A Learning Framework for Generalized Category Discovery Robust to Domain Shifts</t>
  </si>
  <si>
    <t>Learn To Learn More Precisely</t>
  </si>
  <si>
    <t>Sampling for View Synthesis: From Local Light Field Fusion to Neural Radiance Fields and Beyond</t>
  </si>
  <si>
    <t>Towards Resilient and Efficient LLMs: A Comparative Study of Efficiency, Performance, and Adversarial Robustness</t>
  </si>
  <si>
    <t>Unveiling the Power of Sparse Neural Networks for Feature Selection</t>
  </si>
  <si>
    <t>SAM2-Adapter: Evaluating &amp; Adapting Segment Anything 2 in Downstream Tasks: Camouflage, Shadow, Medical Image Segmentation, and More</t>
  </si>
  <si>
    <t>SCENE: Evaluating Explainable AI Techniques Using Soft Counterfactuals</t>
  </si>
  <si>
    <t>Integrating Annotations into the Design Process for Sonifications and Physicalizations</t>
  </si>
  <si>
    <t>Activation thresholds and expressiveness of polynomial neural networks</t>
  </si>
  <si>
    <t>Learning Fine-Grained Grounded Citations for Attributed Large Language Models</t>
  </si>
  <si>
    <t>Sketch2Scene: Automatic Generation of Interactive 3D Game Scenes from User's Casual Sketches</t>
  </si>
  <si>
    <t>Conversational Prompt Engineering</t>
  </si>
  <si>
    <t>Bias-Aware Low-Rank Adaptation: Mitigating Catastrophic Inheritance of Large Language Models</t>
  </si>
  <si>
    <t>Learning Fair Cooperation in Mixed-Motive Games with Indirect Reciprocity</t>
  </si>
  <si>
    <t>Emotional Cues Extraction and Fusion for Multi-modal Emotion Prediction and Recognition in Conversation</t>
  </si>
  <si>
    <t>How Transformers Utilize Multi-Head Attention in In-Context Learning? A Case Study on Sparse Linear Regression</t>
  </si>
  <si>
    <t>Hybrid Reinforcement Learning Breaks Sample Size Barriers in Linear MDPs</t>
  </si>
  <si>
    <t>Depth Any Canopy: Leveraging Depth Foundation Models for Canopy Height Estimation</t>
  </si>
  <si>
    <t>Advancing Molecular Machine (Learned) Representations with Stereoelectronics-Infused Molecular Graphs</t>
  </si>
  <si>
    <t>Articulatory Configurations across Genders and Periods in French Radio and TV archives</t>
  </si>
  <si>
    <t>Saliency Detection in Educational Videos: Analyzing the Performance of Current Models, Identifying Limitations and Advancement Directions</t>
  </si>
  <si>
    <t>Emergence in Multi-Agent Systems: A Safety Perspective</t>
  </si>
  <si>
    <t>Feedback Design with VQ-VAE for Robust Precoding in Multi-User FDD Systems</t>
  </si>
  <si>
    <t>Knowledge-Aided Semantic Communication Leveraging Probabilistic Graphical Modeling</t>
  </si>
  <si>
    <t>Model-Based Transfer Learning for Contextual Reinforcement Learning</t>
  </si>
  <si>
    <t>Towards Synergistic Deep Learning Models for Volumetric Cirrhotic Liver Segmentation in MRIs</t>
  </si>
  <si>
    <t>The Complexity of Learning Temporal Properties</t>
  </si>
  <si>
    <t>NFDI4Health workflow and service for synthetic data generation, assessment and risk management</t>
  </si>
  <si>
    <t>What You Need is What You Get: Theory of Mind for an LLM-Based Code Understanding Assistant</t>
  </si>
  <si>
    <t>Can LLMs Beat Humans in Debating? A Dynamic Multi-agent Framework for Competitive Debate</t>
  </si>
  <si>
    <t>What could go wrong? Discovering and describing failure modes in computer vision</t>
  </si>
  <si>
    <t>RL-ADN: A High-Performance Deep Reinforcement Learning Environment for Optimal Energy Storage Systems Dispatch in Active Distribution Networks</t>
  </si>
  <si>
    <t>An experimental comparative study of backpropagation and alternatives for training binary neural networks for image classification</t>
  </si>
  <si>
    <t>RiskAwareBench: Towards Evaluating Physical Risk Awareness for High-level Planning of LLM-based Embodied Agents</t>
  </si>
  <si>
    <t>Pairing Clustered Inverted Indexes with kNN Graphs for Fast Approximate Retrieval over Learned Sparse Representations</t>
  </si>
  <si>
    <t>Deep Learning for identifying systolic complexes in SCG traces: a cross-dataset analysis</t>
  </si>
  <si>
    <t>Large Language Models for cross-language code clone detection</t>
  </si>
  <si>
    <t>A Review of 3D Reconstruction Techniques for Deformable Tissues in Robotic Surgery</t>
  </si>
  <si>
    <t>Detection of Animal Movement from Weather Radar using Self-Supervised Learning</t>
  </si>
  <si>
    <t>UNMuTe: Unifying Navigation and Multimodal Dialogue-like Text Generation</t>
  </si>
  <si>
    <t>Recognizing Emotion Regulation Strategies from Human Behavior with Large Language Models</t>
  </si>
  <si>
    <t>Enhancing Robustness of Retrieval-Augmented Language Models with In-Context Learning</t>
  </si>
  <si>
    <t>Clutter Classification Using Deep Learning in Multiple Stages</t>
  </si>
  <si>
    <t>Finite sample learning of moving targets</t>
  </si>
  <si>
    <t>Exploring Reasoning Biases in Large Language Models Through Syllogism: Insights from the NeuBAROCO Dataset</t>
  </si>
  <si>
    <t>Evaluating the Impact of Pulse Oximetry Bias in Machine Learning under Counterfactual Thinking</t>
  </si>
  <si>
    <t>Constraint-aware and Ranking-distilled Token Pruning for Efficient Transformer Inference. arXiv 6/26/23</t>
  </si>
  <si>
    <t>Li et al. (Microsoft)</t>
  </si>
  <si>
    <t>https://arxiv.org/pdf/2306.14393</t>
  </si>
  <si>
    <t>2019-4.5</t>
  </si>
  <si>
    <t>ALBERT: A Lite BERT for Self-supervised Learning of Language Representations. arXiv 9/26/2019</t>
  </si>
  <si>
    <t>https://arxiv.org/abs/1909.11942</t>
  </si>
  <si>
    <t>Lan et al. (Google)</t>
  </si>
  <si>
    <t>2018-1, 2019-4.5</t>
  </si>
  <si>
    <t>Pruning</t>
  </si>
  <si>
    <t>2021-za</t>
  </si>
  <si>
    <t>https://arxiv.org/abs/2109.04838</t>
  </si>
  <si>
    <t>Block Pruning for Faster Transformers, arXiv 9/10/21</t>
  </si>
  <si>
    <t>Lagunas, et al. (HuggingFace)</t>
  </si>
  <si>
    <t>https://github.com/huggingface/nn_pruning</t>
  </si>
  <si>
    <t>2020-0.5</t>
  </si>
  <si>
    <t>Movement Pruning: Adaptive Sparsity by Fine-Tuning. arXiv 5/15/2020</t>
  </si>
  <si>
    <t>https://arxiv.org/abs/2005.07683</t>
  </si>
  <si>
    <t>Sanh et al. (HuggingFace)</t>
  </si>
  <si>
    <t>2021-zb</t>
  </si>
  <si>
    <t>Quantization of Deep Neural Networks for Accurate Edge Computing. arXiv 4/25/21</t>
  </si>
  <si>
    <t>https://arxiv.org/abs/2104.12046</t>
  </si>
  <si>
    <t>Chen et al. (Guangdong)</t>
  </si>
  <si>
    <t>2021-zc</t>
  </si>
  <si>
    <t>Kim et al. (UC Berkeley)</t>
  </si>
  <si>
    <t>https://arxiv.org/pdf/2101.01321</t>
  </si>
  <si>
    <t>I-BERT: Integer-only BERT Quantization, arXiv 6/8/21</t>
  </si>
  <si>
    <t>2019-8.5</t>
  </si>
  <si>
    <t>https://arxiv.org/abs/1909.05840</t>
  </si>
  <si>
    <t>Shen et al. (UC Berkeley)</t>
  </si>
  <si>
    <t>Q-BERT: Hessian Based Ultra Low Precision Quantization of BERT. arXiv 9/25/2019</t>
  </si>
  <si>
    <t>Quantization</t>
  </si>
  <si>
    <t>2019-5.5</t>
  </si>
  <si>
    <t>TinyBERT: Distilling BERT for Natural Language Understanding</t>
  </si>
  <si>
    <t>https://arxiv.org/abs/1909.10351</t>
  </si>
  <si>
    <t>Jiao et al. (Huawei)</t>
  </si>
  <si>
    <t>Distillation</t>
  </si>
  <si>
    <t>https://github.com/microsoft/Moonlit/tree/main/ToP</t>
  </si>
  <si>
    <t>2019-4.6</t>
  </si>
  <si>
    <t>DistilBERT, a distilled version of BERT: smaller, faster, cheaper and lighter</t>
  </si>
  <si>
    <t>https://arxiv.org/abs/1910.01108</t>
  </si>
  <si>
    <t>2022-4.5</t>
  </si>
  <si>
    <t>Structured Pruning Learns Compact and Accurate Models. arXiv 4/1/2022.</t>
  </si>
  <si>
    <t>https://arxiv.org/abs/2204.00408</t>
  </si>
  <si>
    <t>Xia et al. (Princeton)</t>
  </si>
  <si>
    <t>2022-11</t>
  </si>
  <si>
    <t>SwiftPruner: Reinforced Evolutionary Pruning for Efficient Ad Relevance</t>
  </si>
  <si>
    <t>https://arxiv.org/abs/2209.00625</t>
  </si>
  <si>
    <t>Zhang et al. (Microsoft)</t>
  </si>
  <si>
    <t>2020-1.5</t>
  </si>
  <si>
    <t>PoWER-BERT: Accelerating BERT Inference via Progressive Word-vector Elimination</t>
  </si>
  <si>
    <t>https://arxiv.org/abs/2001.08950</t>
  </si>
  <si>
    <t>Goyal et al. (IBM)</t>
  </si>
  <si>
    <t>2020-0.3</t>
  </si>
  <si>
    <t>A Primer in BERTology: What we know about how BERT works</t>
  </si>
  <si>
    <t>https://arxiv.org/abs/2002.12327</t>
  </si>
  <si>
    <t>Rogers et al. (Academics)</t>
  </si>
  <si>
    <t>2022-12</t>
  </si>
  <si>
    <t>https://arxiv.org/abs/2205.07324</t>
  </si>
  <si>
    <t>Transkimmer: Transformer Learns to Layer-wise Skim; arXiv 5/15/2022</t>
  </si>
  <si>
    <t>Guan et al. (Shanghai)</t>
  </si>
  <si>
    <t>2018-1, 2019-4.5, 2019-4, 2019-3, 2021-za, 2021-zb, 2021-zc, 2019-8.5, 2019-5.5, 2019-4.6, 2022-4.5, 2022-1, 2020-1.5, 2020-0.3, 2022-12</t>
  </si>
  <si>
    <t>Vanta</t>
  </si>
  <si>
    <t>$100m ARR</t>
  </si>
  <si>
    <t>Automated Educational Question Generation at Different Bloom's Skill Levels using Large Language Models: Strategies and Evaluation</t>
  </si>
  <si>
    <t>Open-domain Implicit Format Control for Large Language Model Generation</t>
  </si>
  <si>
    <t>Robustness investigation of quality measures for the assessment of machine learning models</t>
  </si>
  <si>
    <t>MM-Forecast: A Multimodal Approach to Temporal Event Forecasting with Large Language Models</t>
  </si>
  <si>
    <t>Non-maximizing policies that fulfill multi-criterion aspirations in expectation</t>
  </si>
  <si>
    <t>Understanding and Modeling Job Marketplace with Pretrained Language Models</t>
  </si>
  <si>
    <t>Deep Generative Models in Robotics: A Survey on Learning from Multimodal Demonstrations</t>
  </si>
  <si>
    <t>Overview of the NLPCC 2024 Shared Task on Chinese Metaphor Generation</t>
  </si>
  <si>
    <t>Deep Reinforcement Learning for the Design of Metamaterial Mechanisms with Functional Compliance Control</t>
  </si>
  <si>
    <t>MultiViPerFrOG: A Globally Optimized Multi-Viewpoint Perception Framework for Camera Motion and Tissue Deformation</t>
  </si>
  <si>
    <t>Simulating Articulatory Trajectories with Phonological Feature Interpolation</t>
  </si>
  <si>
    <t>NeuralMultiling: A Novel Neural Architecture Search for Smartphone based Multilingual Speaker Verification</t>
  </si>
  <si>
    <t>AggSS: An Aggregated Self-Supervised Approach for Class-Incremental Learning</t>
  </si>
  <si>
    <t>Semantic-Enhanced Indirect Call Analysis with Large Language Models</t>
  </si>
  <si>
    <t>Sparse Spiking Neural-like Membrane Systems on Graphics Processing Units</t>
  </si>
  <si>
    <t>Towards Explainable Network Intrusion Detection using Large Language Models</t>
  </si>
  <si>
    <t>Multi-Scale and Detail-Enhanced Segment Anything Model for Salient Object Detection</t>
  </si>
  <si>
    <t>HydraFormer: One Encoder For All Subsampling Rates</t>
  </si>
  <si>
    <t>Towards SLO-Optimized LLM Serving via Automatic Inference Engine Tuning</t>
  </si>
  <si>
    <t>Deep Transfer Learning for Kidney Cancer Diagnosis</t>
  </si>
  <si>
    <t>Project Archetypes: A Blessing and a Curse for AI Development</t>
  </si>
  <si>
    <t>Making sense of AI systems development</t>
  </si>
  <si>
    <t>TheGlueNote: Learned Representations for Robust and Flexible Note Alignment</t>
  </si>
  <si>
    <t>Partial Experts Checkpoint: Efficient Fault Tolerance for Sparse Mixture-of-Experts Model Training</t>
  </si>
  <si>
    <t>Learning with Digital Agents: An Analysis based on the Activity Theory</t>
  </si>
  <si>
    <t>Trans-Tokenization and Cross-lingual Vocabulary Transfers: Language Adaptation of LLMs for Low-Resource NLP</t>
  </si>
  <si>
    <t>An Explainable Non-local Network for COVID-19 Diagnosis</t>
  </si>
  <si>
    <t>Respiratory Subtraction for Pulmonary Microwave Ablation Evaluation</t>
  </si>
  <si>
    <t>Assigning Credit with Partial Reward Decoupling in Multi-Agent Proximal Policy Optimization</t>
  </si>
  <si>
    <t>Dual-branch PolSAR Image Classification Based on GraphMAE and Local Feature Extraction</t>
  </si>
  <si>
    <t>Efficient and Accurate Pneumonia Detection Using a Novel Multi-Scale Transformer Approach</t>
  </si>
  <si>
    <t>EMTeC: A Corpus of Eye Movements on Machine-Generated Texts</t>
  </si>
  <si>
    <t>Assessing the Potential Impact of Direction-Dependent HRTF Selection on Sound Localization Accuracy</t>
  </si>
  <si>
    <t>LLM-DetectAIve: a Tool for Fine-Grained Machine-Generated Text Detection</t>
  </si>
  <si>
    <t>Prompt-Assisted Semantic Interference Cancellation on Moderate Interference Channels</t>
  </si>
  <si>
    <t>AI-Driven Chatbot for Intrusion Detection in Edge Networks: Enhancing Cybersecurity with Ethical User Consent</t>
  </si>
  <si>
    <t>LaDiMo: Layer-wise Distillation Inspired MoEfier</t>
  </si>
  <si>
    <t>Stability Analysis of Equivariant Convolutional Representations Through The Lens of Equivariant Multi-layered CKNs</t>
  </si>
  <si>
    <t>Early Risk Assessment Model for ICA Timing Strategy in Unstable Angina Patients Using Multi-Modal Machine Learning</t>
  </si>
  <si>
    <t>Addressing Model and Data Heterogeneity in Multimodal Large Language Model Training</t>
  </si>
  <si>
    <t>SG-JND: Semantic-Guided Just Noticeable Distortion Predictor For Image Compression</t>
  </si>
  <si>
    <t>Analysis of Argument Structure Constructions in the Large Language Model BERT</t>
  </si>
  <si>
    <t>Evaluating Modern Approaches in 3D Scene Reconstruction: NeRF vs Gaussian-Based Methods</t>
  </si>
  <si>
    <t>Distil-DCCRN: A Small-footprint DCCRN Leveraging Feature-based Knowledge Distillation in Speech Enhancement</t>
  </si>
  <si>
    <t>CoBooM: Codebook Guided Bootstrapping for Medical Image Representation Learning</t>
  </si>
  <si>
    <t>EfficientRAG: Efficient Retriever for Multi-Hop Question Answering</t>
  </si>
  <si>
    <t>UHNet: An Ultra-Lightweight and High-Speed Edge Detection Network</t>
  </si>
  <si>
    <t>Cooperative Multi-Agent Deep Reinforcement Learning in Content Ranking Optimization</t>
  </si>
  <si>
    <t>InstantStyleGaussian: Efficient Art Style Transfer with 3D Gaussian Splatting</t>
  </si>
  <si>
    <t>Explicating the Implicit: Argument Detection Beyond Sentence Boundaries</t>
  </si>
  <si>
    <t>Scalable Transformer for High Dimensional Multivariate Time Series Forecasting</t>
  </si>
  <si>
    <t>MU-MAE: Multimodal Masked Autoencoders-Based One-Shot Learning</t>
  </si>
  <si>
    <t>Learning to Rewrite: Generalized LLM-Generated Text Detection</t>
  </si>
  <si>
    <t>LLDif: Diffusion Models for Low-light Emotion Recognition</t>
  </si>
  <si>
    <t>Evaluating Language Model Math Reasoning via Grounding in Educational Curricula</t>
  </si>
  <si>
    <t>Cross-View Meets Diffusion: Aerial Image Synthesis with Geometry and Text Guidance</t>
  </si>
  <si>
    <t>VideoQA in the Era of LLMs: An Empirical Study</t>
  </si>
  <si>
    <t>Connective Viewpoints of Signal-to-Noise Diffusion Models</t>
  </si>
  <si>
    <t>Diffusion Guided Language Modeling</t>
  </si>
  <si>
    <t>Simplifying Translations for Children: Iterative Simplification Considering Age of Acquisition with LLMs</t>
  </si>
  <si>
    <t>Attention Mechanism and Context Modeling System for Text Mining Machine Translation</t>
  </si>
  <si>
    <t>Is SAM 2 Better than SAM in Medical Image Segmentation?</t>
  </si>
  <si>
    <t>MMREC: LLM Based Multi-Modal Recommender System</t>
  </si>
  <si>
    <t>MMRole: A Comprehensive Framework for Developing and Evaluating Multimodal Role-Playing Agents</t>
  </si>
  <si>
    <t>F1tenth Autonomous Racing With Offline Reinforcement Learning Methods</t>
  </si>
  <si>
    <t>Uncertainty-Aware Crime Prediction With Spatial Temporal Multivariate Graph Neural Networks</t>
  </si>
  <si>
    <t>Listwise Reward Estimation for Offline Preference-based Reinforcement Learning</t>
  </si>
  <si>
    <t>Medical Graph RAG: Towards Safe Medical Large Language Model via Graph Retrieval-Augmented Generation</t>
  </si>
  <si>
    <t>wav2graph: A Framework for Supervised Learning Knowledge Graph from Speech</t>
  </si>
  <si>
    <t>MultiColor: Image Colorization by Learning from Multiple Color Spaces</t>
  </si>
  <si>
    <t>M2EF-NNs: Multimodal Multi-instance Evidence Fusion Neural Networks for Cancer Survival Prediction</t>
  </si>
  <si>
    <t>Perceive, Reflect, and Plan: Designing LLM Agent for Goal-Directed City Navigation without Instructions</t>
  </si>
  <si>
    <t>Efficient Single Image Super-Resolution with Entropy Attention and Receptive Field Augmentation</t>
  </si>
  <si>
    <t>The Data Addition Dilemma</t>
  </si>
  <si>
    <t>ComKD-CLIP: Comprehensive Knowledge Distillation for Contrastive Language-Image Pre-traning Model</t>
  </si>
  <si>
    <t>Integrated Dynamic Phenological Feature for Remote Sensing Image Land Cover Change Detection</t>
  </si>
  <si>
    <t>Enhancing Healthcare through Large Language Models: A Study on Medical Question Answering</t>
  </si>
  <si>
    <t>Knowledge-based Emotion Recognition using Large Language Models</t>
  </si>
  <si>
    <t>Can Rule-Based Insights Enhance LLMs for Radiology Report Classification? Introducing the RadPrompt Methodology</t>
  </si>
  <si>
    <t>Combining Neural Architecture Search and Automatic Code Optimization: A Survey</t>
  </si>
  <si>
    <t>Zero-shot Factual Consistency Evaluation Across Domains</t>
  </si>
  <si>
    <t>Patchview: LLM-Powered Worldbuilding with Generative Dust and Magnet Visualization</t>
  </si>
  <si>
    <t>PaveCap: The First Multimodal Framework for Comprehensive Pavement Condition Assessment with Dense Captioning and PCI Estimation</t>
  </si>
  <si>
    <t>Zero-Delay QKV Compression for Mitigating KV Cache and Network Bottlenecks in LLM Inference</t>
  </si>
  <si>
    <t>Decoding Visual Sentiment of Political Imagery</t>
  </si>
  <si>
    <t>ArtVLM: Attribute Recognition Through Vision-Based Prefix Language Modeling</t>
  </si>
  <si>
    <t>Tree Attention: Topology-aware Decoding for Long-Context Attention on GPU clusters</t>
  </si>
  <si>
    <t>The Quest for Early Detection of Retinal Disease: 3D CycleGAN-based Translation of Optical Coherence Tomography into Confocal Microscopy</t>
  </si>
  <si>
    <t>PushPull-Net: Inhibition-driven ResNet robust to image corruptions</t>
  </si>
  <si>
    <t>Digital Avatars: Framework Development and Their Evaluation</t>
  </si>
  <si>
    <t>Automatic Skinning using the Mixed Finite Element Method</t>
  </si>
  <si>
    <t>Do Sharpness-based Optimizers Improve Generalization in Medical Image Analysis?</t>
  </si>
  <si>
    <t>PowerPM: Foundation Model for Power Systems</t>
  </si>
  <si>
    <t>Machine Learning-Based Reward-Driven Tuning of Scanning Probe Microscopy: Towards Fully Automated Microscopy</t>
  </si>
  <si>
    <t>A Literature-based Visualization Task Taxonomy for Gantt Charts</t>
  </si>
  <si>
    <t>Information Seeking Using AI Assistants</t>
  </si>
  <si>
    <t>Human Speech Perception in Noise: Can Large Language Models Paraphrase to Improve It?</t>
  </si>
  <si>
    <t>Multimodal Gender Fairness in Depression Prediction: Insights on Data from the USA &amp; China</t>
  </si>
  <si>
    <t>Improving Large Language Model (LLM) fidelity through context-aware grounding: A systematic approach to reliability and veracity</t>
  </si>
  <si>
    <t>Image-to-LaTeX Converter for Mathematical Formulas and Text</t>
  </si>
  <si>
    <t>MetaDragonBoat: Exploring Paddling Techniques of Virtual Dragon Boating in a Metaverse Campus</t>
  </si>
  <si>
    <t>Speaker Adaptation for Quantised End-to-End ASR Models</t>
  </si>
  <si>
    <t>Optimizing Emotion Recognition with Wearable Sensor Data: Unveiling Patterns in Body Movements and Heart Rate through Random Forest Hyperparameter Tuning</t>
  </si>
  <si>
    <t>HiRISE: High-Resolution Image Scaling for Edge ML via In-Sensor Compression and Selective ROI</t>
  </si>
  <si>
    <t>Histopathology image embedding based on foundation models features aggregation for patient treatment response prediction</t>
  </si>
  <si>
    <t>Left-Right Swapping and Upper-Lower Limb Pairing for Robust Multi-Wearable Workout Activity Detection</t>
  </si>
  <si>
    <t>Prompting for products: Investigating design space exploration strategies for text-to-image generative models</t>
  </si>
  <si>
    <t>Impacts of Anthropomorphizing Large Language Models in Learning Environments</t>
  </si>
  <si>
    <t>Building Machines that Learn and Think with People</t>
  </si>
  <si>
    <t>How Well Can Vision Language Models See Image Details?</t>
  </si>
  <si>
    <t>SLIM-RAFT: A Novel Fine-Tuning Approach to Improve Cross-Linguistic Performance for Mercosur Common Nomenclature</t>
  </si>
  <si>
    <t>From Words to Worth: Newborn Article Impact Prediction with LLM</t>
  </si>
  <si>
    <t>Fast Sprite Decomposition from Animated Graphics</t>
  </si>
  <si>
    <t>FMiFood: Multi-modal Contrastive Learning for Food Image Classification</t>
  </si>
  <si>
    <t>AdapMTL: Adaptive Pruning Framework for Multitask Learning Model</t>
  </si>
  <si>
    <t>Achieving Human Level Competitive Robot Table Tennis</t>
  </si>
  <si>
    <t>Lightweight Video Denoising Using a Classic Bayesian Backbone</t>
  </si>
  <si>
    <t>Speech-MASSIVE: A Multilingual Speech Dataset for SLU and Beyond</t>
  </si>
  <si>
    <t>Simplifying Scholarly Abstracts for Accessible Digital Libraries</t>
  </si>
  <si>
    <t>Central Kurdish Text-to-Speech Synthesis with Novel End-to-End Transformer Training</t>
  </si>
  <si>
    <t>Global-Local Progressive Integration Network for Blind Image Quality Assessment</t>
  </si>
  <si>
    <t>From Data to Story: Towards Automatic Animated Data Video Creation with LLM-based Multi-Agent Systems</t>
  </si>
  <si>
    <t>Personalized Clinical Note Generation from Doctor-Patient Conversation</t>
  </si>
  <si>
    <t>Inter-Series Transformer: Attending to Products in Time Series Forecasting</t>
  </si>
  <si>
    <t>BeeManc at the PLABA Track of TAC-2023: Investigating LLMs and Controllable Attributes for Improving Biomedical Text Readability</t>
  </si>
  <si>
    <t>Surgformer: Surgical Transformer with Hierarchical Temporal Attention for Surgical Phase Recognition</t>
  </si>
  <si>
    <t>PackMamba: Efficient Processing of Variable-Length Sequences in Mamba training</t>
  </si>
  <si>
    <t>Why transformers are obviously good models of language</t>
  </si>
  <si>
    <t>ImageSI: Semantic Interaction for Deep Learning Image Projections</t>
  </si>
  <si>
    <t>Bi-Level Spatial and Channel-aware Transformer for Learned Image Compression</t>
  </si>
  <si>
    <t>MaxMind: A Memory Loop Network to Enhance Software Productivity based on Large Language Models</t>
  </si>
  <si>
    <t>On Fast SC-based Polar Decoders: Metric Polarization and a Pruning Technique</t>
  </si>
  <si>
    <t>Target Prompting for Information Extraction with Vision Language Model</t>
  </si>
  <si>
    <t>Towards Real-Time Gaussian Splatting: Accelerating 3DGS through Photometric SLAM</t>
  </si>
  <si>
    <t>Compact 3D Gaussian Splatting for Static and Dynamic Radiance Fields</t>
  </si>
  <si>
    <t>Early Prediction of Causes (not Effects) in Healthcare by Long-Term Clinical Time Series Forecasting</t>
  </si>
  <si>
    <t>Generative Language Models with Retrieval Augmented Generation for Automated Short Answer Scoring</t>
  </si>
  <si>
    <t>Trustworthy Image Semantic Communication with GenAI: Explainablity, Controllability, and Efficiency</t>
  </si>
  <si>
    <t>Counterfactuals and Uncertainty-Based Explainable Paradigm for the Automated Detection and Segmentation of Renal Cysts in Computed Tomography Images: A Multi-Center Study</t>
  </si>
  <si>
    <t>Methodological Explainability Evaluation of an Interpretable Deep Learning Model for Post-Hepatectomy Liver Failure Prediction Incorporating Counterfactual Explanations and Layerwise Relevance Propagation: A Prospective In Silico Trial</t>
  </si>
  <si>
    <t>'Finance Wizard' at the FinLLM Challenge Task: Financial Text Summarization</t>
  </si>
  <si>
    <t>MMSummary: Multimodal Summary Generation for Fetal Ultrasound Video</t>
  </si>
  <si>
    <t>A Versatile Pilot Design Scheme for FDD Systems Utilizing Gaussian Mixture Models</t>
  </si>
  <si>
    <t>3iGS: Factorised Tensorial Illumination for 3D Gaussian Splatting</t>
  </si>
  <si>
    <t>Advancing Multimodal Large Language Models with Quantization-Aware Scale Learning for Efficient Adaptation</t>
  </si>
  <si>
    <t>Soft-Hard Attention U-Net Model and Benchmark Dataset for Multiscale Image Shadow Removal</t>
  </si>
  <si>
    <t>Question Rephrasing for Quantifying Uncertainty in Large Language Models: Applications in Molecular Chemistry Tasks</t>
  </si>
  <si>
    <t>A Convex-optimization-based Layer-wise Post-training Pruner for Large Language Models</t>
  </si>
  <si>
    <t>Local Topology Measures of Contextual Language Model Latent Spaces With Applications to Dialogue Term Extraction</t>
  </si>
  <si>
    <t>BioDeepHash: Mapping Biometrics into a Stable Code</t>
  </si>
  <si>
    <t>CAS-ViT: Convolutional Additive Self-attention Vision Transformers for Efficient Mobile Applications</t>
  </si>
  <si>
    <t>Openstory++: A Large-scale Dataset and Benchmark for Instance-aware Open-domain Visual Storytelling</t>
  </si>
  <si>
    <t>Generative Design of Periodic Orbits in the Restricted Three-Body Problem</t>
  </si>
  <si>
    <t>Iterative Knowledge Distillation through Feedback-Driven Learning Cycles</t>
  </si>
  <si>
    <t>NACL: A General and Effective KV Cache Eviction Framework for LLMs at Inference Time</t>
  </si>
  <si>
    <t>Designing Extremely Memory-Efficient CNNs for On-device Vision Tasks</t>
  </si>
  <si>
    <t>PHOCUS: Physics-Based Deconvolution for Ultrasound Resolution Enhancement</t>
  </si>
  <si>
    <t>Unsupervised Detection of Fetal Brain Anomalies using Denoising Diffusion Models</t>
  </si>
  <si>
    <t>SAM2-PATH: A better segment anything model for semantic segmentation in digital pathology</t>
  </si>
  <si>
    <t>Towards Multimodal Emotional Support Conversation Systems</t>
  </si>
  <si>
    <t>HiQuE: Hierarchical Question Embedding Network for Multimodal Depression Detection</t>
  </si>
  <si>
    <t>TALE: Training-free Cross-domain Image Composition via Adaptive Latent Manipulation and Energy-guided Optimization</t>
  </si>
  <si>
    <t>Time is Not Enough: Time-Frequency based Explanation for Time-Series Black-Box Models</t>
  </si>
  <si>
    <t>Concept Conductor: Orchestrating Multiple Personalized Concepts in Text-to-Image Synthesis</t>
  </si>
  <si>
    <t>PAGED: A Benchmark for Procedural Graphs Extraction from Documents</t>
  </si>
  <si>
    <t>Improving Retrieval-Augmented Code Comment Generation by Retrieving for Generation</t>
  </si>
  <si>
    <t>Improving the quality of Persian clinical text with a novel spelling correction system</t>
  </si>
  <si>
    <t>A Logical Fallacy-Informed Framework for Argument Generation</t>
  </si>
  <si>
    <t>Is Child-Directed Speech Effective Training Data for Language Models?</t>
  </si>
  <si>
    <t>Distillation Learning Guided by Image Reconstruction for One-Shot Medical Image Segmentation</t>
  </si>
  <si>
    <t>Optimus-1: Hybrid Multimodal Memory Empowered Agents Excel in Long-Horizon Tasks</t>
  </si>
  <si>
    <t>JARViS: Detecting Actions in Video Using Unified Actor-Scene Context Relation Modeling</t>
  </si>
  <si>
    <t>Activations Through Extensions: A Framework To Boost Performance Of Neural Networks</t>
  </si>
  <si>
    <t>PRISM: PRogressive dependency maxImization for Scale-invariant image Matching</t>
  </si>
  <si>
    <t>HistoSPACE: Histology-Inspired Spatial Transcriptome Prediction And Characterization Engine</t>
  </si>
  <si>
    <t>Focal Depth Estimation: A Calibration-Free, Subject- and Daytime Invariant Approach</t>
  </si>
  <si>
    <t>Facing the Music: Tackling Singing Voice Separation in Cinematic Audio Source Separation</t>
  </si>
  <si>
    <t>Clinical Challenges and AI Opportunities in Decision-Making for Cancer Treatment-Induced Cardiotoxicity</t>
  </si>
  <si>
    <t>Teach CLIP to Develop a Number Sense for Ordinal Regression</t>
  </si>
  <si>
    <t>Active Testing of Large Language Model via Multi-Stage Sampling</t>
  </si>
  <si>
    <t>2D-OOB: Attributing Data Contribution through Joint Valuation Framework</t>
  </si>
  <si>
    <t>Unlocking Exocentric Video-Language Data for Egocentric Video Representation Learning</t>
  </si>
  <si>
    <t>Underwater litter monitoring using consumer-grade aerial-aquatic speedy scanner (AASS) and deep learning based super-resolution reconstruction and detection network</t>
  </si>
  <si>
    <t>A Comparison of LLM Finetuning Methods &amp; Evaluation Metrics with Travel Chatbot Use Case</t>
  </si>
  <si>
    <t>MPC-Minimized Secure LLM Inference</t>
  </si>
  <si>
    <t>In2Core: Leveraging Influence Functions for Coreset Selection in Instruction Finetuning of Large Language Models</t>
  </si>
  <si>
    <t>Monitoring of Hermit Crabs Using drone-captured imagery and Deep Learning based Super-Resolution Reconstruction and Improved YOLOv8</t>
  </si>
  <si>
    <t>D2Styler: Advancing Arbitrary Style Transfer with Discrete Diffusion Methods</t>
  </si>
  <si>
    <t>VPOcc: Exploiting Vanishing Point for Monocular 3D Semantic Occupancy Prediction</t>
  </si>
  <si>
    <t>CLIP-based Point Cloud Classification via Point Cloud to Image Translation</t>
  </si>
  <si>
    <t>EXAONE 3.0 7.8B Instruction Tuned Language Model</t>
  </si>
  <si>
    <t>PoseMamba: Monocular 3D Human Pose Estimation with Bidirectional Global-Local Spatio-Temporal State Space Model</t>
  </si>
  <si>
    <t>PRTGS: Precomputed Radiance Transfer of Gaussian Splats for Real-Time High-Quality Relighting</t>
  </si>
  <si>
    <t>Lifelong Personalized Low-Rank Adaptation of Large Language Models for Recommendation</t>
  </si>
  <si>
    <t>Hierarchical learning control for autonomous robots inspired by central nervous system</t>
  </si>
  <si>
    <t>Needs specific focus on AI for AI fund</t>
  </si>
  <si>
    <t>Peter Thiel</t>
  </si>
  <si>
    <t>Signed toxic AI pledges</t>
  </si>
  <si>
    <t>Imagen 3 - Google</t>
  </si>
  <si>
    <t>2024</t>
  </si>
  <si>
    <t>Kraken: Inherently Parallel Transformers for Efficient Multi-Device Inference; arXiv 8/17/24</t>
  </si>
  <si>
    <t>https://arxiv.org/pdf/2408.07802</t>
  </si>
  <si>
    <t>Prabhakar et al. (Princeton)</t>
  </si>
  <si>
    <t>Parallelism</t>
  </si>
  <si>
    <t>Kraken</t>
  </si>
  <si>
    <t>model parallelism</t>
  </si>
  <si>
    <t>On Distillation of Guided Diffusion Models</t>
  </si>
  <si>
    <t>https://arxiv.org/pdf/2210.03142</t>
  </si>
  <si>
    <t>Boosting Diffusion Models with Moving Average Sampling in Frequency Domain*</t>
  </si>
  <si>
    <t>https://arxiv.org/pdf/2403.17870</t>
  </si>
  <si>
    <t>PRESENT: Zero-Shot Text-to-Prosody Control</t>
  </si>
  <si>
    <t>https://arxiv.org/pdf/2408.06827</t>
  </si>
  <si>
    <t>https://arxiv.org/pdf/2408.06954</t>
  </si>
  <si>
    <t>https://arxiv.org/pdf/2408.07020</t>
  </si>
  <si>
    <t>https://arxiv.org/pdf/2408.06906</t>
  </si>
  <si>
    <t>https://arxiv.org/pdf/2408.06942</t>
  </si>
  <si>
    <t>https://arxiv.org/pdf/2408.06854</t>
  </si>
  <si>
    <t>https://arxiv.org/pdf/2408.06740</t>
  </si>
  <si>
    <t>https://arxiv.org/pdf/2001.08950</t>
  </si>
  <si>
    <t>https://arxiv.org/pdf/2306.05708</t>
  </si>
  <si>
    <t>https://arxiv.org/pdf/2408.06995</t>
  </si>
  <si>
    <t>https://arxiv.org/pdf/2408.07009</t>
  </si>
  <si>
    <t>https://arxiv.org/pdf/2408.00766</t>
  </si>
  <si>
    <t>https://arxiv.org/pdf/2312.03491</t>
  </si>
  <si>
    <t>https://arxiv.org/abs/2404.02747</t>
  </si>
  <si>
    <t>https://arxiv.org/pdf/2309.09493</t>
  </si>
  <si>
    <t>https://github.com/resemble-ai/Resemblyzer</t>
  </si>
  <si>
    <t>https://github.com/OpenMachine-ai/transformer-tricks</t>
  </si>
  <si>
    <t>https://github.com/OpenGVLab/OmniQuant</t>
  </si>
  <si>
    <t>https://github.com/SJTU-IPADS/PowerInfer</t>
  </si>
  <si>
    <t>Medusa</t>
  </si>
  <si>
    <t>Torch7</t>
  </si>
  <si>
    <t>Lush</t>
  </si>
  <si>
    <t>Programming language by LeCun and Leon Bottou.</t>
  </si>
  <si>
    <t>Started in 2007 by Ronan Collobert, based on Lush. Lua-based predecessor to PyTorch.</t>
  </si>
  <si>
    <t>aka Torch, leading ML framework introduced 9/2016 by Adam Paszke, Sam Gross, Soumith Chintala, Gregory Chanan. First public release 1/18/17.</t>
  </si>
  <si>
    <t>Denoising: From Classical Methods to Deep CNNs. Jean-Eric Campagne.</t>
  </si>
  <si>
    <t>https://arxiv.org/pdf/2404.16617v1</t>
  </si>
  <si>
    <t>LAPTOP-Diff: Layer Pruning and Normalized Distillation for Compressing Diffusion Models</t>
  </si>
  <si>
    <t>https://arxiv.org/pdf/2404.11098</t>
  </si>
  <si>
    <t>Q-MRS: A Deep Learning Framework for Quantitative Magnetic Resonance Spectra Analysis</t>
  </si>
  <si>
    <t>Eagle: Exploring The Design Space for Multimodal LLMs with Mixture of Encoders</t>
  </si>
  <si>
    <t>Mamba or Transformer for Time Series Forecasting? Mixture of Universals (MoU) Is All You Need</t>
  </si>
  <si>
    <t>Spatio-Temporal Context Prompting for Zero-Shot Action Detection</t>
  </si>
  <si>
    <t>TEDRA: Text-based Editing of Dynamic and Photoreal Actors</t>
  </si>
  <si>
    <t>Perceive-IR: Learning to Perceive Degradation Better for All-in-One Image Restoration</t>
  </si>
  <si>
    <t>CoGen: Learning from Feedback with Coupled Comprehension and Generation</t>
  </si>
  <si>
    <t>Distribution Backtracking Builds A Faster Convergence Trajectory for One-step Diffusion Distillation</t>
  </si>
  <si>
    <t>In-Context Imitation Learning via Next-Token Prediction</t>
  </si>
  <si>
    <t>WebPilot: A Versatile and Autonomous Multi-Agent System for Web Task Execution with Strategic Exploration</t>
  </si>
  <si>
    <t>BattleAgentBench: A Benchmark for Evaluating Cooperation and Competition Capabilities of Language Models in Multi-Agent Systems</t>
  </si>
  <si>
    <t>Stability of Primal-Dual Gradient Flow Dynamics for Multi-Block Convex Optimization Problems</t>
  </si>
  <si>
    <t>More Text, Less Point: Towards 3D Data-Efficient Point-Language Understanding</t>
  </si>
  <si>
    <t>Efficient Slice Anomaly Detection Network for 3D Brain MRI Volume</t>
  </si>
  <si>
    <t>Generating Binary Species Range Maps</t>
  </si>
  <si>
    <t>Fall Detection for Smart Living using YOLOv5</t>
  </si>
  <si>
    <t>InstanSeg: an embedding-based instance segmentation algorithm optimized for accurate, efficient and portable cell segmentation</t>
  </si>
  <si>
    <t>Modeling and Analyzing the Influence of Non-Item Pages on Sequential Next-Item Prediction</t>
  </si>
  <si>
    <t>Atari-GPT: Investigating the Capabilities of Multimodal Large Language Models as Low-Level Policies for Atari Games</t>
  </si>
  <si>
    <t>SLAM2REF: Advancing Long-Term Mapping with 3D LiDAR and Reference Map Integration for Precise 6-DoF Trajectory Estimation and Map Extension</t>
  </si>
  <si>
    <t>Auxiliary Input in Training: Incorporating Catheter Features into Deep Learning Models for ECG-Free Dynamic Coronary Roadmapping</t>
  </si>
  <si>
    <t>Sigma Flows for Image and Data Labeling and Learning Structured Prediction</t>
  </si>
  <si>
    <t>Local Descriptors Weighted Adaptive Threshold Filtering For Few-Shot Learning</t>
  </si>
  <si>
    <t>Generalized Naive Bayes</t>
  </si>
  <si>
    <t>DiffAge3D: Diffusion-based 3D-aware Face Aging</t>
  </si>
  <si>
    <t>DeMoBot: Deformable Mobile Manipulation with Vision-based Sub-goal Retrieval</t>
  </si>
  <si>
    <t>Multi-modal Adversarial Training for Zero-Shot Voice Cloning</t>
  </si>
  <si>
    <t>Leveraging Open Knowledge for Advancing Task Expertise in Large Language Models</t>
  </si>
  <si>
    <t>CoRe: Context-Regularized Text Embedding Learning for Text-to-Image Personalization</t>
  </si>
  <si>
    <t>Decentralized LLM Inference over Edge Networks with Energy Harvesting</t>
  </si>
  <si>
    <t>Exploring the potential of AI in nurturing learner empathy, prosocial values and environmental stewardship</t>
  </si>
  <si>
    <t>MetaGFN: Exploring Distant Modes with Adapted Metadynamics for Continuous GFlowNets</t>
  </si>
  <si>
    <t>LLM-Based Multi-Hop Question Answering with Knowledge Graph Integration in Evolving Environments</t>
  </si>
  <si>
    <t>Nexus: Specialization meets Adaptability for Efficiently Training Mixture of Experts</t>
  </si>
  <si>
    <t>Gen-Swarms: Adapting Deep Generative Models to Swarms of Drones</t>
  </si>
  <si>
    <t>Airfoil Diffusion: Denoising Diffusion Model For Conditional Airfoil Generation</t>
  </si>
  <si>
    <t>A New Method for Cross-Lingual-based Semantic Role Labeling</t>
  </si>
  <si>
    <t>Bias in LLMs as Annotators: The Effect of Party Cues on Labelling Decision by Large Language Models</t>
  </si>
  <si>
    <t>The Role of Fibration Symmetries in Geometric Deep Learning</t>
  </si>
  <si>
    <t>Disentangled Diffusion Autoencoder for Harmonization of Multi-site Neuroimaging Data</t>
  </si>
  <si>
    <t>SpineMamba: Enhancing 3D Spinal Segmentation in Clinical Imaging through Residual Visual Mamba Layers and Shape Priors</t>
  </si>
  <si>
    <t>Enhancing Intrusion Detection in IoT Environments: An Advanced Ensemble Approach Using Kolmogorov-Arnold Networks</t>
  </si>
  <si>
    <t>LLaVA-MoD: Making LLaVA Tiny via MoE Knowledge Distillation</t>
  </si>
  <si>
    <t>Persuasion Games using Large Language Models</t>
  </si>
  <si>
    <t>Spoofing-Robust Speaker Verification Using Parallel Embedding Fusion: BTU Speech Group's Approach for ASVspoof5 Challenge</t>
  </si>
  <si>
    <t>Unleashing the Temporal-Spatial Reasoning Capacity of GPT for Training-Free Audio and Language Referenced Video Object Segmentation</t>
  </si>
  <si>
    <t>BIM-SLAM: Integrating BIM Models in Multi-session SLAM for Lifelong Mapping using 3D LiDAR</t>
  </si>
  <si>
    <t>Retrieval-Augmented Instruction Tuning for Automated Process Engineering Calculations : A Tool-Chaining Problem-Solving Framework with Attributable Reflection</t>
  </si>
  <si>
    <t>microYOLO: Towards Single-Shot Object Detection on Microcontrollers</t>
  </si>
  <si>
    <t>FlowAct: A Proactive Multimodal Human-robot Interaction System with Continuous Flow of Perception and Modular Action Sub-systems</t>
  </si>
  <si>
    <t>What is YOLOv8: An In-Depth Exploration of the Internal Features of the Next-Generation Object Detector</t>
  </si>
  <si>
    <t>Cartan-Schouten metrics for information geometry and machine learning</t>
  </si>
  <si>
    <t>chemtrain: Learning Deep Potential Models via Automatic Differentiation and Statistical Physics</t>
  </si>
  <si>
    <t>Shot Segmentation Based on Von Neumann Entropy for Key Frame Extraction</t>
  </si>
  <si>
    <t>Knowledge Navigator: LLM-guided Browsing Framework for Exploratory Search in Scientific Literature</t>
  </si>
  <si>
    <t>Network transferability of adversarial patches in real-time object detection</t>
  </si>
  <si>
    <t>SITransformer: Shared Information-Guided Transformer for Extreme Multimodal Summarization</t>
  </si>
  <si>
    <t>Automatic Differential Diagnosis using Transformer-Based Multi-Label Sequence Classification</t>
  </si>
  <si>
    <t>Benchmarking foundation models as feature extractors for weakly-supervised computational pathology</t>
  </si>
  <si>
    <t>MR-Adopt: Automatic Deduction of Input Transformation Function for Metamorphic Testing</t>
  </si>
  <si>
    <t>Visual Prompt Engineering for Medical Vision Language Models in Radiology</t>
  </si>
  <si>
    <t>ModalityMirror: Improving Audio Classification in Modality Heterogeneity Federated Learning with Multimodal Distillation</t>
  </si>
  <si>
    <t>Scaling Up Summarization: Leveraging Large Language Models for Long Text Extractive Summarization</t>
  </si>
  <si>
    <t>Emulating Brain-like Rapid Learning in Neuromorphic Edge Computing</t>
  </si>
  <si>
    <t>Evaluating Named Entity Recognition Using Few-Shot Prompting with Large Language Models</t>
  </si>
  <si>
    <t>Language Adaptation on a Tight Academic Compute Budget: Tokenizer Swapping Works and Pure bfloat16 Is Enough</t>
  </si>
  <si>
    <t>Efficient LLM Scheduling by Learning to Rank</t>
  </si>
  <si>
    <t>Interactive Agents: Simulating Counselor-Client Psychological Counseling via Role-Playing LLM-to-LLM Interactions</t>
  </si>
  <si>
    <t>Implicit Regularization Paths of Weighted Neural Representations</t>
  </si>
  <si>
    <t>LogicGame: Benchmarking Rule-Based Reasoning Abilities of Large Language Models</t>
  </si>
  <si>
    <t>A Survey on Facial Expression Recognition of Static and Dynamic Emotions</t>
  </si>
  <si>
    <t>Easy, Interpretable, Effective: openSMILE for voice deepfake detection</t>
  </si>
  <si>
    <t>wav2pos: Sound Source Localization using Masked Autoencoders</t>
  </si>
  <si>
    <t>A Survey on Evaluation of Multimodal Large Language Models</t>
  </si>
  <si>
    <t>Neural Network Equalizers and Successive Interference Cancellation for Bandlimited Channels with a Nonlinearity</t>
  </si>
  <si>
    <t>Harmonized Speculative Sampling</t>
  </si>
  <si>
    <t>A Neural Material Point Method for Particle-based Simulations</t>
  </si>
  <si>
    <t>Form and meaning co-determine the realization of tone in Taiwan Mandarin spontaneous speech: the case of Tone 3 sandhi</t>
  </si>
  <si>
    <t>A Hybrid Approach for Low-Complexity Joint Acoustic Echo and Noise Reduction</t>
  </si>
  <si>
    <t>Segmentation-guided Layer-wise Image Vectorization with Gradient Fills</t>
  </si>
  <si>
    <t>MambaPlace:Text-to-Point-Cloud Cross-Modal Place Recognition with Attention Mamba Mechanisms</t>
  </si>
  <si>
    <t>TCNFormer: Temporal Convolutional Network Former for Short-Term Wind Speed Forecasting</t>
  </si>
  <si>
    <t>LM-PUB-QUIZ: A Comprehensive Framework for Zero-Shot Evaluation of Relational Knowledge in Language Models</t>
  </si>
  <si>
    <t>An Evaluation of Sindhi Word Embedding in Semantic Analogies and Downstream Tasks</t>
  </si>
  <si>
    <t>Autoregressive model path dependence near Ising criticality</t>
  </si>
  <si>
    <t>Pixels to Prose: Understanding the art of Image Captioning</t>
  </si>
  <si>
    <t>Conan-embedding: General Text Embedding with More and Better Negative Samples</t>
  </si>
  <si>
    <t>Towards Realistic Example-based Modeling via 3D Gaussian Stitching</t>
  </si>
  <si>
    <t>Evaluating Model Robustness Using Adaptive Sparse L0 Regularization</t>
  </si>
  <si>
    <t>Comparing diversity, negativity, and stereotypes in Chinese-language AI technologies: a case study on Baidu, Ernie and Qwen</t>
  </si>
  <si>
    <t>G-Style: Stylized Gaussian Splatting</t>
  </si>
  <si>
    <t>Synthetic Forehead-creases Biometric Generation for Reliable User Verification</t>
  </si>
  <si>
    <t>TempoFormer: A Transformer for Temporally-aware Representations in Change Detection</t>
  </si>
  <si>
    <t>DEAR: Depth-Enhanced Action Recognition</t>
  </si>
  <si>
    <t>Deep Learning Based Speckle Filtering for Polarimetric SAR Images. Application to Sentinel-1</t>
  </si>
  <si>
    <t>VoxInstruct: Expressive Human Instruction-to-Speech Generation with Unified Multilingual Codec Language Modelling</t>
  </si>
  <si>
    <t>Towards reliable respiratory disease diagnosis based on cough sounds and vision transformers</t>
  </si>
  <si>
    <t>StyleRemix: Interpretable Authorship Obfuscation via Distillation and Perturbation of Style Elements</t>
  </si>
  <si>
    <t>Auxiliary-Loss-Free Load Balancing Strategy for Mixture-of-Experts</t>
  </si>
  <si>
    <t>NeuroVE: Brain-inspired Linear-Angular Velocity Estimation with Spiking Neural Networks</t>
  </si>
  <si>
    <t>Merging and Splitting Diffusion Paths for Semantically Coherent Panoramas</t>
  </si>
  <si>
    <t>An Empirical Study on Self-correcting Large Language Models for Data Science Code Generation</t>
  </si>
  <si>
    <t>Realigned Softmax Warping for Deep Metric Learning</t>
  </si>
  <si>
    <t>Online pre-training with long-form videos</t>
  </si>
  <si>
    <t>Harnessing the Intrinsic Knowledge of Pretrained Language Models for Challenging Text Classification Settings</t>
  </si>
  <si>
    <t>Leveraging Persistent Homology for Differential Diagnosis of Mild Cognitive Impairment</t>
  </si>
  <si>
    <t>MMDRFuse: Distilled Mini-Model with Dynamic Refresh for Multi-Modality Image Fusion</t>
  </si>
  <si>
    <t>GANs Conditioning Methods: A Survey</t>
  </si>
  <si>
    <t>CodeSift: An LLM-Based Reference-Less Framework for Automatic Code Validation</t>
  </si>
  <si>
    <t>Beyond Levenshtein: Leveraging Multiple Algorithms for Robust Word Error Rate Computations And Granular Error Classifications</t>
  </si>
  <si>
    <t>Geometry-guided Feature Learning and Fusion for Indoor Scene Reconstruction</t>
  </si>
  <si>
    <t>Grand canonical generative diffusion model for crystalline phases and grain boundaries</t>
  </si>
  <si>
    <t>Whisper-PMFA: Partial Multi-Scale Feature Aggregation for Speaker Verification using Whisper Models</t>
  </si>
  <si>
    <t>https://arxiv.org/pdf/2402.19481</t>
  </si>
  <si>
    <t>3D Whole-body Grasp Synthesis with Directional Controllability</t>
  </si>
  <si>
    <t>PromptSmooth: Certifying Robustness of Medical Vision-Language Models via Prompt Learning</t>
  </si>
  <si>
    <t>SAM2Point: Segment Any 3D as Videos in Zero-shot and Promptable Manners</t>
  </si>
  <si>
    <t>ReconX: Reconstruct Any Scene from Sparse Views with Video Diffusion Model</t>
  </si>
  <si>
    <t>CSGO: Content-Style Composition in Text-to-Image Generation</t>
  </si>
  <si>
    <t>OmniRe: Omni Urban Scene Reconstruction</t>
  </si>
  <si>
    <t>UV-free Texture Generation with Denoising and Geodesic Heat Diffusions</t>
  </si>
  <si>
    <t>A Score-Based Density Formula, with Applications in Diffusion Generative Models</t>
  </si>
  <si>
    <t>How Far Can Cantonese NLP Go? Benchmarking Cantonese Capabilities of Large Language Models</t>
  </si>
  <si>
    <t>https://arxiv.org/pdf/2404.13686</t>
  </si>
  <si>
    <t>DualKanbaFormer: Kolmogorov-Arnold Networks and State Space Model Transformer for Multimodal Aspect-based Sentiment Analysis</t>
  </si>
  <si>
    <t>Wav2Small: Distilling Wav2Vec2 to 72K parameters for Low-Resource Speech emotion recognition</t>
  </si>
  <si>
    <t>A Permuted Autoregressive Approach to Word-Level Recognition for Urdu Digital Text</t>
  </si>
  <si>
    <t>Docling Technical Report</t>
  </si>
  <si>
    <t>GAPS: A Large and Diverse Classical Guitar Dataset and Benchmark Transcription Model</t>
  </si>
  <si>
    <t>Minor DPO reject penalty to increase training robustness</t>
  </si>
  <si>
    <t>SSI</t>
  </si>
  <si>
    <t>Unknown</t>
  </si>
  <si>
    <t>Ilya Sutskever, Daniel Gross</t>
  </si>
  <si>
    <t>IDE</t>
  </si>
  <si>
    <t>https://arxiv.org/pdf/2405.16852</t>
  </si>
  <si>
    <t>https://arxiv.org/pdf/2407.10468</t>
  </si>
  <si>
    <t>https://arxiv.org/pdf/2404.05662</t>
  </si>
  <si>
    <t>Quantize</t>
  </si>
  <si>
    <t>https://arxiv.org/pdf/2404.13903</t>
  </si>
  <si>
    <t>https://arxiv.org/pdf/2406.16747</t>
  </si>
  <si>
    <t>Self-Evolving Depth-Supervised 3D Gaussian Splatting from Rendered Stereo Pairs</t>
  </si>
  <si>
    <t>DreamMesh: Jointly Manipulating and Texturing Triangle Meshes for Text-to-3D Generation</t>
  </si>
  <si>
    <t>"My Grade is Wrong!": A Contestable AI Framework for Interactive Feedback in Evaluating Student Essays</t>
  </si>
  <si>
    <t>Hi3D: Pursuing High-Resolution Image-to-3D Generation with Video Diffusion Models</t>
  </si>
  <si>
    <t>FreeEnhance: Tuning-Free Image Enhancement via Content-Consistent Noising-and-Denoising Process</t>
  </si>
  <si>
    <t>VMAS: Video-to-Music Generation via Semantic Alignment in Web Music Videos</t>
  </si>
  <si>
    <t>StereoCrafter: Diffusion-based Generation of Long and High-fidelity Stereoscopic 3D from Monocular Videos</t>
  </si>
  <si>
    <t>Instant Facial Gaussians Translator for Relightable and Interactable Facial Rendering</t>
  </si>
  <si>
    <t>A Suite for Acoustic Language Model Evaluation</t>
  </si>
  <si>
    <t>Asymptotics of Stochastic Gradient Descent with Dropout Regularization in Linear Models</t>
  </si>
  <si>
    <t>Synthetic continued pretraining</t>
  </si>
  <si>
    <t>Agent Workflow Memory</t>
  </si>
  <si>
    <t>Deep Neural Network-Based Sign Language Recognition: A Comprehensive Approach Using Transfer Learning with Explainability</t>
  </si>
  <si>
    <t>Controllable retinal image synthesis using conditional StyleGAN and latent space manipulation for improved diagnosis and grading of diabetic retinopathy</t>
  </si>
  <si>
    <t>Efficient One-Step Diffusion Refinement for Snapshot Compressive Imaging</t>
  </si>
  <si>
    <t>NVRC: Neural Video Representation Compression</t>
  </si>
  <si>
    <t>What to align in multimodal contrastive learning?</t>
  </si>
  <si>
    <t>Convergence of continuous-time stochastic gradient descent with applications to linear deep neural networks</t>
  </si>
  <si>
    <t>AdaCAD: Adaptively Decoding to Balance Conflicts between Contextual and Parametric Knowledge</t>
  </si>
  <si>
    <t>A Scalable Algorithm for Active Learning</t>
  </si>
  <si>
    <t>Recent Trends of Multimodal Affective Computing: A Survey from NLP Perspective</t>
  </si>
  <si>
    <t>A Contrastive Symmetric Forward-Forward Algorithm (SFFA) for Continual Learning Tasks</t>
  </si>
  <si>
    <t>FIRAL: An Active Learning Algorithm for Multinomial Logistic Regression</t>
  </si>
  <si>
    <t>Awaking the Slides: A Tuning-free and Knowledge-regulated AI Tutoring System via Language Model Coordination</t>
  </si>
  <si>
    <t>Enhancing Sequential Music Recommendation with Negative Feedback-informed Contrastive Learning</t>
  </si>
  <si>
    <t>Quantifying Knee Cartilage Shape and Lesion: From Image to Metrics</t>
  </si>
  <si>
    <t>Training-Free Guidance for Discrete Diffusion Models for Molecular Generation</t>
  </si>
  <si>
    <t>Think Together and Work Better: Combining Humans' and LLMs' Think-Aloud Outcomes for Effective Text Evaluation</t>
  </si>
  <si>
    <t>The Role of Explainable AI in Revolutionizing Human Health Monitoring</t>
  </si>
  <si>
    <t>ART: Artifact Removal Transformer for Reconstructing Noise-Free Multichannel Electroencephalographic Signals</t>
  </si>
  <si>
    <t>Three-Dimensional, Multimodal Synchrotron Data for Machine Learning Applications</t>
  </si>
  <si>
    <t>Integrating Bayesian Approaches and Expert Knowledge for Forecasting Continuous Glucose Monitoring Values in Type 2 Diabetes Mellitus</t>
  </si>
  <si>
    <t>MEDIC: Towards a Comprehensive Framework for Evaluating LLMs in Clinical Applications</t>
  </si>
  <si>
    <t>Optimizing Neural Network Performance and Interpretability with Diophantine Equation Encoding</t>
  </si>
  <si>
    <t>Non-Invasive Glucose Prediction System Enhanced by Mixed Linear Models and Meta-Forests for Domain Generalization</t>
  </si>
  <si>
    <t>Visual Compositional Data Analytics for Spatial Transcriptomics</t>
  </si>
  <si>
    <t>BLS-GAN: A Deep Layer Separation Framework for Eliminating Bone Overlap in Conventional Radiographs</t>
  </si>
  <si>
    <t>A Unified Contrastive Loss for Self-Training</t>
  </si>
  <si>
    <t>Exploring User-level Gradient Inversion with a Diffusion Prior</t>
  </si>
  <si>
    <t>Using Generative Agents to Create Tip Sheets for Investigative Data Reporting</t>
  </si>
  <si>
    <t>STORE: Streamlining Semantic Tokenization and Generative Recommendation with A Single LLM</t>
  </si>
  <si>
    <t>Tuning-Free Online Robust Principal Component Analysis through Implicit Regularization</t>
  </si>
  <si>
    <t>RePlay: a Recommendation Framework for Experimentation and Production Use</t>
  </si>
  <si>
    <t>CCFExp: Facial Image Synthesis with Cycle Cross-Fusion Diffusion Model for Facial Paralysis Individuals</t>
  </si>
  <si>
    <t>Realistic and Efficient Face Swapping: A Unified Approach with Diffusion Models</t>
  </si>
  <si>
    <t>Cross-Dialect Text-To-Speech in Pitch-Accent Language Incorporating Multi-Dialect Phoneme-Level BERT</t>
  </si>
  <si>
    <t>ManaTTS Persian: a recipe for creating TTS datasets for lower resource languages</t>
  </si>
  <si>
    <t>From optimal score matching to optimal sampling</t>
  </si>
  <si>
    <t>Retinex-RAWMamba: Bridging Demosaicing and Denoising for Low-Light RAW Image Enhancement</t>
  </si>
  <si>
    <t>SoftShadow: Leveraging Penumbra-Aware Soft Masks for Shadow Removal</t>
  </si>
  <si>
    <t>Beyond IID: Optimizing Instruction Learning from the Perspective of Instruction Interaction and Dependency</t>
  </si>
  <si>
    <t>Native vs Non-Native Language Prompting: A Comparative Analysis</t>
  </si>
  <si>
    <t>Legal Fact Prediction: Task Definition and Dataset Construction</t>
  </si>
  <si>
    <t>Automated Speaking Assessment of Conversation Tests with Novel Graph-based Modeling on Spoken Response Coherence</t>
  </si>
  <si>
    <t>Edge Modeling Activation Free Fourier Network for Spacecraft Image Denoising</t>
  </si>
  <si>
    <t>Latent Space Interpretation for Stylistic Analysis and Explainable Authorship Attribution</t>
  </si>
  <si>
    <t>Multimodal Emotion Recognition with Vision-language Prompting and Modality Dropout</t>
  </si>
  <si>
    <t>echemdb Toolkit -- a Lightweight Approach to Getting Data Ready for Data Management Solutions</t>
  </si>
  <si>
    <t>Understanding Knowledge Drift in LLMs through Misinformation</t>
  </si>
  <si>
    <t>Ontology-Free General-Domain Knowledge Graph-to-Text Generation Dataset Synthesis using Large Language Model</t>
  </si>
  <si>
    <t>TrialSynth: Generation of Synthetic Sequential Clinical Trial Data</t>
  </si>
  <si>
    <t>CWT-Net: Super-resolution of Histopathology Images Using a Cross-scale Wavelet-based Transformer</t>
  </si>
  <si>
    <t>Deep intra-operative illumination calibration of hyperspectral cameras</t>
  </si>
  <si>
    <t>Fast Medical Shape Reconstruction via Meta-learned Implicit Neural Representations</t>
  </si>
  <si>
    <t>Attention Down-Sampling Transformer, Relative Ranking and Self-Consistency for Blind Image Quality Assessment</t>
  </si>
  <si>
    <t>Cross-Refine: Improving Natural Language Explanation Generation by Learning in Tandem</t>
  </si>
  <si>
    <t>Deep Learning Techniques for Hand Vein Biometrics: A Comprehensive Review</t>
  </si>
  <si>
    <t>Reranking Laws for Language Generation: A Communication-Theoretic Perspective</t>
  </si>
  <si>
    <t>LLM-based feature generation from text for interpretable machine learning</t>
  </si>
  <si>
    <t>Gated Slot Attention for Efficient Linear-Time Sequence Modeling</t>
  </si>
  <si>
    <t>Zero-Shot Text-to-Speech as Golden Speech Generator: A Systematic Framework and its Applicability in Automatic Pronunciation Assessment</t>
  </si>
  <si>
    <t>A Fine-grained Sentiment Analysis of App Reviews using Large Language Models: An Evaluation Study</t>
  </si>
  <si>
    <t>Linear Time Complexity Conformers with SummaryMixing for Streaming Speech Recognition</t>
  </si>
  <si>
    <t>Learning Efficient Recursive Numeral Systems via Reinforcement Learning</t>
  </si>
  <si>
    <t>AC-IND: Sparse CT reconstruction based on attenuation coefficient estimation and implicit neural distribution</t>
  </si>
  <si>
    <t>Swin-LiteMedSAM: A Lightweight Box-Based Segment Anything Model for Large-Scale Medical Image Datasets</t>
  </si>
  <si>
    <t>Phy124: Fast Physics-Driven 4D Content Generation from a Single Image</t>
  </si>
  <si>
    <t>Enhancing Angular Resolution via Directionality Encoding and Geometric Constraints in Brain Diffusion Tensor Imaging</t>
  </si>
  <si>
    <t>FuXi-2.0: Advancing machine learning weather forecasting model for practical applications</t>
  </si>
  <si>
    <t>A Perspective on AI-Guided Molecular Simulations in VR: Exploring Strategies for Imitation Learning in Hyperdimensional Molecular Systems</t>
  </si>
  <si>
    <t>Applying Multi-Fidelity Bayesian Optimization in Chemistry: Open Challenges and Major Considerations</t>
  </si>
  <si>
    <t>Enhancing CTC-Based Visual Speech Recognition</t>
  </si>
  <si>
    <t>Muskits-ESPnet: A Comprehensive Toolkit for Singing Voice Synthesis in New Paradigm</t>
  </si>
  <si>
    <t>Optimizing the Weather Research and Forecasting Model with OpenMP Offload and Codee</t>
  </si>
  <si>
    <t>3DGCQA: A Quality Assessment Database for 3D AI-Generated Contents</t>
  </si>
  <si>
    <t>Diff-VPS: Video Polyp Segmentation via a Multi-task Diffusion Network with Adversarial Temporal Reasoning</t>
  </si>
  <si>
    <t>PiTe: Pixel-Temporal Alignment for Large Video-Language Model</t>
  </si>
  <si>
    <t>Single-View 3D Reconstruction via SO(2)-Equivariant Gaussian Sculpting Networks</t>
  </si>
  <si>
    <t>Bridging Quantitative and Qualitative Methods for Visualization Research: A Data/Semantics Perspective in Light of Advanced AI</t>
  </si>
  <si>
    <t>Alignment of Diffusion Models: Fundamentals, Challenges, and Future</t>
  </si>
  <si>
    <t>EMOdiffhead: Continuously Emotional Control in Talking Head Generation via Diffusion</t>
  </si>
  <si>
    <t>MRAC Track 1: 2nd Workshop on Multimodal, Generative and Responsible Affective Computing</t>
  </si>
  <si>
    <t>Caching</t>
  </si>
  <si>
    <t>RetrievalAttention</t>
  </si>
  <si>
    <t>https://arxiv.org/pdf/2409.10516</t>
  </si>
  <si>
    <t>SnapKV</t>
  </si>
  <si>
    <t>https://arxiv.org/pdf/2404.14469</t>
  </si>
  <si>
    <t>RetrievalAttention: Accelerating Long-Context LLM Inference via Vector Retrieval</t>
  </si>
  <si>
    <t>An Efficient Self-Learning Framework For Interactive Spoken Dialog Systems</t>
  </si>
  <si>
    <t>Pennsieve - A Collaborative Platform for Translational Neuroscience and Beyond</t>
  </si>
  <si>
    <t>Context-aware Code Segmentation for C-to-Rust Translation using Large Language Models</t>
  </si>
  <si>
    <t>DILA: Dictionary Label Attention for Mechanistic Interpretability in High-dimensional Multi-label Medical Coding Prediction</t>
  </si>
  <si>
    <t>Causal Language Modeling Can Elicit Search and Reasoning Capabilities on Logic Puzzles</t>
  </si>
  <si>
    <t>Partial Distribution Matching via Partial Wasserstein Adversarial Networks</t>
  </si>
  <si>
    <t>MusicLIME: Explainable Multimodal Music Understanding</t>
  </si>
  <si>
    <t>Incorporating Classifier-Free Guidance in Diffusion Model-Based Recommendation</t>
  </si>
  <si>
    <t>Flash STU: Fast Spectral Transform Units</t>
  </si>
  <si>
    <t>Do Pre-trained Vision-Language Models Encode Object States?</t>
  </si>
  <si>
    <t>Schrodinger's Memory: Large Language Models</t>
  </si>
  <si>
    <t>Exploring 3D Face Reconstruction and Fusion Methods for Face Verification: A Case-Study in Video Surveillance</t>
  </si>
  <si>
    <t>SimInversion: A Simple Framework for Inversion-Based Text-to-Image Editing</t>
  </si>
  <si>
    <t>MacDiff: Unified Skeleton Modeling with Masked Conditional Diffusion</t>
  </si>
  <si>
    <t>Kolmogorov-Arnold Networks in Low-Data Regimes: A Comparative Study with Multilayer Perceptrons</t>
  </si>
  <si>
    <t>Signed Graph Autoencoder for Explainable and Polarization-Aware Network Embeddings</t>
  </si>
  <si>
    <t>Charting EDA: Characterizing Interactive Visualization Use in Computational Notebooks with a Mixed-Methods Formalism</t>
  </si>
  <si>
    <t>KoroT-3E: A Personalized Musical Mnemonics Tool for Enhancing Memory Retention of Complex Computer Science Concepts</t>
  </si>
  <si>
    <t>Deep-Wide Learning Assistance for Insect Pest Classification</t>
  </si>
  <si>
    <t>Structure-preserving learning for multi-symplectic PDEs</t>
  </si>
  <si>
    <t>Meta-Whisper: Speech-Based Meta-ICL for ASR on Low-Resource Languages</t>
  </si>
  <si>
    <t>Learning Semi-Supervised Medical Image Segmentation from Spatial Registration</t>
  </si>
  <si>
    <t>A Knowledge-Enhanced Disease Diagnosis Method Based on Prompt Learning and BERT Integration</t>
  </si>
  <si>
    <t>MOST: MR reconstruction Optimization for multiple downStream Tasks via continual learning</t>
  </si>
  <si>
    <t>Prompt-and-Transfer: Dynamic Class-aware Enhancement for Few-shot Segmentation</t>
  </si>
  <si>
    <t>Revising the Structure of Recurrent Neural Networks to Eliminate Numerical Derivatives in Forming Physics Informed Loss Terms with Respect to Time</t>
  </si>
  <si>
    <t>Mamba-ST: State Space Model for Efficient Style Transfer</t>
  </si>
  <si>
    <t>Leveraging Joint Spectral and Spatial Learning with MAMBA for Multichannel Speech Enhancement</t>
  </si>
  <si>
    <t>Uncovering the Mechanism of Hepatotoxiciy of PFAS Targeting L-FABP Using GCN and Computational Modeling</t>
  </si>
  <si>
    <t>Robust image representations with counterfactual contrastive learning</t>
  </si>
  <si>
    <t>Frequency-Guided Masking for Enhanced Vision Self-Supervised Learning</t>
  </si>
  <si>
    <t>Ultra-Low Latency Speech Enhancement - A Comprehensive Study</t>
  </si>
  <si>
    <t>2D or not 2D: How Does the Dimensionality of Gesture Representation Affect 3D Co-Speech Gesture Generation?</t>
  </si>
  <si>
    <t>Learnings from a Large-Scale Deployment of an LLM-Powered Expert-in-the-Loop Healthcare Chatbot</t>
  </si>
  <si>
    <t>Taming Diffusion Models for Image Restoration: A Review</t>
  </si>
  <si>
    <t>Large Language Model Enhanced Hard Sample Identification for Denoising Recommendation</t>
  </si>
  <si>
    <t>VAE-QWGAN: Improving Quantum GANs for High Resolution Image Generation</t>
  </si>
  <si>
    <t>The 20 questions game to distinguish large language models</t>
  </si>
  <si>
    <t>Phys3DGS: Physically-based 3D Gaussian Splatting for Inverse Rendering</t>
  </si>
  <si>
    <t>Research and Design of a Financial Intelligent Risk Control Platform Based on Big Data Analysis and Deep Machine Learning</t>
  </si>
  <si>
    <t>Fuse4Seg: Image-Level Fusion Based Multi-Modality Medical Image Segmentation</t>
  </si>
  <si>
    <t>Baking Relightable NeRF for Real-time Direct/Indirect Illumination Rendering</t>
  </si>
  <si>
    <t>PASS: An Asynchronous Probabilistic Processor for Next Generation Intelligence</t>
  </si>
  <si>
    <t>How to do impactful research in artificial intelligence for chemistry and materials science</t>
  </si>
  <si>
    <t>On Synthetic Texture Datasets: Challenges, Creation, and Curation</t>
  </si>
  <si>
    <t>MGSA: Multi-granularity Graph Structure Attention for Knowledge Graph-to-Text Generation</t>
  </si>
  <si>
    <t>SPAC: Sampling-based Progressive Attribute Compression for Dense Point Clouds</t>
  </si>
  <si>
    <t>Anatomical Positional Embeddings</t>
  </si>
  <si>
    <t>Neuromorphic Spintronics</t>
  </si>
  <si>
    <t>ReflectDiffu: Reflect between Emotion-intent Contagion and Mimicry for Empathetic Response Generation via a RL-Diffusion Framework</t>
  </si>
  <si>
    <t>Enhancing Image Classification in Small and Unbalanced Datasets through Synthetic Data Augmentation</t>
  </si>
  <si>
    <t>DreamHead: Learning Spatial-Temporal Correspondence via Hierarchical Diffusion for Audio-driven Talking Head Synthesis</t>
  </si>
  <si>
    <t>Cognitive Kernel: An Open-source Agent System towards Generalist Autopilots</t>
  </si>
  <si>
    <t>Enhancing Personalized Recipe Recommendation Through Multi-Class Classification</t>
  </si>
  <si>
    <t>Model merging with SVD to tie the Knots</t>
  </si>
  <si>
    <t>The Potential and Value of AI Chatbot in Personalized Cognitive Training</t>
  </si>
  <si>
    <t>Rethinking Visual Dependency in Long-Context Reasoning for Large Vision-Language Models</t>
  </si>
  <si>
    <t>Counting Ability of Large Language Models and Impact of Tokenization</t>
  </si>
  <si>
    <t>FISHNET: Financial Intelligence from Sub-querying, Harmonizing, Neural-Conditioning, Expert Swarms, and Task Planning</t>
  </si>
  <si>
    <t>On the Benefits of Active Data Collection in Operator Learning</t>
  </si>
  <si>
    <t>Sparse Decomposition of Graph Neural Networks</t>
  </si>
  <si>
    <t>Temporal Convolution-based Hybrid Model Approach with Representation Learning for Real-Time Acoustic Anomaly Detection</t>
  </si>
  <si>
    <t>2D-DPO: Scaling Direct Preference Optimization with 2-Dimensional Supervision</t>
  </si>
  <si>
    <t>Arabic Music Classification and Generation using Deep Learning</t>
  </si>
  <si>
    <t>Evolving Neural Networks Reveal Emergent Collective Behavior from Minimal Agent Interactions</t>
  </si>
  <si>
    <t>Enhanced Anomaly Detection in Industrial Control Systems aided by Machine Learning</t>
  </si>
  <si>
    <t>Adversarial Environment Design via Regret-Guided Diffusion Models</t>
  </si>
  <si>
    <t>DA-VIL: Adaptive Dual-Arm Manipulation with Reinforcement Learning and Variable Impedance Control</t>
  </si>
  <si>
    <t>Super Gradient Descent: Global Optimization requires Global Gradient</t>
  </si>
  <si>
    <t>Robust Thompson Sampling Algorithms Against Reward Poisoning Attacks</t>
  </si>
  <si>
    <t>Multi-view biomedical foundation models for molecule-target and property prediction</t>
  </si>
  <si>
    <t>TimeSuite: Improving MLLMs for Long Video Understanding via Grounded Tuning</t>
  </si>
  <si>
    <t>IPPON: Common Sense Guided Informative Path Planning for Object Goal Navigation</t>
  </si>
  <si>
    <t>Less is More: Extreme Gradient Boost Rank-1 Adaption for Efficient Finetuning of LLMs</t>
  </si>
  <si>
    <t>MILES: Making Imitation Learning Easy with Self-Supervision</t>
  </si>
  <si>
    <t>AGENT-CQ: Automatic Generation and Evaluation of Clarifying Questions for Conversational Search with LLMs</t>
  </si>
  <si>
    <t>Deep Learning for Classification of Inflammatory Bowel Disease Activity in Whole Slide Images of Colonic Histopathology</t>
  </si>
  <si>
    <t>Optimizing Hearthstone Agents using an Evolutionary Algorithm</t>
  </si>
  <si>
    <t>DiffGS: Functional Gaussian Splatting Diffusion</t>
  </si>
  <si>
    <t>Deep learning-based identification of patients at increased risk of cancer using routine laboratory markers</t>
  </si>
  <si>
    <t>Impact of Leakage on Data Harmonization in Machine Learning Pipelines in Class Imbalance Across Sites</t>
  </si>
  <si>
    <t>$50m revenue. May raise at $8B. AI Grant batch 1.</t>
  </si>
  <si>
    <t>Poolside</t>
  </si>
  <si>
    <t>Coding</t>
  </si>
  <si>
    <t>Lightspeed Venture Partners, Kleiner Perkins, Sequoia</t>
  </si>
  <si>
    <t>MIT (MS)</t>
  </si>
  <si>
    <t>big boss</t>
  </si>
  <si>
    <t>traitor shithead</t>
  </si>
  <si>
    <t>X</t>
  </si>
  <si>
    <t>ScottGray76</t>
  </si>
  <si>
    <t>Traitor</t>
  </si>
  <si>
    <t>Started SSI after trying to fire SA.</t>
  </si>
  <si>
    <t>ex-SpaceX</t>
  </si>
  <si>
    <t>ex-Vicarious AI</t>
  </si>
  <si>
    <t>safetyist traitor</t>
  </si>
  <si>
    <t>Arthur Petron</t>
  </si>
  <si>
    <t>ex-Apple</t>
  </si>
  <si>
    <t>ex-Amazon</t>
  </si>
  <si>
    <t>left for SSI</t>
  </si>
  <si>
    <t>left for xAI. Codex (at least 7/14/21)</t>
  </si>
  <si>
    <t>traitor</t>
  </si>
  <si>
    <t>Rogo</t>
  </si>
  <si>
    <t>www.rogo.ai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</si>
</sst>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0.0%"/>
    <numFmt numFmtId="165" formatCode="#,##0.0"/>
    <numFmt numFmtId="166" formatCode="0.0"/>
    <numFmt numFmtId="167" formatCode="#,##0.000"/>
    <numFmt numFmtId="168" formatCode="0.000"/>
    <numFmt numFmtId="169" formatCode="0.0000"/>
  </numFmts>
  <fonts count="101">
    <font>
      <sz val="12"/>
      <color theme="1"/>
      <name val="Calibri"/>
      <family val="2"/>
      <scheme val="minor"/>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1"/>
      <color theme="1"/>
      <name val="Calibri"/>
      <family val="2"/>
      <scheme val="minor"/>
    </font>
    <font>
      <sz val="10"/>
      <color theme="1"/>
      <name val="Arial"/>
      <family val="2"/>
    </font>
    <font>
      <sz val="10"/>
      <color rgb="FF000000"/>
      <name val="Arial"/>
      <family val="2"/>
    </font>
    <font>
      <b/>
      <sz val="10"/>
      <color theme="1"/>
      <name val="Arial"/>
      <family val="2"/>
    </font>
    <font>
      <b/>
      <sz val="10"/>
      <color rgb="FF000000"/>
      <name val="Arial"/>
      <family val="2"/>
    </font>
    <font>
      <u/>
      <sz val="11"/>
      <color theme="10"/>
      <name val="Calibri"/>
      <family val="2"/>
      <scheme val="minor"/>
    </font>
    <font>
      <u/>
      <sz val="10"/>
      <color theme="10"/>
      <name val="Arial"/>
      <family val="2"/>
    </font>
    <font>
      <b/>
      <u/>
      <sz val="10"/>
      <color theme="1"/>
      <name val="Arial"/>
      <family val="2"/>
    </font>
    <font>
      <i/>
      <sz val="10"/>
      <color theme="1"/>
      <name val="Arial"/>
      <family val="2"/>
    </font>
    <font>
      <u/>
      <sz val="10"/>
      <color theme="10"/>
      <name val="Calibri"/>
      <family val="2"/>
      <scheme val="minor"/>
    </font>
    <font>
      <b/>
      <sz val="10"/>
      <color rgb="FFFF0000"/>
      <name val="Arial"/>
      <family val="2"/>
    </font>
    <font>
      <b/>
      <i/>
      <sz val="10"/>
      <color theme="1"/>
      <name val="Arial"/>
      <family val="2"/>
    </font>
    <font>
      <sz val="10"/>
      <color rgb="FFFF0000"/>
      <name val="Arial"/>
      <family val="2"/>
    </font>
    <font>
      <b/>
      <u/>
      <sz val="10"/>
      <color theme="10"/>
      <name val="Arial"/>
      <family val="2"/>
    </font>
    <font>
      <sz val="12"/>
      <color theme="1"/>
      <name val="Arial"/>
      <family val="2"/>
    </font>
    <font>
      <sz val="10"/>
      <name val="Arial"/>
      <family val="2"/>
    </font>
    <font>
      <b/>
      <sz val="10"/>
      <name val="Arial"/>
      <family val="2"/>
    </font>
    <font>
      <sz val="10"/>
      <color rgb="FF000000"/>
      <name val="Tahoma"/>
      <family val="2"/>
    </font>
    <font>
      <b/>
      <sz val="10"/>
      <color rgb="FF000000"/>
      <name val="Tahoma"/>
      <family val="2"/>
    </font>
    <font>
      <sz val="14"/>
      <color theme="1"/>
      <name val="Arial"/>
      <family val="2"/>
    </font>
    <font>
      <u/>
      <sz val="14"/>
      <color theme="10"/>
      <name val="Arial"/>
      <family val="2"/>
    </font>
    <font>
      <u/>
      <sz val="10"/>
      <color theme="1"/>
      <name val="Arial"/>
      <family val="2"/>
    </font>
    <font>
      <sz val="10"/>
      <color theme="10"/>
      <name val="Arial"/>
      <family val="2"/>
    </font>
    <font>
      <i/>
      <u/>
      <sz val="10"/>
      <color theme="10"/>
      <name val="Arial"/>
      <family val="2"/>
    </font>
    <font>
      <i/>
      <sz val="10"/>
      <name val="Arial"/>
      <family val="2"/>
    </font>
    <font>
      <i/>
      <sz val="12"/>
      <name val="KaTeX_Math"/>
    </font>
    <font>
      <sz val="12"/>
      <name val="Times New Roman"/>
      <family val="1"/>
    </font>
    <font>
      <sz val="12"/>
      <name val="KaTeX_Math"/>
    </font>
    <font>
      <i/>
      <vertAlign val="subscript"/>
      <sz val="12"/>
      <name val="Calibri Light"/>
      <family val="2"/>
    </font>
    <font>
      <vertAlign val="subscript"/>
      <sz val="12"/>
      <name val="Calibri Light"/>
      <family val="2"/>
    </font>
    <font>
      <i/>
      <vertAlign val="subscript"/>
      <sz val="12"/>
      <name val="KaTeX_Math"/>
    </font>
    <font>
      <vertAlign val="subscript"/>
      <sz val="12"/>
      <name val="Times New Roman"/>
      <family val="1"/>
    </font>
    <font>
      <u/>
      <sz val="12"/>
      <color theme="10"/>
      <name val="Arial"/>
      <family val="2"/>
    </font>
    <font>
      <b/>
      <sz val="12"/>
      <color theme="1"/>
      <name val="Arial"/>
      <family val="2"/>
    </font>
    <font>
      <b/>
      <u/>
      <sz val="12"/>
      <color theme="1"/>
      <name val="Arial"/>
      <family val="2"/>
    </font>
    <font>
      <sz val="12"/>
      <color theme="1"/>
      <name val="Calibri"/>
      <family val="2"/>
      <scheme val="minor"/>
    </font>
    <font>
      <u/>
      <sz val="12"/>
      <color theme="10"/>
      <name val="Calibri"/>
      <family val="2"/>
      <scheme val="minor"/>
    </font>
    <font>
      <u/>
      <sz val="12"/>
      <color theme="1"/>
      <name val="Arial"/>
      <family val="2"/>
    </font>
    <font>
      <strike/>
      <sz val="12"/>
      <color theme="1"/>
      <name val="Arial"/>
      <family val="2"/>
    </font>
    <font>
      <strike/>
      <u/>
      <sz val="12"/>
      <color theme="10"/>
      <name val="Arial"/>
      <family val="2"/>
    </font>
    <font>
      <i/>
      <strike/>
      <sz val="10"/>
      <color theme="1"/>
      <name val="Arial"/>
      <family val="2"/>
    </font>
    <font>
      <b/>
      <i/>
      <strike/>
      <sz val="10"/>
      <color theme="1"/>
      <name val="Arial"/>
      <family val="2"/>
    </font>
    <font>
      <i/>
      <strike/>
      <u/>
      <sz val="10"/>
      <color theme="10"/>
      <name val="Arial"/>
      <family val="2"/>
    </font>
    <font>
      <strike/>
      <sz val="10"/>
      <color theme="1"/>
      <name val="Arial"/>
      <family val="2"/>
    </font>
    <font>
      <i/>
      <strike/>
      <u/>
      <sz val="11"/>
      <color theme="10"/>
      <name val="Calibri"/>
      <family val="2"/>
      <scheme val="minor"/>
    </font>
    <font>
      <b/>
      <sz val="12"/>
      <color theme="1"/>
      <name val="Calibri"/>
      <family val="2"/>
      <scheme val="minor"/>
    </font>
    <font>
      <strike/>
      <sz val="12"/>
      <color theme="1"/>
      <name val="Calibri"/>
      <family val="2"/>
      <scheme val="minor"/>
    </font>
    <font>
      <b/>
      <u/>
      <sz val="10"/>
      <color theme="10"/>
      <name val="Calibri"/>
      <family val="2"/>
      <scheme val="minor"/>
    </font>
    <font>
      <sz val="10"/>
      <color theme="1"/>
      <name val="Calibri"/>
      <family val="2"/>
      <scheme val="minor"/>
    </font>
    <font>
      <strike/>
      <u/>
      <sz val="10"/>
      <color theme="10"/>
      <name val="Arial"/>
      <family val="2"/>
    </font>
    <font>
      <sz val="8"/>
      <name val="Calibri"/>
      <family val="2"/>
      <scheme val="minor"/>
    </font>
    <font>
      <strike/>
      <sz val="10"/>
      <name val="Arial"/>
      <family val="2"/>
    </font>
    <font>
      <strike/>
      <sz val="10"/>
      <color rgb="FFFF0000"/>
      <name val="Arial"/>
      <family val="2"/>
    </font>
    <font>
      <strike/>
      <sz val="10"/>
      <color rgb="FF000000"/>
      <name val="Arial"/>
      <family val="2"/>
    </font>
  </fonts>
  <fills count="15">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theme="5" tint="0.79998168889431442"/>
        <bgColor indexed="64"/>
      </patternFill>
    </fill>
    <fill>
      <patternFill patternType="solid">
        <fgColor theme="2" tint="-9.9978637043366805E-2"/>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2" tint="-0.249977111117893"/>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7" tint="0.39997558519241921"/>
        <bgColor indexed="64"/>
      </patternFill>
    </fill>
    <fill>
      <patternFill patternType="solid">
        <fgColor theme="9"/>
        <bgColor indexed="64"/>
      </patternFill>
    </fill>
    <fill>
      <patternFill patternType="solid">
        <fgColor theme="8" tint="0.79998168889431442"/>
        <bgColor indexed="64"/>
      </patternFill>
    </fill>
    <fill>
      <patternFill patternType="solid">
        <fgColor theme="9" tint="0.79998168889431442"/>
        <bgColor indexed="64"/>
      </patternFill>
    </fill>
  </fills>
  <borders count="4">
    <border>
      <left/>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s>
  <cellStyleXfs count="5">
    <xf numFmtId="0" fontId="0" fillId="0" borderId="0"/>
    <xf numFmtId="0" fontId="47" fillId="0" borderId="0"/>
    <xf numFmtId="0" fontId="52" fillId="0" borderId="0" applyNumberFormat="0" applyFill="0" applyBorder="0" applyAlignment="0" applyProtection="0"/>
    <xf numFmtId="0" fontId="48" fillId="0" borderId="0"/>
    <xf numFmtId="0" fontId="53" fillId="0" borderId="0" applyNumberFormat="0" applyFill="0" applyBorder="0" applyAlignment="0" applyProtection="0"/>
  </cellStyleXfs>
  <cellXfs count="526">
    <xf numFmtId="0" fontId="0" fillId="0" borderId="0" xfId="0"/>
    <xf numFmtId="0" fontId="48" fillId="0" borderId="0" xfId="1" applyFont="1"/>
    <xf numFmtId="0" fontId="48" fillId="0" borderId="0" xfId="1" applyFont="1" applyAlignment="1">
      <alignment horizontal="right"/>
    </xf>
    <xf numFmtId="3" fontId="48" fillId="0" borderId="0" xfId="1" applyNumberFormat="1" applyFont="1" applyAlignment="1">
      <alignment horizontal="right"/>
    </xf>
    <xf numFmtId="14" fontId="48" fillId="0" borderId="0" xfId="1" applyNumberFormat="1" applyFont="1" applyAlignment="1">
      <alignment horizontal="right"/>
    </xf>
    <xf numFmtId="3" fontId="48" fillId="0" borderId="0" xfId="1" applyNumberFormat="1" applyFont="1"/>
    <xf numFmtId="3" fontId="48" fillId="0" borderId="0" xfId="1" quotePrefix="1" applyNumberFormat="1" applyFont="1" applyAlignment="1">
      <alignment horizontal="right"/>
    </xf>
    <xf numFmtId="0" fontId="48" fillId="0" borderId="0" xfId="1" quotePrefix="1" applyFont="1"/>
    <xf numFmtId="4" fontId="48" fillId="0" borderId="0" xfId="1" applyNumberFormat="1" applyFont="1"/>
    <xf numFmtId="14" fontId="49" fillId="0" borderId="0" xfId="1" applyNumberFormat="1" applyFont="1" applyAlignment="1">
      <alignment horizontal="right"/>
    </xf>
    <xf numFmtId="3" fontId="49" fillId="0" borderId="0" xfId="1" applyNumberFormat="1" applyFont="1" applyAlignment="1">
      <alignment horizontal="right"/>
    </xf>
    <xf numFmtId="0" fontId="49" fillId="0" borderId="0" xfId="1" applyFont="1" applyAlignment="1">
      <alignment horizontal="right"/>
    </xf>
    <xf numFmtId="0" fontId="50" fillId="0" borderId="0" xfId="1" applyFont="1"/>
    <xf numFmtId="0" fontId="50" fillId="0" borderId="0" xfId="1" applyFont="1" applyAlignment="1">
      <alignment horizontal="right"/>
    </xf>
    <xf numFmtId="14" fontId="50" fillId="0" borderId="0" xfId="1" applyNumberFormat="1" applyFont="1" applyAlignment="1">
      <alignment horizontal="right"/>
    </xf>
    <xf numFmtId="3" fontId="50" fillId="0" borderId="0" xfId="1" applyNumberFormat="1" applyFont="1" applyAlignment="1">
      <alignment horizontal="right"/>
    </xf>
    <xf numFmtId="14" fontId="51" fillId="0" borderId="0" xfId="1" applyNumberFormat="1" applyFont="1" applyAlignment="1">
      <alignment horizontal="right"/>
    </xf>
    <xf numFmtId="3" fontId="51" fillId="0" borderId="0" xfId="1" applyNumberFormat="1" applyFont="1" applyAlignment="1">
      <alignment horizontal="right"/>
    </xf>
    <xf numFmtId="0" fontId="51" fillId="0" borderId="0" xfId="1" applyFont="1" applyAlignment="1">
      <alignment horizontal="right"/>
    </xf>
    <xf numFmtId="9" fontId="48" fillId="0" borderId="0" xfId="1" applyNumberFormat="1" applyFont="1"/>
    <xf numFmtId="164" fontId="48" fillId="0" borderId="0" xfId="1" applyNumberFormat="1" applyFont="1"/>
    <xf numFmtId="10" fontId="48" fillId="0" borderId="0" xfId="1" applyNumberFormat="1" applyFont="1"/>
    <xf numFmtId="164" fontId="50" fillId="0" borderId="0" xfId="1" applyNumberFormat="1" applyFont="1"/>
    <xf numFmtId="10" fontId="50" fillId="0" borderId="0" xfId="1" applyNumberFormat="1" applyFont="1"/>
    <xf numFmtId="0" fontId="50" fillId="0" borderId="0" xfId="1" applyFont="1" applyAlignment="1">
      <alignment horizontal="left"/>
    </xf>
    <xf numFmtId="0" fontId="53" fillId="0" borderId="0" xfId="2" applyFont="1"/>
    <xf numFmtId="0" fontId="54" fillId="0" borderId="0" xfId="1" applyFont="1"/>
    <xf numFmtId="14" fontId="55" fillId="0" borderId="0" xfId="1" applyNumberFormat="1" applyFont="1" applyAlignment="1">
      <alignment horizontal="right"/>
    </xf>
    <xf numFmtId="0" fontId="56" fillId="0" borderId="0" xfId="2" applyFont="1"/>
    <xf numFmtId="0" fontId="50" fillId="0" borderId="0" xfId="1" applyFont="1" applyAlignment="1">
      <alignment horizontal="center"/>
    </xf>
    <xf numFmtId="17" fontId="50" fillId="0" borderId="0" xfId="1" applyNumberFormat="1" applyFont="1"/>
    <xf numFmtId="0" fontId="50" fillId="0" borderId="0" xfId="1" quotePrefix="1" applyFont="1" applyAlignment="1">
      <alignment horizontal="right"/>
    </xf>
    <xf numFmtId="0" fontId="57" fillId="0" borderId="0" xfId="1" applyFont="1"/>
    <xf numFmtId="14" fontId="58" fillId="0" borderId="0" xfId="1" applyNumberFormat="1" applyFont="1" applyAlignment="1">
      <alignment horizontal="right"/>
    </xf>
    <xf numFmtId="0" fontId="59" fillId="0" borderId="0" xfId="1" applyFont="1"/>
    <xf numFmtId="17" fontId="50" fillId="0" borderId="0" xfId="1" quotePrefix="1" applyNumberFormat="1" applyFont="1" applyAlignment="1">
      <alignment horizontal="right"/>
    </xf>
    <xf numFmtId="0" fontId="50" fillId="0" borderId="0" xfId="1" quotePrefix="1" applyFont="1"/>
    <xf numFmtId="0" fontId="60" fillId="0" borderId="0" xfId="2" applyFont="1"/>
    <xf numFmtId="17" fontId="59" fillId="0" borderId="0" xfId="1" applyNumberFormat="1" applyFont="1"/>
    <xf numFmtId="3" fontId="55" fillId="0" borderId="0" xfId="1" applyNumberFormat="1" applyFont="1" applyAlignment="1">
      <alignment horizontal="right"/>
    </xf>
    <xf numFmtId="0" fontId="48" fillId="0" borderId="0" xfId="3"/>
    <xf numFmtId="0" fontId="53" fillId="0" borderId="0" xfId="4"/>
    <xf numFmtId="0" fontId="54" fillId="0" borderId="0" xfId="3" applyFont="1"/>
    <xf numFmtId="0" fontId="50" fillId="0" borderId="0" xfId="3" applyFont="1"/>
    <xf numFmtId="0" fontId="52" fillId="0" borderId="0" xfId="2"/>
    <xf numFmtId="0" fontId="48" fillId="0" borderId="0" xfId="0" applyFont="1"/>
    <xf numFmtId="3" fontId="50" fillId="0" borderId="0" xfId="1" applyNumberFormat="1" applyFont="1"/>
    <xf numFmtId="0" fontId="46" fillId="0" borderId="0" xfId="3" applyFont="1"/>
    <xf numFmtId="0" fontId="46" fillId="0" borderId="0" xfId="0" applyFont="1"/>
    <xf numFmtId="0" fontId="50" fillId="0" borderId="0" xfId="0" applyFont="1"/>
    <xf numFmtId="0" fontId="61" fillId="0" borderId="0" xfId="0" applyFont="1"/>
    <xf numFmtId="0" fontId="45" fillId="0" borderId="0" xfId="1" applyFont="1"/>
    <xf numFmtId="0" fontId="45" fillId="0" borderId="0" xfId="1" applyFont="1" applyAlignment="1">
      <alignment horizontal="right"/>
    </xf>
    <xf numFmtId="14" fontId="45" fillId="0" borderId="0" xfId="1" applyNumberFormat="1" applyFont="1" applyAlignment="1">
      <alignment horizontal="right"/>
    </xf>
    <xf numFmtId="0" fontId="44" fillId="0" borderId="0" xfId="1" applyFont="1"/>
    <xf numFmtId="0" fontId="44" fillId="0" borderId="0" xfId="1" applyFont="1" applyAlignment="1">
      <alignment horizontal="right"/>
    </xf>
    <xf numFmtId="14" fontId="44" fillId="0" borderId="0" xfId="1" applyNumberFormat="1" applyFont="1" applyAlignment="1">
      <alignment horizontal="right"/>
    </xf>
    <xf numFmtId="3" fontId="44" fillId="0" borderId="0" xfId="1" applyNumberFormat="1" applyFont="1" applyAlignment="1">
      <alignment horizontal="right"/>
    </xf>
    <xf numFmtId="0" fontId="62" fillId="0" borderId="0" xfId="1" applyFont="1"/>
    <xf numFmtId="0" fontId="62" fillId="0" borderId="0" xfId="2" applyFont="1"/>
    <xf numFmtId="0" fontId="63" fillId="0" borderId="0" xfId="1" applyFont="1"/>
    <xf numFmtId="3" fontId="62" fillId="0" borderId="0" xfId="1" applyNumberFormat="1" applyFont="1" applyAlignment="1">
      <alignment horizontal="right"/>
    </xf>
    <xf numFmtId="20" fontId="62" fillId="0" borderId="0" xfId="2" applyNumberFormat="1" applyFont="1"/>
    <xf numFmtId="165" fontId="62" fillId="0" borderId="0" xfId="1" applyNumberFormat="1" applyFont="1"/>
    <xf numFmtId="165" fontId="62" fillId="0" borderId="0" xfId="2" applyNumberFormat="1" applyFont="1"/>
    <xf numFmtId="165" fontId="63" fillId="0" borderId="0" xfId="1" applyNumberFormat="1" applyFont="1"/>
    <xf numFmtId="165" fontId="63" fillId="0" borderId="0" xfId="2" applyNumberFormat="1" applyFont="1"/>
    <xf numFmtId="46" fontId="62" fillId="0" borderId="0" xfId="1" quotePrefix="1" applyNumberFormat="1" applyFont="1" applyAlignment="1">
      <alignment horizontal="right"/>
    </xf>
    <xf numFmtId="20" fontId="62" fillId="0" borderId="0" xfId="1" applyNumberFormat="1" applyFont="1"/>
    <xf numFmtId="46" fontId="62" fillId="0" borderId="0" xfId="2" quotePrefix="1" applyNumberFormat="1" applyFont="1" applyAlignment="1">
      <alignment horizontal="right"/>
    </xf>
    <xf numFmtId="20" fontId="63" fillId="0" borderId="0" xfId="1" applyNumberFormat="1" applyFont="1"/>
    <xf numFmtId="20" fontId="63" fillId="0" borderId="0" xfId="2" applyNumberFormat="1" applyFont="1"/>
    <xf numFmtId="0" fontId="43" fillId="0" borderId="0" xfId="1" applyFont="1"/>
    <xf numFmtId="0" fontId="43" fillId="0" borderId="0" xfId="1" applyFont="1" applyAlignment="1">
      <alignment horizontal="center"/>
    </xf>
    <xf numFmtId="3" fontId="43" fillId="0" borderId="0" xfId="1" applyNumberFormat="1" applyFont="1" applyAlignment="1">
      <alignment horizontal="right"/>
    </xf>
    <xf numFmtId="0" fontId="43" fillId="0" borderId="0" xfId="1" applyFont="1" applyAlignment="1">
      <alignment horizontal="right"/>
    </xf>
    <xf numFmtId="0" fontId="43" fillId="0" borderId="0" xfId="1" applyFont="1" applyAlignment="1">
      <alignment horizontal="left"/>
    </xf>
    <xf numFmtId="14" fontId="43" fillId="0" borderId="0" xfId="1" applyNumberFormat="1" applyFont="1" applyAlignment="1">
      <alignment horizontal="right"/>
    </xf>
    <xf numFmtId="14" fontId="43" fillId="0" borderId="0" xfId="1" applyNumberFormat="1" applyFont="1"/>
    <xf numFmtId="3" fontId="43" fillId="2" borderId="0" xfId="1" applyNumberFormat="1" applyFont="1" applyFill="1" applyAlignment="1">
      <alignment horizontal="right"/>
    </xf>
    <xf numFmtId="3" fontId="43" fillId="0" borderId="0" xfId="1" applyNumberFormat="1" applyFont="1" applyAlignment="1">
      <alignment horizontal="left"/>
    </xf>
    <xf numFmtId="4" fontId="43" fillId="0" borderId="0" xfId="1" applyNumberFormat="1" applyFont="1" applyAlignment="1">
      <alignment horizontal="left"/>
    </xf>
    <xf numFmtId="14" fontId="43" fillId="0" borderId="0" xfId="1" applyNumberFormat="1" applyFont="1" applyAlignment="1">
      <alignment horizontal="left"/>
    </xf>
    <xf numFmtId="17" fontId="43" fillId="0" borderId="0" xfId="1" applyNumberFormat="1" applyFont="1"/>
    <xf numFmtId="17" fontId="43" fillId="0" borderId="0" xfId="1" quotePrefix="1" applyNumberFormat="1" applyFont="1" applyAlignment="1">
      <alignment horizontal="right"/>
    </xf>
    <xf numFmtId="14" fontId="43" fillId="0" borderId="0" xfId="1" quotePrefix="1" applyNumberFormat="1" applyFont="1" applyAlignment="1">
      <alignment horizontal="right"/>
    </xf>
    <xf numFmtId="0" fontId="43" fillId="0" borderId="0" xfId="1" quotePrefix="1" applyFont="1" applyAlignment="1">
      <alignment horizontal="right"/>
    </xf>
    <xf numFmtId="3" fontId="43" fillId="0" borderId="0" xfId="1" applyNumberFormat="1" applyFont="1"/>
    <xf numFmtId="0" fontId="43" fillId="0" borderId="0" xfId="1" quotePrefix="1" applyFont="1"/>
    <xf numFmtId="0" fontId="43" fillId="0" borderId="1" xfId="1" applyFont="1" applyBorder="1"/>
    <xf numFmtId="0" fontId="42" fillId="0" borderId="0" xfId="3" applyFont="1"/>
    <xf numFmtId="0" fontId="42" fillId="0" borderId="0" xfId="1" applyFont="1"/>
    <xf numFmtId="0" fontId="42" fillId="0" borderId="0" xfId="1" applyFont="1" applyAlignment="1">
      <alignment horizontal="right"/>
    </xf>
    <xf numFmtId="0" fontId="42" fillId="0" borderId="0" xfId="1" applyFont="1" applyAlignment="1">
      <alignment horizontal="left"/>
    </xf>
    <xf numFmtId="3" fontId="42" fillId="0" borderId="0" xfId="1" applyNumberFormat="1" applyFont="1" applyAlignment="1">
      <alignment horizontal="right"/>
    </xf>
    <xf numFmtId="0" fontId="42" fillId="0" borderId="0" xfId="0" applyFont="1"/>
    <xf numFmtId="0" fontId="42" fillId="0" borderId="0" xfId="1" applyFont="1" applyAlignment="1">
      <alignment horizontal="center"/>
    </xf>
    <xf numFmtId="0" fontId="66" fillId="0" borderId="0" xfId="0" applyFont="1"/>
    <xf numFmtId="14" fontId="42" fillId="0" borderId="0" xfId="1" applyNumberFormat="1" applyFont="1" applyAlignment="1">
      <alignment horizontal="left"/>
    </xf>
    <xf numFmtId="0" fontId="50" fillId="0" borderId="0" xfId="0" applyFont="1" applyAlignment="1">
      <alignment horizontal="right"/>
    </xf>
    <xf numFmtId="0" fontId="67" fillId="0" borderId="0" xfId="2" applyFont="1" applyAlignment="1"/>
    <xf numFmtId="0" fontId="53" fillId="0" borderId="0" xfId="2" applyFont="1" applyAlignment="1">
      <alignment horizontal="left"/>
    </xf>
    <xf numFmtId="3" fontId="42" fillId="0" borderId="0" xfId="1" applyNumberFormat="1" applyFont="1" applyAlignment="1">
      <alignment horizontal="left"/>
    </xf>
    <xf numFmtId="14" fontId="42" fillId="0" borderId="0" xfId="1" applyNumberFormat="1" applyFont="1" applyAlignment="1">
      <alignment horizontal="right"/>
    </xf>
    <xf numFmtId="9" fontId="42" fillId="0" borderId="0" xfId="1" applyNumberFormat="1" applyFont="1"/>
    <xf numFmtId="3" fontId="53" fillId="0" borderId="0" xfId="2" applyNumberFormat="1" applyFont="1" applyAlignment="1">
      <alignment horizontal="left"/>
    </xf>
    <xf numFmtId="0" fontId="41" fillId="0" borderId="0" xfId="1" applyFont="1"/>
    <xf numFmtId="0" fontId="40" fillId="0" borderId="0" xfId="0" applyFont="1"/>
    <xf numFmtId="0" fontId="40" fillId="0" borderId="0" xfId="3" applyFont="1"/>
    <xf numFmtId="0" fontId="40" fillId="0" borderId="0" xfId="3" applyFont="1" applyAlignment="1">
      <alignment horizontal="left"/>
    </xf>
    <xf numFmtId="0" fontId="54" fillId="0" borderId="0" xfId="3" applyFont="1" applyAlignment="1">
      <alignment horizontal="left"/>
    </xf>
    <xf numFmtId="0" fontId="40" fillId="8" borderId="2" xfId="3" applyFont="1" applyFill="1" applyBorder="1" applyAlignment="1">
      <alignment horizontal="left"/>
    </xf>
    <xf numFmtId="0" fontId="40" fillId="9" borderId="2" xfId="3" applyFont="1" applyFill="1" applyBorder="1" applyAlignment="1">
      <alignment horizontal="left"/>
    </xf>
    <xf numFmtId="0" fontId="40" fillId="5" borderId="2" xfId="3" applyFont="1" applyFill="1" applyBorder="1" applyAlignment="1">
      <alignment horizontal="left"/>
    </xf>
    <xf numFmtId="0" fontId="40" fillId="4" borderId="2" xfId="3" applyFont="1" applyFill="1" applyBorder="1" applyAlignment="1">
      <alignment horizontal="left"/>
    </xf>
    <xf numFmtId="0" fontId="40" fillId="9" borderId="2" xfId="3" applyFont="1" applyFill="1" applyBorder="1"/>
    <xf numFmtId="0" fontId="40" fillId="5" borderId="2" xfId="3" applyFont="1" applyFill="1" applyBorder="1"/>
    <xf numFmtId="0" fontId="40" fillId="10" borderId="2" xfId="3" applyFont="1" applyFill="1" applyBorder="1"/>
    <xf numFmtId="0" fontId="40" fillId="7" borderId="2" xfId="3" applyFont="1" applyFill="1" applyBorder="1" applyAlignment="1">
      <alignment horizontal="left"/>
    </xf>
    <xf numFmtId="0" fontId="40" fillId="4" borderId="2" xfId="3" applyFont="1" applyFill="1" applyBorder="1"/>
    <xf numFmtId="0" fontId="40" fillId="0" borderId="0" xfId="2" applyFont="1"/>
    <xf numFmtId="0" fontId="40" fillId="11" borderId="2" xfId="3" applyFont="1" applyFill="1" applyBorder="1"/>
    <xf numFmtId="0" fontId="40" fillId="8" borderId="2" xfId="3" applyFont="1" applyFill="1" applyBorder="1"/>
    <xf numFmtId="0" fontId="40" fillId="7" borderId="2" xfId="3" applyFont="1" applyFill="1" applyBorder="1"/>
    <xf numFmtId="0" fontId="40" fillId="11" borderId="2" xfId="3" applyFont="1" applyFill="1" applyBorder="1" applyAlignment="1">
      <alignment horizontal="left"/>
    </xf>
    <xf numFmtId="0" fontId="40" fillId="6" borderId="2" xfId="3" applyFont="1" applyFill="1" applyBorder="1"/>
    <xf numFmtId="0" fontId="40" fillId="0" borderId="0" xfId="0" applyFont="1" applyAlignment="1">
      <alignment horizontal="right"/>
    </xf>
    <xf numFmtId="17" fontId="40" fillId="0" borderId="0" xfId="0" applyNumberFormat="1" applyFont="1" applyAlignment="1">
      <alignment horizontal="right"/>
    </xf>
    <xf numFmtId="14" fontId="40" fillId="0" borderId="0" xfId="0" applyNumberFormat="1" applyFont="1" applyAlignment="1">
      <alignment horizontal="right"/>
    </xf>
    <xf numFmtId="17" fontId="50" fillId="0" borderId="0" xfId="0" applyNumberFormat="1" applyFont="1" applyAlignment="1">
      <alignment horizontal="right"/>
    </xf>
    <xf numFmtId="17" fontId="40" fillId="0" borderId="0" xfId="0" quotePrefix="1" applyNumberFormat="1" applyFont="1" applyAlignment="1">
      <alignment horizontal="right"/>
    </xf>
    <xf numFmtId="0" fontId="40" fillId="0" borderId="0" xfId="3" applyFont="1" applyAlignment="1">
      <alignment horizontal="center"/>
    </xf>
    <xf numFmtId="3" fontId="40" fillId="0" borderId="0" xfId="3" applyNumberFormat="1" applyFont="1" applyAlignment="1">
      <alignment horizontal="right"/>
    </xf>
    <xf numFmtId="0" fontId="40" fillId="0" borderId="0" xfId="3" applyFont="1" applyAlignment="1">
      <alignment horizontal="right"/>
    </xf>
    <xf numFmtId="0" fontId="40" fillId="0" borderId="0" xfId="1" applyFont="1"/>
    <xf numFmtId="0" fontId="68" fillId="0" borderId="0" xfId="3" applyFont="1"/>
    <xf numFmtId="0" fontId="40" fillId="3" borderId="2" xfId="3" applyFont="1" applyFill="1" applyBorder="1"/>
    <xf numFmtId="14" fontId="40" fillId="0" borderId="0" xfId="3" applyNumberFormat="1" applyFont="1" applyAlignment="1">
      <alignment horizontal="left"/>
    </xf>
    <xf numFmtId="0" fontId="69" fillId="0" borderId="0" xfId="2" applyFont="1"/>
    <xf numFmtId="0" fontId="40" fillId="0" borderId="0" xfId="1" applyFont="1" applyAlignment="1">
      <alignment horizontal="left"/>
    </xf>
    <xf numFmtId="0" fontId="40" fillId="0" borderId="0" xfId="1" applyFont="1" applyAlignment="1">
      <alignment horizontal="right"/>
    </xf>
    <xf numFmtId="14" fontId="66" fillId="0" borderId="0" xfId="0" applyNumberFormat="1" applyFont="1"/>
    <xf numFmtId="0" fontId="54" fillId="0" borderId="0" xfId="0" applyFont="1"/>
    <xf numFmtId="0" fontId="70" fillId="0" borderId="0" xfId="2" applyFont="1"/>
    <xf numFmtId="0" fontId="56" fillId="0" borderId="0" xfId="2" applyFont="1" applyAlignment="1">
      <alignment horizontal="left"/>
    </xf>
    <xf numFmtId="14" fontId="40" fillId="0" borderId="0" xfId="1" applyNumberFormat="1" applyFont="1" applyAlignment="1">
      <alignment horizontal="left"/>
    </xf>
    <xf numFmtId="3" fontId="40" fillId="0" borderId="0" xfId="0" applyNumberFormat="1" applyFont="1"/>
    <xf numFmtId="3" fontId="40" fillId="0" borderId="0" xfId="3" applyNumberFormat="1" applyFont="1" applyAlignment="1">
      <alignment horizontal="left"/>
    </xf>
    <xf numFmtId="0" fontId="53" fillId="0" borderId="0" xfId="4" applyAlignment="1">
      <alignment horizontal="left"/>
    </xf>
    <xf numFmtId="0" fontId="53" fillId="0" borderId="0" xfId="4" applyAlignment="1"/>
    <xf numFmtId="3" fontId="40" fillId="0" borderId="0" xfId="0" applyNumberFormat="1" applyFont="1" applyAlignment="1">
      <alignment horizontal="right"/>
    </xf>
    <xf numFmtId="0" fontId="52" fillId="0" borderId="0" xfId="2" applyAlignment="1">
      <alignment horizontal="left"/>
    </xf>
    <xf numFmtId="0" fontId="39" fillId="0" borderId="0" xfId="1" applyFont="1"/>
    <xf numFmtId="0" fontId="39" fillId="0" borderId="0" xfId="1" applyFont="1" applyAlignment="1">
      <alignment horizontal="right"/>
    </xf>
    <xf numFmtId="3" fontId="39" fillId="0" borderId="0" xfId="1" applyNumberFormat="1" applyFont="1" applyAlignment="1">
      <alignment horizontal="right"/>
    </xf>
    <xf numFmtId="14" fontId="39" fillId="0" borderId="0" xfId="1" applyNumberFormat="1" applyFont="1" applyAlignment="1">
      <alignment horizontal="right"/>
    </xf>
    <xf numFmtId="0" fontId="39" fillId="0" borderId="0" xfId="1" applyFont="1" applyAlignment="1">
      <alignment horizontal="left"/>
    </xf>
    <xf numFmtId="0" fontId="39" fillId="0" borderId="0" xfId="1" applyFont="1" applyAlignment="1">
      <alignment horizontal="center"/>
    </xf>
    <xf numFmtId="17" fontId="39" fillId="0" borderId="0" xfId="1" applyNumberFormat="1" applyFont="1"/>
    <xf numFmtId="0" fontId="39" fillId="0" borderId="0" xfId="3" applyFont="1"/>
    <xf numFmtId="0" fontId="39" fillId="0" borderId="0" xfId="3" applyFont="1" applyAlignment="1">
      <alignment horizontal="left"/>
    </xf>
    <xf numFmtId="0" fontId="39" fillId="0" borderId="0" xfId="0" applyFont="1"/>
    <xf numFmtId="3" fontId="52" fillId="0" borderId="0" xfId="2" applyNumberFormat="1" applyAlignment="1">
      <alignment horizontal="left"/>
    </xf>
    <xf numFmtId="14" fontId="39" fillId="0" borderId="0" xfId="3" applyNumberFormat="1" applyFont="1" applyAlignment="1">
      <alignment horizontal="left"/>
    </xf>
    <xf numFmtId="0" fontId="39" fillId="8" borderId="2" xfId="3" applyFont="1" applyFill="1" applyBorder="1" applyAlignment="1">
      <alignment horizontal="right"/>
    </xf>
    <xf numFmtId="0" fontId="38" fillId="0" borderId="0" xfId="1" applyFont="1"/>
    <xf numFmtId="0" fontId="38" fillId="0" borderId="0" xfId="1" applyFont="1" applyAlignment="1">
      <alignment horizontal="center"/>
    </xf>
    <xf numFmtId="3" fontId="38" fillId="0" borderId="0" xfId="1" applyNumberFormat="1" applyFont="1" applyAlignment="1">
      <alignment horizontal="right"/>
    </xf>
    <xf numFmtId="0" fontId="38" fillId="0" borderId="0" xfId="1" applyFont="1" applyAlignment="1">
      <alignment horizontal="right"/>
    </xf>
    <xf numFmtId="0" fontId="38" fillId="0" borderId="0" xfId="1" applyFont="1" applyAlignment="1">
      <alignment horizontal="left"/>
    </xf>
    <xf numFmtId="14" fontId="38" fillId="0" borderId="0" xfId="1" applyNumberFormat="1" applyFont="1" applyAlignment="1">
      <alignment horizontal="right"/>
    </xf>
    <xf numFmtId="17" fontId="38" fillId="0" borderId="0" xfId="1" applyNumberFormat="1" applyFont="1"/>
    <xf numFmtId="14" fontId="38" fillId="0" borderId="0" xfId="1" applyNumberFormat="1" applyFont="1"/>
    <xf numFmtId="0" fontId="37" fillId="0" borderId="0" xfId="1" applyFont="1"/>
    <xf numFmtId="0" fontId="37" fillId="0" borderId="0" xfId="1" applyFont="1" applyAlignment="1">
      <alignment horizontal="right"/>
    </xf>
    <xf numFmtId="0" fontId="36" fillId="0" borderId="0" xfId="3" applyFont="1"/>
    <xf numFmtId="0" fontId="36" fillId="0" borderId="0" xfId="1" applyFont="1"/>
    <xf numFmtId="0" fontId="36" fillId="0" borderId="0" xfId="1" applyFont="1" applyAlignment="1">
      <alignment horizontal="right"/>
    </xf>
    <xf numFmtId="3" fontId="36" fillId="0" borderId="0" xfId="1" applyNumberFormat="1" applyFont="1" applyAlignment="1">
      <alignment horizontal="right"/>
    </xf>
    <xf numFmtId="0" fontId="36" fillId="0" borderId="0" xfId="1" applyFont="1" applyAlignment="1">
      <alignment horizontal="left"/>
    </xf>
    <xf numFmtId="0" fontId="55" fillId="0" borderId="0" xfId="1" applyFont="1"/>
    <xf numFmtId="0" fontId="55" fillId="0" borderId="0" xfId="1" applyFont="1" applyAlignment="1">
      <alignment horizontal="center"/>
    </xf>
    <xf numFmtId="0" fontId="55" fillId="0" borderId="0" xfId="1" applyFont="1" applyAlignment="1">
      <alignment horizontal="left"/>
    </xf>
    <xf numFmtId="20" fontId="71" fillId="0" borderId="0" xfId="2" applyNumberFormat="1" applyFont="1"/>
    <xf numFmtId="0" fontId="36" fillId="0" borderId="0" xfId="1" applyFont="1" applyAlignment="1">
      <alignment horizontal="center"/>
    </xf>
    <xf numFmtId="14" fontId="36" fillId="0" borderId="0" xfId="1" applyNumberFormat="1" applyFont="1" applyAlignment="1">
      <alignment horizontal="right"/>
    </xf>
    <xf numFmtId="0" fontId="53" fillId="0" borderId="0" xfId="2" applyNumberFormat="1" applyFont="1"/>
    <xf numFmtId="0" fontId="36" fillId="0" borderId="0" xfId="1" quotePrefix="1" applyFont="1" applyAlignment="1">
      <alignment horizontal="right"/>
    </xf>
    <xf numFmtId="17" fontId="36" fillId="0" borderId="0" xfId="1" quotePrefix="1" applyNumberFormat="1" applyFont="1" applyAlignment="1">
      <alignment horizontal="right"/>
    </xf>
    <xf numFmtId="3" fontId="36" fillId="0" borderId="0" xfId="1" applyNumberFormat="1" applyFont="1" applyAlignment="1">
      <alignment horizontal="left"/>
    </xf>
    <xf numFmtId="17" fontId="36" fillId="0" borderId="0" xfId="1" applyNumberFormat="1" applyFont="1"/>
    <xf numFmtId="14" fontId="36" fillId="0" borderId="0" xfId="1" applyNumberFormat="1" applyFont="1"/>
    <xf numFmtId="14" fontId="36" fillId="0" borderId="0" xfId="1" applyNumberFormat="1" applyFont="1" applyAlignment="1">
      <alignment horizontal="left"/>
    </xf>
    <xf numFmtId="0" fontId="36" fillId="0" borderId="0" xfId="3" applyFont="1" applyAlignment="1">
      <alignment horizontal="left"/>
    </xf>
    <xf numFmtId="14" fontId="36" fillId="0" borderId="3" xfId="1" applyNumberFormat="1" applyFont="1" applyBorder="1" applyAlignment="1">
      <alignment horizontal="right"/>
    </xf>
    <xf numFmtId="0" fontId="36" fillId="2" borderId="0" xfId="1" applyFont="1" applyFill="1"/>
    <xf numFmtId="0" fontId="36" fillId="5" borderId="2" xfId="3" applyFont="1" applyFill="1" applyBorder="1"/>
    <xf numFmtId="0" fontId="36" fillId="8" borderId="2" xfId="3" applyFont="1" applyFill="1" applyBorder="1"/>
    <xf numFmtId="0" fontId="50" fillId="0" borderId="0" xfId="3" applyFont="1" applyAlignment="1">
      <alignment horizontal="left"/>
    </xf>
    <xf numFmtId="0" fontId="36" fillId="0" borderId="0" xfId="0" applyFont="1"/>
    <xf numFmtId="0" fontId="36" fillId="0" borderId="0" xfId="0" applyFont="1" applyAlignment="1">
      <alignment horizontal="right"/>
    </xf>
    <xf numFmtId="17" fontId="36" fillId="0" borderId="0" xfId="0" applyNumberFormat="1" applyFont="1" applyAlignment="1">
      <alignment horizontal="right"/>
    </xf>
    <xf numFmtId="0" fontId="48" fillId="0" borderId="0" xfId="0" applyFont="1" applyAlignment="1">
      <alignment horizontal="center"/>
    </xf>
    <xf numFmtId="0" fontId="36" fillId="0" borderId="0" xfId="0" applyFont="1" applyAlignment="1">
      <alignment horizontal="center"/>
    </xf>
    <xf numFmtId="0" fontId="35" fillId="0" borderId="0" xfId="1" applyFont="1"/>
    <xf numFmtId="0" fontId="35" fillId="0" borderId="0" xfId="3" applyFont="1"/>
    <xf numFmtId="0" fontId="35" fillId="0" borderId="0" xfId="0" applyFont="1"/>
    <xf numFmtId="0" fontId="35" fillId="0" borderId="0" xfId="3" applyFont="1" applyAlignment="1">
      <alignment horizontal="left"/>
    </xf>
    <xf numFmtId="0" fontId="35" fillId="0" borderId="0" xfId="0" applyFont="1" applyAlignment="1">
      <alignment horizontal="center"/>
    </xf>
    <xf numFmtId="0" fontId="68" fillId="0" borderId="0" xfId="0" applyFont="1"/>
    <xf numFmtId="0" fontId="68" fillId="0" borderId="0" xfId="0" applyFont="1" applyAlignment="1">
      <alignment horizontal="right"/>
    </xf>
    <xf numFmtId="3" fontId="35" fillId="0" borderId="0" xfId="1" applyNumberFormat="1" applyFont="1" applyAlignment="1">
      <alignment horizontal="right"/>
    </xf>
    <xf numFmtId="0" fontId="34" fillId="0" borderId="0" xfId="3" applyFont="1"/>
    <xf numFmtId="0" fontId="34" fillId="0" borderId="0" xfId="3" applyFont="1" applyAlignment="1">
      <alignment horizontal="left"/>
    </xf>
    <xf numFmtId="14" fontId="34" fillId="0" borderId="0" xfId="3" applyNumberFormat="1" applyFont="1" applyAlignment="1">
      <alignment horizontal="left"/>
    </xf>
    <xf numFmtId="0" fontId="34" fillId="0" borderId="0" xfId="1" applyFont="1" applyAlignment="1">
      <alignment horizontal="center"/>
    </xf>
    <xf numFmtId="0" fontId="34" fillId="0" borderId="0" xfId="1" applyFont="1"/>
    <xf numFmtId="0" fontId="34" fillId="0" borderId="0" xfId="1" applyFont="1" applyAlignment="1">
      <alignment horizontal="left"/>
    </xf>
    <xf numFmtId="0" fontId="53" fillId="0" borderId="0" xfId="2" applyFont="1" applyBorder="1"/>
    <xf numFmtId="20" fontId="62" fillId="0" borderId="0" xfId="2" applyNumberFormat="1" applyFont="1" applyBorder="1"/>
    <xf numFmtId="0" fontId="34" fillId="0" borderId="0" xfId="0" applyFont="1"/>
    <xf numFmtId="3" fontId="34" fillId="0" borderId="0" xfId="1" applyNumberFormat="1" applyFont="1" applyAlignment="1">
      <alignment horizontal="right"/>
    </xf>
    <xf numFmtId="14" fontId="34" fillId="0" borderId="0" xfId="1" applyNumberFormat="1" applyFont="1" applyAlignment="1">
      <alignment horizontal="right"/>
    </xf>
    <xf numFmtId="14" fontId="43" fillId="2" borderId="0" xfId="1" applyNumberFormat="1" applyFont="1" applyFill="1" applyAlignment="1">
      <alignment horizontal="right"/>
    </xf>
    <xf numFmtId="1" fontId="36" fillId="0" borderId="0" xfId="1" applyNumberFormat="1" applyFont="1" applyAlignment="1">
      <alignment horizontal="right"/>
    </xf>
    <xf numFmtId="1" fontId="38" fillId="0" borderId="0" xfId="1" applyNumberFormat="1" applyFont="1" applyAlignment="1">
      <alignment horizontal="right"/>
    </xf>
    <xf numFmtId="14" fontId="34" fillId="0" borderId="0" xfId="1" applyNumberFormat="1" applyFont="1"/>
    <xf numFmtId="0" fontId="34" fillId="0" borderId="0" xfId="1" applyFont="1" applyAlignment="1">
      <alignment horizontal="right"/>
    </xf>
    <xf numFmtId="0" fontId="53" fillId="2" borderId="0" xfId="2" applyFont="1" applyFill="1" applyAlignment="1">
      <alignment horizontal="left"/>
    </xf>
    <xf numFmtId="0" fontId="40" fillId="0" borderId="0" xfId="3" applyFont="1" applyAlignment="1">
      <alignment wrapText="1"/>
    </xf>
    <xf numFmtId="0" fontId="33" fillId="0" borderId="0" xfId="0" applyFont="1"/>
    <xf numFmtId="0" fontId="33" fillId="0" borderId="0" xfId="0" applyFont="1" applyAlignment="1">
      <alignment horizontal="right"/>
    </xf>
    <xf numFmtId="0" fontId="33" fillId="0" borderId="0" xfId="3" applyFont="1"/>
    <xf numFmtId="17" fontId="33" fillId="0" borderId="0" xfId="0" applyNumberFormat="1" applyFont="1" applyAlignment="1">
      <alignment horizontal="right"/>
    </xf>
    <xf numFmtId="0" fontId="33" fillId="0" borderId="0" xfId="0" applyFont="1" applyAlignment="1">
      <alignment horizontal="left"/>
    </xf>
    <xf numFmtId="0" fontId="33" fillId="0" borderId="0" xfId="3" applyFont="1" applyAlignment="1">
      <alignment horizontal="right"/>
    </xf>
    <xf numFmtId="0" fontId="32" fillId="0" borderId="0" xfId="0" applyFont="1"/>
    <xf numFmtId="0" fontId="32" fillId="0" borderId="0" xfId="1" applyFont="1" applyAlignment="1">
      <alignment horizontal="center"/>
    </xf>
    <xf numFmtId="0" fontId="32" fillId="0" borderId="0" xfId="1" applyFont="1"/>
    <xf numFmtId="14" fontId="32" fillId="0" borderId="0" xfId="1" applyNumberFormat="1" applyFont="1"/>
    <xf numFmtId="0" fontId="32" fillId="0" borderId="0" xfId="1" applyFont="1" applyAlignment="1">
      <alignment horizontal="left"/>
    </xf>
    <xf numFmtId="0" fontId="32" fillId="0" borderId="0" xfId="1" applyFont="1" applyAlignment="1">
      <alignment horizontal="right"/>
    </xf>
    <xf numFmtId="0" fontId="66" fillId="0" borderId="0" xfId="0" applyFont="1" applyAlignment="1">
      <alignment horizontal="right"/>
    </xf>
    <xf numFmtId="0" fontId="32" fillId="0" borderId="0" xfId="0" applyFont="1" applyAlignment="1">
      <alignment horizontal="right"/>
    </xf>
    <xf numFmtId="0" fontId="32" fillId="0" borderId="0" xfId="0" applyFont="1" applyAlignment="1">
      <alignment horizontal="left"/>
    </xf>
    <xf numFmtId="0" fontId="32" fillId="0" borderId="0" xfId="3" applyFont="1"/>
    <xf numFmtId="0" fontId="32" fillId="0" borderId="0" xfId="3" applyFont="1" applyAlignment="1">
      <alignment horizontal="left"/>
    </xf>
    <xf numFmtId="14" fontId="32" fillId="0" borderId="0" xfId="1" applyNumberFormat="1" applyFont="1" applyAlignment="1">
      <alignment horizontal="right"/>
    </xf>
    <xf numFmtId="3" fontId="32" fillId="0" borderId="0" xfId="1" applyNumberFormat="1" applyFont="1"/>
    <xf numFmtId="14" fontId="50" fillId="0" borderId="0" xfId="1" applyNumberFormat="1" applyFont="1"/>
    <xf numFmtId="0" fontId="32" fillId="0" borderId="0" xfId="0" applyFont="1" applyAlignment="1">
      <alignment horizontal="center"/>
    </xf>
    <xf numFmtId="0" fontId="53" fillId="0" borderId="0" xfId="2" applyNumberFormat="1" applyFont="1" applyAlignment="1"/>
    <xf numFmtId="1" fontId="43" fillId="0" borderId="0" xfId="1" applyNumberFormat="1" applyFont="1"/>
    <xf numFmtId="0" fontId="32" fillId="2" borderId="0" xfId="1" applyFont="1" applyFill="1"/>
    <xf numFmtId="0" fontId="32" fillId="3" borderId="0" xfId="1" applyFont="1" applyFill="1"/>
    <xf numFmtId="0" fontId="32" fillId="8" borderId="2" xfId="3" applyFont="1" applyFill="1" applyBorder="1"/>
    <xf numFmtId="0" fontId="32" fillId="0" borderId="0" xfId="2" applyFont="1"/>
    <xf numFmtId="4" fontId="40" fillId="0" borderId="0" xfId="0" applyNumberFormat="1" applyFont="1"/>
    <xf numFmtId="0" fontId="32" fillId="0" borderId="0" xfId="3" applyFont="1" applyAlignment="1">
      <alignment wrapText="1"/>
    </xf>
    <xf numFmtId="0" fontId="50" fillId="3" borderId="0" xfId="1" applyFont="1" applyFill="1"/>
    <xf numFmtId="0" fontId="55" fillId="3" borderId="0" xfId="1" applyFont="1" applyFill="1"/>
    <xf numFmtId="0" fontId="32" fillId="3" borderId="0" xfId="0" applyFont="1" applyFill="1"/>
    <xf numFmtId="4" fontId="61" fillId="0" borderId="0" xfId="0" applyNumberFormat="1" applyFont="1"/>
    <xf numFmtId="0" fontId="31" fillId="0" borderId="0" xfId="0" applyFont="1"/>
    <xf numFmtId="0" fontId="31" fillId="0" borderId="0" xfId="1" applyFont="1"/>
    <xf numFmtId="0" fontId="31" fillId="0" borderId="0" xfId="1" applyFont="1" applyAlignment="1">
      <alignment horizontal="right"/>
    </xf>
    <xf numFmtId="3" fontId="31" fillId="0" borderId="0" xfId="1" applyNumberFormat="1" applyFont="1" applyAlignment="1">
      <alignment horizontal="right"/>
    </xf>
    <xf numFmtId="0" fontId="31" fillId="0" borderId="0" xfId="1" applyFont="1" applyAlignment="1">
      <alignment horizontal="left"/>
    </xf>
    <xf numFmtId="3" fontId="31" fillId="0" borderId="0" xfId="1" applyNumberFormat="1" applyFont="1"/>
    <xf numFmtId="0" fontId="30" fillId="0" borderId="0" xfId="0" applyFont="1"/>
    <xf numFmtId="0" fontId="30" fillId="0" borderId="0" xfId="3" applyFont="1"/>
    <xf numFmtId="0" fontId="30" fillId="0" borderId="0" xfId="3" applyFont="1" applyAlignment="1">
      <alignment horizontal="left"/>
    </xf>
    <xf numFmtId="0" fontId="29" fillId="0" borderId="0" xfId="3" applyFont="1"/>
    <xf numFmtId="0" fontId="72" fillId="0" borderId="0" xfId="0" applyFont="1"/>
    <xf numFmtId="0" fontId="29" fillId="0" borderId="0" xfId="1" applyFont="1"/>
    <xf numFmtId="0" fontId="29" fillId="0" borderId="0" xfId="1" applyFont="1" applyAlignment="1">
      <alignment horizontal="center"/>
    </xf>
    <xf numFmtId="17" fontId="43" fillId="0" borderId="0" xfId="1" applyNumberFormat="1" applyFont="1" applyAlignment="1">
      <alignment horizontal="right"/>
    </xf>
    <xf numFmtId="0" fontId="29" fillId="0" borderId="0" xfId="0" applyFont="1"/>
    <xf numFmtId="0" fontId="29" fillId="0" borderId="0" xfId="3" applyFont="1" applyAlignment="1">
      <alignment horizontal="left"/>
    </xf>
    <xf numFmtId="0" fontId="29" fillId="8" borderId="2" xfId="3" applyFont="1" applyFill="1" applyBorder="1"/>
    <xf numFmtId="0" fontId="79" fillId="0" borderId="0" xfId="2" applyFont="1"/>
    <xf numFmtId="0" fontId="80" fillId="0" borderId="0" xfId="0" applyFont="1"/>
    <xf numFmtId="0" fontId="81" fillId="0" borderId="0" xfId="0" applyFont="1"/>
    <xf numFmtId="14" fontId="61" fillId="0" borderId="0" xfId="0" applyNumberFormat="1" applyFont="1"/>
    <xf numFmtId="3" fontId="61" fillId="0" borderId="0" xfId="0" applyNumberFormat="1" applyFont="1"/>
    <xf numFmtId="0" fontId="83" fillId="0" borderId="0" xfId="2" applyFont="1"/>
    <xf numFmtId="0" fontId="82" fillId="0" borderId="0" xfId="0" applyFont="1"/>
    <xf numFmtId="0" fontId="84" fillId="0" borderId="0" xfId="0" applyFont="1" applyAlignment="1">
      <alignment horizontal="right"/>
    </xf>
    <xf numFmtId="0" fontId="61" fillId="0" borderId="0" xfId="0" applyFont="1" applyAlignment="1">
      <alignment horizontal="right"/>
    </xf>
    <xf numFmtId="168" fontId="61" fillId="0" borderId="0" xfId="0" applyNumberFormat="1" applyFont="1"/>
    <xf numFmtId="167" fontId="61" fillId="0" borderId="0" xfId="0" applyNumberFormat="1" applyFont="1"/>
    <xf numFmtId="0" fontId="85" fillId="0" borderId="0" xfId="0" applyFont="1"/>
    <xf numFmtId="4" fontId="85" fillId="0" borderId="0" xfId="0" applyNumberFormat="1" applyFont="1"/>
    <xf numFmtId="0" fontId="85" fillId="0" borderId="0" xfId="0" applyFont="1" applyAlignment="1">
      <alignment horizontal="right"/>
    </xf>
    <xf numFmtId="167" fontId="85" fillId="0" borderId="0" xfId="0" applyNumberFormat="1" applyFont="1"/>
    <xf numFmtId="0" fontId="61" fillId="0" borderId="0" xfId="1" applyFont="1"/>
    <xf numFmtId="0" fontId="61" fillId="0" borderId="0" xfId="0" applyFont="1" applyAlignment="1">
      <alignment horizontal="left"/>
    </xf>
    <xf numFmtId="0" fontId="79" fillId="0" borderId="0" xfId="2" applyFont="1" applyAlignment="1">
      <alignment horizontal="left"/>
    </xf>
    <xf numFmtId="0" fontId="84" fillId="0" borderId="0" xfId="0" applyFont="1" applyAlignment="1">
      <alignment horizontal="left"/>
    </xf>
    <xf numFmtId="0" fontId="86" fillId="0" borderId="0" xfId="2" applyFont="1" applyAlignment="1">
      <alignment horizontal="left"/>
    </xf>
    <xf numFmtId="0" fontId="85" fillId="0" borderId="0" xfId="0" applyFont="1" applyAlignment="1">
      <alignment horizontal="left"/>
    </xf>
    <xf numFmtId="0" fontId="82" fillId="0" borderId="0" xfId="0" applyFont="1" applyAlignment="1">
      <alignment horizontal="left"/>
    </xf>
    <xf numFmtId="0" fontId="61" fillId="0" borderId="0" xfId="0" quotePrefix="1" applyFont="1" applyAlignment="1">
      <alignment horizontal="left"/>
    </xf>
    <xf numFmtId="4" fontId="82" fillId="0" borderId="0" xfId="0" applyNumberFormat="1" applyFont="1"/>
    <xf numFmtId="0" fontId="82" fillId="0" borderId="0" xfId="0" applyFont="1" applyAlignment="1">
      <alignment horizontal="center"/>
    </xf>
    <xf numFmtId="0" fontId="84" fillId="0" borderId="0" xfId="0" applyFont="1" applyAlignment="1">
      <alignment horizontal="center"/>
    </xf>
    <xf numFmtId="4" fontId="82" fillId="0" borderId="0" xfId="0" applyNumberFormat="1" applyFont="1" applyAlignment="1">
      <alignment horizontal="center"/>
    </xf>
    <xf numFmtId="0" fontId="0" fillId="0" borderId="0" xfId="0" applyAlignment="1">
      <alignment horizontal="center"/>
    </xf>
    <xf numFmtId="0" fontId="29" fillId="0" borderId="0" xfId="3" applyFont="1" applyAlignment="1">
      <alignment wrapText="1"/>
    </xf>
    <xf numFmtId="14" fontId="29" fillId="0" borderId="0" xfId="0" applyNumberFormat="1" applyFont="1" applyAlignment="1">
      <alignment horizontal="right"/>
    </xf>
    <xf numFmtId="0" fontId="29" fillId="0" borderId="0" xfId="0" applyFont="1" applyAlignment="1">
      <alignment horizontal="right"/>
    </xf>
    <xf numFmtId="0" fontId="87" fillId="0" borderId="0" xfId="0" applyFont="1"/>
    <xf numFmtId="17" fontId="87" fillId="0" borderId="0" xfId="0" applyNumberFormat="1" applyFont="1" applyAlignment="1">
      <alignment horizontal="right"/>
    </xf>
    <xf numFmtId="17" fontId="88" fillId="0" borderId="0" xfId="0" applyNumberFormat="1" applyFont="1" applyAlignment="1">
      <alignment horizontal="right"/>
    </xf>
    <xf numFmtId="0" fontId="89" fillId="0" borderId="0" xfId="2" applyFont="1"/>
    <xf numFmtId="0" fontId="88" fillId="0" borderId="0" xfId="0" applyFont="1"/>
    <xf numFmtId="14" fontId="88" fillId="0" borderId="0" xfId="0" applyNumberFormat="1" applyFont="1" applyAlignment="1">
      <alignment horizontal="right"/>
    </xf>
    <xf numFmtId="0" fontId="90" fillId="0" borderId="0" xfId="0" applyFont="1"/>
    <xf numFmtId="0" fontId="91" fillId="0" borderId="0" xfId="2" applyFont="1"/>
    <xf numFmtId="0" fontId="87" fillId="0" borderId="0" xfId="0" applyFont="1" applyAlignment="1">
      <alignment horizontal="right"/>
    </xf>
    <xf numFmtId="0" fontId="61" fillId="0" borderId="0" xfId="2" applyFont="1"/>
    <xf numFmtId="0" fontId="80" fillId="12" borderId="0" xfId="0" applyFont="1" applyFill="1"/>
    <xf numFmtId="0" fontId="61" fillId="13" borderId="0" xfId="0" applyFont="1" applyFill="1"/>
    <xf numFmtId="0" fontId="29" fillId="14" borderId="2" xfId="3" applyFont="1" applyFill="1" applyBorder="1"/>
    <xf numFmtId="3" fontId="29" fillId="0" borderId="0" xfId="1" applyNumberFormat="1" applyFont="1" applyAlignment="1">
      <alignment horizontal="right"/>
    </xf>
    <xf numFmtId="14" fontId="29" fillId="0" borderId="0" xfId="1" applyNumberFormat="1" applyFont="1" applyAlignment="1">
      <alignment horizontal="right"/>
    </xf>
    <xf numFmtId="14" fontId="29" fillId="0" borderId="0" xfId="1" applyNumberFormat="1" applyFont="1"/>
    <xf numFmtId="3" fontId="29" fillId="2" borderId="0" xfId="1" applyNumberFormat="1" applyFont="1" applyFill="1" applyAlignment="1">
      <alignment horizontal="right"/>
    </xf>
    <xf numFmtId="0" fontId="29" fillId="0" borderId="0" xfId="0" quotePrefix="1" applyFont="1" applyAlignment="1">
      <alignment horizontal="right"/>
    </xf>
    <xf numFmtId="17" fontId="90" fillId="0" borderId="0" xfId="0" applyNumberFormat="1" applyFont="1" applyAlignment="1">
      <alignment horizontal="right"/>
    </xf>
    <xf numFmtId="0" fontId="90" fillId="0" borderId="0" xfId="0" applyFont="1" applyAlignment="1">
      <alignment horizontal="right"/>
    </xf>
    <xf numFmtId="0" fontId="29" fillId="0" borderId="0" xfId="1" applyFont="1" applyAlignment="1">
      <alignment horizontal="right"/>
    </xf>
    <xf numFmtId="0" fontId="29" fillId="0" borderId="0" xfId="1" applyFont="1" applyAlignment="1">
      <alignment horizontal="left"/>
    </xf>
    <xf numFmtId="169" fontId="82" fillId="0" borderId="0" xfId="0" applyNumberFormat="1" applyFont="1" applyAlignment="1">
      <alignment horizontal="center"/>
    </xf>
    <xf numFmtId="169" fontId="93" fillId="0" borderId="0" xfId="0" applyNumberFormat="1" applyFont="1" applyAlignment="1">
      <alignment horizontal="center"/>
    </xf>
    <xf numFmtId="169" fontId="92" fillId="0" borderId="0" xfId="0" applyNumberFormat="1" applyFont="1" applyAlignment="1">
      <alignment horizontal="center"/>
    </xf>
    <xf numFmtId="0" fontId="94" fillId="0" borderId="0" xfId="2" applyFont="1"/>
    <xf numFmtId="20" fontId="43" fillId="0" borderId="0" xfId="1" applyNumberFormat="1" applyFont="1"/>
    <xf numFmtId="167" fontId="62" fillId="0" borderId="0" xfId="2" applyNumberFormat="1" applyFont="1"/>
    <xf numFmtId="168" fontId="62" fillId="0" borderId="0" xfId="2" applyNumberFormat="1" applyFont="1"/>
    <xf numFmtId="167" fontId="62" fillId="0" borderId="0" xfId="2" applyNumberFormat="1" applyFont="1" applyAlignment="1">
      <alignment horizontal="right"/>
    </xf>
    <xf numFmtId="20" fontId="29" fillId="0" borderId="0" xfId="1" applyNumberFormat="1" applyFont="1"/>
    <xf numFmtId="0" fontId="29" fillId="0" borderId="0" xfId="1" quotePrefix="1" applyFont="1"/>
    <xf numFmtId="3" fontId="50" fillId="0" borderId="0" xfId="0" applyNumberFormat="1" applyFont="1"/>
    <xf numFmtId="168" fontId="62" fillId="0" borderId="0" xfId="1" applyNumberFormat="1" applyFont="1"/>
    <xf numFmtId="168" fontId="29" fillId="0" borderId="0" xfId="1" applyNumberFormat="1" applyFont="1"/>
    <xf numFmtId="168" fontId="62" fillId="0" borderId="0" xfId="2" applyNumberFormat="1" applyFont="1" applyAlignment="1">
      <alignment horizontal="right"/>
    </xf>
    <xf numFmtId="168" fontId="62" fillId="0" borderId="0" xfId="1" applyNumberFormat="1" applyFont="1" applyAlignment="1">
      <alignment horizontal="right"/>
    </xf>
    <xf numFmtId="168" fontId="29" fillId="0" borderId="0" xfId="1" applyNumberFormat="1" applyFont="1" applyAlignment="1">
      <alignment horizontal="right"/>
    </xf>
    <xf numFmtId="0" fontId="62" fillId="0" borderId="0" xfId="2" applyFont="1" applyAlignment="1">
      <alignment horizontal="right"/>
    </xf>
    <xf numFmtId="20" fontId="62" fillId="0" borderId="0" xfId="1" applyNumberFormat="1" applyFont="1" applyAlignment="1">
      <alignment horizontal="right"/>
    </xf>
    <xf numFmtId="20" fontId="62" fillId="0" borderId="0" xfId="2" applyNumberFormat="1" applyFont="1" applyAlignment="1">
      <alignment horizontal="right"/>
    </xf>
    <xf numFmtId="20" fontId="62" fillId="0" borderId="0" xfId="2" quotePrefix="1" applyNumberFormat="1" applyFont="1" applyAlignment="1">
      <alignment horizontal="right"/>
    </xf>
    <xf numFmtId="167" fontId="62" fillId="0" borderId="0" xfId="1" applyNumberFormat="1" applyFont="1"/>
    <xf numFmtId="167" fontId="62" fillId="0" borderId="0" xfId="2" applyNumberFormat="1" applyFont="1" applyBorder="1"/>
    <xf numFmtId="0" fontId="29" fillId="0" borderId="0" xfId="1" quotePrefix="1" applyFont="1" applyAlignment="1">
      <alignment horizontal="right"/>
    </xf>
    <xf numFmtId="20" fontId="29" fillId="0" borderId="0" xfId="1" quotePrefix="1" applyNumberFormat="1" applyFont="1" applyAlignment="1">
      <alignment horizontal="right"/>
    </xf>
    <xf numFmtId="20" fontId="62" fillId="0" borderId="0" xfId="1" quotePrefix="1" applyNumberFormat="1" applyFont="1" applyAlignment="1">
      <alignment horizontal="right"/>
    </xf>
    <xf numFmtId="20" fontId="36" fillId="0" borderId="0" xfId="1" applyNumberFormat="1" applyFont="1"/>
    <xf numFmtId="167" fontId="63" fillId="0" borderId="0" xfId="1" applyNumberFormat="1" applyFont="1"/>
    <xf numFmtId="20" fontId="50" fillId="0" borderId="0" xfId="1" applyNumberFormat="1" applyFont="1"/>
    <xf numFmtId="20" fontId="39" fillId="0" borderId="0" xfId="1" applyNumberFormat="1" applyFont="1"/>
    <xf numFmtId="168" fontId="71" fillId="0" borderId="0" xfId="2" applyNumberFormat="1" applyFont="1"/>
    <xf numFmtId="20" fontId="55" fillId="0" borderId="0" xfId="1" applyNumberFormat="1" applyFont="1"/>
    <xf numFmtId="9" fontId="43" fillId="0" borderId="0" xfId="1" applyNumberFormat="1" applyFont="1"/>
    <xf numFmtId="0" fontId="95" fillId="0" borderId="0" xfId="0" applyFont="1"/>
    <xf numFmtId="167" fontId="63" fillId="0" borderId="0" xfId="2" applyNumberFormat="1" applyFont="1" applyAlignment="1">
      <alignment horizontal="right"/>
    </xf>
    <xf numFmtId="0" fontId="63" fillId="0" borderId="0" xfId="2" applyFont="1" applyAlignment="1">
      <alignment horizontal="right"/>
    </xf>
    <xf numFmtId="166" fontId="63" fillId="0" borderId="0" xfId="2" applyNumberFormat="1" applyFont="1"/>
    <xf numFmtId="9" fontId="50" fillId="0" borderId="0" xfId="1" applyNumberFormat="1" applyFont="1"/>
    <xf numFmtId="20" fontId="34" fillId="0" borderId="0" xfId="1" applyNumberFormat="1" applyFont="1"/>
    <xf numFmtId="20" fontId="38" fillId="0" borderId="0" xfId="1" applyNumberFormat="1" applyFont="1"/>
    <xf numFmtId="168" fontId="63" fillId="0" borderId="0" xfId="1" applyNumberFormat="1" applyFont="1"/>
    <xf numFmtId="168" fontId="53" fillId="0" borderId="0" xfId="2" applyNumberFormat="1" applyFont="1"/>
    <xf numFmtId="0" fontId="61" fillId="12" borderId="0" xfId="0" applyFont="1" applyFill="1" applyAlignment="1">
      <alignment horizontal="left"/>
    </xf>
    <xf numFmtId="14" fontId="61" fillId="0" borderId="0" xfId="0" quotePrefix="1" applyNumberFormat="1" applyFont="1" applyAlignment="1">
      <alignment horizontal="right"/>
    </xf>
    <xf numFmtId="14" fontId="40" fillId="0" borderId="0" xfId="3" applyNumberFormat="1" applyFont="1"/>
    <xf numFmtId="0" fontId="49" fillId="0" borderId="0" xfId="0" applyFont="1"/>
    <xf numFmtId="0" fontId="28" fillId="0" borderId="0" xfId="3" applyFont="1"/>
    <xf numFmtId="0" fontId="28" fillId="0" borderId="0" xfId="3" applyFont="1" applyAlignment="1">
      <alignment wrapText="1"/>
    </xf>
    <xf numFmtId="0" fontId="28" fillId="0" borderId="0" xfId="3" applyFont="1" applyAlignment="1">
      <alignment horizontal="left"/>
    </xf>
    <xf numFmtId="0" fontId="28" fillId="0" borderId="0" xfId="1" applyFont="1"/>
    <xf numFmtId="0" fontId="28" fillId="0" borderId="0" xfId="0" applyFont="1"/>
    <xf numFmtId="0" fontId="96" fillId="0" borderId="0" xfId="2" applyFont="1"/>
    <xf numFmtId="14" fontId="90" fillId="0" borderId="0" xfId="0" applyNumberFormat="1" applyFont="1" applyAlignment="1">
      <alignment horizontal="right"/>
    </xf>
    <xf numFmtId="0" fontId="27" fillId="0" borderId="0" xfId="1" applyFont="1"/>
    <xf numFmtId="0" fontId="26" fillId="0" borderId="0" xfId="3" applyFont="1"/>
    <xf numFmtId="0" fontId="25" fillId="0" borderId="0" xfId="3" applyFont="1"/>
    <xf numFmtId="3" fontId="80" fillId="0" borderId="0" xfId="0" applyNumberFormat="1" applyFont="1"/>
    <xf numFmtId="0" fontId="24" fillId="0" borderId="0" xfId="3" applyFont="1"/>
    <xf numFmtId="0" fontId="23" fillId="0" borderId="0" xfId="3" applyFont="1"/>
    <xf numFmtId="0" fontId="23" fillId="0" borderId="0" xfId="0" applyFont="1"/>
    <xf numFmtId="0" fontId="23" fillId="0" borderId="0" xfId="1" applyFont="1"/>
    <xf numFmtId="0" fontId="23" fillId="0" borderId="0" xfId="1" applyFont="1" applyAlignment="1">
      <alignment horizontal="center"/>
    </xf>
    <xf numFmtId="0" fontId="23" fillId="0" borderId="0" xfId="1" applyFont="1" applyAlignment="1">
      <alignment horizontal="right"/>
    </xf>
    <xf numFmtId="14" fontId="23" fillId="0" borderId="0" xfId="1" applyNumberFormat="1" applyFont="1" applyAlignment="1">
      <alignment horizontal="right"/>
    </xf>
    <xf numFmtId="3" fontId="29" fillId="0" borderId="0" xfId="1" applyNumberFormat="1" applyFont="1"/>
    <xf numFmtId="3" fontId="61" fillId="0" borderId="0" xfId="0" applyNumberFormat="1" applyFont="1" applyAlignment="1">
      <alignment horizontal="right"/>
    </xf>
    <xf numFmtId="4" fontId="48" fillId="0" borderId="0" xfId="1" applyNumberFormat="1" applyFont="1" applyAlignment="1">
      <alignment horizontal="right"/>
    </xf>
    <xf numFmtId="0" fontId="23" fillId="3" borderId="0" xfId="1" applyFont="1" applyFill="1"/>
    <xf numFmtId="14" fontId="23" fillId="0" borderId="0" xfId="0" quotePrefix="1" applyNumberFormat="1" applyFont="1" applyAlignment="1">
      <alignment horizontal="right"/>
    </xf>
    <xf numFmtId="0" fontId="23" fillId="0" borderId="0" xfId="0" applyFont="1" applyAlignment="1">
      <alignment horizontal="right"/>
    </xf>
    <xf numFmtId="0" fontId="23" fillId="0" borderId="0" xfId="3" applyFont="1" applyAlignment="1">
      <alignment horizontal="left"/>
    </xf>
    <xf numFmtId="0" fontId="22" fillId="0" borderId="0" xfId="3" applyFont="1"/>
    <xf numFmtId="0" fontId="22" fillId="0" borderId="0" xfId="3" applyFont="1" applyAlignment="1">
      <alignment horizontal="left"/>
    </xf>
    <xf numFmtId="0" fontId="22" fillId="0" borderId="0" xfId="1" applyFont="1"/>
    <xf numFmtId="0" fontId="21" fillId="0" borderId="0" xfId="0" applyFont="1"/>
    <xf numFmtId="0" fontId="21" fillId="0" borderId="0" xfId="0" applyFont="1" applyAlignment="1">
      <alignment horizontal="left"/>
    </xf>
    <xf numFmtId="14" fontId="21" fillId="0" borderId="0" xfId="0" applyNumberFormat="1" applyFont="1" applyAlignment="1">
      <alignment horizontal="left"/>
    </xf>
    <xf numFmtId="0" fontId="50" fillId="0" borderId="0" xfId="0" applyFont="1" applyAlignment="1">
      <alignment horizontal="left"/>
    </xf>
    <xf numFmtId="14" fontId="50" fillId="0" borderId="0" xfId="0" applyNumberFormat="1" applyFont="1" applyAlignment="1">
      <alignment horizontal="left"/>
    </xf>
    <xf numFmtId="0" fontId="21" fillId="0" borderId="0" xfId="0" quotePrefix="1" applyFont="1"/>
    <xf numFmtId="0" fontId="21" fillId="0" borderId="0" xfId="3" applyFont="1"/>
    <xf numFmtId="0" fontId="62" fillId="0" borderId="0" xfId="0" applyFont="1"/>
    <xf numFmtId="0" fontId="20" fillId="0" borderId="0" xfId="0" applyFont="1"/>
    <xf numFmtId="0" fontId="20" fillId="0" borderId="0" xfId="0" quotePrefix="1" applyFont="1"/>
    <xf numFmtId="14" fontId="20" fillId="0" borderId="0" xfId="0" applyNumberFormat="1" applyFont="1" applyAlignment="1">
      <alignment horizontal="left"/>
    </xf>
    <xf numFmtId="0" fontId="20" fillId="0" borderId="0" xfId="0" quotePrefix="1" applyFont="1" applyAlignment="1">
      <alignment horizontal="left"/>
    </xf>
    <xf numFmtId="0" fontId="19" fillId="0" borderId="0" xfId="1" applyFont="1"/>
    <xf numFmtId="0" fontId="19" fillId="0" borderId="0" xfId="0" applyFont="1"/>
    <xf numFmtId="0" fontId="19" fillId="0" borderId="0" xfId="0" quotePrefix="1" applyFont="1"/>
    <xf numFmtId="0" fontId="19" fillId="0" borderId="0" xfId="0" quotePrefix="1" applyFont="1" applyAlignment="1">
      <alignment horizontal="left"/>
    </xf>
    <xf numFmtId="0" fontId="19" fillId="0" borderId="0" xfId="0" applyFont="1" applyAlignment="1">
      <alignment horizontal="left"/>
    </xf>
    <xf numFmtId="14" fontId="19" fillId="0" borderId="0" xfId="0" applyNumberFormat="1" applyFont="1" applyAlignment="1">
      <alignment horizontal="left"/>
    </xf>
    <xf numFmtId="0" fontId="50" fillId="0" borderId="0" xfId="0" quotePrefix="1" applyFont="1"/>
    <xf numFmtId="0" fontId="50" fillId="0" borderId="0" xfId="0" quotePrefix="1" applyFont="1" applyAlignment="1">
      <alignment horizontal="left"/>
    </xf>
    <xf numFmtId="14" fontId="19" fillId="0" borderId="0" xfId="0" quotePrefix="1" applyNumberFormat="1" applyFont="1" applyAlignment="1">
      <alignment horizontal="left"/>
    </xf>
    <xf numFmtId="0" fontId="18" fillId="0" borderId="0" xfId="0" quotePrefix="1" applyFont="1"/>
    <xf numFmtId="0" fontId="18" fillId="0" borderId="0" xfId="0" applyFont="1"/>
    <xf numFmtId="0" fontId="17" fillId="0" borderId="0" xfId="0" applyFont="1"/>
    <xf numFmtId="0" fontId="17" fillId="0" borderId="0" xfId="0" quotePrefix="1" applyFont="1"/>
    <xf numFmtId="0" fontId="17" fillId="0" borderId="0" xfId="0" applyFont="1" applyAlignment="1">
      <alignment horizontal="left"/>
    </xf>
    <xf numFmtId="14" fontId="17" fillId="0" borderId="0" xfId="0" applyNumberFormat="1" applyFont="1" applyAlignment="1">
      <alignment horizontal="left"/>
    </xf>
    <xf numFmtId="0" fontId="17" fillId="0" borderId="0" xfId="0" quotePrefix="1" applyFont="1" applyAlignment="1">
      <alignment horizontal="left"/>
    </xf>
    <xf numFmtId="0" fontId="17" fillId="0" borderId="0" xfId="1" applyFont="1"/>
    <xf numFmtId="0" fontId="16" fillId="0" borderId="0" xfId="0" quotePrefix="1" applyFont="1"/>
    <xf numFmtId="0" fontId="16" fillId="0" borderId="0" xfId="0" applyFont="1"/>
    <xf numFmtId="14" fontId="16" fillId="0" borderId="0" xfId="0" quotePrefix="1" applyNumberFormat="1" applyFont="1" applyAlignment="1">
      <alignment horizontal="left"/>
    </xf>
    <xf numFmtId="0" fontId="15" fillId="0" borderId="0" xfId="0" applyFont="1"/>
    <xf numFmtId="0" fontId="15" fillId="0" borderId="0" xfId="0" quotePrefix="1" applyFont="1"/>
    <xf numFmtId="14" fontId="15" fillId="0" borderId="0" xfId="0" applyNumberFormat="1" applyFont="1" applyAlignment="1">
      <alignment horizontal="left"/>
    </xf>
    <xf numFmtId="0" fontId="15" fillId="0" borderId="0" xfId="0" applyFont="1" applyAlignment="1">
      <alignment horizontal="left"/>
    </xf>
    <xf numFmtId="0" fontId="14" fillId="0" borderId="0" xfId="3" applyFont="1"/>
    <xf numFmtId="0" fontId="14" fillId="0" borderId="0" xfId="3" quotePrefix="1" applyFont="1" applyAlignment="1">
      <alignment horizontal="left"/>
    </xf>
    <xf numFmtId="0" fontId="14" fillId="0" borderId="0" xfId="3" applyFont="1" applyAlignment="1">
      <alignment horizontal="left"/>
    </xf>
    <xf numFmtId="0" fontId="14" fillId="0" borderId="0" xfId="0" applyFont="1"/>
    <xf numFmtId="14" fontId="14" fillId="0" borderId="0" xfId="0" applyNumberFormat="1" applyFont="1" applyAlignment="1">
      <alignment horizontal="left"/>
    </xf>
    <xf numFmtId="0" fontId="14" fillId="0" borderId="0" xfId="0" applyFont="1" applyAlignment="1">
      <alignment horizontal="left"/>
    </xf>
    <xf numFmtId="0" fontId="14" fillId="0" borderId="0" xfId="0" quotePrefix="1" applyFont="1"/>
    <xf numFmtId="14" fontId="14" fillId="0" borderId="0" xfId="0" quotePrefix="1" applyNumberFormat="1" applyFont="1" applyAlignment="1">
      <alignment horizontal="left"/>
    </xf>
    <xf numFmtId="0" fontId="13" fillId="0" borderId="0" xfId="0" applyFont="1"/>
    <xf numFmtId="0" fontId="13" fillId="0" borderId="0" xfId="0" quotePrefix="1" applyFont="1"/>
    <xf numFmtId="3" fontId="61" fillId="0" borderId="0" xfId="0" applyNumberFormat="1" applyFont="1" applyAlignment="1">
      <alignment horizontal="center"/>
    </xf>
    <xf numFmtId="0" fontId="61" fillId="0" borderId="0" xfId="0" applyFont="1" applyAlignment="1">
      <alignment horizontal="center"/>
    </xf>
    <xf numFmtId="0" fontId="13" fillId="0" borderId="0" xfId="1" applyFont="1"/>
    <xf numFmtId="0" fontId="12" fillId="0" borderId="0" xfId="0" applyFont="1"/>
    <xf numFmtId="0" fontId="12" fillId="0" borderId="0" xfId="0" quotePrefix="1" applyFont="1"/>
    <xf numFmtId="0" fontId="12" fillId="0" borderId="0" xfId="0" applyFont="1" applyAlignment="1">
      <alignment horizontal="left"/>
    </xf>
    <xf numFmtId="0" fontId="11" fillId="0" borderId="0" xfId="0" quotePrefix="1" applyFont="1"/>
    <xf numFmtId="14" fontId="11" fillId="0" borderId="0" xfId="0" quotePrefix="1" applyNumberFormat="1" applyFont="1" applyAlignment="1">
      <alignment horizontal="left"/>
    </xf>
    <xf numFmtId="14" fontId="50" fillId="0" borderId="0" xfId="0" quotePrefix="1" applyNumberFormat="1" applyFont="1" applyAlignment="1">
      <alignment horizontal="left"/>
    </xf>
    <xf numFmtId="0" fontId="10" fillId="0" borderId="0" xfId="0" applyFont="1"/>
    <xf numFmtId="0" fontId="9" fillId="0" borderId="0" xfId="0" applyFont="1"/>
    <xf numFmtId="0" fontId="9" fillId="0" borderId="0" xfId="0" quotePrefix="1" applyFont="1"/>
    <xf numFmtId="0" fontId="90" fillId="0" borderId="0" xfId="1" applyFont="1"/>
    <xf numFmtId="0" fontId="90" fillId="0" borderId="0" xfId="1" applyFont="1" applyAlignment="1">
      <alignment horizontal="center"/>
    </xf>
    <xf numFmtId="3" fontId="90" fillId="0" borderId="0" xfId="1" applyNumberFormat="1" applyFont="1" applyAlignment="1">
      <alignment horizontal="right"/>
    </xf>
    <xf numFmtId="14" fontId="90" fillId="0" borderId="0" xfId="1" applyNumberFormat="1" applyFont="1" applyAlignment="1">
      <alignment horizontal="right"/>
    </xf>
    <xf numFmtId="0" fontId="90" fillId="0" borderId="0" xfId="1" applyFont="1" applyAlignment="1">
      <alignment horizontal="left"/>
    </xf>
    <xf numFmtId="165" fontId="98" fillId="0" borderId="0" xfId="1" applyNumberFormat="1" applyFont="1"/>
    <xf numFmtId="0" fontId="98" fillId="0" borderId="0" xfId="1" applyFont="1"/>
    <xf numFmtId="9" fontId="90" fillId="0" borderId="0" xfId="1" applyNumberFormat="1" applyFont="1"/>
    <xf numFmtId="0" fontId="8" fillId="0" borderId="0" xfId="3" applyFont="1"/>
    <xf numFmtId="0" fontId="8" fillId="0" borderId="0" xfId="3" applyFont="1" applyAlignment="1">
      <alignment horizontal="left"/>
    </xf>
    <xf numFmtId="0" fontId="8" fillId="0" borderId="0" xfId="0" applyFont="1"/>
    <xf numFmtId="0" fontId="8" fillId="8" borderId="2" xfId="3" applyFont="1" applyFill="1" applyBorder="1"/>
    <xf numFmtId="0" fontId="8" fillId="14" borderId="2" xfId="3" applyFont="1" applyFill="1" applyBorder="1"/>
    <xf numFmtId="0" fontId="54" fillId="0" borderId="0" xfId="3" quotePrefix="1" applyFont="1"/>
    <xf numFmtId="0" fontId="54" fillId="0" borderId="0" xfId="3" quotePrefix="1" applyFont="1" applyAlignment="1">
      <alignment horizontal="left"/>
    </xf>
    <xf numFmtId="0" fontId="8" fillId="0" borderId="0" xfId="1" applyFont="1"/>
    <xf numFmtId="0" fontId="8" fillId="0" borderId="0" xfId="1" applyFont="1" applyAlignment="1">
      <alignment horizontal="center"/>
    </xf>
    <xf numFmtId="0" fontId="8" fillId="0" borderId="0" xfId="0" quotePrefix="1" applyFont="1"/>
    <xf numFmtId="14" fontId="8" fillId="0" borderId="0" xfId="0" applyNumberFormat="1" applyFont="1" applyAlignment="1">
      <alignment horizontal="left"/>
    </xf>
    <xf numFmtId="0" fontId="8" fillId="0" borderId="0" xfId="0" applyFont="1" applyAlignment="1">
      <alignment horizontal="left"/>
    </xf>
    <xf numFmtId="0" fontId="8" fillId="3" borderId="0" xfId="1" applyFont="1" applyFill="1"/>
    <xf numFmtId="0" fontId="8" fillId="0" borderId="0" xfId="3" quotePrefix="1" applyFont="1"/>
    <xf numFmtId="0" fontId="7" fillId="0" borderId="0" xfId="0" applyFont="1"/>
    <xf numFmtId="0" fontId="6" fillId="0" borderId="0" xfId="0" applyFont="1"/>
    <xf numFmtId="0" fontId="81" fillId="0" borderId="0" xfId="0" quotePrefix="1" applyFont="1"/>
    <xf numFmtId="0" fontId="5" fillId="0" borderId="0" xfId="0" applyFont="1"/>
    <xf numFmtId="0" fontId="5" fillId="0" borderId="0" xfId="3" applyFont="1"/>
    <xf numFmtId="0" fontId="5" fillId="0" borderId="0" xfId="0" quotePrefix="1" applyFont="1"/>
    <xf numFmtId="0" fontId="5" fillId="0" borderId="0" xfId="0" applyFont="1" applyAlignment="1">
      <alignment horizontal="left"/>
    </xf>
    <xf numFmtId="14" fontId="5" fillId="0" borderId="0" xfId="0" applyNumberFormat="1" applyFont="1" applyAlignment="1">
      <alignment horizontal="left"/>
    </xf>
    <xf numFmtId="0" fontId="4" fillId="0" borderId="0" xfId="1" applyFont="1"/>
    <xf numFmtId="0" fontId="4" fillId="0" borderId="0" xfId="1" applyFont="1" applyAlignment="1">
      <alignment horizontal="center"/>
    </xf>
    <xf numFmtId="0" fontId="3" fillId="0" borderId="0" xfId="0" quotePrefix="1" applyFont="1"/>
    <xf numFmtId="0" fontId="2" fillId="0" borderId="0" xfId="1" applyFont="1"/>
    <xf numFmtId="0" fontId="99" fillId="0" borderId="0" xfId="1" applyFont="1"/>
    <xf numFmtId="167" fontId="98" fillId="0" borderId="0" xfId="1" applyNumberFormat="1" applyFont="1"/>
    <xf numFmtId="20" fontId="98" fillId="0" borderId="0" xfId="1" applyNumberFormat="1" applyFont="1"/>
    <xf numFmtId="168" fontId="98" fillId="0" borderId="0" xfId="1" applyNumberFormat="1" applyFont="1"/>
    <xf numFmtId="0" fontId="2" fillId="0" borderId="0" xfId="0" applyFont="1"/>
    <xf numFmtId="0" fontId="2" fillId="0" borderId="0" xfId="0" quotePrefix="1" applyFont="1"/>
    <xf numFmtId="0" fontId="1" fillId="0" borderId="0" xfId="0" applyFont="1"/>
    <xf numFmtId="0" fontId="1" fillId="0" borderId="0" xfId="0" quotePrefix="1" applyFont="1"/>
    <xf numFmtId="167" fontId="63" fillId="0" borderId="0" xfId="2" applyNumberFormat="1" applyFont="1"/>
    <xf numFmtId="0" fontId="1" fillId="0" borderId="0" xfId="1" applyFont="1"/>
    <xf numFmtId="0" fontId="1" fillId="0" borderId="0" xfId="1" applyFont="1" applyAlignment="1">
      <alignment horizontal="center"/>
    </xf>
    <xf numFmtId="0" fontId="1" fillId="0" borderId="0" xfId="1" applyFont="1" applyAlignment="1">
      <alignment horizontal="left"/>
    </xf>
    <xf numFmtId="3" fontId="50" fillId="0" borderId="0" xfId="1" applyNumberFormat="1" applyFont="1" applyAlignment="1">
      <alignment horizontal="left"/>
    </xf>
    <xf numFmtId="0" fontId="1" fillId="0" borderId="0" xfId="0" applyFont="1" applyAlignment="1">
      <alignment horizontal="right"/>
    </xf>
    <xf numFmtId="17" fontId="90" fillId="0" borderId="0" xfId="0" quotePrefix="1" applyNumberFormat="1" applyFont="1" applyAlignment="1">
      <alignment horizontal="right"/>
    </xf>
    <xf numFmtId="0" fontId="90" fillId="0" borderId="0" xfId="0" quotePrefix="1" applyFont="1" applyAlignment="1">
      <alignment horizontal="right"/>
    </xf>
    <xf numFmtId="0" fontId="90" fillId="0" borderId="0" xfId="3" applyFont="1"/>
    <xf numFmtId="0" fontId="96" fillId="0" borderId="0" xfId="4" applyFont="1"/>
    <xf numFmtId="0" fontId="100" fillId="0" borderId="0" xfId="0" applyFont="1"/>
    <xf numFmtId="0" fontId="40" fillId="0" borderId="0" xfId="0" applyFont="1" applyAlignment="1">
      <alignment horizontal="left"/>
    </xf>
    <xf numFmtId="0" fontId="28" fillId="0" borderId="0" xfId="0" applyFont="1" applyAlignment="1">
      <alignment horizontal="left"/>
    </xf>
    <xf numFmtId="0" fontId="90" fillId="0" borderId="0" xfId="0" applyFont="1" applyAlignment="1">
      <alignment horizontal="left"/>
    </xf>
    <xf numFmtId="0" fontId="87" fillId="0" borderId="0" xfId="0" applyFont="1" applyAlignment="1">
      <alignment horizontal="left"/>
    </xf>
    <xf numFmtId="0" fontId="29" fillId="0" borderId="0" xfId="0" applyFont="1" applyAlignment="1">
      <alignment horizontal="left"/>
    </xf>
    <xf numFmtId="0" fontId="88" fillId="0" borderId="0" xfId="0" applyFont="1" applyAlignment="1">
      <alignment horizontal="left"/>
    </xf>
    <xf numFmtId="0" fontId="36" fillId="0" borderId="0" xfId="0" applyFont="1" applyAlignment="1">
      <alignment horizontal="left"/>
    </xf>
    <xf numFmtId="17" fontId="23" fillId="0" borderId="0" xfId="0" applyNumberFormat="1" applyFont="1" applyAlignment="1">
      <alignment horizontal="right"/>
    </xf>
    <xf numFmtId="17" fontId="1" fillId="0" borderId="0" xfId="0" quotePrefix="1" applyNumberFormat="1" applyFont="1" applyAlignment="1">
      <alignment horizontal="right"/>
    </xf>
  </cellXfs>
  <cellStyles count="5">
    <cellStyle name="Hyperlink" xfId="2" builtinId="8"/>
    <cellStyle name="Hyperlink 2" xfId="4" xr:uid="{37170729-B310-9C41-A1CF-C38A6D91AEF5}"/>
    <cellStyle name="Normal" xfId="0" builtinId="0"/>
    <cellStyle name="Normal 2" xfId="1" xr:uid="{0D7CFFEC-1A93-8F42-B082-0ACEF547BFCE}"/>
    <cellStyle name="Normal 3" xfId="3" xr:uid="{5556DA0F-6B7A-1446-A28A-A249AB4F687B}"/>
  </cellStyles>
  <dxfs count="0"/>
  <tableStyles count="1" defaultTableStyle="TableStyleMedium2" defaultPivotStyle="PivotStyleLight16">
    <tableStyle name="Invisible" pivot="0" table="0" count="0" xr9:uid="{0C72F163-ECD4-42CB-822B-84614809A7C2}"/>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eetMetadata" Target="metadata.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 Id="rId8" Type="http://schemas.openxmlformats.org/officeDocument/2006/relationships/worksheet" Target="worksheets/sheet8.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4.png"/></Relationships>
</file>

<file path=xl/drawings/_rels/drawing3.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_rels/drawing4.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image" Target="../media/image8.png"/><Relationship Id="rId1"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editAs="oneCell">
    <xdr:from>
      <xdr:col>18</xdr:col>
      <xdr:colOff>15246</xdr:colOff>
      <xdr:row>363</xdr:row>
      <xdr:rowOff>11545</xdr:rowOff>
    </xdr:from>
    <xdr:to>
      <xdr:col>23</xdr:col>
      <xdr:colOff>459507</xdr:colOff>
      <xdr:row>388</xdr:row>
      <xdr:rowOff>18467</xdr:rowOff>
    </xdr:to>
    <xdr:pic>
      <xdr:nvPicPr>
        <xdr:cNvPr id="4" name="Picture 3" descr="Model architecture of VQTTS, consisting of txt2vec and vec2wav. The two parts are connected with VQ acoustic feature together with prosody feature.">
          <a:extLst>
            <a:ext uri="{FF2B5EF4-FFF2-40B4-BE49-F238E27FC236}">
              <a16:creationId xmlns:a16="http://schemas.microsoft.com/office/drawing/2014/main" id="{C87D9F43-A274-3D12-DECC-1E96D7E350E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475428" y="30687818"/>
          <a:ext cx="3792443" cy="40478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338705</xdr:colOff>
      <xdr:row>396</xdr:row>
      <xdr:rowOff>11546</xdr:rowOff>
    </xdr:from>
    <xdr:to>
      <xdr:col>24</xdr:col>
      <xdr:colOff>23089</xdr:colOff>
      <xdr:row>418</xdr:row>
      <xdr:rowOff>18472</xdr:rowOff>
    </xdr:to>
    <xdr:pic>
      <xdr:nvPicPr>
        <xdr:cNvPr id="5" name="Picture 4" descr="Model architecture of VQTTS, consisting of txt2vec and vec2wav. The two parts are connected with VQ acoustic feature together with prosody feature.">
          <a:extLst>
            <a:ext uri="{FF2B5EF4-FFF2-40B4-BE49-F238E27FC236}">
              <a16:creationId xmlns:a16="http://schemas.microsoft.com/office/drawing/2014/main" id="{C5076066-7A27-F3C5-E648-0DBB13678DA3}"/>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0798887" y="35052001"/>
          <a:ext cx="3702203" cy="357447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2135188</xdr:colOff>
      <xdr:row>164</xdr:row>
      <xdr:rowOff>54508</xdr:rowOff>
    </xdr:from>
    <xdr:to>
      <xdr:col>2</xdr:col>
      <xdr:colOff>3414713</xdr:colOff>
      <xdr:row>167</xdr:row>
      <xdr:rowOff>46037</xdr:rowOff>
    </xdr:to>
    <xdr:pic>
      <xdr:nvPicPr>
        <xdr:cNvPr id="2" name="Picture 1">
          <a:extLst>
            <a:ext uri="{FF2B5EF4-FFF2-40B4-BE49-F238E27FC236}">
              <a16:creationId xmlns:a16="http://schemas.microsoft.com/office/drawing/2014/main" id="{3C165438-8B97-A809-C9DE-B4ACB7F4B33B}"/>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2468563" y="25970446"/>
          <a:ext cx="3422650" cy="61065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93266</xdr:colOff>
      <xdr:row>86</xdr:row>
      <xdr:rowOff>29308</xdr:rowOff>
    </xdr:from>
    <xdr:to>
      <xdr:col>9</xdr:col>
      <xdr:colOff>458176</xdr:colOff>
      <xdr:row>100</xdr:row>
      <xdr:rowOff>11723</xdr:rowOff>
    </xdr:to>
    <xdr:pic>
      <xdr:nvPicPr>
        <xdr:cNvPr id="2" name="Picture 1">
          <a:extLst>
            <a:ext uri="{FF2B5EF4-FFF2-40B4-BE49-F238E27FC236}">
              <a16:creationId xmlns:a16="http://schemas.microsoft.com/office/drawing/2014/main" id="{AD43FB9F-DC8E-F62A-8661-5310DAB7568D}"/>
            </a:ext>
          </a:extLst>
        </xdr:cNvPr>
        <xdr:cNvPicPr>
          <a:picLocks noChangeAspect="1"/>
        </xdr:cNvPicPr>
      </xdr:nvPicPr>
      <xdr:blipFill>
        <a:blip xmlns:r="http://schemas.openxmlformats.org/officeDocument/2006/relationships" r:embed="rId1"/>
        <a:stretch>
          <a:fillRect/>
        </a:stretch>
      </xdr:blipFill>
      <xdr:spPr>
        <a:xfrm>
          <a:off x="3444112" y="14321693"/>
          <a:ext cx="4565679" cy="230749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oneCellAnchor>
    <xdr:from>
      <xdr:col>5</xdr:col>
      <xdr:colOff>428625</xdr:colOff>
      <xdr:row>3</xdr:row>
      <xdr:rowOff>47625</xdr:rowOff>
    </xdr:from>
    <xdr:ext cx="3200285" cy="1310495"/>
    <xdr:pic>
      <xdr:nvPicPr>
        <xdr:cNvPr id="2" name="Picture 1" descr="FlashAttention diagram">
          <a:extLst>
            <a:ext uri="{FF2B5EF4-FFF2-40B4-BE49-F238E27FC236}">
              <a16:creationId xmlns:a16="http://schemas.microsoft.com/office/drawing/2014/main" id="{66A4FCDA-E196-6542-B1C3-AB758EA5641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333750" y="547688"/>
          <a:ext cx="3200285" cy="131049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595313</xdr:colOff>
      <xdr:row>13</xdr:row>
      <xdr:rowOff>103187</xdr:rowOff>
    </xdr:from>
    <xdr:ext cx="1813409" cy="2555059"/>
    <xdr:pic>
      <xdr:nvPicPr>
        <xdr:cNvPr id="3" name="Picture 2">
          <a:extLst>
            <a:ext uri="{FF2B5EF4-FFF2-40B4-BE49-F238E27FC236}">
              <a16:creationId xmlns:a16="http://schemas.microsoft.com/office/drawing/2014/main" id="{275A6AEE-3472-3146-9109-42F2F4C048ED}"/>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476376" y="2270125"/>
          <a:ext cx="1813409" cy="255505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drawings/drawing4.xml><?xml version="1.0" encoding="utf-8"?>
<xdr:wsDr xmlns:xdr="http://schemas.openxmlformats.org/drawingml/2006/spreadsheetDrawing" xmlns:a="http://schemas.openxmlformats.org/drawingml/2006/main">
  <xdr:twoCellAnchor editAs="oneCell">
    <xdr:from>
      <xdr:col>1</xdr:col>
      <xdr:colOff>164353</xdr:colOff>
      <xdr:row>27</xdr:row>
      <xdr:rowOff>119530</xdr:rowOff>
    </xdr:from>
    <xdr:to>
      <xdr:col>7</xdr:col>
      <xdr:colOff>646953</xdr:colOff>
      <xdr:row>29</xdr:row>
      <xdr:rowOff>43329</xdr:rowOff>
    </xdr:to>
    <xdr:pic>
      <xdr:nvPicPr>
        <xdr:cNvPr id="2" name="Picture 1" descr="q(x_{1:T}|x_{0})=\prod_{t\geq1} q(x_{t}|x_{t-1}), \ \ q(x_{t}|x_{t-1})=N(x_{t};\sqrt{1-\beta_{t}}x_{t-1},\beta_{t}I)">
          <a:extLst>
            <a:ext uri="{FF2B5EF4-FFF2-40B4-BE49-F238E27FC236}">
              <a16:creationId xmlns:a16="http://schemas.microsoft.com/office/drawing/2014/main" id="{B69FF60C-B7C1-A56B-50A7-DF8CB157E6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30412" y="3735295"/>
          <a:ext cx="5973482" cy="2525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33</xdr:row>
      <xdr:rowOff>0</xdr:rowOff>
    </xdr:from>
    <xdr:to>
      <xdr:col>8</xdr:col>
      <xdr:colOff>279400</xdr:colOff>
      <xdr:row>34</xdr:row>
      <xdr:rowOff>63500</xdr:rowOff>
    </xdr:to>
    <xdr:pic>
      <xdr:nvPicPr>
        <xdr:cNvPr id="3" name="Picture 2" descr="p_{\theta}(x_{0:T})=p(x_{T})\prod_{t\geq1}p_{\theta}(x_{t-1}\mid x_{t}), \ \ p_{\theta}(x_{t-1}\mid x_{t})=N(x_{t-1};\mu_{\theta}(x_{t},t),\sigma^{2}_{t}I)">
          <a:extLst>
            <a:ext uri="{FF2B5EF4-FFF2-40B4-BE49-F238E27FC236}">
              <a16:creationId xmlns:a16="http://schemas.microsoft.com/office/drawing/2014/main" id="{EB2A862C-24C2-6514-3A20-1D6224442B83}"/>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68300" y="4660900"/>
          <a:ext cx="6578600" cy="266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38</xdr:row>
      <xdr:rowOff>0</xdr:rowOff>
    </xdr:from>
    <xdr:to>
      <xdr:col>4</xdr:col>
      <xdr:colOff>812800</xdr:colOff>
      <xdr:row>40</xdr:row>
      <xdr:rowOff>1</xdr:rowOff>
    </xdr:to>
    <xdr:pic>
      <xdr:nvPicPr>
        <xdr:cNvPr id="4" name="Picture 3" descr="dx_{t}=-\frac{1} {2}\beta(t)x_{t}dt+\sqrt{\beta(t)}dw_{t}">
          <a:extLst>
            <a:ext uri="{FF2B5EF4-FFF2-40B4-BE49-F238E27FC236}">
              <a16:creationId xmlns:a16="http://schemas.microsoft.com/office/drawing/2014/main" id="{4F031713-36CF-77AA-4BDD-76D542EEC9DC}"/>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68300" y="5689600"/>
          <a:ext cx="3810000" cy="368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shkre/code/models/Software.xlsx" TargetMode="External"/><Relationship Id="rId1" Type="http://schemas.openxmlformats.org/officeDocument/2006/relationships/externalLinkPath" Target="Softwar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Acquisitions"/>
      <sheetName val="People"/>
      <sheetName val="Glossary"/>
      <sheetName val="Revenue"/>
      <sheetName val="Historical"/>
      <sheetName val="Main"/>
      <sheetName val="Enterprise-Cloud"/>
      <sheetName val="Social-Dating"/>
      <sheetName val="Simulation-Technical Design"/>
      <sheetName val="Media-Games-Design"/>
      <sheetName val="Fintech"/>
      <sheetName val="Healthcare"/>
      <sheetName val="Ecommerce"/>
      <sheetName val="Security"/>
      <sheetName val="FX"/>
      <sheetName val="Privat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ow r="2">
          <cell r="C2">
            <v>7.8498000000000001</v>
          </cell>
        </row>
        <row r="3">
          <cell r="C3">
            <v>6.74</v>
          </cell>
        </row>
        <row r="4">
          <cell r="C4">
            <v>1.01</v>
          </cell>
        </row>
        <row r="5">
          <cell r="C5">
            <v>10.3437</v>
          </cell>
        </row>
        <row r="6">
          <cell r="C6">
            <v>136.93</v>
          </cell>
        </row>
        <row r="7">
          <cell r="C7">
            <v>1.2991999999999999</v>
          </cell>
        </row>
      </sheetData>
      <sheetData sheetId="15" refreshError="1"/>
    </sheetDataSet>
  </externalBook>
</externalLink>
</file>

<file path=xl/persons/person.xml><?xml version="1.0" encoding="utf-8"?>
<personList xmlns="http://schemas.microsoft.com/office/spreadsheetml/2018/threadedcomments" xmlns:x="http://schemas.openxmlformats.org/spreadsheetml/2006/main">
  <person displayName="Martin Shkreli" id="{E7DC6E06-73C2-4870-9625-B86C1A71FCC8}" userId="9ffda80931a57275" providerId="Windows Live"/>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G2" dT="2023-07-31T01:41:18.72" personId="{E7DC6E06-73C2-4870-9625-B86C1A71FCC8}" id="{51C92E37-DC66-445F-B7C1-D928A98C02E8}">
    <text>Total, pre-IPO</text>
  </threadedComment>
  <threadedComment ref="T12" dT="2023-12-18T01:59:12.08" personId="{E7DC6E06-73C2-4870-9625-B86C1A71FCC8}" id="{80A28482-ED17-42CA-81DC-B11526A2510F}">
    <text>27B</text>
  </threadedComment>
  <threadedComment ref="W12" dT="2023-09-03T17:32:21.28" personId="{E7DC6E06-73C2-4870-9625-B86C1A71FCC8}" id="{95B9BA71-F98F-47B9-9FF5-DCBB545C57FD}">
    <text>5.8B valuation</text>
  </threadedComment>
  <threadedComment ref="Z12" dT="2023-09-03T17:32:31.54" personId="{E7DC6E06-73C2-4870-9625-B86C1A71FCC8}" id="{B3A91AAE-D344-4DAE-9C26-07636C662E5A}">
    <text>2.5B valuation</text>
  </threadedComment>
  <threadedComment ref="J15" dT="2023-06-15T00:22:32.88" personId="{00000000-0000-0000-0000-000000000000}" id="{B20FE0A1-64FD-974B-9BE7-ABFDD63D6646}">
    <text>Tom Built GPT-3</text>
  </threadedComment>
  <threadedComment ref="T20" dT="2023-12-18T02:40:42.89" personId="{E7DC6E06-73C2-4870-9625-B86C1A71FCC8}" id="{69C5854F-5F53-45FD-9C2C-9AA83F4DCC04}">
    <text>1.1B valuation</text>
  </threadedComment>
  <threadedComment ref="Q21" dT="2023-12-18T02:11:44.80" personId="{E7DC6E06-73C2-4870-9625-B86C1A71FCC8}" id="{6821AE8A-BAF7-4CCD-9678-73378ECCA884}">
    <text>5200m valuation</text>
  </threadedComment>
  <threadedComment ref="T21" dT="2023-12-18T02:11:52.76" personId="{E7DC6E06-73C2-4870-9625-B86C1A71FCC8}" id="{5B718418-E3EC-41E7-9E32-CC14B770FD78}">
    <text>5000 valuation</text>
  </threadedComment>
  <threadedComment ref="W21" dT="2023-12-18T02:11:57.58" personId="{E7DC6E06-73C2-4870-9625-B86C1A71FCC8}" id="{A44B3A7C-A8A9-41D1-8BE0-7E2500CA5BFD}">
    <text>2500m valuation</text>
  </threadedComment>
  <threadedComment ref="T24" dT="2023-12-18T02:16:28.09" personId="{E7DC6E06-73C2-4870-9625-B86C1A71FCC8}" id="{613BD39E-F03E-463E-A54F-07982A0EA45E}">
    <text>685m valuation</text>
  </threadedComment>
  <threadedComment ref="AE30" dT="2023-07-24T03:00:39.45" personId="{E7DC6E06-73C2-4870-9625-B86C1A71FCC8}" id="{BA9245D9-6C01-4F87-8A15-EC4AE5802C30}">
    <text>www.heypi.com</text>
    <extLst>
      <x:ext xmlns:xltc2="http://schemas.microsoft.com/office/spreadsheetml/2020/threadedcomments2" uri="{F7C98A9C-CBB3-438F-8F68-D28B6AF4A901}">
        <xltc2:checksum>839398266</xltc2:checksum>
        <xltc2:hyperlink startIndex="0" length="13" url="http://www.heypi.com"/>
      </x:ext>
    </extLst>
  </threadedComment>
  <threadedComment ref="AF30" dT="2023-07-24T03:00:10.20" personId="{E7DC6E06-73C2-4870-9625-B86C1A71FCC8}" id="{E29F7D1D-7AF5-4541-BD1A-8261973D4DE0}">
    <text>0.651907 for inflection.ai,
1.922m for heypi.com</text>
  </threadedComment>
  <threadedComment ref="AG30" dT="2023-07-24T03:00:27.37" personId="{E7DC6E06-73C2-4870-9625-B86C1A71FCC8}" id="{919461BB-9FEF-4D66-8757-CD72F4F1D58F}">
    <text>2:22 for inflection.ai
6:31 for heypi.com</text>
  </threadedComment>
  <threadedComment ref="AH30" dT="2024-02-22T21:46:27.03" personId="{E7DC6E06-73C2-4870-9625-B86C1A71FCC8}" id="{0D21896B-F22B-A845-A701-3B902FBB78C7}">
    <text>.151026 for inflection</text>
  </threadedComment>
  <threadedComment ref="Q31" dT="2023-12-18T02:40:03.25" personId="{E7DC6E06-73C2-4870-9625-B86C1A71FCC8}" id="{76A183B3-66DA-4506-B94B-252442EF63C7}">
    <text>2.4B</text>
  </threadedComment>
  <threadedComment ref="T31" dT="2023-12-18T02:40:09.32" personId="{E7DC6E06-73C2-4870-9625-B86C1A71FCC8}" id="{83E4713B-E1CA-4261-8B8D-5A8CA0096F3C}">
    <text>1.7B valuation</text>
  </threadedComment>
  <threadedComment ref="Q33" dT="2023-08-01T01:15:24.66" personId="{E7DC6E06-73C2-4870-9625-B86C1A71FCC8}" id="{D88C9B5E-BF60-084A-9570-4043F212FF6E}">
    <text>1.8B valuation</text>
  </threadedComment>
  <threadedComment ref="Q34" dT="2023-07-31T23:16:16.68" personId="{E7DC6E06-73C2-4870-9625-B86C1A71FCC8}" id="{0194A46F-5F99-9E46-9EAD-33834CE23B16}">
    <text>1.1B valuation</text>
  </threadedComment>
  <threadedComment ref="Q35" dT="2023-12-18T02:48:34.17" personId="{E7DC6E06-73C2-4870-9625-B86C1A71FCC8}" id="{ADD1D653-0938-4BD0-AD14-DACCACA024A8}">
    <text>4.2B valuation</text>
  </threadedComment>
  <threadedComment ref="Q40" dT="2023-07-31T23:15:11.03" personId="{E7DC6E06-73C2-4870-9625-B86C1A71FCC8}" id="{537E8F40-4DC9-CE4D-858B-3E752C329843}">
    <text>880m valuation</text>
  </threadedComment>
  <threadedComment ref="T41" dT="2023-07-31T23:13:27.07" personId="{E7DC6E06-73C2-4870-9625-B86C1A71FCC8}" id="{4844C0AE-1F12-4844-A7ED-7C6A898EC718}">
    <text>1B valuation</text>
  </threadedComment>
  <threadedComment ref="Q44" dT="2023-07-31T23:16:50.06" personId="{E7DC6E06-73C2-4870-9625-B86C1A71FCC8}" id="{C71BE2CF-85E9-8140-864A-695CC0C40F7C}">
    <text>830m valuation</text>
  </threadedComment>
  <threadedComment ref="Q53" dT="2023-08-01T01:11:10.00" personId="{E7DC6E06-73C2-4870-9625-B86C1A71FCC8}" id="{D653EC94-32EB-CC4F-8437-45786B7F8E67}">
    <text>875m valuation</text>
  </threadedComment>
  <threadedComment ref="Q63" dT="2024-02-22T22:05:25.83" personId="{E7DC6E06-73C2-4870-9625-B86C1A71FCC8}" id="{2DCBF5AE-D0DA-A34F-9A40-504D3C16EA24}">
    <text>940m pre-money</text>
  </threadedComment>
  <threadedComment ref="Q83" dT="2023-08-01T01:13:18.21" personId="{E7DC6E06-73C2-4870-9625-B86C1A71FCC8}" id="{DC3C9334-BC74-254F-8CD8-E902D066E8ED}">
    <text>780m valuation</text>
  </threadedComment>
  <threadedComment ref="T94" dT="2023-08-01T01:12:00.67" personId="{E7DC6E06-73C2-4870-9625-B86C1A71FCC8}" id="{2E608F2F-90E0-8444-ACBD-61FDA866A781}">
    <text>210m valuation</text>
  </threadedComment>
  <threadedComment ref="R108" dT="2023-08-23T21:09:00.19" personId="{E7DC6E06-73C2-4870-9625-B86C1A71FCC8}" id="{F65168F1-5657-814B-A3B8-9D75C1D1B21E}">
    <text>65m pre-money</text>
  </threadedComment>
  <threadedComment ref="Q138" dT="2023-07-31T23:14:16.84" personId="{E7DC6E06-73C2-4870-9625-B86C1A71FCC8}" id="{155EAEDA-F22A-5443-A55A-846AA7C93035}">
    <text>1.8B valuation</text>
  </threadedComment>
  <threadedComment ref="T138" dT="2023-07-31T23:14:34.66" personId="{E7DC6E06-73C2-4870-9625-B86C1A71FCC8}" id="{92596AFE-6AAF-324C-AB10-7CE2A26F5F75}">
    <text>1.5B valuation</text>
  </threadedComment>
  <threadedComment ref="D155" dT="2023-06-15T16:14:28.15" personId="{00000000-0000-0000-0000-000000000000}" id="{ADEBDD3F-0378-E642-BB59-B9F3B8CA7869}">
    <text>https://techcrunch.com/2022/11/10/ai-powered-note-taking-app-mem-raises-23-5m-openai/</text>
  </threadedComment>
</ThreadedComments>
</file>

<file path=xl/threadedComments/threadedComment2.xml><?xml version="1.0" encoding="utf-8"?>
<ThreadedComments xmlns="http://schemas.microsoft.com/office/spreadsheetml/2018/threadedcomments" xmlns:x="http://schemas.openxmlformats.org/spreadsheetml/2006/main">
  <threadedComment ref="J116" dT="2023-08-02T17:23:28.80" personId="{E7DC6E06-73C2-4870-9625-B86C1A71FCC8}" id="{7A7C6198-3353-CD40-BB00-F8E9A98CCF06}">
    <text>Was 22% IRR</text>
  </threadedComment>
  <threadedComment ref="J117" dT="2023-08-02T17:23:48.32" personId="{E7DC6E06-73C2-4870-9625-B86C1A71FCC8}" id="{E6DDF9CC-FB36-C74C-965A-666BFAA0DE62}">
    <text>Was 23% IRR</text>
  </threadedComment>
  <threadedComment ref="J118" dT="2023-08-02T17:23:34.76" personId="{E7DC6E06-73C2-4870-9625-B86C1A71FCC8}" id="{305D004E-E51A-144D-BE51-991B59019DC4}">
    <text>Was 39% IRR</text>
  </threadedComment>
  <threadedComment ref="I831" dT="2023-06-28T22:40:44.43" personId="{00000000-0000-0000-0000-000000000000}" id="{2693FE7F-F554-E548-8264-1036732DDEF4}">
    <text>Amplify Partners V, Amplify Select (6/13/22)</text>
  </threadedComment>
  <threadedComment ref="I1096" dT="2023-06-28T22:44:58.89" personId="{00000000-0000-0000-0000-000000000000}" id="{36903FD1-2927-8148-989B-855E86E2A333}">
    <text>Radical Ventures II (5/7/19)</text>
  </threadedComment>
</ThreadedComments>
</file>

<file path=xl/threadedComments/threadedComment3.xml><?xml version="1.0" encoding="utf-8"?>
<ThreadedComments xmlns="http://schemas.microsoft.com/office/spreadsheetml/2018/threadedcomments" xmlns:x="http://schemas.openxmlformats.org/spreadsheetml/2006/main">
  <threadedComment ref="J3" dT="2024-02-20T00:25:40.79" personId="{E7DC6E06-73C2-4870-9625-B86C1A71FCC8}" id="{26AE71E1-A6EA-1C4D-B190-C333B6B98FDF}">
    <text>0.03 limited starter tier
Enterprise discounts all the way to 0.03</text>
  </threadedComment>
  <threadedComment ref="O4" dT="2024-02-19T22:55:27.38" personId="{E7DC6E06-73C2-4870-9625-B86C1A71FCC8}" id="{E0153790-2524-5940-9AF2-C45B6CF5AAB7}">
    <text>Product not out yet, on waitlist</text>
  </threadedComment>
  <threadedComment ref="O5" dT="2024-02-19T23:03:11.16" personId="{E7DC6E06-73C2-4870-9625-B86C1A71FCC8}" id="{9AB83EA6-509C-1447-9AAF-237532D68E8D}">
    <text>No self-service, must contact sales, 3000/12m chars</text>
  </threadedComment>
  <threadedComment ref="J6" dT="2024-02-20T00:29:02.64" personId="{E7DC6E06-73C2-4870-9625-B86C1A71FCC8}" id="{CF95A801-D2A5-514C-AF80-680FECBFAA4A}">
    <text>https://play.ht/upgrade/
$999/mo tier, 0.225 drops to 0.10
Other tiers are from 0.25 and lower</text>
    <extLst>
      <x:ext xmlns:xltc2="http://schemas.microsoft.com/office/spreadsheetml/2020/threadedcomments2" uri="{F7C98A9C-CBB3-438F-8F68-D28B6AF4A901}">
        <xltc2:checksum>377302434</xltc2:checksum>
        <xltc2:hyperlink startIndex="0" length="24" url="https://play.ht/upgrade/"/>
      </x:ext>
    </extLst>
  </threadedComment>
  <threadedComment ref="J8" dT="2024-02-20T00:34:33.97" personId="{E7DC6E06-73C2-4870-9625-B86C1A71FCC8}" id="{AA8070DE-A169-2247-BECD-3D5230FEC4D2}">
    <text>https://www.resemble.ai/pricing/</text>
  </threadedComment>
  <threadedComment ref="O9" dT="2024-02-19T23:03:11.16" personId="{E7DC6E06-73C2-4870-9625-B86C1A71FCC8}" id="{4059B2DA-8F69-4F42-B0A0-055104F9E7FE}">
    <text>No self-service, must contact sales</text>
  </threadedComment>
  <threadedComment ref="J18" dT="2024-02-20T00:42:14.22" personId="{E7DC6E06-73C2-4870-9625-B86C1A71FCC8}" id="{28F2BD18-8190-944F-A71C-6603E4F1E39E}">
    <text>0.0163 without scale</text>
  </threadedComment>
</ThreadedComments>
</file>

<file path=xl/worksheets/_rels/sheet11.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2.xml.rels><?xml version="1.0" encoding="UTF-8" standalone="yes"?>
<Relationships xmlns="http://schemas.openxmlformats.org/package/2006/relationships"><Relationship Id="rId8" Type="http://schemas.openxmlformats.org/officeDocument/2006/relationships/hyperlink" Target="https://arxiv.org/abs/1905.09263" TargetMode="External"/><Relationship Id="rId13" Type="http://schemas.openxmlformats.org/officeDocument/2006/relationships/hyperlink" Target="https://mila.quebec/wp-content/uploads/2017/02/end-end-speech.pdf" TargetMode="External"/><Relationship Id="rId18" Type="http://schemas.openxmlformats.org/officeDocument/2006/relationships/hyperlink" Target="https://www.danielpovey.com/files/2017_interspeech_embeddings.pdf" TargetMode="External"/><Relationship Id="rId26" Type="http://schemas.openxmlformats.org/officeDocument/2006/relationships/hyperlink" Target="https://www.semanticscholar.org/paper/An-Unsupervised-Speaker-Clustering-Technique-based-Ahmed-Elaraby/f5be2cb9d37e5e54c5d20644ff7025cdee14995f?p2df" TargetMode="External"/><Relationship Id="rId3" Type="http://schemas.openxmlformats.org/officeDocument/2006/relationships/hyperlink" Target="https://arxiv.org/abs/2301.02111" TargetMode="External"/><Relationship Id="rId21" Type="http://schemas.openxmlformats.org/officeDocument/2006/relationships/hyperlink" Target="https://double-blind-eva-gan.cc/" TargetMode="External"/><Relationship Id="rId7" Type="http://schemas.openxmlformats.org/officeDocument/2006/relationships/hyperlink" Target="https://arxiv.org/abs/1809.08895" TargetMode="External"/><Relationship Id="rId12" Type="http://schemas.openxmlformats.org/officeDocument/2006/relationships/hyperlink" Target="https://arxiv.org/abs/2006.04558" TargetMode="External"/><Relationship Id="rId17" Type="http://schemas.openxmlformats.org/officeDocument/2006/relationships/hyperlink" Target="https://arxiv.org/abs/1803.09047" TargetMode="External"/><Relationship Id="rId25" Type="http://schemas.openxmlformats.org/officeDocument/2006/relationships/hyperlink" Target="https://arxiv.org/pdf/2303.02939v3.pdf" TargetMode="External"/><Relationship Id="rId2" Type="http://schemas.openxmlformats.org/officeDocument/2006/relationships/hyperlink" Target="https://arxiv.org/abs/1712.05884" TargetMode="External"/><Relationship Id="rId16" Type="http://schemas.openxmlformats.org/officeDocument/2006/relationships/hyperlink" Target="https://arxiv.org/abs/1710.10467" TargetMode="External"/><Relationship Id="rId20" Type="http://schemas.openxmlformats.org/officeDocument/2006/relationships/hyperlink" Target="https://arxiv.org/pdf/2309.02285.pdf" TargetMode="External"/><Relationship Id="rId1" Type="http://schemas.openxmlformats.org/officeDocument/2006/relationships/hyperlink" Target="https://arxiv.org/abs/2307.16430" TargetMode="External"/><Relationship Id="rId6" Type="http://schemas.openxmlformats.org/officeDocument/2006/relationships/hyperlink" Target="https://arxiv.org/pdf/2401.02839.pdf" TargetMode="External"/><Relationship Id="rId11" Type="http://schemas.openxmlformats.org/officeDocument/2006/relationships/hyperlink" Target="https://arxiv.org/abs/2105.06337" TargetMode="External"/><Relationship Id="rId24" Type="http://schemas.openxmlformats.org/officeDocument/2006/relationships/hyperlink" Target="https://arxiv.org/abs/1811.07240" TargetMode="External"/><Relationship Id="rId5" Type="http://schemas.openxmlformats.org/officeDocument/2006/relationships/hyperlink" Target="https://arxiv.org/abs/2401.02921" TargetMode="External"/><Relationship Id="rId15" Type="http://schemas.openxmlformats.org/officeDocument/2006/relationships/hyperlink" Target="https://arxiv.org/abs/1910.10838" TargetMode="External"/><Relationship Id="rId23" Type="http://schemas.openxmlformats.org/officeDocument/2006/relationships/hyperlink" Target="https://arxiv.org/abs/1806.04558" TargetMode="External"/><Relationship Id="rId28" Type="http://schemas.openxmlformats.org/officeDocument/2006/relationships/hyperlink" Target="https://arxiv.org/abs/2103.03206" TargetMode="External"/><Relationship Id="rId10" Type="http://schemas.openxmlformats.org/officeDocument/2006/relationships/hyperlink" Target="https://arxiv.org/abs/2005.05957" TargetMode="External"/><Relationship Id="rId19" Type="http://schemas.openxmlformats.org/officeDocument/2006/relationships/hyperlink" Target="https://arxiv.org/abs/1406.1078" TargetMode="External"/><Relationship Id="rId4" Type="http://schemas.openxmlformats.org/officeDocument/2006/relationships/hyperlink" Target="https://arxiv.org/abs/2103.03206" TargetMode="External"/><Relationship Id="rId9" Type="http://schemas.openxmlformats.org/officeDocument/2006/relationships/hyperlink" Target="https://arxiv.org/abs/2005.11129" TargetMode="External"/><Relationship Id="rId14" Type="http://schemas.openxmlformats.org/officeDocument/2006/relationships/hyperlink" Target="https://arxiv.org/abs/2305.07243" TargetMode="External"/><Relationship Id="rId22" Type="http://schemas.openxmlformats.org/officeDocument/2006/relationships/hyperlink" Target="https://arxiv.org/pdf/2402.00892.pdf" TargetMode="External"/><Relationship Id="rId27" Type="http://schemas.openxmlformats.org/officeDocument/2006/relationships/hyperlink" Target="https://ieeexplore.ieee.org/document/6854204" TargetMode="External"/></Relationships>
</file>

<file path=xl/worksheets/_rels/sheet13.xml.rels><?xml version="1.0" encoding="UTF-8" standalone="yes"?>
<Relationships xmlns="http://schemas.openxmlformats.org/package/2006/relationships"><Relationship Id="rId8" Type="http://schemas.openxmlformats.org/officeDocument/2006/relationships/hyperlink" Target="http://www.speechify.com/" TargetMode="External"/><Relationship Id="rId13" Type="http://schemas.openxmlformats.org/officeDocument/2006/relationships/hyperlink" Target="http://www.ispeech.org/" TargetMode="External"/><Relationship Id="rId18" Type="http://schemas.openxmlformats.org/officeDocument/2006/relationships/hyperlink" Target="http://www.voiser.net/" TargetMode="External"/><Relationship Id="rId26" Type="http://schemas.microsoft.com/office/2017/10/relationships/threadedComment" Target="../threadedComments/threadedComment3.xml"/><Relationship Id="rId3" Type="http://schemas.openxmlformats.org/officeDocument/2006/relationships/hyperlink" Target="http://www.elevenlabs.io/" TargetMode="External"/><Relationship Id="rId21" Type="http://schemas.openxmlformats.org/officeDocument/2006/relationships/hyperlink" Target="http://www.neets.ai/" TargetMode="External"/><Relationship Id="rId7" Type="http://schemas.openxmlformats.org/officeDocument/2006/relationships/hyperlink" Target="http://www.unrealspeech.com/" TargetMode="External"/><Relationship Id="rId12" Type="http://schemas.openxmlformats.org/officeDocument/2006/relationships/hyperlink" Target="http://www.synthesys.io/" TargetMode="External"/><Relationship Id="rId17" Type="http://schemas.openxmlformats.org/officeDocument/2006/relationships/hyperlink" Target="http://www.gemelo.ai/" TargetMode="External"/><Relationship Id="rId25" Type="http://schemas.openxmlformats.org/officeDocument/2006/relationships/comments" Target="../comments3.xml"/><Relationship Id="rId2" Type="http://schemas.openxmlformats.org/officeDocument/2006/relationships/hyperlink" Target="http://www.coqui.ai/" TargetMode="External"/><Relationship Id="rId16" Type="http://schemas.openxmlformats.org/officeDocument/2006/relationships/hyperlink" Target="http://www.deepdub.ai/" TargetMode="External"/><Relationship Id="rId20" Type="http://schemas.openxmlformats.org/officeDocument/2006/relationships/hyperlink" Target="http://www.resemble.ai/" TargetMode="External"/><Relationship Id="rId1" Type="http://schemas.openxmlformats.org/officeDocument/2006/relationships/hyperlink" Target="http://www.play.ht/" TargetMode="External"/><Relationship Id="rId6" Type="http://schemas.openxmlformats.org/officeDocument/2006/relationships/hyperlink" Target="http://www.murf.ai/" TargetMode="External"/><Relationship Id="rId11" Type="http://schemas.openxmlformats.org/officeDocument/2006/relationships/hyperlink" Target="http://www.voiceovermaker.io/" TargetMode="External"/><Relationship Id="rId24" Type="http://schemas.openxmlformats.org/officeDocument/2006/relationships/vmlDrawing" Target="../drawings/vmlDrawing3.vml"/><Relationship Id="rId5" Type="http://schemas.openxmlformats.org/officeDocument/2006/relationships/hyperlink" Target="http://www.wellsaidlabs.com/" TargetMode="External"/><Relationship Id="rId15" Type="http://schemas.openxmlformats.org/officeDocument/2006/relationships/hyperlink" Target="http://www.lmnt.com/" TargetMode="External"/><Relationship Id="rId23" Type="http://schemas.openxmlformats.org/officeDocument/2006/relationships/hyperlink" Target="http://www.openai.com/" TargetMode="External"/><Relationship Id="rId10" Type="http://schemas.openxmlformats.org/officeDocument/2006/relationships/hyperlink" Target="http://www.replicastudios.com/" TargetMode="External"/><Relationship Id="rId19" Type="http://schemas.openxmlformats.org/officeDocument/2006/relationships/hyperlink" Target="http://www.lovo.ai/" TargetMode="External"/><Relationship Id="rId4" Type="http://schemas.openxmlformats.org/officeDocument/2006/relationships/hyperlink" Target="http://www.rime.ai/" TargetMode="External"/><Relationship Id="rId9" Type="http://schemas.openxmlformats.org/officeDocument/2006/relationships/hyperlink" Target="http://www.voicemod.net/" TargetMode="External"/><Relationship Id="rId14" Type="http://schemas.openxmlformats.org/officeDocument/2006/relationships/hyperlink" Target="https://www.vocalware.com/index/pricing" TargetMode="External"/><Relationship Id="rId22" Type="http://schemas.openxmlformats.org/officeDocument/2006/relationships/hyperlink" Target="http://www.openai.com/" TargetMode="External"/></Relationships>
</file>

<file path=xl/worksheets/_rels/sheet14.xml.rels><?xml version="1.0" encoding="UTF-8" standalone="yes"?>
<Relationships xmlns="http://schemas.openxmlformats.org/package/2006/relationships"><Relationship Id="rId13" Type="http://schemas.openxmlformats.org/officeDocument/2006/relationships/hyperlink" Target="https://docs.nvidia.com/deeplearning/nemo/user-guide/docs/en/stable/tts/intro.html" TargetMode="External"/><Relationship Id="rId18" Type="http://schemas.openxmlformats.org/officeDocument/2006/relationships/hyperlink" Target="https://github.com/suno-ai/bark" TargetMode="External"/><Relationship Id="rId26" Type="http://schemas.openxmlformats.org/officeDocument/2006/relationships/hyperlink" Target="https://github.com/kaldi-asr/kaldi" TargetMode="External"/><Relationship Id="rId3" Type="http://schemas.openxmlformats.org/officeDocument/2006/relationships/hyperlink" Target="https://github.com/neonbjb/tortoise-tts" TargetMode="External"/><Relationship Id="rId21" Type="http://schemas.openxmlformats.org/officeDocument/2006/relationships/hyperlink" Target="https://github.com/FFmpeg/Ffmpeg" TargetMode="External"/><Relationship Id="rId34" Type="http://schemas.openxmlformats.org/officeDocument/2006/relationships/hyperlink" Target="https://github.com/facebookresearch/audiocraft" TargetMode="External"/><Relationship Id="rId7" Type="http://schemas.openxmlformats.org/officeDocument/2006/relationships/hyperlink" Target="https://github.com/Plachtaa/VITS-fast-fine-tuning" TargetMode="External"/><Relationship Id="rId12" Type="http://schemas.openxmlformats.org/officeDocument/2006/relationships/hyperlink" Target="https://www.deepmind.com/blog/wavenet-a-generative-model-for-raw-audio" TargetMode="External"/><Relationship Id="rId17" Type="http://schemas.openxmlformats.org/officeDocument/2006/relationships/hyperlink" Target="https://github.com/NVIDIA/NeMo" TargetMode="External"/><Relationship Id="rId25" Type="http://schemas.openxmlformats.org/officeDocument/2006/relationships/hyperlink" Target="https://github.com/Anjok07/ultimatevocalremovergui" TargetMode="External"/><Relationship Id="rId33" Type="http://schemas.openxmlformats.org/officeDocument/2006/relationships/hyperlink" Target="https://www.youtube.com/redirect?event=video_description&amp;redir_token=QUFFLUhqbGRBV0xfUjR0ZW1KQTJNVUhrX2xyUl9iWjI0QXxBQ3Jtc0trWnZZMWowcnhiRVIxdWx3SjIyMU5kUzRHZVFtajBNLURaalhRVkI4VVJZckNMMW0yRkNIZWZkZDJUdC03bTc0UkktOURRUTBuWGZMOWpTb3U3S3NBQ3FRd1BNUWRtRVRmbFJtYmZRcDVJWFFJeXlZSQ&amp;q=https%3A%2F%2Farxiv.org%2Fpdf%2F2204.09224.pdf&amp;v=aiGp1g-dCY4" TargetMode="External"/><Relationship Id="rId2" Type="http://schemas.openxmlformats.org/officeDocument/2006/relationships/hyperlink" Target="https://github.com/lucidrains/spear-tts-pytorch" TargetMode="External"/><Relationship Id="rId16" Type="http://schemas.openxmlformats.org/officeDocument/2006/relationships/hyperlink" Target="https://github.com/justinjohn0306/so-vits-svc-4.0-v2" TargetMode="External"/><Relationship Id="rId20" Type="http://schemas.openxmlformats.org/officeDocument/2006/relationships/hyperlink" Target="https://github.com/babysor/MockingBird" TargetMode="External"/><Relationship Id="rId29" Type="http://schemas.openxmlformats.org/officeDocument/2006/relationships/hyperlink" Target="https://github.com/mpv-player/mpv" TargetMode="External"/><Relationship Id="rId1" Type="http://schemas.openxmlformats.org/officeDocument/2006/relationships/hyperlink" Target="https://google-research.github.io/seanet/speartts/examples/" TargetMode="External"/><Relationship Id="rId6" Type="http://schemas.openxmlformats.org/officeDocument/2006/relationships/hyperlink" Target="https://github.com/hcy71o/SC-VITS" TargetMode="External"/><Relationship Id="rId11" Type="http://schemas.openxmlformats.org/officeDocument/2006/relationships/hyperlink" Target="https://github.com/MycroftAI/mimic3" TargetMode="External"/><Relationship Id="rId24" Type="http://schemas.openxmlformats.org/officeDocument/2006/relationships/hyperlink" Target="https://github.com/RVC-Boss/GPT-SoVITS" TargetMode="External"/><Relationship Id="rId32" Type="http://schemas.openxmlformats.org/officeDocument/2006/relationships/hyperlink" Target="https://github.com/snakers4/silero-models" TargetMode="External"/><Relationship Id="rId5" Type="http://schemas.openxmlformats.org/officeDocument/2006/relationships/hyperlink" Target="https://github.com/jaywalnut310/vits" TargetMode="External"/><Relationship Id="rId15" Type="http://schemas.openxmlformats.org/officeDocument/2006/relationships/hyperlink" Target="https://github.com/yl4579/StyleTTS2" TargetMode="External"/><Relationship Id="rId23" Type="http://schemas.openxmlformats.org/officeDocument/2006/relationships/hyperlink" Target="https://github.com/openai/whisper" TargetMode="External"/><Relationship Id="rId28" Type="http://schemas.openxmlformats.org/officeDocument/2006/relationships/hyperlink" Target="https://github.com/myshell-ai/OpenVoice" TargetMode="External"/><Relationship Id="rId10" Type="http://schemas.openxmlformats.org/officeDocument/2006/relationships/hyperlink" Target="https://google-research.github.io/seanet/soundstorm/examples/" TargetMode="External"/><Relationship Id="rId19" Type="http://schemas.openxmlformats.org/officeDocument/2006/relationships/hyperlink" Target="https://github.com/daniilrobnikov/vits2" TargetMode="External"/><Relationship Id="rId31" Type="http://schemas.openxmlformats.org/officeDocument/2006/relationships/hyperlink" Target="https://github.com/buriburisuri/speech-to-text-wavenet" TargetMode="External"/><Relationship Id="rId4" Type="http://schemas.openxmlformats.org/officeDocument/2006/relationships/hyperlink" Target="https://github.com/152334H/tortoise-tts-fast" TargetMode="External"/><Relationship Id="rId9" Type="http://schemas.openxmlformats.org/officeDocument/2006/relationships/hyperlink" Target="https://github.com/lucidrains/soundstorm-pytorch" TargetMode="External"/><Relationship Id="rId14" Type="http://schemas.openxmlformats.org/officeDocument/2006/relationships/hyperlink" Target="http://www.nonint.com/" TargetMode="External"/><Relationship Id="rId22" Type="http://schemas.openxmlformats.org/officeDocument/2006/relationships/hyperlink" Target="https://github.com/CorentinJ/Real-Time-Voice-Cloning" TargetMode="External"/><Relationship Id="rId27" Type="http://schemas.openxmlformats.org/officeDocument/2006/relationships/hyperlink" Target="https://github.com/PaddlePaddle/PaddleHub" TargetMode="External"/><Relationship Id="rId30" Type="http://schemas.openxmlformats.org/officeDocument/2006/relationships/hyperlink" Target="https://github.com/google/lyra" TargetMode="External"/><Relationship Id="rId8" Type="http://schemas.openxmlformats.org/officeDocument/2006/relationships/hyperlink" Target="https://github.com/svc-develop-team/so-vits-svc" TargetMode="External"/></Relationships>
</file>

<file path=xl/worksheets/_rels/sheet18.xml.rels><?xml version="1.0" encoding="UTF-8" standalone="yes"?>
<Relationships xmlns="http://schemas.openxmlformats.org/package/2006/relationships"><Relationship Id="rId8" Type="http://schemas.openxmlformats.org/officeDocument/2006/relationships/hyperlink" Target="https://github.com/microsoft/unilm" TargetMode="External"/><Relationship Id="rId13" Type="http://schemas.openxmlformats.org/officeDocument/2006/relationships/hyperlink" Target="https://github.com/hwchase17/langchain" TargetMode="External"/><Relationship Id="rId18" Type="http://schemas.openxmlformats.org/officeDocument/2006/relationships/hyperlink" Target="https://github.com/gururise/AlpacaDataCleaned/" TargetMode="External"/><Relationship Id="rId26" Type="http://schemas.openxmlformats.org/officeDocument/2006/relationships/hyperlink" Target="https://lmsys.org/blog/2023-03-30-vicuna/" TargetMode="External"/><Relationship Id="rId3" Type="http://schemas.openxmlformats.org/officeDocument/2006/relationships/hyperlink" Target="https://huggingface.co/chansung/alpaca-lora-65b/tree/main" TargetMode="External"/><Relationship Id="rId21" Type="http://schemas.openxmlformats.org/officeDocument/2006/relationships/hyperlink" Target="https://github.com/tatsu-lab/stanford_alpaca" TargetMode="External"/><Relationship Id="rId7" Type="http://schemas.openxmlformats.org/officeDocument/2006/relationships/hyperlink" Target="https://ai.meta.com/tools/libri-light/" TargetMode="External"/><Relationship Id="rId12" Type="http://schemas.openxmlformats.org/officeDocument/2006/relationships/hyperlink" Target="https://github.com/vllm-project/vllm" TargetMode="External"/><Relationship Id="rId17" Type="http://schemas.openxmlformats.org/officeDocument/2006/relationships/hyperlink" Target="https://huggingface.co/stabilityai/StableBeluga2" TargetMode="External"/><Relationship Id="rId25" Type="http://schemas.openxmlformats.org/officeDocument/2006/relationships/hyperlink" Target="https://huggingface.co/lmsys/vicuna-13b-delta-v1.1" TargetMode="External"/><Relationship Id="rId2" Type="http://schemas.openxmlformats.org/officeDocument/2006/relationships/hyperlink" Target="https://huggingface.co/datasets/nomic-ai/gpt4all-j-prompt-generations/tree/main/data" TargetMode="External"/><Relationship Id="rId16" Type="http://schemas.openxmlformats.org/officeDocument/2006/relationships/hyperlink" Target="https://lichang-chen.github.io/AlpaGasus/" TargetMode="External"/><Relationship Id="rId20" Type="http://schemas.openxmlformats.org/officeDocument/2006/relationships/hyperlink" Target="https://github.com/cocktailpeanut/dalai" TargetMode="External"/><Relationship Id="rId29" Type="http://schemas.openxmlformats.org/officeDocument/2006/relationships/hyperlink" Target="https://github.com/tatsu-lab/alpaca_eval" TargetMode="External"/><Relationship Id="rId1" Type="http://schemas.openxmlformats.org/officeDocument/2006/relationships/hyperlink" Target="https://github.com/tloen/alpaca-lora" TargetMode="External"/><Relationship Id="rId6" Type="http://schemas.openxmlformats.org/officeDocument/2006/relationships/hyperlink" Target="https://github.com/facebookresearch/libri-light" TargetMode="External"/><Relationship Id="rId11" Type="http://schemas.openxmlformats.org/officeDocument/2006/relationships/hyperlink" Target="https://github.com/lm-sys/FastChat" TargetMode="External"/><Relationship Id="rId24" Type="http://schemas.openxmlformats.org/officeDocument/2006/relationships/hyperlink" Target="https://github.com/young-geng/EasyLM/tree/main" TargetMode="External"/><Relationship Id="rId5" Type="http://schemas.openxmlformats.org/officeDocument/2006/relationships/hyperlink" Target="https://github.com/lucidrains/soundstorm-pytorch" TargetMode="External"/><Relationship Id="rId15" Type="http://schemas.openxmlformats.org/officeDocument/2006/relationships/hyperlink" Target="http://code.google.com/p/cuda-convnet/" TargetMode="External"/><Relationship Id="rId23" Type="http://schemas.openxmlformats.org/officeDocument/2006/relationships/hyperlink" Target="https://github.com/nlpxucan/WizardLM" TargetMode="External"/><Relationship Id="rId28" Type="http://schemas.openxmlformats.org/officeDocument/2006/relationships/hyperlink" Target="https://bair.berkeley.edu/blog/2023/04/03/koala/" TargetMode="External"/><Relationship Id="rId10" Type="http://schemas.openxmlformats.org/officeDocument/2006/relationships/hyperlink" Target="https://github.com/microsoft/DeepSpeed" TargetMode="External"/><Relationship Id="rId19" Type="http://schemas.openxmlformats.org/officeDocument/2006/relationships/hyperlink" Target="https://github.com/joonspk-research/generative_agents" TargetMode="External"/><Relationship Id="rId4" Type="http://schemas.openxmlformats.org/officeDocument/2006/relationships/hyperlink" Target="https://github.com/h2oai/h2ogpt" TargetMode="External"/><Relationship Id="rId9" Type="http://schemas.openxmlformats.org/officeDocument/2006/relationships/hyperlink" Target="https://github.com/openai/gpt-3/tree/master" TargetMode="External"/><Relationship Id="rId14" Type="http://schemas.openxmlformats.org/officeDocument/2006/relationships/hyperlink" Target="https://github.com/ggerganov/llama.cpp" TargetMode="External"/><Relationship Id="rId22" Type="http://schemas.openxmlformats.org/officeDocument/2006/relationships/hyperlink" Target="https://huggingface.co/EleutherAI/gpt-j-6b" TargetMode="External"/><Relationship Id="rId27" Type="http://schemas.openxmlformats.org/officeDocument/2006/relationships/hyperlink" Target="https://www.databricks.com/blog/2023/04/12/dolly-first-open-commercially-viable-instruction-tuned-llm" TargetMode="External"/><Relationship Id="rId30" Type="http://schemas.openxmlformats.org/officeDocument/2006/relationships/printerSettings" Target="../printerSettings/printerSettings4.bin"/></Relationships>
</file>

<file path=xl/worksheets/_rels/sheet19.xml.rels><?xml version="1.0" encoding="UTF-8" standalone="yes"?>
<Relationships xmlns="http://schemas.openxmlformats.org/package/2006/relationships"><Relationship Id="rId3" Type="http://schemas.openxmlformats.org/officeDocument/2006/relationships/hyperlink" Target="https://www.youtube.com/@hugolarochelle/videos" TargetMode="External"/><Relationship Id="rId2" Type="http://schemas.openxmlformats.org/officeDocument/2006/relationships/hyperlink" Target="https://www.youtube.com/watch?v=zij_FTbJHsk" TargetMode="External"/><Relationship Id="rId1" Type="http://schemas.openxmlformats.org/officeDocument/2006/relationships/hyperlink" Target="mailto:ilyasu@openai.com" TargetMode="External"/><Relationship Id="rId5" Type="http://schemas.openxmlformats.org/officeDocument/2006/relationships/hyperlink" Target="https://www.cs.toronto.edu/~hinton/" TargetMode="External"/><Relationship Id="rId4" Type="http://schemas.openxmlformats.org/officeDocument/2006/relationships/hyperlink" Target="mailto:jba@cs.toronto.edu"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www.chub.ai/" TargetMode="External"/><Relationship Id="rId299" Type="http://schemas.openxmlformats.org/officeDocument/2006/relationships/hyperlink" Target="http://www.swapp.net/" TargetMode="External"/><Relationship Id="rId21" Type="http://schemas.openxmlformats.org/officeDocument/2006/relationships/hyperlink" Target="http://www.highradius.com/" TargetMode="External"/><Relationship Id="rId63" Type="http://schemas.openxmlformats.org/officeDocument/2006/relationships/hyperlink" Target="http://www.h2o.ai/" TargetMode="External"/><Relationship Id="rId159" Type="http://schemas.openxmlformats.org/officeDocument/2006/relationships/hyperlink" Target="http://www.rossum.ai/" TargetMode="External"/><Relationship Id="rId324" Type="http://schemas.openxmlformats.org/officeDocument/2006/relationships/hyperlink" Target="http://www.synthetaic.com/" TargetMode="External"/><Relationship Id="rId170" Type="http://schemas.openxmlformats.org/officeDocument/2006/relationships/hyperlink" Target="http://www.playgroundai.com/" TargetMode="External"/><Relationship Id="rId226" Type="http://schemas.openxmlformats.org/officeDocument/2006/relationships/hyperlink" Target="http://www.nabla.com/" TargetMode="External"/><Relationship Id="rId268" Type="http://schemas.openxmlformats.org/officeDocument/2006/relationships/hyperlink" Target="http://www.science.io/" TargetMode="External"/><Relationship Id="rId32" Type="http://schemas.openxmlformats.org/officeDocument/2006/relationships/hyperlink" Target="http://www.enlitic.com/" TargetMode="External"/><Relationship Id="rId74" Type="http://schemas.openxmlformats.org/officeDocument/2006/relationships/hyperlink" Target="http://www.helsing.ai/" TargetMode="External"/><Relationship Id="rId128" Type="http://schemas.openxmlformats.org/officeDocument/2006/relationships/hyperlink" Target="http://www.ada.cx/" TargetMode="External"/><Relationship Id="rId335" Type="http://schemas.openxmlformats.org/officeDocument/2006/relationships/hyperlink" Target="https://legalforce-cloud.com/" TargetMode="External"/><Relationship Id="rId5" Type="http://schemas.openxmlformats.org/officeDocument/2006/relationships/hyperlink" Target="http://www.intrinsic.ai/" TargetMode="External"/><Relationship Id="rId181" Type="http://schemas.openxmlformats.org/officeDocument/2006/relationships/hyperlink" Target="http://www.sima.ai/" TargetMode="External"/><Relationship Id="rId237" Type="http://schemas.openxmlformats.org/officeDocument/2006/relationships/hyperlink" Target="http://www.relyance.ai/" TargetMode="External"/><Relationship Id="rId279" Type="http://schemas.openxmlformats.org/officeDocument/2006/relationships/hyperlink" Target="http://www.utilidata.com/" TargetMode="External"/><Relationship Id="rId43" Type="http://schemas.openxmlformats.org/officeDocument/2006/relationships/hyperlink" Target="http://www.thoughtspot.com/" TargetMode="External"/><Relationship Id="rId139" Type="http://schemas.openxmlformats.org/officeDocument/2006/relationships/hyperlink" Target="http://www.snorkel.ai/" TargetMode="External"/><Relationship Id="rId290" Type="http://schemas.openxmlformats.org/officeDocument/2006/relationships/hyperlink" Target="http://www.enchanted.tools/" TargetMode="External"/><Relationship Id="rId304" Type="http://schemas.openxmlformats.org/officeDocument/2006/relationships/hyperlink" Target="http://www.noogata.com/" TargetMode="External"/><Relationship Id="rId346" Type="http://schemas.openxmlformats.org/officeDocument/2006/relationships/hyperlink" Target="http://www.wombo.ai/" TargetMode="External"/><Relationship Id="rId85" Type="http://schemas.openxmlformats.org/officeDocument/2006/relationships/hyperlink" Target="http://www.facebook.com/" TargetMode="External"/><Relationship Id="rId150" Type="http://schemas.openxmlformats.org/officeDocument/2006/relationships/hyperlink" Target="http://www.aisera.com/" TargetMode="External"/><Relationship Id="rId192" Type="http://schemas.openxmlformats.org/officeDocument/2006/relationships/hyperlink" Target="http://www.unsupervised.com/" TargetMode="External"/><Relationship Id="rId206" Type="http://schemas.openxmlformats.org/officeDocument/2006/relationships/hyperlink" Target="http://www.expresssteuer.de/" TargetMode="External"/><Relationship Id="rId248" Type="http://schemas.openxmlformats.org/officeDocument/2006/relationships/hyperlink" Target="http://www.rewind.ai/" TargetMode="External"/><Relationship Id="rId12" Type="http://schemas.openxmlformats.org/officeDocument/2006/relationships/hyperlink" Target="http://www.nuro.ai/" TargetMode="External"/><Relationship Id="rId108" Type="http://schemas.openxmlformats.org/officeDocument/2006/relationships/hyperlink" Target="http://www.rungalileo.io/" TargetMode="External"/><Relationship Id="rId315" Type="http://schemas.openxmlformats.org/officeDocument/2006/relationships/hyperlink" Target="http://www.mindfoundry.ai/" TargetMode="External"/><Relationship Id="rId54" Type="http://schemas.openxmlformats.org/officeDocument/2006/relationships/hyperlink" Target="http://www.immunai.com/" TargetMode="External"/><Relationship Id="rId96" Type="http://schemas.openxmlformats.org/officeDocument/2006/relationships/hyperlink" Target="http://www.getcruise.com/" TargetMode="External"/><Relationship Id="rId161" Type="http://schemas.openxmlformats.org/officeDocument/2006/relationships/hyperlink" Target="http://www.vedrai.com/" TargetMode="External"/><Relationship Id="rId217" Type="http://schemas.openxmlformats.org/officeDocument/2006/relationships/hyperlink" Target="http://www.kili-technology.com/" TargetMode="External"/><Relationship Id="rId259" Type="http://schemas.openxmlformats.org/officeDocument/2006/relationships/hyperlink" Target="http://www.neptune.ai/" TargetMode="External"/><Relationship Id="rId23" Type="http://schemas.openxmlformats.org/officeDocument/2006/relationships/hyperlink" Target="http://www.patsnap.com/" TargetMode="External"/><Relationship Id="rId119" Type="http://schemas.openxmlformats.org/officeDocument/2006/relationships/hyperlink" Target="http://www.spicychat.ai/" TargetMode="External"/><Relationship Id="rId270" Type="http://schemas.openxmlformats.org/officeDocument/2006/relationships/hyperlink" Target="https://global.iflytek.com/" TargetMode="External"/><Relationship Id="rId326" Type="http://schemas.openxmlformats.org/officeDocument/2006/relationships/hyperlink" Target="http://www.paperspace.com/" TargetMode="External"/><Relationship Id="rId65" Type="http://schemas.openxmlformats.org/officeDocument/2006/relationships/hyperlink" Target="http://www.labelbox.com/" TargetMode="External"/><Relationship Id="rId130" Type="http://schemas.openxmlformats.org/officeDocument/2006/relationships/hyperlink" Target="http://www.adept.ai/" TargetMode="External"/><Relationship Id="rId172" Type="http://schemas.openxmlformats.org/officeDocument/2006/relationships/hyperlink" Target="http://www.langchain.com/" TargetMode="External"/><Relationship Id="rId228" Type="http://schemas.openxmlformats.org/officeDocument/2006/relationships/hyperlink" Target="http://www.protex.ai/" TargetMode="External"/><Relationship Id="rId281" Type="http://schemas.openxmlformats.org/officeDocument/2006/relationships/hyperlink" Target="http://www.piecestech.com/" TargetMode="External"/><Relationship Id="rId337" Type="http://schemas.openxmlformats.org/officeDocument/2006/relationships/hyperlink" Target="http://www.hegel-ai.com/" TargetMode="External"/><Relationship Id="rId34" Type="http://schemas.openxmlformats.org/officeDocument/2006/relationships/hyperlink" Target="http://www.sidneyai.com/" TargetMode="External"/><Relationship Id="rId76" Type="http://schemas.openxmlformats.org/officeDocument/2006/relationships/hyperlink" Target="http://www.deepl.com/" TargetMode="External"/><Relationship Id="rId141" Type="http://schemas.openxmlformats.org/officeDocument/2006/relationships/hyperlink" Target="http://www.observe.ai/" TargetMode="External"/><Relationship Id="rId7" Type="http://schemas.openxmlformats.org/officeDocument/2006/relationships/hyperlink" Target="http://www.syllable.ai/" TargetMode="External"/><Relationship Id="rId183" Type="http://schemas.openxmlformats.org/officeDocument/2006/relationships/hyperlink" Target="http://www.landing.ai/" TargetMode="External"/><Relationship Id="rId239" Type="http://schemas.openxmlformats.org/officeDocument/2006/relationships/hyperlink" Target="http://www.superb-ai.com/" TargetMode="External"/><Relationship Id="rId250" Type="http://schemas.openxmlformats.org/officeDocument/2006/relationships/hyperlink" Target="http://www.heyday.ai/" TargetMode="External"/><Relationship Id="rId292" Type="http://schemas.openxmlformats.org/officeDocument/2006/relationships/hyperlink" Target="http://www.synthesis.ai/" TargetMode="External"/><Relationship Id="rId306" Type="http://schemas.openxmlformats.org/officeDocument/2006/relationships/hyperlink" Target="http://www.spellbook.legal/" TargetMode="External"/><Relationship Id="rId45" Type="http://schemas.openxmlformats.org/officeDocument/2006/relationships/hyperlink" Target="http://www.notco.com/" TargetMode="External"/><Relationship Id="rId87" Type="http://schemas.openxmlformats.org/officeDocument/2006/relationships/hyperlink" Target="http://www.tesla.com/" TargetMode="External"/><Relationship Id="rId110" Type="http://schemas.openxmlformats.org/officeDocument/2006/relationships/hyperlink" Target="http://www.charactr.com/" TargetMode="External"/><Relationship Id="rId348" Type="http://schemas.openxmlformats.org/officeDocument/2006/relationships/hyperlink" Target="http://www.momenta.cn/" TargetMode="External"/><Relationship Id="rId152" Type="http://schemas.openxmlformats.org/officeDocument/2006/relationships/hyperlink" Target="http://www.zhipu.ai/" TargetMode="External"/><Relationship Id="rId194" Type="http://schemas.openxmlformats.org/officeDocument/2006/relationships/hyperlink" Target="http://www.irreverentlabs.com/" TargetMode="External"/><Relationship Id="rId208" Type="http://schemas.openxmlformats.org/officeDocument/2006/relationships/hyperlink" Target="http://www.aleph-alpha.com/" TargetMode="External"/><Relationship Id="rId261" Type="http://schemas.openxmlformats.org/officeDocument/2006/relationships/hyperlink" Target="http://www.janus-ai.com/" TargetMode="External"/><Relationship Id="rId14" Type="http://schemas.openxmlformats.org/officeDocument/2006/relationships/hyperlink" Target="http://www.megvii.com/" TargetMode="External"/><Relationship Id="rId56" Type="http://schemas.openxmlformats.org/officeDocument/2006/relationships/hyperlink" Target="http://www.wayve.ai/" TargetMode="External"/><Relationship Id="rId317" Type="http://schemas.openxmlformats.org/officeDocument/2006/relationships/hyperlink" Target="http://www.hume.ai/" TargetMode="External"/><Relationship Id="rId98" Type="http://schemas.openxmlformats.org/officeDocument/2006/relationships/hyperlink" Target="http://www.sensetime.com/" TargetMode="External"/><Relationship Id="rId121" Type="http://schemas.openxmlformats.org/officeDocument/2006/relationships/hyperlink" Target="http://www.crushon.ai/" TargetMode="External"/><Relationship Id="rId163" Type="http://schemas.openxmlformats.org/officeDocument/2006/relationships/hyperlink" Target="http://www.fetch.ai/" TargetMode="External"/><Relationship Id="rId219" Type="http://schemas.openxmlformats.org/officeDocument/2006/relationships/hyperlink" Target="http://www.truera.com/" TargetMode="External"/><Relationship Id="rId230" Type="http://schemas.openxmlformats.org/officeDocument/2006/relationships/hyperlink" Target="http://www.leapyear.io/" TargetMode="External"/><Relationship Id="rId251" Type="http://schemas.openxmlformats.org/officeDocument/2006/relationships/hyperlink" Target="http://www.regie.ai/" TargetMode="External"/><Relationship Id="rId25" Type="http://schemas.openxmlformats.org/officeDocument/2006/relationships/hyperlink" Target="http://www.weka.io/" TargetMode="External"/><Relationship Id="rId46" Type="http://schemas.openxmlformats.org/officeDocument/2006/relationships/hyperlink" Target="http://www.skydio.com/" TargetMode="External"/><Relationship Id="rId67" Type="http://schemas.openxmlformats.org/officeDocument/2006/relationships/hyperlink" Target="http://www.banana.dev/" TargetMode="External"/><Relationship Id="rId272" Type="http://schemas.openxmlformats.org/officeDocument/2006/relationships/hyperlink" Target="http://www.hyro.ai/" TargetMode="External"/><Relationship Id="rId293" Type="http://schemas.openxmlformats.org/officeDocument/2006/relationships/hyperlink" Target="http://www.alethea.ai/" TargetMode="External"/><Relationship Id="rId307" Type="http://schemas.openxmlformats.org/officeDocument/2006/relationships/hyperlink" Target="http://www.xembly.com/" TargetMode="External"/><Relationship Id="rId328" Type="http://schemas.openxmlformats.org/officeDocument/2006/relationships/hyperlink" Target="http://www.latticeflow.ai/" TargetMode="External"/><Relationship Id="rId349" Type="http://schemas.openxmlformats.org/officeDocument/2006/relationships/hyperlink" Target="http://www.rogo.ai/" TargetMode="External"/><Relationship Id="rId88" Type="http://schemas.openxmlformats.org/officeDocument/2006/relationships/hyperlink" Target="http://www.google.com/" TargetMode="External"/><Relationship Id="rId111" Type="http://schemas.openxmlformats.org/officeDocument/2006/relationships/hyperlink" Target="http://www.janitorai.com/" TargetMode="External"/><Relationship Id="rId132" Type="http://schemas.openxmlformats.org/officeDocument/2006/relationships/hyperlink" Target="http://www.deeproute.ai/" TargetMode="External"/><Relationship Id="rId153" Type="http://schemas.openxmlformats.org/officeDocument/2006/relationships/hyperlink" Target="http://www.covariant.ai/" TargetMode="External"/><Relationship Id="rId174" Type="http://schemas.openxmlformats.org/officeDocument/2006/relationships/hyperlink" Target="http://www.weaviate.io/" TargetMode="External"/><Relationship Id="rId195" Type="http://schemas.openxmlformats.org/officeDocument/2006/relationships/hyperlink" Target="http://www.capacity.com/" TargetMode="External"/><Relationship Id="rId209" Type="http://schemas.openxmlformats.org/officeDocument/2006/relationships/hyperlink" Target="http://www.play.ht/" TargetMode="External"/><Relationship Id="rId220" Type="http://schemas.openxmlformats.org/officeDocument/2006/relationships/hyperlink" Target="http://www.aporia.com/" TargetMode="External"/><Relationship Id="rId241" Type="http://schemas.openxmlformats.org/officeDocument/2006/relationships/hyperlink" Target="http://www.outerbounds.com/" TargetMode="External"/><Relationship Id="rId15" Type="http://schemas.openxmlformats.org/officeDocument/2006/relationships/hyperlink" Target="http://www.4paradigm.com/" TargetMode="External"/><Relationship Id="rId36" Type="http://schemas.openxmlformats.org/officeDocument/2006/relationships/hyperlink" Target="http://www.baidu.com/" TargetMode="External"/><Relationship Id="rId57" Type="http://schemas.openxmlformats.org/officeDocument/2006/relationships/hyperlink" Target="http://www.paradox.ai/" TargetMode="External"/><Relationship Id="rId262" Type="http://schemas.openxmlformats.org/officeDocument/2006/relationships/hyperlink" Target="http://www.copysmith.ai/" TargetMode="External"/><Relationship Id="rId283" Type="http://schemas.openxmlformats.org/officeDocument/2006/relationships/hyperlink" Target="http://www.pactum.com/" TargetMode="External"/><Relationship Id="rId318" Type="http://schemas.openxmlformats.org/officeDocument/2006/relationships/hyperlink" Target="http://www.bridgewise.com/" TargetMode="External"/><Relationship Id="rId339" Type="http://schemas.openxmlformats.org/officeDocument/2006/relationships/hyperlink" Target="http://www.joinvalley.co/" TargetMode="External"/><Relationship Id="rId78" Type="http://schemas.openxmlformats.org/officeDocument/2006/relationships/hyperlink" Target="http://www.akasa.com/" TargetMode="External"/><Relationship Id="rId99" Type="http://schemas.openxmlformats.org/officeDocument/2006/relationships/hyperlink" Target="http://www.scale.com/" TargetMode="External"/><Relationship Id="rId101" Type="http://schemas.openxmlformats.org/officeDocument/2006/relationships/hyperlink" Target="http://www.anthropic.com/" TargetMode="External"/><Relationship Id="rId122" Type="http://schemas.openxmlformats.org/officeDocument/2006/relationships/hyperlink" Target="http://www.dreamily.ai/" TargetMode="External"/><Relationship Id="rId143" Type="http://schemas.openxmlformats.org/officeDocument/2006/relationships/hyperlink" Target="http://www.pinecone.io/" TargetMode="External"/><Relationship Id="rId164" Type="http://schemas.openxmlformats.org/officeDocument/2006/relationships/hyperlink" Target="http://www.infinitus.ai/" TargetMode="External"/><Relationship Id="rId185" Type="http://schemas.openxmlformats.org/officeDocument/2006/relationships/hyperlink" Target="http://www.fiddler.ai/" TargetMode="External"/><Relationship Id="rId350" Type="http://schemas.openxmlformats.org/officeDocument/2006/relationships/printerSettings" Target="../printerSettings/printerSettings1.bin"/><Relationship Id="rId9" Type="http://schemas.openxmlformats.org/officeDocument/2006/relationships/hyperlink" Target="https://www.datrics.ai/" TargetMode="External"/><Relationship Id="rId210" Type="http://schemas.openxmlformats.org/officeDocument/2006/relationships/hyperlink" Target="http://www.murf.ai/" TargetMode="External"/><Relationship Id="rId26" Type="http://schemas.openxmlformats.org/officeDocument/2006/relationships/hyperlink" Target="http://www.workera.ai/" TargetMode="External"/><Relationship Id="rId231" Type="http://schemas.openxmlformats.org/officeDocument/2006/relationships/hyperlink" Target="http://www.springdiscovery.com/" TargetMode="External"/><Relationship Id="rId252" Type="http://schemas.openxmlformats.org/officeDocument/2006/relationships/hyperlink" Target="http://www.huggingface.co/" TargetMode="External"/><Relationship Id="rId273" Type="http://schemas.openxmlformats.org/officeDocument/2006/relationships/hyperlink" Target="http://www.paravision.ai/" TargetMode="External"/><Relationship Id="rId294" Type="http://schemas.openxmlformats.org/officeDocument/2006/relationships/hyperlink" Target="http://www.torre.ai/" TargetMode="External"/><Relationship Id="rId308" Type="http://schemas.openxmlformats.org/officeDocument/2006/relationships/hyperlink" Target="http://www.abridge.com/" TargetMode="External"/><Relationship Id="rId329" Type="http://schemas.openxmlformats.org/officeDocument/2006/relationships/hyperlink" Target="http://www.fixie.ai/" TargetMode="External"/><Relationship Id="rId47" Type="http://schemas.openxmlformats.org/officeDocument/2006/relationships/hyperlink" Target="http://www.meero.com/" TargetMode="External"/><Relationship Id="rId68" Type="http://schemas.openxmlformats.org/officeDocument/2006/relationships/hyperlink" Target="http://www.path-robotics.com/" TargetMode="External"/><Relationship Id="rId89" Type="http://schemas.openxmlformats.org/officeDocument/2006/relationships/hyperlink" Target="http://www.microsoft.com/" TargetMode="External"/><Relationship Id="rId112" Type="http://schemas.openxmlformats.org/officeDocument/2006/relationships/hyperlink" Target="http://www.lovo.ai/" TargetMode="External"/><Relationship Id="rId133" Type="http://schemas.openxmlformats.org/officeDocument/2006/relationships/hyperlink" Target="http://www.glean.ai/" TargetMode="External"/><Relationship Id="rId154" Type="http://schemas.openxmlformats.org/officeDocument/2006/relationships/hyperlink" Target="http://www.primer.ai/" TargetMode="External"/><Relationship Id="rId175" Type="http://schemas.openxmlformats.org/officeDocument/2006/relationships/hyperlink" Target="http://www.airudder.com/" TargetMode="External"/><Relationship Id="rId340" Type="http://schemas.openxmlformats.org/officeDocument/2006/relationships/hyperlink" Target="http://www.wand.app/" TargetMode="External"/><Relationship Id="rId196" Type="http://schemas.openxmlformats.org/officeDocument/2006/relationships/hyperlink" Target="http://www.magic.dev/" TargetMode="External"/><Relationship Id="rId200" Type="http://schemas.openxmlformats.org/officeDocument/2006/relationships/hyperlink" Target="http://www.jina.ai/" TargetMode="External"/><Relationship Id="rId16" Type="http://schemas.openxmlformats.org/officeDocument/2006/relationships/hyperlink" Target="http://www.sambanova.ai/" TargetMode="External"/><Relationship Id="rId221" Type="http://schemas.openxmlformats.org/officeDocument/2006/relationships/hyperlink" Target="http://www.hyperwriteai.com/" TargetMode="External"/><Relationship Id="rId242" Type="http://schemas.openxmlformats.org/officeDocument/2006/relationships/hyperlink" Target="http://www.coiled.io/" TargetMode="External"/><Relationship Id="rId263" Type="http://schemas.openxmlformats.org/officeDocument/2006/relationships/hyperlink" Target="http://www.rosebud.ai/" TargetMode="External"/><Relationship Id="rId284" Type="http://schemas.openxmlformats.org/officeDocument/2006/relationships/hyperlink" Target="http://www.wiz.ai/" TargetMode="External"/><Relationship Id="rId319" Type="http://schemas.openxmlformats.org/officeDocument/2006/relationships/hyperlink" Target="http://www.vectice.com/" TargetMode="External"/><Relationship Id="rId37" Type="http://schemas.openxmlformats.org/officeDocument/2006/relationships/hyperlink" Target="http://www.terminusgroup.com/" TargetMode="External"/><Relationship Id="rId58" Type="http://schemas.openxmlformats.org/officeDocument/2006/relationships/hyperlink" Target="http://www.outreach.io/" TargetMode="External"/><Relationship Id="rId79" Type="http://schemas.openxmlformats.org/officeDocument/2006/relationships/hyperlink" Target="http://www.unlearn.ai/" TargetMode="External"/><Relationship Id="rId102" Type="http://schemas.openxmlformats.org/officeDocument/2006/relationships/hyperlink" Target="http://www.inflection.ai/" TargetMode="External"/><Relationship Id="rId123" Type="http://schemas.openxmlformats.org/officeDocument/2006/relationships/hyperlink" Target="http://www.voice.ai/" TargetMode="External"/><Relationship Id="rId144" Type="http://schemas.openxmlformats.org/officeDocument/2006/relationships/hyperlink" Target="http://www.octoml.ai/" TargetMode="External"/><Relationship Id="rId330" Type="http://schemas.openxmlformats.org/officeDocument/2006/relationships/hyperlink" Target="http://www.copy.ai/" TargetMode="External"/><Relationship Id="rId90" Type="http://schemas.openxmlformats.org/officeDocument/2006/relationships/hyperlink" Target="http://www.gantry.io/" TargetMode="External"/><Relationship Id="rId165" Type="http://schemas.openxmlformats.org/officeDocument/2006/relationships/hyperlink" Target="http://www.mistral.ai/" TargetMode="External"/><Relationship Id="rId186" Type="http://schemas.openxmlformats.org/officeDocument/2006/relationships/hyperlink" Target="http://www.imbue.com/" TargetMode="External"/><Relationship Id="rId351" Type="http://schemas.openxmlformats.org/officeDocument/2006/relationships/vmlDrawing" Target="../drawings/vmlDrawing1.vml"/><Relationship Id="rId211" Type="http://schemas.openxmlformats.org/officeDocument/2006/relationships/hyperlink" Target="http://www.resemble.ai/" TargetMode="External"/><Relationship Id="rId232" Type="http://schemas.openxmlformats.org/officeDocument/2006/relationships/hyperlink" Target="http://www.tonic.ai/" TargetMode="External"/><Relationship Id="rId253" Type="http://schemas.openxmlformats.org/officeDocument/2006/relationships/hyperlink" Target="https://huggingface.co/OpenAssistant/oasst-sft-6-llama-30b-xor" TargetMode="External"/><Relationship Id="rId274" Type="http://schemas.openxmlformats.org/officeDocument/2006/relationships/hyperlink" Target="http://www.hosinc.co/" TargetMode="External"/><Relationship Id="rId295" Type="http://schemas.openxmlformats.org/officeDocument/2006/relationships/hyperlink" Target="http://www.neuralmagic.com/" TargetMode="External"/><Relationship Id="rId309" Type="http://schemas.openxmlformats.org/officeDocument/2006/relationships/hyperlink" Target="http://www.gan.ai/" TargetMode="External"/><Relationship Id="rId27" Type="http://schemas.openxmlformats.org/officeDocument/2006/relationships/hyperlink" Target="http://www.salt.security/" TargetMode="External"/><Relationship Id="rId48" Type="http://schemas.openxmlformats.org/officeDocument/2006/relationships/hyperlink" Target="http://www.alpha-sense.com/" TargetMode="External"/><Relationship Id="rId69" Type="http://schemas.openxmlformats.org/officeDocument/2006/relationships/hyperlink" Target="http://www.mosaicml.com/" TargetMode="External"/><Relationship Id="rId113" Type="http://schemas.openxmlformats.org/officeDocument/2006/relationships/hyperlink" Target="http://www.character.ai/" TargetMode="External"/><Relationship Id="rId134" Type="http://schemas.openxmlformats.org/officeDocument/2006/relationships/hyperlink" Target="http://www.people.ai/" TargetMode="External"/><Relationship Id="rId320" Type="http://schemas.openxmlformats.org/officeDocument/2006/relationships/hyperlink" Target="http://www.numbersstation.ai/" TargetMode="External"/><Relationship Id="rId80" Type="http://schemas.openxmlformats.org/officeDocument/2006/relationships/hyperlink" Target="http://www.healx.io/" TargetMode="External"/><Relationship Id="rId155" Type="http://schemas.openxmlformats.org/officeDocument/2006/relationships/hyperlink" Target="http://www.cloudfactory.com/" TargetMode="External"/><Relationship Id="rId176" Type="http://schemas.openxmlformats.org/officeDocument/2006/relationships/hyperlink" Target="http://www.harvey.ai/" TargetMode="External"/><Relationship Id="rId197" Type="http://schemas.openxmlformats.org/officeDocument/2006/relationships/hyperlink" Target="http://www.modular.com/" TargetMode="External"/><Relationship Id="rId341" Type="http://schemas.openxmlformats.org/officeDocument/2006/relationships/hyperlink" Target="http://www.sierra.ai/" TargetMode="External"/><Relationship Id="rId201" Type="http://schemas.openxmlformats.org/officeDocument/2006/relationships/hyperlink" Target="http://www.elevenlabs.io/" TargetMode="External"/><Relationship Id="rId222" Type="http://schemas.openxmlformats.org/officeDocument/2006/relationships/hyperlink" Target="http://www.claraanalytics.com/" TargetMode="External"/><Relationship Id="rId243" Type="http://schemas.openxmlformats.org/officeDocument/2006/relationships/hyperlink" Target="http://www.lumin.ai/" TargetMode="External"/><Relationship Id="rId264" Type="http://schemas.openxmlformats.org/officeDocument/2006/relationships/hyperlink" Target="http://www.deepmotion.com/" TargetMode="External"/><Relationship Id="rId285" Type="http://schemas.openxmlformats.org/officeDocument/2006/relationships/hyperlink" Target="http://www.deepdub.ai/" TargetMode="External"/><Relationship Id="rId17" Type="http://schemas.openxmlformats.org/officeDocument/2006/relationships/hyperlink" Target="http://www.dataminr.com/" TargetMode="External"/><Relationship Id="rId38" Type="http://schemas.openxmlformats.org/officeDocument/2006/relationships/hyperlink" Target="http://www.enflame-tech.com/" TargetMode="External"/><Relationship Id="rId59" Type="http://schemas.openxmlformats.org/officeDocument/2006/relationships/hyperlink" Target="http://www.censius.ai/" TargetMode="External"/><Relationship Id="rId103" Type="http://schemas.openxmlformats.org/officeDocument/2006/relationships/hyperlink" Target="http://www.c3.ai/" TargetMode="External"/><Relationship Id="rId124" Type="http://schemas.openxmlformats.org/officeDocument/2006/relationships/hyperlink" Target="http://www.jasper.ai/" TargetMode="External"/><Relationship Id="rId310" Type="http://schemas.openxmlformats.org/officeDocument/2006/relationships/hyperlink" Target="http://www.tenyx.com/" TargetMode="External"/><Relationship Id="rId70" Type="http://schemas.openxmlformats.org/officeDocument/2006/relationships/hyperlink" Target="http://www.contractpodai.com/" TargetMode="External"/><Relationship Id="rId91" Type="http://schemas.openxmlformats.org/officeDocument/2006/relationships/hyperlink" Target="http://www.wave-ai.net/" TargetMode="External"/><Relationship Id="rId145" Type="http://schemas.openxmlformats.org/officeDocument/2006/relationships/hyperlink" Target="http://www.ai21.com/" TargetMode="External"/><Relationship Id="rId166" Type="http://schemas.openxmlformats.org/officeDocument/2006/relationships/hyperlink" Target="http://www.woebothealth.com/" TargetMode="External"/><Relationship Id="rId187" Type="http://schemas.openxmlformats.org/officeDocument/2006/relationships/hyperlink" Target="http://www.arize.com/" TargetMode="External"/><Relationship Id="rId331" Type="http://schemas.openxmlformats.org/officeDocument/2006/relationships/hyperlink" Target="http://www.lavender.ai/" TargetMode="External"/><Relationship Id="rId352" Type="http://schemas.openxmlformats.org/officeDocument/2006/relationships/comments" Target="../comments1.xml"/><Relationship Id="rId1" Type="http://schemas.openxmlformats.org/officeDocument/2006/relationships/hyperlink" Target="https://docs.ai21.com/reference/j2-complete-api-ref" TargetMode="External"/><Relationship Id="rId212" Type="http://schemas.openxmlformats.org/officeDocument/2006/relationships/hyperlink" Target="http://www.surgehq.ai/" TargetMode="External"/><Relationship Id="rId233" Type="http://schemas.openxmlformats.org/officeDocument/2006/relationships/hyperlink" Target="http://www.paralleldomain.com/" TargetMode="External"/><Relationship Id="rId254" Type="http://schemas.openxmlformats.org/officeDocument/2006/relationships/hyperlink" Target="https://www.forbes.com/lists/ai50/" TargetMode="External"/><Relationship Id="rId28" Type="http://schemas.openxmlformats.org/officeDocument/2006/relationships/hyperlink" Target="http://www.symphonyai.com/" TargetMode="External"/><Relationship Id="rId49" Type="http://schemas.openxmlformats.org/officeDocument/2006/relationships/hyperlink" Target="http://www.graphcore.ai/" TargetMode="External"/><Relationship Id="rId114" Type="http://schemas.openxmlformats.org/officeDocument/2006/relationships/hyperlink" Target="http://www.drgupta.ai/" TargetMode="External"/><Relationship Id="rId275" Type="http://schemas.openxmlformats.org/officeDocument/2006/relationships/hyperlink" Target="http://www.replika.com/" TargetMode="External"/><Relationship Id="rId296" Type="http://schemas.openxmlformats.org/officeDocument/2006/relationships/hyperlink" Target="http://www.nuva.ai/" TargetMode="External"/><Relationship Id="rId300" Type="http://schemas.openxmlformats.org/officeDocument/2006/relationships/hyperlink" Target="http://www.ava.me/" TargetMode="External"/><Relationship Id="rId60" Type="http://schemas.openxmlformats.org/officeDocument/2006/relationships/hyperlink" Target="http://www.groq.com/" TargetMode="External"/><Relationship Id="rId81" Type="http://schemas.openxmlformats.org/officeDocument/2006/relationships/hyperlink" Target="http://www.comet.com/" TargetMode="External"/><Relationship Id="rId135" Type="http://schemas.openxmlformats.org/officeDocument/2006/relationships/hyperlink" Target="http://www.tecton.ai/" TargetMode="External"/><Relationship Id="rId156" Type="http://schemas.openxmlformats.org/officeDocument/2006/relationships/hyperlink" Target="http://www.artera.ai/" TargetMode="External"/><Relationship Id="rId177" Type="http://schemas.openxmlformats.org/officeDocument/2006/relationships/hyperlink" Target="http://www.kumo.ai/" TargetMode="External"/><Relationship Id="rId198" Type="http://schemas.openxmlformats.org/officeDocument/2006/relationships/hyperlink" Target="http://www.robustintelligence.com/" TargetMode="External"/><Relationship Id="rId321" Type="http://schemas.openxmlformats.org/officeDocument/2006/relationships/hyperlink" Target="http://www.replicate.com/" TargetMode="External"/><Relationship Id="rId342" Type="http://schemas.openxmlformats.org/officeDocument/2006/relationships/hyperlink" Target="http://www.modal.com/" TargetMode="External"/><Relationship Id="rId202" Type="http://schemas.openxmlformats.org/officeDocument/2006/relationships/hyperlink" Target="http://www.mem.ai/" TargetMode="External"/><Relationship Id="rId223" Type="http://schemas.openxmlformats.org/officeDocument/2006/relationships/hyperlink" Target="http://www.deci.ai/" TargetMode="External"/><Relationship Id="rId244" Type="http://schemas.openxmlformats.org/officeDocument/2006/relationships/hyperlink" Target="http://www.inceptive.life/" TargetMode="External"/><Relationship Id="rId18" Type="http://schemas.openxmlformats.org/officeDocument/2006/relationships/hyperlink" Target="http://www.pony.ai/" TargetMode="External"/><Relationship Id="rId39" Type="http://schemas.openxmlformats.org/officeDocument/2006/relationships/hyperlink" Target="http://www.cerebras.net/" TargetMode="External"/><Relationship Id="rId265" Type="http://schemas.openxmlformats.org/officeDocument/2006/relationships/hyperlink" Target="http://www.fellowai.com/" TargetMode="External"/><Relationship Id="rId286" Type="http://schemas.openxmlformats.org/officeDocument/2006/relationships/hyperlink" Target="http://www.daloopa.com/" TargetMode="External"/><Relationship Id="rId50" Type="http://schemas.openxmlformats.org/officeDocument/2006/relationships/hyperlink" Target="http://www.shift-technology.com/" TargetMode="External"/><Relationship Id="rId104" Type="http://schemas.openxmlformats.org/officeDocument/2006/relationships/hyperlink" Target="http://www.stability.ai/" TargetMode="External"/><Relationship Id="rId125" Type="http://schemas.openxmlformats.org/officeDocument/2006/relationships/hyperlink" Target="http://www.runwayml.com/" TargetMode="External"/><Relationship Id="rId146" Type="http://schemas.openxmlformats.org/officeDocument/2006/relationships/hyperlink" Target="http://www.descript.com/" TargetMode="External"/><Relationship Id="rId167" Type="http://schemas.openxmlformats.org/officeDocument/2006/relationships/hyperlink" Target="http://www.ascertain.com/" TargetMode="External"/><Relationship Id="rId188" Type="http://schemas.openxmlformats.org/officeDocument/2006/relationships/hyperlink" Target="http://www.hippocraticai.com/" TargetMode="External"/><Relationship Id="rId311" Type="http://schemas.openxmlformats.org/officeDocument/2006/relationships/hyperlink" Target="http://www.encord.com/" TargetMode="External"/><Relationship Id="rId332" Type="http://schemas.openxmlformats.org/officeDocument/2006/relationships/hyperlink" Target="http://www.rephrase.ai/" TargetMode="External"/><Relationship Id="rId353" Type="http://schemas.microsoft.com/office/2017/10/relationships/threadedComment" Target="../threadedComments/threadedComment1.xml"/><Relationship Id="rId71" Type="http://schemas.openxmlformats.org/officeDocument/2006/relationships/hyperlink" Target="http://www.thehive.ai/" TargetMode="External"/><Relationship Id="rId92" Type="http://schemas.openxmlformats.org/officeDocument/2006/relationships/hyperlink" Target="http://www.tome.app/" TargetMode="External"/><Relationship Id="rId213" Type="http://schemas.openxmlformats.org/officeDocument/2006/relationships/hyperlink" Target="http://www.speak.com/" TargetMode="External"/><Relationship Id="rId234" Type="http://schemas.openxmlformats.org/officeDocument/2006/relationships/hyperlink" Target="http://www.impira.com/" TargetMode="External"/><Relationship Id="rId2" Type="http://schemas.openxmlformats.org/officeDocument/2006/relationships/hyperlink" Target="https://docs.nomic.ai/" TargetMode="External"/><Relationship Id="rId29" Type="http://schemas.openxmlformats.org/officeDocument/2006/relationships/hyperlink" Target="http://www.stradoslabs.com/" TargetMode="External"/><Relationship Id="rId255" Type="http://schemas.openxmlformats.org/officeDocument/2006/relationships/hyperlink" Target="http://www.phaidra.ai/" TargetMode="External"/><Relationship Id="rId276" Type="http://schemas.openxmlformats.org/officeDocument/2006/relationships/hyperlink" Target="http://www.axioshq.com/" TargetMode="External"/><Relationship Id="rId297" Type="http://schemas.openxmlformats.org/officeDocument/2006/relationships/hyperlink" Target="http://www.facet.ai/" TargetMode="External"/><Relationship Id="rId40" Type="http://schemas.openxmlformats.org/officeDocument/2006/relationships/hyperlink" Target="http://www.vastaitech.com/" TargetMode="External"/><Relationship Id="rId115" Type="http://schemas.openxmlformats.org/officeDocument/2006/relationships/hyperlink" Target="http://www.myanima.ai/" TargetMode="External"/><Relationship Id="rId136" Type="http://schemas.openxmlformats.org/officeDocument/2006/relationships/hyperlink" Target="http://www.anyscale.com/" TargetMode="External"/><Relationship Id="rId157" Type="http://schemas.openxmlformats.org/officeDocument/2006/relationships/hyperlink" Target="http://www.ada.com/" TargetMode="External"/><Relationship Id="rId178" Type="http://schemas.openxmlformats.org/officeDocument/2006/relationships/hyperlink" Target="http://www.assemblyai.com/" TargetMode="External"/><Relationship Id="rId301" Type="http://schemas.openxmlformats.org/officeDocument/2006/relationships/hyperlink" Target="http://www.zeroeyes.com/" TargetMode="External"/><Relationship Id="rId322" Type="http://schemas.openxmlformats.org/officeDocument/2006/relationships/hyperlink" Target="http://www.credo.ai/" TargetMode="External"/><Relationship Id="rId343" Type="http://schemas.openxmlformats.org/officeDocument/2006/relationships/hyperlink" Target="http://www.blackbox.ai/" TargetMode="External"/><Relationship Id="rId61" Type="http://schemas.openxmlformats.org/officeDocument/2006/relationships/hyperlink" Target="http://www.appliedintuition.com/" TargetMode="External"/><Relationship Id="rId82" Type="http://schemas.openxmlformats.org/officeDocument/2006/relationships/hyperlink" Target="http://www.gretel.ai/" TargetMode="External"/><Relationship Id="rId199" Type="http://schemas.openxmlformats.org/officeDocument/2006/relationships/hyperlink" Target="http://www.imagen-ai.com/" TargetMode="External"/><Relationship Id="rId203" Type="http://schemas.openxmlformats.org/officeDocument/2006/relationships/hyperlink" Target="http://www.neocybernetica.com/" TargetMode="External"/><Relationship Id="rId19" Type="http://schemas.openxmlformats.org/officeDocument/2006/relationships/hyperlink" Target="http://www.dataiku.com/" TargetMode="External"/><Relationship Id="rId224" Type="http://schemas.openxmlformats.org/officeDocument/2006/relationships/hyperlink" Target="http://www.conjecture.dev/" TargetMode="External"/><Relationship Id="rId245" Type="http://schemas.openxmlformats.org/officeDocument/2006/relationships/hyperlink" Target="http://www.bardeen.ai/" TargetMode="External"/><Relationship Id="rId266" Type="http://schemas.openxmlformats.org/officeDocument/2006/relationships/hyperlink" Target="http://www.hiddendoor.co/" TargetMode="External"/><Relationship Id="rId287" Type="http://schemas.openxmlformats.org/officeDocument/2006/relationships/hyperlink" Target="http://www.two.ai/" TargetMode="External"/><Relationship Id="rId30" Type="http://schemas.openxmlformats.org/officeDocument/2006/relationships/hyperlink" Target="http://www.radai.com/" TargetMode="External"/><Relationship Id="rId105" Type="http://schemas.openxmlformats.org/officeDocument/2006/relationships/hyperlink" Target="http://www.uniphore.com/" TargetMode="External"/><Relationship Id="rId126" Type="http://schemas.openxmlformats.org/officeDocument/2006/relationships/hyperlink" Target="http://www.khealth.com/" TargetMode="External"/><Relationship Id="rId147" Type="http://schemas.openxmlformats.org/officeDocument/2006/relationships/hyperlink" Target="http://www.vian.ai/" TargetMode="External"/><Relationship Id="rId168" Type="http://schemas.openxmlformats.org/officeDocument/2006/relationships/hyperlink" Target="http://www.reka.ai/" TargetMode="External"/><Relationship Id="rId312" Type="http://schemas.openxmlformats.org/officeDocument/2006/relationships/hyperlink" Target="http://www.superannotate.com/" TargetMode="External"/><Relationship Id="rId333" Type="http://schemas.openxmlformats.org/officeDocument/2006/relationships/hyperlink" Target="http://www.codium.ai/" TargetMode="External"/><Relationship Id="rId51" Type="http://schemas.openxmlformats.org/officeDocument/2006/relationships/hyperlink" Target="http://www.plus.ai/" TargetMode="External"/><Relationship Id="rId72" Type="http://schemas.openxmlformats.org/officeDocument/2006/relationships/hyperlink" Target="http://www.cresta.com/" TargetMode="External"/><Relationship Id="rId93" Type="http://schemas.openxmlformats.org/officeDocument/2006/relationships/hyperlink" Target="https://aws.amazon.com/" TargetMode="External"/><Relationship Id="rId189" Type="http://schemas.openxmlformats.org/officeDocument/2006/relationships/hyperlink" Target="http://www.datagen.tech/" TargetMode="External"/><Relationship Id="rId3" Type="http://schemas.openxmlformats.org/officeDocument/2006/relationships/hyperlink" Target="https://docs.google.com/spreadsheets/d/1rMs69QO4UJKueNS2w784KpJlsdsK_ERmuq8qnCMmGUA/edit?pli=1" TargetMode="External"/><Relationship Id="rId214" Type="http://schemas.openxmlformats.org/officeDocument/2006/relationships/hyperlink" Target="http://www.curaihealth.com/" TargetMode="External"/><Relationship Id="rId235" Type="http://schemas.openxmlformats.org/officeDocument/2006/relationships/hyperlink" Target="http://www.anyword.com/" TargetMode="External"/><Relationship Id="rId256" Type="http://schemas.openxmlformats.org/officeDocument/2006/relationships/hyperlink" Target="http://www.aible.com/" TargetMode="External"/><Relationship Id="rId277" Type="http://schemas.openxmlformats.org/officeDocument/2006/relationships/hyperlink" Target="http://www.prezent.ai/" TargetMode="External"/><Relationship Id="rId298" Type="http://schemas.openxmlformats.org/officeDocument/2006/relationships/hyperlink" Target="http://www.enchargeai.com/" TargetMode="External"/><Relationship Id="rId116" Type="http://schemas.openxmlformats.org/officeDocument/2006/relationships/hyperlink" Target="http://www.chatfai.com/" TargetMode="External"/><Relationship Id="rId137" Type="http://schemas.openxmlformats.org/officeDocument/2006/relationships/hyperlink" Target="http://www.hourone.ai/" TargetMode="External"/><Relationship Id="rId158" Type="http://schemas.openxmlformats.org/officeDocument/2006/relationships/hyperlink" Target="http://www.climavision.com/" TargetMode="External"/><Relationship Id="rId302" Type="http://schemas.openxmlformats.org/officeDocument/2006/relationships/hyperlink" Target="http://www.essential.ai/" TargetMode="External"/><Relationship Id="rId323" Type="http://schemas.openxmlformats.org/officeDocument/2006/relationships/hyperlink" Target="http://www.voxel51.com/" TargetMode="External"/><Relationship Id="rId344" Type="http://schemas.openxmlformats.org/officeDocument/2006/relationships/hyperlink" Target="http://www.tymely.ai/" TargetMode="External"/><Relationship Id="rId20" Type="http://schemas.openxmlformats.org/officeDocument/2006/relationships/hyperlink" Target="http://www.mthreads.com/" TargetMode="External"/><Relationship Id="rId41" Type="http://schemas.openxmlformats.org/officeDocument/2006/relationships/hyperlink" Target="http://www.builder.ai/" TargetMode="External"/><Relationship Id="rId62" Type="http://schemas.openxmlformats.org/officeDocument/2006/relationships/hyperlink" Target="http://www.vastdata.com/" TargetMode="External"/><Relationship Id="rId83" Type="http://schemas.openxmlformats.org/officeDocument/2006/relationships/hyperlink" Target="http://www.rain.ai/" TargetMode="External"/><Relationship Id="rId179" Type="http://schemas.openxmlformats.org/officeDocument/2006/relationships/hyperlink" Target="http://www.lightning.ai/" TargetMode="External"/><Relationship Id="rId190" Type="http://schemas.openxmlformats.org/officeDocument/2006/relationships/hyperlink" Target="http://www.inworld.ai/" TargetMode="External"/><Relationship Id="rId204" Type="http://schemas.openxmlformats.org/officeDocument/2006/relationships/hyperlink" Target="http://www.merlyn.org/" TargetMode="External"/><Relationship Id="rId225" Type="http://schemas.openxmlformats.org/officeDocument/2006/relationships/hyperlink" Target="http://www.nr2.io/" TargetMode="External"/><Relationship Id="rId246" Type="http://schemas.openxmlformats.org/officeDocument/2006/relationships/hyperlink" Target="http://www.edgedb.com/" TargetMode="External"/><Relationship Id="rId267" Type="http://schemas.openxmlformats.org/officeDocument/2006/relationships/hyperlink" Target="https://www.voicemod.net/" TargetMode="External"/><Relationship Id="rId288" Type="http://schemas.openxmlformats.org/officeDocument/2006/relationships/hyperlink" Target="http://www.roboflow.com/" TargetMode="External"/><Relationship Id="rId106" Type="http://schemas.openxmlformats.org/officeDocument/2006/relationships/hyperlink" Target="http://www.moveworks.com/" TargetMode="External"/><Relationship Id="rId127" Type="http://schemas.openxmlformats.org/officeDocument/2006/relationships/hyperlink" Target="http://www.squirrelai.com/" TargetMode="External"/><Relationship Id="rId313" Type="http://schemas.openxmlformats.org/officeDocument/2006/relationships/hyperlink" Target="http://www.graft.com/" TargetMode="External"/><Relationship Id="rId10" Type="http://schemas.openxmlformats.org/officeDocument/2006/relationships/hyperlink" Target="http://www.openspace.ai/" TargetMode="External"/><Relationship Id="rId31" Type="http://schemas.openxmlformats.org/officeDocument/2006/relationships/hyperlink" Target="http://www.eigentech.com/" TargetMode="External"/><Relationship Id="rId52" Type="http://schemas.openxmlformats.org/officeDocument/2006/relationships/hyperlink" Target="http://www.eightfold.ai/" TargetMode="External"/><Relationship Id="rId73" Type="http://schemas.openxmlformats.org/officeDocument/2006/relationships/hyperlink" Target="http://www.relational.ai/" TargetMode="External"/><Relationship Id="rId94" Type="http://schemas.openxmlformats.org/officeDocument/2006/relationships/hyperlink" Target="http://www.palantir.com/" TargetMode="External"/><Relationship Id="rId148" Type="http://schemas.openxmlformats.org/officeDocument/2006/relationships/hyperlink" Target="http://www.petuum.com/" TargetMode="External"/><Relationship Id="rId169" Type="http://schemas.openxmlformats.org/officeDocument/2006/relationships/hyperlink" Target="http://www.artera.io/" TargetMode="External"/><Relationship Id="rId334" Type="http://schemas.openxmlformats.org/officeDocument/2006/relationships/hyperlink" Target="http://www.robinai.com/" TargetMode="External"/><Relationship Id="rId4" Type="http://schemas.openxmlformats.org/officeDocument/2006/relationships/hyperlink" Target="https://www.nvidia.com/en-us/startups/" TargetMode="External"/><Relationship Id="rId180" Type="http://schemas.openxmlformats.org/officeDocument/2006/relationships/hyperlink" Target="http://www.skan.ai/" TargetMode="External"/><Relationship Id="rId215" Type="http://schemas.openxmlformats.org/officeDocument/2006/relationships/hyperlink" Target="http://www.axon-networks.com/" TargetMode="External"/><Relationship Id="rId236" Type="http://schemas.openxmlformats.org/officeDocument/2006/relationships/hyperlink" Target="http://www.mostly.ai/" TargetMode="External"/><Relationship Id="rId257" Type="http://schemas.openxmlformats.org/officeDocument/2006/relationships/hyperlink" Target="http://www.humansignal.com/" TargetMode="External"/><Relationship Id="rId278" Type="http://schemas.openxmlformats.org/officeDocument/2006/relationships/hyperlink" Target="http://www.wysa.com/" TargetMode="External"/><Relationship Id="rId303" Type="http://schemas.openxmlformats.org/officeDocument/2006/relationships/hyperlink" Target="http://www.tabnine.com/" TargetMode="External"/><Relationship Id="rId42" Type="http://schemas.openxmlformats.org/officeDocument/2006/relationships/hyperlink" Target="http://www.gong.io/" TargetMode="External"/><Relationship Id="rId84" Type="http://schemas.openxmlformats.org/officeDocument/2006/relationships/hyperlink" Target="http://www.otter.ai/" TargetMode="External"/><Relationship Id="rId138" Type="http://schemas.openxmlformats.org/officeDocument/2006/relationships/hyperlink" Target="http://www.synthesia.io/" TargetMode="External"/><Relationship Id="rId345" Type="http://schemas.openxmlformats.org/officeDocument/2006/relationships/hyperlink" Target="http://www.openai.com/" TargetMode="External"/><Relationship Id="rId191" Type="http://schemas.openxmlformats.org/officeDocument/2006/relationships/hyperlink" Target="http://www.wizard.com/" TargetMode="External"/><Relationship Id="rId205" Type="http://schemas.openxmlformats.org/officeDocument/2006/relationships/hyperlink" Target="http://www.upstage.ai/" TargetMode="External"/><Relationship Id="rId247" Type="http://schemas.openxmlformats.org/officeDocument/2006/relationships/hyperlink" Target="http://www.northbeam.io/" TargetMode="External"/><Relationship Id="rId107" Type="http://schemas.openxmlformats.org/officeDocument/2006/relationships/hyperlink" Target="http://www.cohere.com/" TargetMode="External"/><Relationship Id="rId289" Type="http://schemas.openxmlformats.org/officeDocument/2006/relationships/hyperlink" Target="http://www.rasgoml.com/" TargetMode="External"/><Relationship Id="rId11" Type="http://schemas.openxmlformats.org/officeDocument/2006/relationships/hyperlink" Target="http://www.getbravo.io/" TargetMode="External"/><Relationship Id="rId53" Type="http://schemas.openxmlformats.org/officeDocument/2006/relationships/hyperlink" Target="http://www.shield.ai/" TargetMode="External"/><Relationship Id="rId149" Type="http://schemas.openxmlformats.org/officeDocument/2006/relationships/hyperlink" Target="http://www.amprobotics.com/" TargetMode="External"/><Relationship Id="rId314" Type="http://schemas.openxmlformats.org/officeDocument/2006/relationships/hyperlink" Target="http://www.zowie.ai/" TargetMode="External"/><Relationship Id="rId95" Type="http://schemas.openxmlformats.org/officeDocument/2006/relationships/hyperlink" Target="http://www.databricks.com/" TargetMode="External"/><Relationship Id="rId160" Type="http://schemas.openxmlformats.org/officeDocument/2006/relationships/hyperlink" Target="http://www.poly.ai/" TargetMode="External"/><Relationship Id="rId216" Type="http://schemas.openxmlformats.org/officeDocument/2006/relationships/hyperlink" Target="http://www.exafunction.com/" TargetMode="External"/><Relationship Id="rId258" Type="http://schemas.openxmlformats.org/officeDocument/2006/relationships/hyperlink" Target="http://www.predibase.com/" TargetMode="External"/><Relationship Id="rId22" Type="http://schemas.openxmlformats.org/officeDocument/2006/relationships/hyperlink" Target="http://www.mininglamp.com/" TargetMode="External"/><Relationship Id="rId64" Type="http://schemas.openxmlformats.org/officeDocument/2006/relationships/hyperlink" Target="http://www.dominodatalab.com/" TargetMode="External"/><Relationship Id="rId118" Type="http://schemas.openxmlformats.org/officeDocument/2006/relationships/hyperlink" Target="http://www.novelai.net/" TargetMode="External"/><Relationship Id="rId325" Type="http://schemas.openxmlformats.org/officeDocument/2006/relationships/hyperlink" Target="http://www.faros.ai/" TargetMode="External"/><Relationship Id="rId171" Type="http://schemas.openxmlformats.org/officeDocument/2006/relationships/hyperlink" Target="http://www.johnsnowlabs.com/" TargetMode="External"/><Relationship Id="rId227" Type="http://schemas.openxmlformats.org/officeDocument/2006/relationships/hyperlink" Target="http://www.quantiphi.com/" TargetMode="External"/><Relationship Id="rId269" Type="http://schemas.openxmlformats.org/officeDocument/2006/relationships/hyperlink" Target="http://www.humansignal.com/" TargetMode="External"/><Relationship Id="rId33" Type="http://schemas.openxmlformats.org/officeDocument/2006/relationships/hyperlink" Target="http://www.nice,com/" TargetMode="External"/><Relationship Id="rId129" Type="http://schemas.openxmlformats.org/officeDocument/2006/relationships/hyperlink" Target="http://www.wandb.ai/" TargetMode="External"/><Relationship Id="rId280" Type="http://schemas.openxmlformats.org/officeDocument/2006/relationships/hyperlink" Target="http://www.hireez.com/" TargetMode="External"/><Relationship Id="rId336" Type="http://schemas.openxmlformats.org/officeDocument/2006/relationships/hyperlink" Target="https://sonauto.ai/Home" TargetMode="External"/><Relationship Id="rId75" Type="http://schemas.openxmlformats.org/officeDocument/2006/relationships/hyperlink" Target="http://www.run.ai/" TargetMode="External"/><Relationship Id="rId140" Type="http://schemas.openxmlformats.org/officeDocument/2006/relationships/hyperlink" Target="http://www.typeface.ai/" TargetMode="External"/><Relationship Id="rId182" Type="http://schemas.openxmlformats.org/officeDocument/2006/relationships/hyperlink" Target="http://www.seekr.com/" TargetMode="External"/><Relationship Id="rId6" Type="http://schemas.openxmlformats.org/officeDocument/2006/relationships/hyperlink" Target="http://www.coachvox.ai/" TargetMode="External"/><Relationship Id="rId238" Type="http://schemas.openxmlformats.org/officeDocument/2006/relationships/hyperlink" Target="http://www.hebbia.ai/" TargetMode="External"/><Relationship Id="rId291" Type="http://schemas.openxmlformats.org/officeDocument/2006/relationships/hyperlink" Target="http://www.trychroma.com/" TargetMode="External"/><Relationship Id="rId305" Type="http://schemas.openxmlformats.org/officeDocument/2006/relationships/hyperlink" Target="http://www.botpress.com/" TargetMode="External"/><Relationship Id="rId347" Type="http://schemas.openxmlformats.org/officeDocument/2006/relationships/hyperlink" Target="http://www.tiktok.com/" TargetMode="External"/><Relationship Id="rId44" Type="http://schemas.openxmlformats.org/officeDocument/2006/relationships/hyperlink" Target="http://www.oosto.com/" TargetMode="External"/><Relationship Id="rId86" Type="http://schemas.openxmlformats.org/officeDocument/2006/relationships/hyperlink" Target="http://www.nvidia.com/" TargetMode="External"/><Relationship Id="rId151" Type="http://schemas.openxmlformats.org/officeDocument/2006/relationships/hyperlink" Target="http://www.supremind.com/" TargetMode="External"/><Relationship Id="rId193" Type="http://schemas.openxmlformats.org/officeDocument/2006/relationships/hyperlink" Target="http://www.aaico.com/" TargetMode="External"/><Relationship Id="rId207" Type="http://schemas.openxmlformats.org/officeDocument/2006/relationships/hyperlink" Target="http://www.keenagi.com/" TargetMode="External"/><Relationship Id="rId249" Type="http://schemas.openxmlformats.org/officeDocument/2006/relationships/hyperlink" Target="http://www.clear.ml/" TargetMode="External"/><Relationship Id="rId13" Type="http://schemas.openxmlformats.org/officeDocument/2006/relationships/hyperlink" Target="http://www.ubtrobot.com/" TargetMode="External"/><Relationship Id="rId109" Type="http://schemas.openxmlformats.org/officeDocument/2006/relationships/hyperlink" Target="http://www.soterea.cn/" TargetMode="External"/><Relationship Id="rId260" Type="http://schemas.openxmlformats.org/officeDocument/2006/relationships/hyperlink" Target="http://www.omnekey.com/" TargetMode="External"/><Relationship Id="rId316" Type="http://schemas.openxmlformats.org/officeDocument/2006/relationships/hyperlink" Target="http://www.haiper.ai/" TargetMode="External"/><Relationship Id="rId55" Type="http://schemas.openxmlformats.org/officeDocument/2006/relationships/hyperlink" Target="http://www.intervenn.com/" TargetMode="External"/><Relationship Id="rId97" Type="http://schemas.openxmlformats.org/officeDocument/2006/relationships/hyperlink" Target="http://www.waymo.com/" TargetMode="External"/><Relationship Id="rId120" Type="http://schemas.openxmlformats.org/officeDocument/2006/relationships/hyperlink" Target="http://www.nastia.ai/" TargetMode="External"/><Relationship Id="rId162" Type="http://schemas.openxmlformats.org/officeDocument/2006/relationships/hyperlink" Target="http://www.abacus.ai/" TargetMode="External"/><Relationship Id="rId218" Type="http://schemas.openxmlformats.org/officeDocument/2006/relationships/hyperlink" Target="http://www.aiola.com/" TargetMode="External"/><Relationship Id="rId271" Type="http://schemas.openxmlformats.org/officeDocument/2006/relationships/hyperlink" Target="http://www.tractable.ai/" TargetMode="External"/><Relationship Id="rId24" Type="http://schemas.openxmlformats.org/officeDocument/2006/relationships/hyperlink" Target="http://www.playment.io/" TargetMode="External"/><Relationship Id="rId66" Type="http://schemas.openxmlformats.org/officeDocument/2006/relationships/hyperlink" Target="http://www.runpod.io/" TargetMode="External"/><Relationship Id="rId131" Type="http://schemas.openxmlformats.org/officeDocument/2006/relationships/hyperlink" Target="http://www.midjourney.com/" TargetMode="External"/><Relationship Id="rId327" Type="http://schemas.openxmlformats.org/officeDocument/2006/relationships/hyperlink" Target="http://www.baseten.co/" TargetMode="External"/><Relationship Id="rId173" Type="http://schemas.openxmlformats.org/officeDocument/2006/relationships/hyperlink" Target="http://www.perplexity.ai/" TargetMode="External"/><Relationship Id="rId229" Type="http://schemas.openxmlformats.org/officeDocument/2006/relationships/hyperlink" Target="http://www.arthur.ai/" TargetMode="External"/><Relationship Id="rId240" Type="http://schemas.openxmlformats.org/officeDocument/2006/relationships/hyperlink" Target="http://www.writer.com/" TargetMode="External"/><Relationship Id="rId35" Type="http://schemas.openxmlformats.org/officeDocument/2006/relationships/hyperlink" Target="http://www.d-id.com/" TargetMode="External"/><Relationship Id="rId77" Type="http://schemas.openxmlformats.org/officeDocument/2006/relationships/hyperlink" Target="http://www.digits.com/" TargetMode="External"/><Relationship Id="rId100" Type="http://schemas.openxmlformats.org/officeDocument/2006/relationships/hyperlink" Target="http://www.datarobot.com/" TargetMode="External"/><Relationship Id="rId282" Type="http://schemas.openxmlformats.org/officeDocument/2006/relationships/hyperlink" Target="http://www.navina.ai/" TargetMode="External"/><Relationship Id="rId338" Type="http://schemas.openxmlformats.org/officeDocument/2006/relationships/hyperlink" Target="http://www.obviously.ai/" TargetMode="External"/><Relationship Id="rId8" Type="http://schemas.openxmlformats.org/officeDocument/2006/relationships/hyperlink" Target="http://www.ambirobotics.com/" TargetMode="External"/><Relationship Id="rId142" Type="http://schemas.openxmlformats.org/officeDocument/2006/relationships/hyperlink" Target="http://www.v7labs.com/" TargetMode="External"/><Relationship Id="rId184" Type="http://schemas.openxmlformats.org/officeDocument/2006/relationships/hyperlink" Target="http://www.d-matrix.ai/" TargetMode="External"/></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23.xml.rels><?xml version="1.0" encoding="UTF-8" standalone="yes"?>
<Relationships xmlns="http://schemas.openxmlformats.org/package/2006/relationships"><Relationship Id="rId13" Type="http://schemas.openxmlformats.org/officeDocument/2006/relationships/hyperlink" Target="mailto:adarob@google.com" TargetMode="External"/><Relationship Id="rId18" Type="http://schemas.openxmlformats.org/officeDocument/2006/relationships/hyperlink" Target="mailto:mweili@google.com" TargetMode="External"/><Relationship Id="rId26" Type="http://schemas.openxmlformats.org/officeDocument/2006/relationships/hyperlink" Target="mailto:qvl@google.com" TargetMode="External"/><Relationship Id="rId39" Type="http://schemas.openxmlformats.org/officeDocument/2006/relationships/hyperlink" Target="mailto:simonyan@google.com" TargetMode="External"/><Relationship Id="rId21" Type="http://schemas.openxmlformats.org/officeDocument/2006/relationships/hyperlink" Target="mailto:barretzoph@google.com" TargetMode="External"/><Relationship Id="rId34" Type="http://schemas.openxmlformats.org/officeDocument/2006/relationships/hyperlink" Target="mailto:alex.graves@deepmind.com" TargetMode="External"/><Relationship Id="rId42" Type="http://schemas.openxmlformats.org/officeDocument/2006/relationships/hyperlink" Target="mailto:andrewsenior@google.com" TargetMode="External"/><Relationship Id="rId7" Type="http://schemas.openxmlformats.org/officeDocument/2006/relationships/hyperlink" Target="mailto:kristout@google.com" TargetMode="External"/><Relationship Id="rId2" Type="http://schemas.openxmlformats.org/officeDocument/2006/relationships/hyperlink" Target="mailto:vinyals@google.com" TargetMode="External"/><Relationship Id="rId16" Type="http://schemas.openxmlformats.org/officeDocument/2006/relationships/hyperlink" Target="mailto:mmatena@google.com" TargetMode="External"/><Relationship Id="rId20" Type="http://schemas.openxmlformats.org/officeDocument/2006/relationships/hyperlink" Target="mailto:liamfedus@google.com" TargetMode="External"/><Relationship Id="rId29" Type="http://schemas.openxmlformats.org/officeDocument/2006/relationships/hyperlink" Target="mailto:kai@google.com" TargetMode="External"/><Relationship Id="rId41" Type="http://schemas.openxmlformats.org/officeDocument/2006/relationships/hyperlink" Target="mailto:sedielem@google.com" TargetMode="External"/><Relationship Id="rId1" Type="http://schemas.openxmlformats.org/officeDocument/2006/relationships/hyperlink" Target="mailto:korayk@google.com" TargetMode="External"/><Relationship Id="rId6" Type="http://schemas.openxmlformats.org/officeDocument/2006/relationships/hyperlink" Target="mailto:tsainath@google.com" TargetMode="External"/><Relationship Id="rId11" Type="http://schemas.openxmlformats.org/officeDocument/2006/relationships/hyperlink" Target="mailto:noam@google.com" TargetMode="External"/><Relationship Id="rId24" Type="http://schemas.openxmlformats.org/officeDocument/2006/relationships/hyperlink" Target="mailto:jeff@google.com" TargetMode="External"/><Relationship Id="rId32" Type="http://schemas.openxmlformats.org/officeDocument/2006/relationships/hyperlink" Target="mailto:vlad@deepmind.com" TargetMode="External"/><Relationship Id="rId37" Type="http://schemas.openxmlformats.org/officeDocument/2006/relationships/hyperlink" Target="mailto:martin.riedmiller@deepmind.com" TargetMode="External"/><Relationship Id="rId40" Type="http://schemas.openxmlformats.org/officeDocument/2006/relationships/hyperlink" Target="mailto:nalk@google.com" TargetMode="External"/><Relationship Id="rId5" Type="http://schemas.openxmlformats.org/officeDocument/2006/relationships/hyperlink" Target="mailto:shuoyiin@google.com" TargetMode="External"/><Relationship Id="rId15" Type="http://schemas.openxmlformats.org/officeDocument/2006/relationships/hyperlink" Target="mailto:sharannarang@google.com" TargetMode="External"/><Relationship Id="rId23" Type="http://schemas.openxmlformats.org/officeDocument/2006/relationships/hyperlink" Target="mailto:andydavis@google.com" TargetMode="External"/><Relationship Id="rId28" Type="http://schemas.openxmlformats.org/officeDocument/2006/relationships/hyperlink" Target="mailto:ilyasu@google.com" TargetMode="External"/><Relationship Id="rId36" Type="http://schemas.openxmlformats.org/officeDocument/2006/relationships/hyperlink" Target="mailto:daan@deepmind.com" TargetMode="External"/><Relationship Id="rId10" Type="http://schemas.openxmlformats.org/officeDocument/2006/relationships/hyperlink" Target="mailto:jacobdevlin@google.com" TargetMode="External"/><Relationship Id="rId19" Type="http://schemas.openxmlformats.org/officeDocument/2006/relationships/hyperlink" Target="mailto:peterjliu@google.com" TargetMode="External"/><Relationship Id="rId31" Type="http://schemas.openxmlformats.org/officeDocument/2006/relationships/hyperlink" Target="mailto:sanjay@google.com" TargetMode="External"/><Relationship Id="rId4" Type="http://schemas.openxmlformats.org/officeDocument/2006/relationships/hyperlink" Target="mailto:boboli@google.com" TargetMode="External"/><Relationship Id="rId9" Type="http://schemas.openxmlformats.org/officeDocument/2006/relationships/hyperlink" Target="mailto:mingweichang@google.com" TargetMode="External"/><Relationship Id="rId14" Type="http://schemas.openxmlformats.org/officeDocument/2006/relationships/hyperlink" Target="mailto:katherinelee@google.com" TargetMode="External"/><Relationship Id="rId22" Type="http://schemas.openxmlformats.org/officeDocument/2006/relationships/hyperlink" Target="mailto:azalia@google.com" TargetMode="External"/><Relationship Id="rId27" Type="http://schemas.openxmlformats.org/officeDocument/2006/relationships/hyperlink" Target="mailto:mikolov@google.com" TargetMode="External"/><Relationship Id="rId30" Type="http://schemas.openxmlformats.org/officeDocument/2006/relationships/hyperlink" Target="mailto:gcorrado@google.com" TargetMode="External"/><Relationship Id="rId35" Type="http://schemas.openxmlformats.org/officeDocument/2006/relationships/hyperlink" Target="mailto:ioannis@deepmind.com" TargetMode="External"/><Relationship Id="rId43" Type="http://schemas.openxmlformats.org/officeDocument/2006/relationships/hyperlink" Target="mailto:heigazen@google.com" TargetMode="External"/><Relationship Id="rId8" Type="http://schemas.openxmlformats.org/officeDocument/2006/relationships/hyperlink" Target="mailto:kentonl@google.com" TargetMode="External"/><Relationship Id="rId3" Type="http://schemas.openxmlformats.org/officeDocument/2006/relationships/hyperlink" Target="mailto:avdnoord@google.com" TargetMode="External"/><Relationship Id="rId12" Type="http://schemas.openxmlformats.org/officeDocument/2006/relationships/hyperlink" Target="mailto:craffel@gmail.com" TargetMode="External"/><Relationship Id="rId17" Type="http://schemas.openxmlformats.org/officeDocument/2006/relationships/hyperlink" Target="mailto:yanqiz@google.com" TargetMode="External"/><Relationship Id="rId25" Type="http://schemas.openxmlformats.org/officeDocument/2006/relationships/hyperlink" Target="mailto:geoffhinton@google.com" TargetMode="External"/><Relationship Id="rId33" Type="http://schemas.openxmlformats.org/officeDocument/2006/relationships/hyperlink" Target="mailto:david@deepmind.com" TargetMode="External"/><Relationship Id="rId38" Type="http://schemas.openxmlformats.org/officeDocument/2006/relationships/hyperlink" Target="https://github.com/barretzoph" TargetMode="External"/></Relationships>
</file>

<file path=xl/worksheets/_rels/sheet24.xml.rels><?xml version="1.0" encoding="UTF-8" standalone="yes"?>
<Relationships xmlns="http://schemas.openxmlformats.org/package/2006/relationships"><Relationship Id="rId13" Type="http://schemas.openxmlformats.org/officeDocument/2006/relationships/hyperlink" Target="https://github.com/unixpickle" TargetMode="External"/><Relationship Id="rId18" Type="http://schemas.openxmlformats.org/officeDocument/2006/relationships/hyperlink" Target="mailto:alec.radford@gmail.com" TargetMode="External"/><Relationship Id="rId26" Type="http://schemas.openxmlformats.org/officeDocument/2006/relationships/hyperlink" Target="https://github.com/leogao2" TargetMode="External"/><Relationship Id="rId39" Type="http://schemas.openxmlformats.org/officeDocument/2006/relationships/hyperlink" Target="mailto:karthik@openai.com" TargetMode="External"/><Relationship Id="rId21" Type="http://schemas.openxmlformats.org/officeDocument/2006/relationships/hyperlink" Target="mailto:tim@openai.com" TargetMode="External"/><Relationship Id="rId34" Type="http://schemas.openxmlformats.org/officeDocument/2006/relationships/hyperlink" Target="https://github.com/shyamal-anadkat" TargetMode="External"/><Relationship Id="rId42" Type="http://schemas.openxmlformats.org/officeDocument/2006/relationships/comments" Target="../comments4.xml"/><Relationship Id="rId7" Type="http://schemas.openxmlformats.org/officeDocument/2006/relationships/hyperlink" Target="mailto:alex@openai.com" TargetMode="External"/><Relationship Id="rId2" Type="http://schemas.openxmlformats.org/officeDocument/2006/relationships/hyperlink" Target="mailto:mark@openai.com" TargetMode="External"/><Relationship Id="rId16" Type="http://schemas.openxmlformats.org/officeDocument/2006/relationships/hyperlink" Target="mailto:omgtech@gmail.com" TargetMode="External"/><Relationship Id="rId20" Type="http://schemas.openxmlformats.org/officeDocument/2006/relationships/hyperlink" Target="mailto:woj@openai.com" TargetMode="External"/><Relationship Id="rId29" Type="http://schemas.openxmlformats.org/officeDocument/2006/relationships/hyperlink" Target="mailto:_@adityaramesh.com" TargetMode="External"/><Relationship Id="rId41" Type="http://schemas.openxmlformats.org/officeDocument/2006/relationships/vmlDrawing" Target="../drawings/vmlDrawing4.vml"/><Relationship Id="rId1" Type="http://schemas.openxmlformats.org/officeDocument/2006/relationships/hyperlink" Target="mailto:ilyasu@openai.com" TargetMode="External"/><Relationship Id="rId6" Type="http://schemas.openxmlformats.org/officeDocument/2006/relationships/hyperlink" Target="mailto:karl@openai.com" TargetMode="External"/><Relationship Id="rId11" Type="http://schemas.openxmlformats.org/officeDocument/2006/relationships/hyperlink" Target="https://github.com/joschu" TargetMode="External"/><Relationship Id="rId24" Type="http://schemas.openxmlformats.org/officeDocument/2006/relationships/hyperlink" Target="https://twitter.com/mobav0?lang=en" TargetMode="External"/><Relationship Id="rId32" Type="http://schemas.openxmlformats.org/officeDocument/2006/relationships/hyperlink" Target="https://bryanbanisaba.com/" TargetMode="External"/><Relationship Id="rId37" Type="http://schemas.openxmlformats.org/officeDocument/2006/relationships/hyperlink" Target="mailto:marcin@openai.com" TargetMode="External"/><Relationship Id="rId40" Type="http://schemas.openxmlformats.org/officeDocument/2006/relationships/printerSettings" Target="../printerSettings/printerSettings6.bin"/><Relationship Id="rId5" Type="http://schemas.openxmlformats.org/officeDocument/2006/relationships/hyperlink" Target="mailto:hee-woo@openai.com" TargetMode="External"/><Relationship Id="rId15" Type="http://schemas.openxmlformats.org/officeDocument/2006/relationships/hyperlink" Target="mailto:vi@endrift.com" TargetMode="External"/><Relationship Id="rId23" Type="http://schemas.openxmlformats.org/officeDocument/2006/relationships/hyperlink" Target="http://www.aqnichol.com/" TargetMode="External"/><Relationship Id="rId28" Type="http://schemas.openxmlformats.org/officeDocument/2006/relationships/hyperlink" Target="https://github.com/fgvbrt" TargetMode="External"/><Relationship Id="rId36" Type="http://schemas.openxmlformats.org/officeDocument/2006/relationships/hyperlink" Target="mailto:prafulla@openai.com" TargetMode="External"/><Relationship Id="rId10" Type="http://schemas.openxmlformats.org/officeDocument/2006/relationships/hyperlink" Target="https://github.com/siemanko" TargetMode="External"/><Relationship Id="rId19" Type="http://schemas.openxmlformats.org/officeDocument/2006/relationships/hyperlink" Target="https://github.com/Newmu" TargetMode="External"/><Relationship Id="rId31" Type="http://schemas.openxmlformats.org/officeDocument/2006/relationships/hyperlink" Target="https://leiz86.github.io/" TargetMode="External"/><Relationship Id="rId4" Type="http://schemas.openxmlformats.org/officeDocument/2006/relationships/hyperlink" Target="mailto:qiming@openai.com" TargetMode="External"/><Relationship Id="rId9" Type="http://schemas.openxmlformats.org/officeDocument/2006/relationships/hyperlink" Target="mailto:szymon.sidor@gmail.com" TargetMode="External"/><Relationship Id="rId14" Type="http://schemas.openxmlformats.org/officeDocument/2006/relationships/hyperlink" Target="https://github.com/endrift" TargetMode="External"/><Relationship Id="rId22" Type="http://schemas.openxmlformats.org/officeDocument/2006/relationships/hyperlink" Target="mailto:peter@openai.com" TargetMode="External"/><Relationship Id="rId27" Type="http://schemas.openxmlformats.org/officeDocument/2006/relationships/hyperlink" Target="https://twitter.com/MikhailPavlov5" TargetMode="External"/><Relationship Id="rId30" Type="http://schemas.openxmlformats.org/officeDocument/2006/relationships/hyperlink" Target="https://twitter.com/mpetrov?lang=en" TargetMode="External"/><Relationship Id="rId35" Type="http://schemas.openxmlformats.org/officeDocument/2006/relationships/hyperlink" Target="mailto:shyamal.anadkat@duke.edu" TargetMode="External"/><Relationship Id="rId8" Type="http://schemas.openxmlformats.org/officeDocument/2006/relationships/hyperlink" Target="mailto:joschu@openai.com" TargetMode="External"/><Relationship Id="rId3" Type="http://schemas.openxmlformats.org/officeDocument/2006/relationships/hyperlink" Target="mailto:jt@openai.com" TargetMode="External"/><Relationship Id="rId12" Type="http://schemas.openxmlformats.org/officeDocument/2006/relationships/hyperlink" Target="https://github.com/christopherhesse" TargetMode="External"/><Relationship Id="rId17" Type="http://schemas.openxmlformats.org/officeDocument/2006/relationships/hyperlink" Target="https://github.com/olegklimov" TargetMode="External"/><Relationship Id="rId25" Type="http://schemas.openxmlformats.org/officeDocument/2006/relationships/hyperlink" Target="https://bmk.sh/" TargetMode="External"/><Relationship Id="rId33" Type="http://schemas.openxmlformats.org/officeDocument/2006/relationships/hyperlink" Target="https://shyamal.me/" TargetMode="External"/><Relationship Id="rId38" Type="http://schemas.openxmlformats.org/officeDocument/2006/relationships/hyperlink" Target="mailto:mobav@openai.com" TargetMode="External"/></Relationships>
</file>

<file path=xl/worksheets/_rels/sheet25.xml.rels><?xml version="1.0" encoding="UTF-8" standalone="yes"?>
<Relationships xmlns="http://schemas.openxmlformats.org/package/2006/relationships"><Relationship Id="rId1" Type="http://schemas.openxmlformats.org/officeDocument/2006/relationships/hyperlink" Target="mailto:soumith@fb.com" TargetMode="Externa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3.xml.rels><?xml version="1.0" encoding="UTF-8" standalone="yes"?>
<Relationships xmlns="http://schemas.openxmlformats.org/package/2006/relationships"><Relationship Id="rId8" Type="http://schemas.openxmlformats.org/officeDocument/2006/relationships/hyperlink" Target="mailto:smotamedi@greylock.com" TargetMode="External"/><Relationship Id="rId13" Type="http://schemas.openxmlformats.org/officeDocument/2006/relationships/vmlDrawing" Target="../drawings/vmlDrawing2.vml"/><Relationship Id="rId3" Type="http://schemas.openxmlformats.org/officeDocument/2006/relationships/hyperlink" Target="mailto:jacob@greylock.com" TargetMode="External"/><Relationship Id="rId7" Type="http://schemas.openxmlformats.org/officeDocument/2006/relationships/hyperlink" Target="mailto:rhoffman@greylock.com" TargetMode="External"/><Relationship Id="rId12" Type="http://schemas.openxmlformats.org/officeDocument/2006/relationships/printerSettings" Target="../printerSettings/printerSettings2.bin"/><Relationship Id="rId2" Type="http://schemas.openxmlformats.org/officeDocument/2006/relationships/hyperlink" Target="mailto:grady@sequoiacap.com" TargetMode="External"/><Relationship Id="rId1" Type="http://schemas.openxmlformats.org/officeDocument/2006/relationships/hyperlink" Target="mailto:sonya@sequoiacap.com" TargetMode="External"/><Relationship Id="rId6" Type="http://schemas.openxmlformats.org/officeDocument/2006/relationships/hyperlink" Target="mailto:mduboe@greylock.com" TargetMode="External"/><Relationship Id="rId11" Type="http://schemas.openxmlformats.org/officeDocument/2006/relationships/hyperlink" Target="mailto:srosenberg@greylock.com" TargetMode="External"/><Relationship Id="rId5" Type="http://schemas.openxmlformats.org/officeDocument/2006/relationships/hyperlink" Target="mailto:jerry.chen@greylock.com" TargetMode="External"/><Relationship Id="rId15" Type="http://schemas.microsoft.com/office/2017/10/relationships/threadedComment" Target="../threadedComments/threadedComment2.xml"/><Relationship Id="rId10" Type="http://schemas.openxmlformats.org/officeDocument/2006/relationships/hyperlink" Target="mailto:jrisch@greylock.com" TargetMode="External"/><Relationship Id="rId4" Type="http://schemas.openxmlformats.org/officeDocument/2006/relationships/hyperlink" Target="mailto:achandna@greylock.com" TargetMode="External"/><Relationship Id="rId9" Type="http://schemas.openxmlformats.org/officeDocument/2006/relationships/hyperlink" Target="mailto:corinne@greylock.com" TargetMode="External"/><Relationship Id="rId1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hyperlink" Target="https://twitter.com/lauren__apost" TargetMode="External"/><Relationship Id="rId7" Type="http://schemas.openxmlformats.org/officeDocument/2006/relationships/hyperlink" Target="https://twitter.com/RichFeloni" TargetMode="External"/><Relationship Id="rId2" Type="http://schemas.openxmlformats.org/officeDocument/2006/relationships/hyperlink" Target="https://twitter.com/albionvc" TargetMode="External"/><Relationship Id="rId1" Type="http://schemas.openxmlformats.org/officeDocument/2006/relationships/hyperlink" Target="https://twitter.com/AlyssaJoyJaffee" TargetMode="External"/><Relationship Id="rId6" Type="http://schemas.openxmlformats.org/officeDocument/2006/relationships/hyperlink" Target="https://twitter.com/goldie_oz" TargetMode="External"/><Relationship Id="rId5" Type="http://schemas.openxmlformats.org/officeDocument/2006/relationships/hyperlink" Target="https://twitter.com/paullehair" TargetMode="External"/><Relationship Id="rId4" Type="http://schemas.openxmlformats.org/officeDocument/2006/relationships/hyperlink" Target="https://twitter.com/drmolsg"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hyperlink" Target="https://arxiv.org/pdf/2402.19481" TargetMode="External"/></Relationships>
</file>

<file path=xl/worksheets/_rels/sheet7.xml.rels><?xml version="1.0" encoding="UTF-8" standalone="yes"?>
<Relationships xmlns="http://schemas.openxmlformats.org/package/2006/relationships"><Relationship Id="rId117" Type="http://schemas.openxmlformats.org/officeDocument/2006/relationships/hyperlink" Target="https://arxiv.org/abs/1910.10683" TargetMode="External"/><Relationship Id="rId21" Type="http://schemas.openxmlformats.org/officeDocument/2006/relationships/hyperlink" Target="https://ailibrary.s3.amazonaws.com/Learning+long-term+dependencies+with+gradient+descent+is+difficult.+Bengio+Simard+Frasconi+1994.pdf" TargetMode="External"/><Relationship Id="rId42" Type="http://schemas.openxmlformats.org/officeDocument/2006/relationships/hyperlink" Target="https://ailibrary.s3.amazonaws.com/Playing+Atari+with+Deep+Reinforcement+Learning+-+Mnih+2013.pdf" TargetMode="External"/><Relationship Id="rId63" Type="http://schemas.openxmlformats.org/officeDocument/2006/relationships/hyperlink" Target="https://ailibrary.s3.amazonaws.com/Speech+recognition+with+continuous-parameter+hidden+Markov+models.+Bahl+et+al%2C+Computer+Speech+and+Language+1987.pdf" TargetMode="External"/><Relationship Id="rId84" Type="http://schemas.openxmlformats.org/officeDocument/2006/relationships/hyperlink" Target="https://www.cs.toronto.edu/~kriz/conv-cifar10-aug2010.pdf" TargetMode="External"/><Relationship Id="rId138" Type="http://schemas.openxmlformats.org/officeDocument/2006/relationships/hyperlink" Target="https://ailibrary.s3.amazonaws.com/Steps+Toward+Artificial+Intelligence+-+Minsky.pdf" TargetMode="External"/><Relationship Id="rId159" Type="http://schemas.openxmlformats.org/officeDocument/2006/relationships/hyperlink" Target="https://aclanthology.org/S17-2001.pdf" TargetMode="External"/><Relationship Id="rId170" Type="http://schemas.openxmlformats.org/officeDocument/2006/relationships/hyperlink" Target="https://arxiv.org/abs/1602.03483" TargetMode="External"/><Relationship Id="rId191" Type="http://schemas.openxmlformats.org/officeDocument/2006/relationships/hyperlink" Target="https://arxiv.org/pdf/1609.03499.pdf" TargetMode="External"/><Relationship Id="rId205" Type="http://schemas.openxmlformats.org/officeDocument/2006/relationships/hyperlink" Target="https://arxiv.org/abs/1512.02595" TargetMode="External"/><Relationship Id="rId107" Type="http://schemas.openxmlformats.org/officeDocument/2006/relationships/hyperlink" Target="https://bpb-us-w2.wpmucdn.com/sites.gatech.edu/dist/b/1653/files/2020/10/data-cleaning-sigmod-tutorial.pdf" TargetMode="External"/><Relationship Id="rId11" Type="http://schemas.openxmlformats.org/officeDocument/2006/relationships/hyperlink" Target="https://ailibrary.s3.amazonaws.com/Some+Philosophical+problems+from+the+standpoint+of+AI+-+McCarthy+1981.pdf" TargetMode="External"/><Relationship Id="rId32" Type="http://schemas.openxmlformats.org/officeDocument/2006/relationships/hyperlink" Target="https://ailibrary.s3.amazonaws.com/Learning+multiple+layers+of+features+from+tiny+images+-+Krizhevsky+2009.pdf" TargetMode="External"/><Relationship Id="rId53" Type="http://schemas.openxmlformats.org/officeDocument/2006/relationships/hyperlink" Target="https://ailibrary.s3.amazonaws.com/Layer+Normalization+-+Ba%2C+Hinton.pdf" TargetMode="External"/><Relationship Id="rId74" Type="http://schemas.openxmlformats.org/officeDocument/2006/relationships/hyperlink" Target="https://arxiv.org/pdf/1202.2745.pdf" TargetMode="External"/><Relationship Id="rId128" Type="http://schemas.openxmlformats.org/officeDocument/2006/relationships/hyperlink" Target="https://arxiv.org/abs/2304.03277" TargetMode="External"/><Relationship Id="rId149" Type="http://schemas.openxmlformats.org/officeDocument/2006/relationships/hyperlink" Target="https://ailibrary.s3.amazonaws.com/Mastering+the+game+of+Go+without+human+knowledge+-+Silver+et+al+2017.pdf" TargetMode="External"/><Relationship Id="rId5" Type="http://schemas.openxmlformats.org/officeDocument/2006/relationships/hyperlink" Target="https://ailibrary.s3.amazonaws.com/Deep+Learning+Review+(Nature)+-+Yann+LeCun%2C+Yoshua+Bengio%2C+Geoffrey+Hinton.pdf" TargetMode="External"/><Relationship Id="rId95" Type="http://schemas.openxmlformats.org/officeDocument/2006/relationships/hyperlink" Target="https://arxiv.org/pdf/2112.00861.pdf" TargetMode="External"/><Relationship Id="rId160" Type="http://schemas.openxmlformats.org/officeDocument/2006/relationships/hyperlink" Target="https://arxiv.org/abs/1312.3005" TargetMode="External"/><Relationship Id="rId181" Type="http://schemas.openxmlformats.org/officeDocument/2006/relationships/hyperlink" Target="https://aclanthology.org/K16-1006.pdf" TargetMode="External"/><Relationship Id="rId216" Type="http://schemas.openxmlformats.org/officeDocument/2006/relationships/hyperlink" Target="https://arxiv.org/abs/1706.05137" TargetMode="External"/><Relationship Id="rId22" Type="http://schemas.openxmlformats.org/officeDocument/2006/relationships/hyperlink" Target="https://ailibrary.s3.amazonaws.com/TD-Gammon%2C+A+Self-Teaching+Backgammon+Program%2C+Achieves+Master-Level+Play.pdf" TargetMode="External"/><Relationship Id="rId43" Type="http://schemas.openxmlformats.org/officeDocument/2006/relationships/hyperlink" Target="https://arxiv.org/pdf/1303.5778.pdf" TargetMode="External"/><Relationship Id="rId64" Type="http://schemas.openxmlformats.org/officeDocument/2006/relationships/hyperlink" Target="https://ailibrary.s3.amazonaws.com/Neural+networks+and+principal+component+analysis+-+Learning+from+examples+without+local+minima.+Baldi%2C+Hornik+1989.pdf" TargetMode="External"/><Relationship Id="rId118" Type="http://schemas.openxmlformats.org/officeDocument/2006/relationships/hyperlink" Target="https://arxiv.org/abs/2004.14602" TargetMode="External"/><Relationship Id="rId139" Type="http://schemas.openxmlformats.org/officeDocument/2006/relationships/hyperlink" Target="https://ailibrary.s3.amazonaws.com/neurodynamics1962rosenblatt.pdf" TargetMode="External"/><Relationship Id="rId85" Type="http://schemas.openxmlformats.org/officeDocument/2006/relationships/hyperlink" Target="https://www.cs.toronto.edu/~hinton/absps/esann-deep-final.pdf" TargetMode="External"/><Relationship Id="rId150" Type="http://schemas.openxmlformats.org/officeDocument/2006/relationships/hyperlink" Target="https://www.cs.cmu.edu/~sandholm/dynamicThresholding.aaai17.pdf" TargetMode="External"/><Relationship Id="rId171" Type="http://schemas.openxmlformats.org/officeDocument/2006/relationships/hyperlink" Target="https://arxiv.org/abs/1801.06146" TargetMode="External"/><Relationship Id="rId192" Type="http://schemas.openxmlformats.org/officeDocument/2006/relationships/hyperlink" Target="https://arxiv.org/pdf/2305.18654.pdf" TargetMode="External"/><Relationship Id="rId206" Type="http://schemas.openxmlformats.org/officeDocument/2006/relationships/hyperlink" Target="https://arxiv.org/abs/1806.00451" TargetMode="External"/><Relationship Id="rId12" Type="http://schemas.openxmlformats.org/officeDocument/2006/relationships/hyperlink" Target="https://ailibrary.s3.amazonaws.com/Principles+of+Artificial+Intelligence+-+Nilsson.pdf" TargetMode="External"/><Relationship Id="rId33" Type="http://schemas.openxmlformats.org/officeDocument/2006/relationships/hyperlink" Target="https://ailibrary.s3.amazonaws.com/Artificial+Intelligence+-+A+Modern+Approach+-+Stuart+Russell%2C+Peter+Norvig+-+Prentice+Hall+(2010).pdf" TargetMode="External"/><Relationship Id="rId108" Type="http://schemas.openxmlformats.org/officeDocument/2006/relationships/hyperlink" Target="https://arxiv.org/abs/2210.11416" TargetMode="External"/><Relationship Id="rId129" Type="http://schemas.openxmlformats.org/officeDocument/2006/relationships/hyperlink" Target="https://arxiv.org/abs/2302.13971" TargetMode="External"/><Relationship Id="rId54" Type="http://schemas.openxmlformats.org/officeDocument/2006/relationships/hyperlink" Target="https://arxiv.org/abs/1211.4246" TargetMode="External"/><Relationship Id="rId75" Type="http://schemas.openxmlformats.org/officeDocument/2006/relationships/hyperlink" Target="https://ailibrary.s3.amazonaws.com/ImageNet+-+A+Large-Scale+Hierarchical+Image+Database+-+Deng+et+al+2009.pdf" TargetMode="External"/><Relationship Id="rId96" Type="http://schemas.openxmlformats.org/officeDocument/2006/relationships/hyperlink" Target="https://arxiv.org/pdf/2212.08073.pdf" TargetMode="External"/><Relationship Id="rId140" Type="http://schemas.openxmlformats.org/officeDocument/2006/relationships/hyperlink" Target="https://ailibrary.s3.amazonaws.com/Man-Computer+Symbiosis+-+Licklider.pdf" TargetMode="External"/><Relationship Id="rId161" Type="http://schemas.openxmlformats.org/officeDocument/2006/relationships/hyperlink" Target="https://arxiv.org/abs/1710.10723" TargetMode="External"/><Relationship Id="rId182" Type="http://schemas.openxmlformats.org/officeDocument/2006/relationships/hyperlink" Target="https://arxiv.org/abs/1606.01933" TargetMode="External"/><Relationship Id="rId217" Type="http://schemas.openxmlformats.org/officeDocument/2006/relationships/hyperlink" Target="https://arxiv.org/abs/1703.03400" TargetMode="External"/><Relationship Id="rId6" Type="http://schemas.openxmlformats.org/officeDocument/2006/relationships/hyperlink" Target="https://ailibrary.s3.amazonaws.com/A+Proposal+for+the+Dartmouth+Summer+Research+Project+on+Artificial+Intelligence.pdf" TargetMode="External"/><Relationship Id="rId23" Type="http://schemas.openxmlformats.org/officeDocument/2006/relationships/hyperlink" Target="https://ailibrary.s3.amazonaws.com/Convolutional+networks+for+images%2C+speech+and+time+series.+LeCun%2C+Bengio+1995.pdf" TargetMode="External"/><Relationship Id="rId119" Type="http://schemas.openxmlformats.org/officeDocument/2006/relationships/hyperlink" Target="https://arxiv.org/abs/2304.07327" TargetMode="External"/><Relationship Id="rId44" Type="http://schemas.openxmlformats.org/officeDocument/2006/relationships/hyperlink" Target="https://arxiv.org/pdf/1406.2661.pdf" TargetMode="External"/><Relationship Id="rId65" Type="http://schemas.openxmlformats.org/officeDocument/2006/relationships/hyperlink" Target="https://openreview.net/pdf?id=BZ5a1r-kVsf" TargetMode="External"/><Relationship Id="rId86" Type="http://schemas.openxmlformats.org/officeDocument/2006/relationships/hyperlink" Target="https://proceedings.neurips.cc/paper/1989/file/53c3bce66e43be4f209556518c2fcb54-Paper.pdf" TargetMode="External"/><Relationship Id="rId130" Type="http://schemas.openxmlformats.org/officeDocument/2006/relationships/hyperlink" Target="https://arxiv.org/abs/2305.17926" TargetMode="External"/><Relationship Id="rId151" Type="http://schemas.openxmlformats.org/officeDocument/2006/relationships/hyperlink" Target="https://science.org/doi/epdf/10.1126/science.aao1733" TargetMode="External"/><Relationship Id="rId172" Type="http://schemas.openxmlformats.org/officeDocument/2006/relationships/hyperlink" Target="https://arxiv.org/abs/1705.02798" TargetMode="External"/><Relationship Id="rId193" Type="http://schemas.openxmlformats.org/officeDocument/2006/relationships/hyperlink" Target="https://arxiv.org/abs/2306.06991" TargetMode="External"/><Relationship Id="rId207" Type="http://schemas.openxmlformats.org/officeDocument/2006/relationships/hyperlink" Target="https://arxiv.org/abs/1612.00796" TargetMode="External"/><Relationship Id="rId13" Type="http://schemas.openxmlformats.org/officeDocument/2006/relationships/hyperlink" Target="https://ailibrary.s3.amazonaws.com/A+Learning+Algorithm+for+Boltzmann+Machines+-+Ackley%2C+Hinton%2C+Sejnowski.pdf" TargetMode="External"/><Relationship Id="rId109" Type="http://schemas.openxmlformats.org/officeDocument/2006/relationships/hyperlink" Target="https://arxiv.org/abs/2206.02608" TargetMode="External"/><Relationship Id="rId34" Type="http://schemas.openxmlformats.org/officeDocument/2006/relationships/hyperlink" Target="https://ailibrary.s3.amazonaws.com/Understanding+the+difficulty+of+training+deep+feedforward+neural+networks.pdf" TargetMode="External"/><Relationship Id="rId55" Type="http://schemas.openxmlformats.org/officeDocument/2006/relationships/hyperlink" Target="https://arxiv.org/pdf/1503.05571.pdf" TargetMode="External"/><Relationship Id="rId76" Type="http://schemas.openxmlformats.org/officeDocument/2006/relationships/hyperlink" Target="https://ailibrary.s3.amazonaws.com/Learning+Generative+Visual+Models+from+Few+Training+Examples+-+An+Incremental+Bayesian+Approach+Tested+on+101+Object+Categories+-+Fei-Fei+et+al+CVPR+2004.pdf" TargetMode="External"/><Relationship Id="rId97" Type="http://schemas.openxmlformats.org/officeDocument/2006/relationships/hyperlink" Target="https://arxiv.org/abs/1911.11641" TargetMode="External"/><Relationship Id="rId120" Type="http://schemas.openxmlformats.org/officeDocument/2006/relationships/hyperlink" Target="https://arxiv.org/abs/2211.09110" TargetMode="External"/><Relationship Id="rId141" Type="http://schemas.openxmlformats.org/officeDocument/2006/relationships/hyperlink" Target="https://arxiv.org/abs/2204.05862" TargetMode="External"/><Relationship Id="rId7" Type="http://schemas.openxmlformats.org/officeDocument/2006/relationships/hyperlink" Target="https://ailibrary.s3.amazonaws.com/Perceptron.pdf" TargetMode="External"/><Relationship Id="rId162" Type="http://schemas.openxmlformats.org/officeDocument/2006/relationships/hyperlink" Target="https://arxiv.org/abs/1809.08370" TargetMode="External"/><Relationship Id="rId183" Type="http://schemas.openxmlformats.org/officeDocument/2006/relationships/hyperlink" Target="https://nlp.stanford.edu/pubs/glove.pdf" TargetMode="External"/><Relationship Id="rId218" Type="http://schemas.openxmlformats.org/officeDocument/2006/relationships/hyperlink" Target="https://arxiv.org/abs/1812.10860" TargetMode="External"/><Relationship Id="rId24" Type="http://schemas.openxmlformats.org/officeDocument/2006/relationships/hyperlink" Target="https://ailibrary.s3.amazonaws.com/Neural+Networks+-+A+Comprehensive+Foundation+-+Simon+Haykin+-+Prentice+Hall+(1998).pdf" TargetMode="External"/><Relationship Id="rId45" Type="http://schemas.openxmlformats.org/officeDocument/2006/relationships/hyperlink" Target="https://ailibrary.s3.amazonaws.com/Dropout+-+A+Simple+Way+to+Prevent+Neural+Networks+from+Overfitting+-+Srivastava.pdf" TargetMode="External"/><Relationship Id="rId66" Type="http://schemas.openxmlformats.org/officeDocument/2006/relationships/hyperlink" Target="https://ailibrary.s3.amazonaws.com/The+Organization+of+Behavior+-+A+Neuropsychological+Theory+-+D.O.+Hebb.pdf" TargetMode="External"/><Relationship Id="rId87" Type="http://schemas.openxmlformats.org/officeDocument/2006/relationships/hyperlink" Target="https://ailibrary.s3.amazonaws.com/Learning+Methods+for+Generic+Object+Recognition+with+Invariance+to+Pose+and+Lighting+-+LeCun+2004.pdf" TargetMode="External"/><Relationship Id="rId110" Type="http://schemas.openxmlformats.org/officeDocument/2006/relationships/hyperlink" Target="https://arxiv.org/abs/2101.03961" TargetMode="External"/><Relationship Id="rId131" Type="http://schemas.openxmlformats.org/officeDocument/2006/relationships/hyperlink" Target="https://research.google/pubs/pub46485/" TargetMode="External"/><Relationship Id="rId152" Type="http://schemas.openxmlformats.org/officeDocument/2006/relationships/hyperlink" Target="https://aclanthology.org/C18-1139.pdf" TargetMode="External"/><Relationship Id="rId173" Type="http://schemas.openxmlformats.org/officeDocument/2006/relationships/hyperlink" Target="https://arxiv.org/abs/1705.00557" TargetMode="External"/><Relationship Id="rId194" Type="http://schemas.openxmlformats.org/officeDocument/2006/relationships/hyperlink" Target="https://arxiv.org/abs/2106.05931" TargetMode="External"/><Relationship Id="rId208" Type="http://schemas.openxmlformats.org/officeDocument/2006/relationships/hyperlink" Target="https://www.cambridge.org/core/services/aop-cambridge-core/content/view/A9535B1D745A0377E16C590E14B94993/S0140525X16001837a.pdf/building-machines-that-learn-and-think-like-people.pdf" TargetMode="External"/><Relationship Id="rId14" Type="http://schemas.openxmlformats.org/officeDocument/2006/relationships/hyperlink" Target="https://ailibrary.s3.amazonaws.com/Learning+Process+in+an+Asymmetric+Threshold+Network+-+LeCun+1986.pdf" TargetMode="External"/><Relationship Id="rId35" Type="http://schemas.openxmlformats.org/officeDocument/2006/relationships/hyperlink" Target="https://ailibrary.s3.amazonaws.com/Rectified+Linear+Units+Improve+Restricted+Boltzmann+Machines+-+Nair%2C+Hinton.pdf" TargetMode="External"/><Relationship Id="rId56" Type="http://schemas.openxmlformats.org/officeDocument/2006/relationships/hyperlink" Target="https://arxiv.org/pdf/1412.7755.pdf" TargetMode="External"/><Relationship Id="rId77" Type="http://schemas.openxmlformats.org/officeDocument/2006/relationships/hyperlink" Target="https://ailibrary.s3.amazonaws.com/Learning+generative+visual+models+from+few+training+examples+-+An+incremental+Bayesian+approach+tested+on+101+object+categories.+Fei-Fei+et+al.+2007.pdf" TargetMode="External"/><Relationship Id="rId100" Type="http://schemas.openxmlformats.org/officeDocument/2006/relationships/hyperlink" Target="https://arxiv.org/abs/2305.19245" TargetMode="External"/><Relationship Id="rId8" Type="http://schemas.openxmlformats.org/officeDocument/2006/relationships/hyperlink" Target="https://ailibrary.s3.amazonaws.com/Programs+with+Common+Sense+-+McCarthy+1959.pdf" TargetMode="External"/><Relationship Id="rId98" Type="http://schemas.openxmlformats.org/officeDocument/2006/relationships/hyperlink" Target="https://www.researchgate.net/publication/369233842_It_Takes_One_to_Tango_but_More_Make_Trouble_In-Context_Training_with_Different_Number_of_Demonstrations/fulltext/64113655a1b72772e4fad48c/It-Takes-One-to-Tango-but-More-Make-Trouble-In-Context-Training-with-Different-Number-of-Demonstrations.pdf" TargetMode="External"/><Relationship Id="rId121" Type="http://schemas.openxmlformats.org/officeDocument/2006/relationships/hyperlink" Target="https://arxiv.org/abs/1907.11692" TargetMode="External"/><Relationship Id="rId142" Type="http://schemas.openxmlformats.org/officeDocument/2006/relationships/hyperlink" Target="https://arxiv.org/abs/1912.01703" TargetMode="External"/><Relationship Id="rId163" Type="http://schemas.openxmlformats.org/officeDocument/2006/relationships/hyperlink" Target="http://machinelearning.org/archive/icml2008/papers/391.pdf" TargetMode="External"/><Relationship Id="rId184" Type="http://schemas.openxmlformats.org/officeDocument/2006/relationships/hyperlink" Target="https://arxiv.org/abs/1705.00108" TargetMode="External"/><Relationship Id="rId219" Type="http://schemas.openxmlformats.org/officeDocument/2006/relationships/hyperlink" Target="https://arxiv.org/abs/1808.07042" TargetMode="External"/><Relationship Id="rId3" Type="http://schemas.openxmlformats.org/officeDocument/2006/relationships/hyperlink" Target="https://ailibrary.s3.amazonaws.com/BERT+-+Pre-training+of+Deep+Bidirectional+Transformers+for+Language+Understanding+-+1810.04805.pdf" TargetMode="External"/><Relationship Id="rId214" Type="http://schemas.openxmlformats.org/officeDocument/2006/relationships/hyperlink" Target="https://arxiv.org/pdf/2306.07298.pdf" TargetMode="External"/><Relationship Id="rId25" Type="http://schemas.openxmlformats.org/officeDocument/2006/relationships/hyperlink" Target="https://ailibrary.s3.amazonaws.com/Gradient-based+learning+applied+to+document+recognition+-+LeCun.pdf" TargetMode="External"/><Relationship Id="rId46" Type="http://schemas.openxmlformats.org/officeDocument/2006/relationships/hyperlink" Target="https://ailibrary.s3.amazonaws.com/Microsoft+COCO+-+Common+Objects+in+Context.pdf" TargetMode="External"/><Relationship Id="rId67" Type="http://schemas.openxmlformats.org/officeDocument/2006/relationships/hyperlink" Target="https://ailibrary.s3.amazonaws.com/Stochastic+Games+-+Shapley.pdf" TargetMode="External"/><Relationship Id="rId116" Type="http://schemas.openxmlformats.org/officeDocument/2006/relationships/hyperlink" Target="https://arxiv.org/abs/1908.08530" TargetMode="External"/><Relationship Id="rId137" Type="http://schemas.openxmlformats.org/officeDocument/2006/relationships/hyperlink" Target="https://ailibrary.s3.amazonaws.com/Marvin+Minsky%2C+Seymour+Papert+-+Perceptrons_+An+introduction+to+computational+geometry-MIT+Press+(1969).djvu" TargetMode="External"/><Relationship Id="rId158" Type="http://schemas.openxmlformats.org/officeDocument/2006/relationships/hyperlink" Target="https://dl.acm.org/doi/pdf/10.5555/176313.176316" TargetMode="External"/><Relationship Id="rId20" Type="http://schemas.openxmlformats.org/officeDocument/2006/relationships/hyperlink" Target="https://ailibrary.s3.amazonaws.com/Adaptation+in+Natural+and+Artificial+Systems+-+An+Introductory+Analysis+with+Applications+to+Biology%2C+Control%2C+and+Artificial+Intelligence+-+John+H.+Holland+-+The+MIT+Press+(1992).pdf" TargetMode="External"/><Relationship Id="rId41" Type="http://schemas.openxmlformats.org/officeDocument/2006/relationships/hyperlink" Target="https://ailibrary.s3.amazonaws.com/Intriguing+properties+of+Neural+Networks.pdf" TargetMode="External"/><Relationship Id="rId62" Type="http://schemas.openxmlformats.org/officeDocument/2006/relationships/hyperlink" Target="https://www.deeplearningbook.org/" TargetMode="External"/><Relationship Id="rId83" Type="http://schemas.openxmlformats.org/officeDocument/2006/relationships/hyperlink" Target="https://ailibrary.s3.amazonaws.com/What+is+the+best+multi-stage+architecture+for+object+recognition+-+Jarrett+ICCV+2009.pdf" TargetMode="External"/><Relationship Id="rId88" Type="http://schemas.openxmlformats.org/officeDocument/2006/relationships/hyperlink" Target="https://ailibrary.s3.amazonaws.com/Convolutional+Networks+and+Applications+in+Vision+-+LeCun+2010.pdf" TargetMode="External"/><Relationship Id="rId111" Type="http://schemas.openxmlformats.org/officeDocument/2006/relationships/hyperlink" Target="https://arxiv.org/abs/2210.10760" TargetMode="External"/><Relationship Id="rId132" Type="http://schemas.openxmlformats.org/officeDocument/2006/relationships/hyperlink" Target="https://arxiv.org/abs/2212.10560" TargetMode="External"/><Relationship Id="rId153" Type="http://schemas.openxmlformats.org/officeDocument/2006/relationships/hyperlink" Target="https://arxiv.org/abs/1808.04444" TargetMode="External"/><Relationship Id="rId174" Type="http://schemas.openxmlformats.org/officeDocument/2006/relationships/hyperlink" Target="https://aclanthology.org/P17-1147.pdf" TargetMode="External"/><Relationship Id="rId179" Type="http://schemas.openxmlformats.org/officeDocument/2006/relationships/hyperlink" Target="https://arxiv.org/abs/1708.00107" TargetMode="External"/><Relationship Id="rId195" Type="http://schemas.openxmlformats.org/officeDocument/2006/relationships/hyperlink" Target="https://arxiv.org/abs/2006.11239" TargetMode="External"/><Relationship Id="rId209" Type="http://schemas.openxmlformats.org/officeDocument/2006/relationships/hyperlink" Target="https://arxiv.org/pdf/1802.03981.pdf" TargetMode="External"/><Relationship Id="rId190" Type="http://schemas.openxmlformats.org/officeDocument/2006/relationships/hyperlink" Target="https://ailibrary.s3.amazonaws.com/Intelligent+Machinery+-+a+Heretical+Theory+-+Turing+1951.pdf" TargetMode="External"/><Relationship Id="rId204" Type="http://schemas.openxmlformats.org/officeDocument/2006/relationships/hyperlink" Target="https://d4mucfpksywv.cloudfront.net/better-language-models/language_models_are_unsupervised_multitask_learners.pdf" TargetMode="External"/><Relationship Id="rId220" Type="http://schemas.openxmlformats.org/officeDocument/2006/relationships/hyperlink" Target="https://arxiv.org/abs/1808.07042" TargetMode="External"/><Relationship Id="rId225" Type="http://schemas.openxmlformats.org/officeDocument/2006/relationships/hyperlink" Target="https://arxiv.org/abs/2405.05967" TargetMode="External"/><Relationship Id="rId15" Type="http://schemas.openxmlformats.org/officeDocument/2006/relationships/hyperlink" Target="https://ailibrary.s3.amazonaws.com/Learning+Representations+by+Back-Propagating+Errors+-+Rumelhart%2C+Hinton%2C+Williams.pdf" TargetMode="External"/><Relationship Id="rId36" Type="http://schemas.openxmlformats.org/officeDocument/2006/relationships/hyperlink" Target="https://ailibrary.s3.amazonaws.com/Deep+learning+via+Hessian-free+optimization+-+Martens.pdf" TargetMode="External"/><Relationship Id="rId57" Type="http://schemas.openxmlformats.org/officeDocument/2006/relationships/hyperlink" Target="http://proceedings.mlr.press/v37/bachman15.pdf" TargetMode="External"/><Relationship Id="rId106" Type="http://schemas.openxmlformats.org/officeDocument/2006/relationships/hyperlink" Target="https://arxiv.org/abs/2306.04757" TargetMode="External"/><Relationship Id="rId127" Type="http://schemas.openxmlformats.org/officeDocument/2006/relationships/hyperlink" Target="https://arxiv.org/abs/2203.02155" TargetMode="External"/><Relationship Id="rId10" Type="http://schemas.openxmlformats.org/officeDocument/2006/relationships/hyperlink" Target="https://ailibrary.s3.amazonaws.com/Algorithm+AS+136+-+A+K-Means+Clustering+Algorithm+-+Hartigan.pdf" TargetMode="External"/><Relationship Id="rId31" Type="http://schemas.openxmlformats.org/officeDocument/2006/relationships/hyperlink" Target="https://ailibrary.s3.amazonaws.com/Visualizing+Data+using+t-SNE+-+van+der+Maaten%2C+Hinton+2008.pdf" TargetMode="External"/><Relationship Id="rId52" Type="http://schemas.openxmlformats.org/officeDocument/2006/relationships/hyperlink" Target="https://ailibrary.s3.amazonaws.com/TensorFlow+-+Large-Scale+Machine+Learning+on+Heterogeneous+Distributed+Systems.pdf" TargetMode="External"/><Relationship Id="rId73" Type="http://schemas.openxmlformats.org/officeDocument/2006/relationships/hyperlink" Target="https://arxiv.org/pdf/1102.0183.pdf" TargetMode="External"/><Relationship Id="rId78" Type="http://schemas.openxmlformats.org/officeDocument/2006/relationships/hyperlink" Target="https://ailibrary.s3.amazonaws.com/Neocognitron+-+Fukushima+1980.pdf" TargetMode="External"/><Relationship Id="rId94" Type="http://schemas.openxmlformats.org/officeDocument/2006/relationships/hyperlink" Target="https://www.aiweirdness.com/optimum-tic-tac-toe/" TargetMode="External"/><Relationship Id="rId99" Type="http://schemas.openxmlformats.org/officeDocument/2006/relationships/hyperlink" Target="https://arxiv.org/abs/2306.03082" TargetMode="External"/><Relationship Id="rId101" Type="http://schemas.openxmlformats.org/officeDocument/2006/relationships/hyperlink" Target="https://arxiv.org/abs/2305.10601" TargetMode="External"/><Relationship Id="rId122" Type="http://schemas.openxmlformats.org/officeDocument/2006/relationships/hyperlink" Target="https://arxiv.org/abs/2301.13688" TargetMode="External"/><Relationship Id="rId143" Type="http://schemas.openxmlformats.org/officeDocument/2006/relationships/hyperlink" Target="https://ailibrary.s3.amazonaws.com/A+general+RL+algorithm+that+masters+chess%2C+shogi+and+go+through+self-play+-+Silver+2018.pdf" TargetMode="External"/><Relationship Id="rId148" Type="http://schemas.openxmlformats.org/officeDocument/2006/relationships/hyperlink" Target="https://arxiv.org/abs/2305.07204" TargetMode="External"/><Relationship Id="rId164" Type="http://schemas.openxmlformats.org/officeDocument/2006/relationships/hyperlink" Target="https://arxiv.org/abs/1705.02364" TargetMode="External"/><Relationship Id="rId169" Type="http://schemas.openxmlformats.org/officeDocument/2006/relationships/hyperlink" Target="https://arxiv.org/abs/1609.04747" TargetMode="External"/><Relationship Id="rId185" Type="http://schemas.openxmlformats.org/officeDocument/2006/relationships/hyperlink" Target="https://arxiv.org/abs/1802.05365" TargetMode="External"/><Relationship Id="rId4" Type="http://schemas.openxmlformats.org/officeDocument/2006/relationships/hyperlink" Target="https://ailibrary.s3.amazonaws.com/Outrageously+Large+Neural+Networks+-+The+Sparsely-Gated+Mixture-of-Experts+Layer.pdf" TargetMode="External"/><Relationship Id="rId9" Type="http://schemas.openxmlformats.org/officeDocument/2006/relationships/hyperlink" Target="https://ailibrary.s3.amazonaws.com/Cognitron+-+A+Self-Organizing+Multilayered+Neural+Network+-+Fukushima+1975.pdf" TargetMode="External"/><Relationship Id="rId180" Type="http://schemas.openxmlformats.org/officeDocument/2006/relationships/hyperlink" Target="https://aclanthology.org/K16-1006.pdf" TargetMode="External"/><Relationship Id="rId210" Type="http://schemas.openxmlformats.org/officeDocument/2006/relationships/hyperlink" Target="https://arxiv.org/pdf/2403.20329.pdf" TargetMode="External"/><Relationship Id="rId215" Type="http://schemas.openxmlformats.org/officeDocument/2006/relationships/hyperlink" Target="https://arxiv.org/abs/2305.14314" TargetMode="External"/><Relationship Id="rId26" Type="http://schemas.openxmlformats.org/officeDocument/2006/relationships/hyperlink" Target="https://ailibrary.s3.amazonaws.com/Deep+Blue+-+Campbell%2C+Hoane%2C+Hsu.pdf" TargetMode="External"/><Relationship Id="rId47" Type="http://schemas.openxmlformats.org/officeDocument/2006/relationships/hyperlink" Target="https://arxiv.org/pdf/1409.0473.pdf" TargetMode="External"/><Relationship Id="rId68" Type="http://schemas.openxmlformats.org/officeDocument/2006/relationships/hyperlink" Target="https://ailibrary.s3.amazonaws.com/Lessons+from+the+Netflix+Prize+Challenge+-+Bell+and+Koren+2007.pdf" TargetMode="External"/><Relationship Id="rId89" Type="http://schemas.openxmlformats.org/officeDocument/2006/relationships/hyperlink" Target="https://web.eecs.umich.edu/~honglak/icml09-ConvolutionalDeepBeliefNetworks.pdf" TargetMode="External"/><Relationship Id="rId112" Type="http://schemas.openxmlformats.org/officeDocument/2006/relationships/hyperlink" Target="https://arxiv.org/abs/2110.02491" TargetMode="External"/><Relationship Id="rId133" Type="http://schemas.openxmlformats.org/officeDocument/2006/relationships/hyperlink" Target="https://arxiv.org/abs/2304.12244" TargetMode="External"/><Relationship Id="rId154" Type="http://schemas.openxmlformats.org/officeDocument/2006/relationships/hyperlink" Target="https://www.jmlr.org/papers/volume6/ando05a/ando05a.pdf" TargetMode="External"/><Relationship Id="rId175" Type="http://schemas.openxmlformats.org/officeDocument/2006/relationships/hyperlink" Target="https://arxiv.org/abs/1506.06726" TargetMode="External"/><Relationship Id="rId196" Type="http://schemas.openxmlformats.org/officeDocument/2006/relationships/hyperlink" Target="https://arxiv.org/abs/2112.07068" TargetMode="External"/><Relationship Id="rId200" Type="http://schemas.openxmlformats.org/officeDocument/2006/relationships/hyperlink" Target="https://arxiv.org/abs/2106.06103" TargetMode="External"/><Relationship Id="rId16" Type="http://schemas.openxmlformats.org/officeDocument/2006/relationships/hyperlink" Target="https://ailibrary.s3.amazonaws.com/Parallel+Distributed+Processing+-+Explorations+in+the+Microstructure+of+Cognition+-+David+E.+Rumelhart%2C+Geoff+Hinton+James+L.+McClelland+(1986).pdf" TargetMode="External"/><Relationship Id="rId221" Type="http://schemas.openxmlformats.org/officeDocument/2006/relationships/hyperlink" Target="https://cdn.openai.com/research-covers/language-unsupervised/language_understanding_paper.pdf" TargetMode="External"/><Relationship Id="rId37" Type="http://schemas.openxmlformats.org/officeDocument/2006/relationships/hyperlink" Target="https://ailibrary.s3.amazonaws.com/ImageNet+Classification+with+Deep+Convolutional+Neural+Networks+-+Krizhevsky%2C+Sutskever%2C+Hinton+2017.pdf" TargetMode="External"/><Relationship Id="rId58" Type="http://schemas.openxmlformats.org/officeDocument/2006/relationships/hyperlink" Target="https://pierrelucbacon.com/bacon-2015-condnet.pdf" TargetMode="External"/><Relationship Id="rId79" Type="http://schemas.openxmlformats.org/officeDocument/2006/relationships/hyperlink" Target="https://ailibrary.s3.amazonaws.com/Attention+is+All+You+Need+-+Vaswani.pdf" TargetMode="External"/><Relationship Id="rId102" Type="http://schemas.openxmlformats.org/officeDocument/2006/relationships/hyperlink" Target="https://arxiv.org/abs/2303.12712" TargetMode="External"/><Relationship Id="rId123" Type="http://schemas.openxmlformats.org/officeDocument/2006/relationships/hyperlink" Target="https://arxiv.org/abs/2306.08568" TargetMode="External"/><Relationship Id="rId144" Type="http://schemas.openxmlformats.org/officeDocument/2006/relationships/hyperlink" Target="https://ailibrary.s3.amazonaws.com/Grandmaster+level+in+StarCraft+II+using+multi-agent+RL+-+Vinyals+2019.pdf" TargetMode="External"/><Relationship Id="rId90" Type="http://schemas.openxmlformats.org/officeDocument/2006/relationships/hyperlink" Target="https://ailibrary.s3.amazonaws.com/Taylor+expansion+of+the+accumulated+rounding+error+-+Linnainmaa+1976.pdf" TargetMode="External"/><Relationship Id="rId165" Type="http://schemas.openxmlformats.org/officeDocument/2006/relationships/hyperlink" Target="https://arxiv.org/abs/1511.01432" TargetMode="External"/><Relationship Id="rId186" Type="http://schemas.openxmlformats.org/officeDocument/2006/relationships/hyperlink" Target="https://ailibrary.s3.amazonaws.com/Reinforcement+Learning%2C+An+Introduction+-+Adaptive+Computation+and+Machine+Learning+-+Richard+S.+Sutton%2C+Andrew+G.+Barto+-+The+MIT+Press+(2018).pdf" TargetMode="External"/><Relationship Id="rId211" Type="http://schemas.openxmlformats.org/officeDocument/2006/relationships/hyperlink" Target="https://arxiv.org/pdf/2207.14255.pdf" TargetMode="External"/><Relationship Id="rId27" Type="http://schemas.openxmlformats.org/officeDocument/2006/relationships/hyperlink" Target="https://ailibrary.s3.amazonaws.com/MapReduce+-+Dean%2C+Ghemawat.pdf" TargetMode="External"/><Relationship Id="rId48" Type="http://schemas.openxmlformats.org/officeDocument/2006/relationships/hyperlink" Target="https://arxiv.org/pdf/1406.1078.pdf" TargetMode="External"/><Relationship Id="rId69" Type="http://schemas.openxmlformats.org/officeDocument/2006/relationships/hyperlink" Target="https://www.image-net.org/challenges/LSVRC/2010/index.php" TargetMode="External"/><Relationship Id="rId113" Type="http://schemas.openxmlformats.org/officeDocument/2006/relationships/hyperlink" Target="https://ailibrary.s3.amazonaws.com/Franc%CC%A7ois+Chollet+-+Deep+Learning+with+Python-Manning+Publications+(2021).pdf" TargetMode="External"/><Relationship Id="rId134" Type="http://schemas.openxmlformats.org/officeDocument/2006/relationships/hyperlink" Target="https://arxiv.org/abs/2303.10158" TargetMode="External"/><Relationship Id="rId80" Type="http://schemas.openxmlformats.org/officeDocument/2006/relationships/hyperlink" Target="https://ailibrary.s3.amazonaws.com/Caltech-256+Object+Recognition+Dataset+2007.pdf" TargetMode="External"/><Relationship Id="rId155" Type="http://schemas.openxmlformats.org/officeDocument/2006/relationships/hyperlink" Target="https://tac.nist.gov/publications/2009/additional.papers/RTE5_overview.proceedings.pdf" TargetMode="External"/><Relationship Id="rId176" Type="http://schemas.openxmlformats.org/officeDocument/2006/relationships/hyperlink" Target="https://arxiv.org/abs/1405.4053" TargetMode="External"/><Relationship Id="rId197" Type="http://schemas.openxmlformats.org/officeDocument/2006/relationships/hyperlink" Target="https://arxiv.org/abs/1703.06975" TargetMode="External"/><Relationship Id="rId201" Type="http://schemas.openxmlformats.org/officeDocument/2006/relationships/hyperlink" Target="https://arxiv.org/abs/2206.00364" TargetMode="External"/><Relationship Id="rId222" Type="http://schemas.openxmlformats.org/officeDocument/2006/relationships/hyperlink" Target="https://arxiv.org/abs/2309.03893" TargetMode="External"/><Relationship Id="rId17" Type="http://schemas.openxmlformats.org/officeDocument/2006/relationships/hyperlink" Target="https://ailibrary.s3.amazonaws.com/Backpropagation+Applied+to+Handwritten+Zip+Code+Recognition+-+LeCun+1989.pdf" TargetMode="External"/><Relationship Id="rId38" Type="http://schemas.openxmlformats.org/officeDocument/2006/relationships/hyperlink" Target="https://ailibrary.s3.amazonaws.com/Random+search+for+hyper-parameter+optimization.+Bergstra%2C+Bengio+2012.pdf" TargetMode="External"/><Relationship Id="rId59" Type="http://schemas.openxmlformats.org/officeDocument/2006/relationships/hyperlink" Target="https://papers.nips.cc/paper_files/paper/2008/file/1458e7509aa5f47ecfb92536e7dd1dc7-Paper.pdf" TargetMode="External"/><Relationship Id="rId103" Type="http://schemas.openxmlformats.org/officeDocument/2006/relationships/hyperlink" Target="https://arxiv.org/pdf/2306.01930.pdf" TargetMode="External"/><Relationship Id="rId124" Type="http://schemas.openxmlformats.org/officeDocument/2006/relationships/hyperlink" Target="https://arxiv.org/abs/2308.04052" TargetMode="External"/><Relationship Id="rId70" Type="http://schemas.openxmlformats.org/officeDocument/2006/relationships/hyperlink" Target="https://www.image-net.org/challenges/LSVRC/2012/index.php" TargetMode="External"/><Relationship Id="rId91" Type="http://schemas.openxmlformats.org/officeDocument/2006/relationships/hyperlink" Target="https://arxiv.org/abs/2307.08701" TargetMode="External"/><Relationship Id="rId145" Type="http://schemas.openxmlformats.org/officeDocument/2006/relationships/hyperlink" Target="https://arxiv.org/abs/1905.11946" TargetMode="External"/><Relationship Id="rId166" Type="http://schemas.openxmlformats.org/officeDocument/2006/relationships/hyperlink" Target="https://aclanthology.org/I05-5002.pdf" TargetMode="External"/><Relationship Id="rId187" Type="http://schemas.openxmlformats.org/officeDocument/2006/relationships/hyperlink" Target="https://ailibrary.s3.amazonaws.com/Foundations+of+Machine+Learning+-+Mehryar+Mohri%2C+Afshin+Rostamizadeh%2C+Ameet+Talwalkar+-+The+MIT+Press+(2018).pdf" TargetMode="External"/><Relationship Id="rId1" Type="http://schemas.openxmlformats.org/officeDocument/2006/relationships/hyperlink" Target="https://ailibrary.s3.amazonaws.com/Deep+Learning+-+MIT+(2017)+-+Ian+Goodfellow%2C+Yoshua+Bengio%2C+Aaron+Courville.pdf" TargetMode="External"/><Relationship Id="rId212" Type="http://schemas.openxmlformats.org/officeDocument/2006/relationships/hyperlink" Target="https://arxiv.org/abs/2305.13009" TargetMode="External"/><Relationship Id="rId28" Type="http://schemas.openxmlformats.org/officeDocument/2006/relationships/hyperlink" Target="https://ailibrary.s3.amazonaws.com/Pattern+Recognition+and+Machine+Learning+-+Christopher+M.+Bishop+(2006).pdf" TargetMode="External"/><Relationship Id="rId49" Type="http://schemas.openxmlformats.org/officeDocument/2006/relationships/hyperlink" Target="https://ailibrary.s3.amazonaws.com/Shalev-Shwartz+S.%2C+Ben-David+S.+-+Understanding+Machine+Learning_+From+Theory+to+Algorithms-CUP+(2014).pdf" TargetMode="External"/><Relationship Id="rId114" Type="http://schemas.openxmlformats.org/officeDocument/2006/relationships/hyperlink" Target="https://arxiv.org/abs/2102.12092" TargetMode="External"/><Relationship Id="rId60" Type="http://schemas.openxmlformats.org/officeDocument/2006/relationships/hyperlink" Target="https://iclr.cc/archive/www/lib/exe/fetch.php%3Fmedia=iclr2015:bahdanau-iclr2015.pdf" TargetMode="External"/><Relationship Id="rId81" Type="http://schemas.openxmlformats.org/officeDocument/2006/relationships/hyperlink" Target="https://arxiv.org/pdf/1512.03385.pdf" TargetMode="External"/><Relationship Id="rId135" Type="http://schemas.openxmlformats.org/officeDocument/2006/relationships/hyperlink" Target="https://arxiv.org/abs/2306.05685" TargetMode="External"/><Relationship Id="rId156" Type="http://schemas.openxmlformats.org/officeDocument/2006/relationships/hyperlink" Target="https://aclanthology.org/W06-1615.pdf" TargetMode="External"/><Relationship Id="rId177" Type="http://schemas.openxmlformats.org/officeDocument/2006/relationships/hyperlink" Target="https://cdn.aaai.org/ocs/4492/4492-21843-1-PB.pdf" TargetMode="External"/><Relationship Id="rId198" Type="http://schemas.openxmlformats.org/officeDocument/2006/relationships/hyperlink" Target="https://arxiv.org/abs/1809.11096" TargetMode="External"/><Relationship Id="rId202" Type="http://schemas.openxmlformats.org/officeDocument/2006/relationships/hyperlink" Target="https://arxiv.org/abs/2312.02696" TargetMode="External"/><Relationship Id="rId223" Type="http://schemas.openxmlformats.org/officeDocument/2006/relationships/hyperlink" Target="https://arxiv.org/abs/2308.16512" TargetMode="External"/><Relationship Id="rId18" Type="http://schemas.openxmlformats.org/officeDocument/2006/relationships/hyperlink" Target="https://ailibrary.s3.amazonaws.com/On+the+approximate+realization+of+continuous+mappings+by+neural+networks+-+Funahashi+1989.pdf" TargetMode="External"/><Relationship Id="rId39" Type="http://schemas.openxmlformats.org/officeDocument/2006/relationships/hyperlink" Target="https://ailibrary.s3.amazonaws.com/Distributed+Representations+of+Words+and+Phrases+and+Their+Compositionality+-+Mikolov%2C+2013.pdf" TargetMode="External"/><Relationship Id="rId50" Type="http://schemas.openxmlformats.org/officeDocument/2006/relationships/hyperlink" Target="https://ailibrary.s3.amazonaws.com/Deep+Learning+in+Neural+Networks+-+Schmidhuber+2015.pdf" TargetMode="External"/><Relationship Id="rId104" Type="http://schemas.openxmlformats.org/officeDocument/2006/relationships/hyperlink" Target="https://arxiv.org/abs/2305.02424" TargetMode="External"/><Relationship Id="rId125" Type="http://schemas.openxmlformats.org/officeDocument/2006/relationships/hyperlink" Target="https://arxiv.org/abs/2110.03613" TargetMode="External"/><Relationship Id="rId146" Type="http://schemas.openxmlformats.org/officeDocument/2006/relationships/hyperlink" Target="https://ailibrary.s3.amazonaws.com/Superhuman+AI+for+multiplayer+poker+-+Brown+Science+2019.pdf" TargetMode="External"/><Relationship Id="rId167" Type="http://schemas.openxmlformats.org/officeDocument/2006/relationships/hyperlink" Target="https://arxiv.org/abs/1801.07736" TargetMode="External"/><Relationship Id="rId188" Type="http://schemas.openxmlformats.org/officeDocument/2006/relationships/hyperlink" Target="https://ailibrary.s3.amazonaws.com/A+Proposal+for+the+Dartmouth+Summer+Research+Project+on+AI+-+McCarthy+1955.pdf" TargetMode="External"/><Relationship Id="rId71" Type="http://schemas.openxmlformats.org/officeDocument/2006/relationships/hyperlink" Target="https://link.springer.com/content/pdf/10.1023/a:1010933404324.pdf" TargetMode="External"/><Relationship Id="rId92" Type="http://schemas.openxmlformats.org/officeDocument/2006/relationships/hyperlink" Target="https://arxiv.org/abs/2305.10403" TargetMode="External"/><Relationship Id="rId213" Type="http://schemas.openxmlformats.org/officeDocument/2006/relationships/hyperlink" Target="https://arxiv.org/pdf/2204.06644.pdf" TargetMode="External"/><Relationship Id="rId2" Type="http://schemas.openxmlformats.org/officeDocument/2006/relationships/hyperlink" Target="https://ailibrary.s3.amazonaws.com/ImageNet+Classification+with+Deep+Convolutional+Neural+Networks+-+Krizhevsky%2C+Sutskever%2C+Hinton+2017.pdf" TargetMode="External"/><Relationship Id="rId29" Type="http://schemas.openxmlformats.org/officeDocument/2006/relationships/hyperlink" Target="https://ailibrary.s3.amazonaws.com/Reducing+the+dimensionality+of+data+with+neural+networks.+Hinton%2C+Salakhutdinov+-+2006.pdf" TargetMode="External"/><Relationship Id="rId40" Type="http://schemas.openxmlformats.org/officeDocument/2006/relationships/hyperlink" Target="https://ailibrary.s3.amazonaws.com/Efficient+Estimation+of+Word+Representations+in+Vector+Space.pdf" TargetMode="External"/><Relationship Id="rId115" Type="http://schemas.openxmlformats.org/officeDocument/2006/relationships/hyperlink" Target="https://arxiv.org/abs/2009.03300" TargetMode="External"/><Relationship Id="rId136" Type="http://schemas.openxmlformats.org/officeDocument/2006/relationships/hyperlink" Target="https://arxiv.org/abs/2305.11206" TargetMode="External"/><Relationship Id="rId157" Type="http://schemas.openxmlformats.org/officeDocument/2006/relationships/hyperlink" Target="https://arxiv.org/abs/1508.05326" TargetMode="External"/><Relationship Id="rId178" Type="http://schemas.openxmlformats.org/officeDocument/2006/relationships/hyperlink" Target="https://arxiv.org/abs/1803.02893" TargetMode="External"/><Relationship Id="rId61" Type="http://schemas.openxmlformats.org/officeDocument/2006/relationships/hyperlink" Target="https://arxiv.org/pdf/1409.0473.pdf" TargetMode="External"/><Relationship Id="rId82" Type="http://schemas.openxmlformats.org/officeDocument/2006/relationships/hyperlink" Target="https://arxiv.org/pdf/1207.0580.pdf" TargetMode="External"/><Relationship Id="rId199" Type="http://schemas.openxmlformats.org/officeDocument/2006/relationships/hyperlink" Target="https://arxiv.org/abs/2312.10794" TargetMode="External"/><Relationship Id="rId203" Type="http://schemas.openxmlformats.org/officeDocument/2006/relationships/hyperlink" Target="https://arxiv.org/pdf/2312.06837.pdf" TargetMode="External"/><Relationship Id="rId19" Type="http://schemas.openxmlformats.org/officeDocument/2006/relationships/hyperlink" Target="https://ailibrary.s3.amazonaws.com/Identification+and+Control+of+Dynamical+Systems+Using+Neural+Networks+-+Narendra+1990.pdf" TargetMode="External"/><Relationship Id="rId224" Type="http://schemas.openxmlformats.org/officeDocument/2006/relationships/hyperlink" Target="https://arxiv.org/abs/2210.16056" TargetMode="External"/><Relationship Id="rId30" Type="http://schemas.openxmlformats.org/officeDocument/2006/relationships/hyperlink" Target="https://ailibrary.s3.amazonaws.com/A+fast+learning+algorithm+for+deep+belief+nets.+Hinton%2C+Osindero%2C+Teh+-+2006.pdf" TargetMode="External"/><Relationship Id="rId105" Type="http://schemas.openxmlformats.org/officeDocument/2006/relationships/hyperlink" Target="https://arxiv.org/abs/2305.02423" TargetMode="External"/><Relationship Id="rId126" Type="http://schemas.openxmlformats.org/officeDocument/2006/relationships/hyperlink" Target="https://arxiv.org/abs/2303.08774" TargetMode="External"/><Relationship Id="rId147" Type="http://schemas.openxmlformats.org/officeDocument/2006/relationships/hyperlink" Target="https://arxiv.org/abs/2204.02311" TargetMode="External"/><Relationship Id="rId168" Type="http://schemas.openxmlformats.org/officeDocument/2006/relationships/hyperlink" Target="https://openreview.net/pdf?id=Bk0MRI5lg" TargetMode="External"/><Relationship Id="rId51" Type="http://schemas.openxmlformats.org/officeDocument/2006/relationships/hyperlink" Target="https://arxiv.org/pdf/1503.02531.pdf" TargetMode="External"/><Relationship Id="rId72" Type="http://schemas.openxmlformats.org/officeDocument/2006/relationships/hyperlink" Target="http://www.image-net.org/challenges" TargetMode="External"/><Relationship Id="rId93" Type="http://schemas.openxmlformats.org/officeDocument/2006/relationships/hyperlink" Target="https://arxiv.org/abs/2305.06424" TargetMode="External"/><Relationship Id="rId189" Type="http://schemas.openxmlformats.org/officeDocument/2006/relationships/hyperlink" Target="https://ailibrary.s3.amazonaws.com/Computing+Machinery+and+Intelligence+-+Turing+1950.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075635-FD2A-1D46-AC7E-DC70624EEAF4}">
  <dimension ref="A2:F13"/>
  <sheetViews>
    <sheetView zoomScale="210" zoomScaleNormal="210" workbookViewId="0"/>
  </sheetViews>
  <sheetFormatPr baseColWidth="10" defaultColWidth="11" defaultRowHeight="13"/>
  <cols>
    <col min="1" max="1" width="3.6640625" style="95" customWidth="1"/>
    <col min="2" max="2" width="16" style="95" customWidth="1"/>
    <col min="3" max="3" width="14.6640625" style="95" customWidth="1"/>
    <col min="4" max="4" width="11" style="95"/>
    <col min="5" max="5" width="21.6640625" style="95" customWidth="1"/>
    <col min="6" max="6" width="14" style="95" customWidth="1"/>
    <col min="7" max="16384" width="11" style="95"/>
  </cols>
  <sheetData>
    <row r="2" spans="1:6" s="97" customFormat="1" ht="18">
      <c r="C2" s="242" t="s">
        <v>6208</v>
      </c>
      <c r="F2" s="242" t="s">
        <v>6208</v>
      </c>
    </row>
    <row r="3" spans="1:6" s="97" customFormat="1" ht="18">
      <c r="B3" s="100" t="s">
        <v>4223</v>
      </c>
      <c r="C3" s="141">
        <v>45404</v>
      </c>
      <c r="E3" s="100" t="s">
        <v>14131</v>
      </c>
      <c r="F3" s="141">
        <v>45504</v>
      </c>
    </row>
    <row r="4" spans="1:6" s="97" customFormat="1" ht="18">
      <c r="B4" s="100" t="s">
        <v>14135</v>
      </c>
    </row>
    <row r="5" spans="1:6" s="97" customFormat="1" ht="18">
      <c r="B5" s="100" t="s">
        <v>3968</v>
      </c>
      <c r="C5" s="141">
        <v>45404</v>
      </c>
    </row>
    <row r="6" spans="1:6" s="97" customFormat="1" ht="18">
      <c r="B6" s="100" t="s">
        <v>4224</v>
      </c>
      <c r="C6" s="141">
        <v>45403</v>
      </c>
      <c r="E6" s="100" t="s">
        <v>4225</v>
      </c>
      <c r="F6" s="141">
        <v>45402</v>
      </c>
    </row>
    <row r="7" spans="1:6" s="97" customFormat="1" ht="18">
      <c r="B7" s="100" t="s">
        <v>3972</v>
      </c>
      <c r="C7" s="141">
        <v>45401</v>
      </c>
      <c r="E7" s="100" t="s">
        <v>14133</v>
      </c>
    </row>
    <row r="8" spans="1:6" s="97" customFormat="1" ht="18">
      <c r="E8" s="100" t="s">
        <v>14134</v>
      </c>
    </row>
    <row r="9" spans="1:6" s="97" customFormat="1" ht="18"/>
    <row r="10" spans="1:6" s="97" customFormat="1" ht="18">
      <c r="B10" s="100" t="s">
        <v>0</v>
      </c>
      <c r="C10" s="141">
        <v>45415</v>
      </c>
      <c r="E10" s="100" t="s">
        <v>14132</v>
      </c>
    </row>
    <row r="11" spans="1:6" ht="18">
      <c r="A11" s="50"/>
      <c r="B11" s="100" t="s">
        <v>4109</v>
      </c>
      <c r="C11" s="141">
        <v>45169</v>
      </c>
    </row>
    <row r="12" spans="1:6" ht="18">
      <c r="A12" s="50"/>
      <c r="B12" s="100" t="s">
        <v>782</v>
      </c>
      <c r="C12" s="141">
        <v>45327</v>
      </c>
    </row>
    <row r="13" spans="1:6" ht="16">
      <c r="A13" s="50"/>
      <c r="B13" s="50"/>
      <c r="C13" s="50"/>
    </row>
  </sheetData>
  <hyperlinks>
    <hyperlink ref="B3" location="Companies!A1" display="Companies" xr:uid="{B492CD14-87EE-8946-8D30-3C22D044802C}"/>
    <hyperlink ref="B5" location="Investors!A1" display="Investors" xr:uid="{45D318EA-841D-A546-9FF6-68D1D961E75A}"/>
    <hyperlink ref="B6" location="Glossary!A1" display="Glossary" xr:uid="{BA01D2EE-D045-4387-9297-B49C8ADC9D5C}"/>
    <hyperlink ref="E6" location="Papers!A1" display="Papers" xr:uid="{38EC657D-BE3A-0640-830C-E9F6B8F16708}"/>
    <hyperlink ref="B7" location="People!A1" display="People" xr:uid="{B48731ED-97B8-C84E-A37D-838293B6C250}"/>
    <hyperlink ref="B10" location="OpenAI!A1" display="OpenAI" xr:uid="{B3E6A18B-3157-D94E-8495-F25B6AFE9711}"/>
    <hyperlink ref="B11" location="DeepMind!A1" display="DeepMind" xr:uid="{41D17AEC-C019-CE44-9BC9-A6CA71C3A356}"/>
    <hyperlink ref="B12" location="Meta!A1" display="Meta" xr:uid="{732795D7-DF08-5A48-802E-8553A67B04F2}"/>
    <hyperlink ref="E3" location="Diffusion!A1" display="Diffusion Models" xr:uid="{5281C764-498C-4D5F-A7C0-F35556D1B2F6}"/>
    <hyperlink ref="E10" location="'EO Avoid List'!A1" display="EO Avoid List" xr:uid="{E1E53B30-C2AA-480F-9B2D-D143C9E1E05D}"/>
    <hyperlink ref="E7" location="arXiv!A1" display="arXiv" xr:uid="{262DA846-03D0-44C5-8138-FD3BCEF0AFB7}"/>
    <hyperlink ref="E8" location="'Top Papers'!A1" display="Top Papers" xr:uid="{1EB444A7-5921-4624-9574-94F9EE98720A}"/>
    <hyperlink ref="B4" location="'LLM Vendors'!A1" display="  LLM" xr:uid="{6BFF0F8A-1FF6-4DD4-AB60-1B5539A40221}"/>
  </hyperlinks>
  <pageMargins left="0.7" right="0.7" top="0.75" bottom="0.75" header="0.3" footer="0.3"/>
  <pageSetup orientation="portrait" horizontalDpi="0"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405371-74DD-1646-A148-1B3B34950E6B}">
  <dimension ref="A1:G11"/>
  <sheetViews>
    <sheetView workbookViewId="0">
      <pane xSplit="2" ySplit="2" topLeftCell="C3" activePane="bottomRight" state="frozen"/>
      <selection pane="topRight" activeCell="C1" sqref="C1"/>
      <selection pane="bottomLeft" activeCell="A3" sqref="A3"/>
      <selection pane="bottomRight" activeCell="C3" sqref="C3"/>
    </sheetView>
  </sheetViews>
  <sheetFormatPr baseColWidth="10" defaultColWidth="10.83203125" defaultRowHeight="16"/>
  <cols>
    <col min="1" max="1" width="5.33203125" style="50" bestFit="1" customWidth="1"/>
    <col min="2" max="2" width="13.5" style="50" customWidth="1"/>
    <col min="3" max="3" width="13.33203125" style="50" customWidth="1"/>
    <col min="4" max="16384" width="10.83203125" style="50"/>
  </cols>
  <sheetData>
    <row r="1" spans="1:7">
      <c r="A1" s="280" t="s">
        <v>1165</v>
      </c>
    </row>
    <row r="2" spans="1:7">
      <c r="B2" s="50" t="s">
        <v>3977</v>
      </c>
      <c r="C2" s="50" t="s">
        <v>3967</v>
      </c>
      <c r="D2" s="50" t="s">
        <v>7873</v>
      </c>
      <c r="E2" s="50" t="s">
        <v>7875</v>
      </c>
      <c r="F2" s="50" t="s">
        <v>7877</v>
      </c>
      <c r="G2" s="50" t="s">
        <v>964</v>
      </c>
    </row>
    <row r="3" spans="1:7">
      <c r="B3" s="50" t="s">
        <v>7871</v>
      </c>
      <c r="C3" s="50" t="s">
        <v>7872</v>
      </c>
      <c r="D3" s="50" t="s">
        <v>7874</v>
      </c>
      <c r="E3" s="50" t="s">
        <v>7876</v>
      </c>
      <c r="F3" s="50" t="s">
        <v>7876</v>
      </c>
      <c r="G3" s="50" t="s">
        <v>7878</v>
      </c>
    </row>
    <row r="4" spans="1:7">
      <c r="B4" s="50" t="s">
        <v>0</v>
      </c>
    </row>
    <row r="5" spans="1:7">
      <c r="B5" s="50" t="s">
        <v>7868</v>
      </c>
    </row>
    <row r="6" spans="1:7">
      <c r="B6" s="262" t="s">
        <v>7867</v>
      </c>
    </row>
    <row r="7" spans="1:7">
      <c r="B7" s="262" t="s">
        <v>7866</v>
      </c>
    </row>
    <row r="8" spans="1:7">
      <c r="B8" s="50" t="s">
        <v>1069</v>
      </c>
    </row>
    <row r="9" spans="1:7">
      <c r="B9" s="50" t="s">
        <v>7865</v>
      </c>
    </row>
    <row r="10" spans="1:7">
      <c r="B10" s="50" t="s">
        <v>7869</v>
      </c>
    </row>
    <row r="11" spans="1:7">
      <c r="B11" s="50" t="s">
        <v>964</v>
      </c>
    </row>
  </sheetData>
  <hyperlinks>
    <hyperlink ref="A1" location="Main!A1" display="Main" xr:uid="{73B841EF-1BBE-45B5-8FA4-1E7C3008C43B}"/>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7DF615-1123-7C4C-BC7A-9194D857A438}">
  <dimension ref="A1:K94"/>
  <sheetViews>
    <sheetView zoomScale="130" zoomScaleNormal="130" workbookViewId="0">
      <selection activeCell="D79" sqref="D79"/>
    </sheetView>
  </sheetViews>
  <sheetFormatPr baseColWidth="10" defaultColWidth="11" defaultRowHeight="13"/>
  <cols>
    <col min="1" max="1" width="5.33203125" style="263" bestFit="1" customWidth="1"/>
    <col min="2" max="2" width="11" style="263"/>
    <col min="3" max="3" width="16.5" style="263" customWidth="1"/>
    <col min="4" max="16384" width="11" style="263"/>
  </cols>
  <sheetData>
    <row r="1" spans="1:4">
      <c r="A1" s="25" t="s">
        <v>1165</v>
      </c>
    </row>
    <row r="2" spans="1:4">
      <c r="B2" s="263" t="s">
        <v>6233</v>
      </c>
      <c r="C2" s="263" t="s">
        <v>7861</v>
      </c>
      <c r="D2" s="263" t="s">
        <v>7862</v>
      </c>
    </row>
    <row r="3" spans="1:4">
      <c r="C3" s="263" t="s">
        <v>7863</v>
      </c>
    </row>
    <row r="4" spans="1:4">
      <c r="C4" s="263" t="s">
        <v>7864</v>
      </c>
    </row>
    <row r="5" spans="1:4">
      <c r="B5" s="263" t="s">
        <v>6229</v>
      </c>
    </row>
    <row r="6" spans="1:4">
      <c r="C6" s="263" t="s">
        <v>7870</v>
      </c>
    </row>
    <row r="8" spans="1:4">
      <c r="B8" s="269" t="s">
        <v>7948</v>
      </c>
    </row>
    <row r="10" spans="1:4">
      <c r="B10" s="269" t="s">
        <v>7964</v>
      </c>
      <c r="C10" s="263" t="s">
        <v>15216</v>
      </c>
    </row>
    <row r="13" spans="1:4">
      <c r="B13" s="269" t="s">
        <v>7991</v>
      </c>
      <c r="C13" s="263" t="s">
        <v>7992</v>
      </c>
    </row>
    <row r="14" spans="1:4">
      <c r="B14" s="455" t="s">
        <v>14136</v>
      </c>
    </row>
    <row r="15" spans="1:4">
      <c r="C15" s="142" t="s">
        <v>14137</v>
      </c>
    </row>
    <row r="16" spans="1:4">
      <c r="C16" s="263" t="s">
        <v>14138</v>
      </c>
    </row>
    <row r="18" spans="2:4">
      <c r="B18" s="455" t="s">
        <v>14139</v>
      </c>
    </row>
    <row r="19" spans="2:4">
      <c r="C19" s="142" t="s">
        <v>14140</v>
      </c>
    </row>
    <row r="20" spans="2:4">
      <c r="C20" s="263" t="s">
        <v>14141</v>
      </c>
    </row>
    <row r="22" spans="2:4">
      <c r="B22" s="489" t="s">
        <v>15217</v>
      </c>
    </row>
    <row r="25" spans="2:4">
      <c r="B25" s="455" t="s">
        <v>14144</v>
      </c>
    </row>
    <row r="26" spans="2:4">
      <c r="C26" s="142" t="s">
        <v>14153</v>
      </c>
    </row>
    <row r="27" spans="2:4">
      <c r="C27" s="455" t="s">
        <v>5666</v>
      </c>
      <c r="D27" s="263" t="s">
        <v>14145</v>
      </c>
    </row>
    <row r="28" spans="2:4">
      <c r="C28" s="455" t="s">
        <v>14146</v>
      </c>
    </row>
    <row r="29" spans="2:4">
      <c r="C29" s="455" t="s">
        <v>14147</v>
      </c>
    </row>
    <row r="30" spans="2:4">
      <c r="C30" s="455" t="s">
        <v>14148</v>
      </c>
    </row>
    <row r="31" spans="2:4">
      <c r="C31" s="455" t="s">
        <v>14149</v>
      </c>
    </row>
    <row r="32" spans="2:4">
      <c r="C32" s="455" t="s">
        <v>14150</v>
      </c>
    </row>
    <row r="33" spans="2:11">
      <c r="C33" s="455" t="s">
        <v>14151</v>
      </c>
    </row>
    <row r="34" spans="2:11">
      <c r="C34" s="455" t="s">
        <v>14152</v>
      </c>
    </row>
    <row r="36" spans="2:11">
      <c r="B36" s="474" t="s">
        <v>14932</v>
      </c>
    </row>
    <row r="37" spans="2:11">
      <c r="C37" s="42" t="s">
        <v>14924</v>
      </c>
      <c r="D37" s="160"/>
    </row>
    <row r="38" spans="2:11">
      <c r="C38" s="472" t="s">
        <v>5667</v>
      </c>
      <c r="D38" s="473" t="s">
        <v>14925</v>
      </c>
    </row>
    <row r="39" spans="2:11">
      <c r="C39" s="472" t="s">
        <v>5668</v>
      </c>
      <c r="D39" s="160"/>
    </row>
    <row r="40" spans="2:11">
      <c r="C40" s="472" t="s">
        <v>5666</v>
      </c>
      <c r="D40" s="160" t="s">
        <v>14926</v>
      </c>
    </row>
    <row r="41" spans="2:11">
      <c r="C41" s="472" t="s">
        <v>4201</v>
      </c>
      <c r="D41" s="473" t="s">
        <v>14931</v>
      </c>
    </row>
    <row r="43" spans="2:11">
      <c r="C43" s="110" t="s">
        <v>14935</v>
      </c>
      <c r="D43" s="278"/>
      <c r="H43" s="263" t="s">
        <v>14926</v>
      </c>
    </row>
    <row r="44" spans="2:11">
      <c r="C44" s="473" t="s">
        <v>5667</v>
      </c>
      <c r="D44" s="473" t="s">
        <v>14936</v>
      </c>
      <c r="K44" s="263" t="s">
        <v>15214</v>
      </c>
    </row>
    <row r="45" spans="2:11">
      <c r="C45" s="473" t="s">
        <v>5668</v>
      </c>
      <c r="D45" s="278">
        <v>182</v>
      </c>
    </row>
    <row r="46" spans="2:11">
      <c r="C46" s="473" t="s">
        <v>5666</v>
      </c>
      <c r="D46" s="278" t="s">
        <v>14934</v>
      </c>
    </row>
    <row r="47" spans="2:11">
      <c r="D47" s="263" t="s">
        <v>14937</v>
      </c>
    </row>
    <row r="49" spans="2:11">
      <c r="B49" s="474" t="s">
        <v>14954</v>
      </c>
    </row>
    <row r="50" spans="2:11">
      <c r="C50" s="42" t="s">
        <v>14953</v>
      </c>
      <c r="D50" s="193"/>
      <c r="K50" s="263" t="s">
        <v>15215</v>
      </c>
    </row>
    <row r="51" spans="2:11">
      <c r="C51" s="472" t="s">
        <v>5667</v>
      </c>
      <c r="D51" s="473" t="s">
        <v>14952</v>
      </c>
    </row>
    <row r="52" spans="2:11">
      <c r="C52" s="472" t="s">
        <v>5668</v>
      </c>
      <c r="D52" s="197">
        <v>538</v>
      </c>
    </row>
    <row r="53" spans="2:11">
      <c r="C53" s="472" t="s">
        <v>5666</v>
      </c>
      <c r="D53" s="101" t="s">
        <v>14951</v>
      </c>
    </row>
    <row r="55" spans="2:11">
      <c r="C55" s="110" t="s">
        <v>14943</v>
      </c>
      <c r="D55" s="278"/>
    </row>
    <row r="56" spans="2:11">
      <c r="C56" s="473" t="s">
        <v>5667</v>
      </c>
      <c r="D56" s="473" t="s">
        <v>14945</v>
      </c>
    </row>
    <row r="57" spans="2:11">
      <c r="C57" s="473" t="s">
        <v>5668</v>
      </c>
      <c r="D57" s="278">
        <v>23</v>
      </c>
    </row>
    <row r="58" spans="2:11">
      <c r="C58" s="473" t="s">
        <v>5666</v>
      </c>
      <c r="D58" s="278" t="s">
        <v>14944</v>
      </c>
    </row>
    <row r="59" spans="2:11">
      <c r="C59" s="160"/>
      <c r="D59" s="278"/>
    </row>
    <row r="60" spans="2:11">
      <c r="C60" s="110" t="s">
        <v>14949</v>
      </c>
      <c r="D60" s="278"/>
    </row>
    <row r="61" spans="2:11">
      <c r="C61" s="473" t="s">
        <v>5667</v>
      </c>
      <c r="D61" s="473" t="s">
        <v>14947</v>
      </c>
    </row>
    <row r="62" spans="2:11">
      <c r="C62" s="473" t="s">
        <v>5668</v>
      </c>
      <c r="D62" s="278">
        <v>302</v>
      </c>
    </row>
    <row r="63" spans="2:11">
      <c r="C63" s="473" t="s">
        <v>5666</v>
      </c>
      <c r="D63" s="278" t="s">
        <v>14948</v>
      </c>
    </row>
    <row r="65" spans="2:4">
      <c r="B65" s="474" t="s">
        <v>14959</v>
      </c>
    </row>
    <row r="66" spans="2:4">
      <c r="C66" s="477" t="s">
        <v>14956</v>
      </c>
      <c r="D66" s="193"/>
    </row>
    <row r="67" spans="2:4">
      <c r="C67" s="472" t="s">
        <v>5667</v>
      </c>
      <c r="D67" s="473" t="s">
        <v>14958</v>
      </c>
    </row>
    <row r="68" spans="2:4">
      <c r="C68" s="472" t="s">
        <v>5668</v>
      </c>
      <c r="D68" s="197">
        <v>1767</v>
      </c>
    </row>
    <row r="69" spans="2:4">
      <c r="C69" s="472" t="s">
        <v>5666</v>
      </c>
      <c r="D69" s="193" t="s">
        <v>14957</v>
      </c>
    </row>
    <row r="71" spans="2:4" ht="14">
      <c r="C71" s="477" t="s">
        <v>14962</v>
      </c>
      <c r="D71" s="144"/>
    </row>
    <row r="72" spans="2:4">
      <c r="C72" s="472" t="s">
        <v>5667</v>
      </c>
      <c r="D72" s="473" t="s">
        <v>14941</v>
      </c>
    </row>
    <row r="73" spans="2:4">
      <c r="C73" s="472" t="s">
        <v>5668</v>
      </c>
      <c r="D73" s="196">
        <v>6706</v>
      </c>
    </row>
    <row r="74" spans="2:4">
      <c r="C74" s="472" t="s">
        <v>5666</v>
      </c>
      <c r="D74" s="101" t="s">
        <v>14963</v>
      </c>
    </row>
    <row r="76" spans="2:4">
      <c r="B76" s="474" t="s">
        <v>15190</v>
      </c>
    </row>
    <row r="77" spans="2:4">
      <c r="B77" s="474"/>
      <c r="C77" s="474" t="s">
        <v>7864</v>
      </c>
    </row>
    <row r="78" spans="2:4">
      <c r="B78" s="474"/>
      <c r="C78" s="474" t="s">
        <v>15192</v>
      </c>
    </row>
    <row r="79" spans="2:4">
      <c r="B79" s="474"/>
    </row>
    <row r="80" spans="2:4">
      <c r="C80" s="474" t="s">
        <v>6229</v>
      </c>
    </row>
    <row r="81" spans="2:3">
      <c r="C81" s="474" t="s">
        <v>15191</v>
      </c>
    </row>
    <row r="83" spans="2:3">
      <c r="C83" s="263" t="s">
        <v>15205</v>
      </c>
    </row>
    <row r="86" spans="2:3">
      <c r="B86" s="263" t="s">
        <v>15366</v>
      </c>
    </row>
    <row r="89" spans="2:3">
      <c r="B89" s="142" t="s">
        <v>15459</v>
      </c>
    </row>
    <row r="90" spans="2:3">
      <c r="C90" s="142" t="s">
        <v>15460</v>
      </c>
    </row>
    <row r="91" spans="2:3">
      <c r="C91" s="263" t="s">
        <v>15461</v>
      </c>
    </row>
    <row r="93" spans="2:3">
      <c r="C93" s="142" t="s">
        <v>15462</v>
      </c>
    </row>
    <row r="94" spans="2:3">
      <c r="C94" s="502" t="s">
        <v>15463</v>
      </c>
    </row>
  </sheetData>
  <hyperlinks>
    <hyperlink ref="A1" location="Main!A1" display="Main" xr:uid="{3BDF293C-DF94-44F1-B33B-B6132DD0A4DB}"/>
  </hyperlink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380360-900A-BB40-A965-3DACAD163824}">
  <dimension ref="A1:N961"/>
  <sheetViews>
    <sheetView topLeftCell="A78" workbookViewId="0">
      <selection activeCell="R99" sqref="R99"/>
    </sheetView>
  </sheetViews>
  <sheetFormatPr baseColWidth="10" defaultColWidth="10.83203125" defaultRowHeight="16"/>
  <cols>
    <col min="1" max="1" width="5.6640625" style="50" bestFit="1" customWidth="1"/>
    <col min="2" max="2" width="14" style="50" customWidth="1"/>
    <col min="3" max="11" width="10.83203125" style="50"/>
    <col min="12" max="12" width="6.6640625" style="50" customWidth="1"/>
    <col min="13" max="13" width="22.1640625" style="50" customWidth="1"/>
    <col min="14" max="14" width="10.83203125" style="50" customWidth="1"/>
    <col min="15" max="16384" width="10.83203125" style="50"/>
  </cols>
  <sheetData>
    <row r="1" spans="1:4">
      <c r="A1" s="280" t="s">
        <v>1165</v>
      </c>
      <c r="C1" s="50" t="s">
        <v>15212</v>
      </c>
    </row>
    <row r="2" spans="1:4">
      <c r="A2" s="280"/>
      <c r="C2" s="50" t="s">
        <v>15203</v>
      </c>
    </row>
    <row r="3" spans="1:4">
      <c r="A3" s="280"/>
      <c r="C3" s="50" t="s">
        <v>15202</v>
      </c>
    </row>
    <row r="4" spans="1:4">
      <c r="A4" s="280"/>
      <c r="C4" s="50" t="s">
        <v>15201</v>
      </c>
    </row>
    <row r="5" spans="1:4">
      <c r="A5" s="280"/>
      <c r="C5" s="50" t="s">
        <v>15200</v>
      </c>
    </row>
    <row r="6" spans="1:4">
      <c r="A6" s="280"/>
      <c r="C6" s="50" t="s">
        <v>15199</v>
      </c>
    </row>
    <row r="7" spans="1:4">
      <c r="A7" s="280"/>
      <c r="C7" s="50" t="s">
        <v>15204</v>
      </c>
    </row>
    <row r="8" spans="1:4">
      <c r="A8" s="280"/>
      <c r="C8" s="488" t="s">
        <v>15197</v>
      </c>
    </row>
    <row r="9" spans="1:4">
      <c r="A9" s="280"/>
      <c r="C9" s="50" t="s">
        <v>15198</v>
      </c>
    </row>
    <row r="10" spans="1:4">
      <c r="A10" s="280"/>
    </row>
    <row r="11" spans="1:4">
      <c r="A11" s="280"/>
    </row>
    <row r="12" spans="1:4">
      <c r="A12" s="280"/>
    </row>
    <row r="13" spans="1:4">
      <c r="A13" s="280"/>
      <c r="B13" s="283">
        <v>45342</v>
      </c>
      <c r="C13" s="282" t="s">
        <v>8916</v>
      </c>
    </row>
    <row r="14" spans="1:4">
      <c r="A14" s="280"/>
      <c r="C14" s="50" t="s">
        <v>5667</v>
      </c>
      <c r="D14" s="50" t="s">
        <v>8917</v>
      </c>
    </row>
    <row r="15" spans="1:4">
      <c r="A15" s="280"/>
      <c r="C15" s="50" t="s">
        <v>5668</v>
      </c>
    </row>
    <row r="16" spans="1:4">
      <c r="A16" s="280"/>
      <c r="C16" s="50" t="s">
        <v>5666</v>
      </c>
      <c r="D16" s="50" t="s">
        <v>8918</v>
      </c>
    </row>
    <row r="17" spans="1:4">
      <c r="A17" s="280"/>
    </row>
    <row r="18" spans="1:4">
      <c r="B18" s="283">
        <v>45322</v>
      </c>
      <c r="C18" s="282" t="s">
        <v>8246</v>
      </c>
    </row>
    <row r="19" spans="1:4">
      <c r="B19" s="280"/>
      <c r="C19" s="50" t="s">
        <v>5667</v>
      </c>
      <c r="D19" s="50" t="s">
        <v>1088</v>
      </c>
    </row>
    <row r="20" spans="1:4">
      <c r="B20" s="280"/>
      <c r="C20" s="50" t="s">
        <v>5668</v>
      </c>
    </row>
    <row r="21" spans="1:4">
      <c r="B21" s="280"/>
      <c r="C21" s="50" t="s">
        <v>5666</v>
      </c>
      <c r="D21" s="280" t="s">
        <v>8247</v>
      </c>
    </row>
    <row r="22" spans="1:4">
      <c r="B22" s="280"/>
      <c r="C22" s="50" t="s">
        <v>8249</v>
      </c>
      <c r="D22" s="280" t="s">
        <v>8248</v>
      </c>
    </row>
    <row r="23" spans="1:4">
      <c r="B23" s="280"/>
    </row>
    <row r="24" spans="1:4">
      <c r="B24" s="283">
        <v>45321</v>
      </c>
      <c r="C24" s="282" t="s">
        <v>9032</v>
      </c>
    </row>
    <row r="25" spans="1:4">
      <c r="B25" s="280"/>
      <c r="C25" s="50" t="s">
        <v>5667</v>
      </c>
      <c r="D25" s="50" t="s">
        <v>9030</v>
      </c>
    </row>
    <row r="26" spans="1:4">
      <c r="B26" s="280"/>
      <c r="C26" s="50" t="s">
        <v>5668</v>
      </c>
    </row>
    <row r="27" spans="1:4">
      <c r="B27" s="280"/>
      <c r="C27" s="50" t="s">
        <v>5666</v>
      </c>
      <c r="D27" s="50" t="s">
        <v>9031</v>
      </c>
    </row>
    <row r="28" spans="1:4">
      <c r="B28" s="280"/>
    </row>
    <row r="29" spans="1:4">
      <c r="B29" s="283">
        <v>45314</v>
      </c>
      <c r="C29" s="282" t="s">
        <v>9086</v>
      </c>
    </row>
    <row r="30" spans="1:4">
      <c r="B30" s="280"/>
      <c r="C30" s="50" t="s">
        <v>5667</v>
      </c>
      <c r="D30" s="50" t="s">
        <v>9087</v>
      </c>
    </row>
    <row r="31" spans="1:4">
      <c r="B31" s="280"/>
      <c r="C31" s="50" t="s">
        <v>5668</v>
      </c>
    </row>
    <row r="32" spans="1:4">
      <c r="B32" s="280"/>
      <c r="C32" s="50" t="s">
        <v>5666</v>
      </c>
      <c r="D32" s="50" t="s">
        <v>9088</v>
      </c>
    </row>
    <row r="33" spans="2:4">
      <c r="B33" s="280"/>
    </row>
    <row r="34" spans="2:4">
      <c r="B34" s="283">
        <v>45310</v>
      </c>
      <c r="C34" s="282" t="s">
        <v>9100</v>
      </c>
    </row>
    <row r="35" spans="2:4">
      <c r="B35" s="280"/>
      <c r="C35" s="50" t="s">
        <v>5667</v>
      </c>
      <c r="D35" s="50" t="s">
        <v>9101</v>
      </c>
    </row>
    <row r="36" spans="2:4">
      <c r="B36" s="280"/>
      <c r="C36" s="50" t="s">
        <v>5668</v>
      </c>
    </row>
    <row r="37" spans="2:4">
      <c r="B37" s="280"/>
      <c r="C37" s="50" t="s">
        <v>5666</v>
      </c>
      <c r="D37" s="50" t="s">
        <v>9102</v>
      </c>
    </row>
    <row r="38" spans="2:4">
      <c r="B38" s="280"/>
    </row>
    <row r="39" spans="2:4">
      <c r="B39" s="283">
        <v>45296</v>
      </c>
      <c r="C39" s="282" t="s">
        <v>9005</v>
      </c>
    </row>
    <row r="40" spans="2:4">
      <c r="B40" s="280"/>
      <c r="C40" s="50" t="s">
        <v>5667</v>
      </c>
      <c r="D40" s="50" t="s">
        <v>9006</v>
      </c>
    </row>
    <row r="41" spans="2:4">
      <c r="B41" s="280"/>
      <c r="C41" s="50" t="s">
        <v>5668</v>
      </c>
    </row>
    <row r="42" spans="2:4">
      <c r="B42" s="280"/>
      <c r="C42" s="50" t="s">
        <v>5666</v>
      </c>
      <c r="D42" s="50" t="s">
        <v>9007</v>
      </c>
    </row>
    <row r="43" spans="2:4">
      <c r="B43" s="280"/>
    </row>
    <row r="44" spans="2:4">
      <c r="B44" s="283">
        <v>45296</v>
      </c>
      <c r="C44" s="282" t="s">
        <v>8045</v>
      </c>
    </row>
    <row r="45" spans="2:4">
      <c r="C45" s="50" t="s">
        <v>5667</v>
      </c>
      <c r="D45" s="50" t="s">
        <v>8062</v>
      </c>
    </row>
    <row r="46" spans="2:4">
      <c r="C46" s="50" t="s">
        <v>5668</v>
      </c>
    </row>
    <row r="47" spans="2:4">
      <c r="C47" s="50" t="s">
        <v>5666</v>
      </c>
      <c r="D47" s="280" t="s">
        <v>8063</v>
      </c>
    </row>
    <row r="49" spans="2:4">
      <c r="B49" s="283">
        <v>45296</v>
      </c>
      <c r="C49" s="282" t="s">
        <v>8047</v>
      </c>
    </row>
    <row r="50" spans="2:4">
      <c r="C50" s="50" t="s">
        <v>5667</v>
      </c>
      <c r="D50" s="50" t="s">
        <v>8060</v>
      </c>
    </row>
    <row r="51" spans="2:4">
      <c r="C51" s="50" t="s">
        <v>5668</v>
      </c>
    </row>
    <row r="52" spans="2:4">
      <c r="C52" s="50" t="s">
        <v>5666</v>
      </c>
      <c r="D52" s="280" t="s">
        <v>8061</v>
      </c>
    </row>
    <row r="54" spans="2:4">
      <c r="B54" s="283">
        <v>45271</v>
      </c>
      <c r="C54" s="282" t="s">
        <v>9082</v>
      </c>
    </row>
    <row r="55" spans="2:4">
      <c r="C55" s="50" t="s">
        <v>5667</v>
      </c>
      <c r="D55" s="50" t="s">
        <v>9083</v>
      </c>
    </row>
    <row r="56" spans="2:4">
      <c r="C56" s="50" t="s">
        <v>5668</v>
      </c>
    </row>
    <row r="57" spans="2:4">
      <c r="C57" s="50" t="s">
        <v>5666</v>
      </c>
    </row>
    <row r="59" spans="2:4">
      <c r="B59" s="283">
        <v>45256</v>
      </c>
      <c r="C59" s="282" t="s">
        <v>8273</v>
      </c>
    </row>
    <row r="60" spans="2:4">
      <c r="C60" s="50" t="s">
        <v>5667</v>
      </c>
      <c r="D60" s="50" t="s">
        <v>8274</v>
      </c>
    </row>
    <row r="61" spans="2:4">
      <c r="C61" s="50" t="s">
        <v>5668</v>
      </c>
    </row>
    <row r="62" spans="2:4">
      <c r="C62" s="50" t="s">
        <v>5666</v>
      </c>
    </row>
    <row r="64" spans="2:4">
      <c r="B64" s="283">
        <v>45610</v>
      </c>
      <c r="C64" s="282" t="s">
        <v>9077</v>
      </c>
    </row>
    <row r="65" spans="2:4">
      <c r="C65" s="50" t="s">
        <v>5667</v>
      </c>
      <c r="D65" s="50" t="s">
        <v>9080</v>
      </c>
    </row>
    <row r="66" spans="2:4">
      <c r="C66" s="50" t="s">
        <v>5668</v>
      </c>
    </row>
    <row r="67" spans="2:4">
      <c r="C67" s="50" t="s">
        <v>5666</v>
      </c>
      <c r="D67" s="50" t="s">
        <v>9081</v>
      </c>
    </row>
    <row r="69" spans="2:4">
      <c r="B69" s="283">
        <v>45222</v>
      </c>
      <c r="C69" s="282" t="s">
        <v>9059</v>
      </c>
    </row>
    <row r="70" spans="2:4">
      <c r="C70" s="50" t="s">
        <v>5667</v>
      </c>
      <c r="D70" s="50" t="s">
        <v>9130</v>
      </c>
    </row>
    <row r="71" spans="2:4">
      <c r="C71" s="50" t="s">
        <v>5668</v>
      </c>
    </row>
    <row r="72" spans="2:4">
      <c r="C72" s="50" t="s">
        <v>5666</v>
      </c>
      <c r="D72" s="50" t="s">
        <v>9060</v>
      </c>
    </row>
    <row r="74" spans="2:4">
      <c r="B74" s="283">
        <v>45211</v>
      </c>
      <c r="C74" s="282" t="s">
        <v>8239</v>
      </c>
    </row>
    <row r="75" spans="2:4">
      <c r="C75" s="50" t="s">
        <v>5667</v>
      </c>
      <c r="D75" s="50" t="s">
        <v>8238</v>
      </c>
    </row>
    <row r="76" spans="2:4">
      <c r="C76" s="50" t="s">
        <v>5668</v>
      </c>
    </row>
    <row r="77" spans="2:4">
      <c r="C77" s="50" t="s">
        <v>5666</v>
      </c>
      <c r="D77" s="44" t="s">
        <v>8237</v>
      </c>
    </row>
    <row r="79" spans="2:4">
      <c r="B79" s="283">
        <v>45190</v>
      </c>
      <c r="C79" s="282" t="s">
        <v>9036</v>
      </c>
    </row>
    <row r="80" spans="2:4">
      <c r="C80" s="50" t="s">
        <v>5667</v>
      </c>
      <c r="D80" s="50" t="s">
        <v>9037</v>
      </c>
    </row>
    <row r="81" spans="2:4">
      <c r="C81" s="50" t="s">
        <v>5668</v>
      </c>
    </row>
    <row r="82" spans="2:4">
      <c r="C82" s="50" t="s">
        <v>5666</v>
      </c>
      <c r="D82" s="50" t="s">
        <v>9038</v>
      </c>
    </row>
    <row r="84" spans="2:4">
      <c r="B84" s="283">
        <v>45178</v>
      </c>
      <c r="C84" s="282" t="s">
        <v>9057</v>
      </c>
    </row>
    <row r="85" spans="2:4">
      <c r="C85" s="50" t="s">
        <v>5667</v>
      </c>
      <c r="D85" s="50" t="s">
        <v>8274</v>
      </c>
    </row>
    <row r="86" spans="2:4">
      <c r="C86" s="50" t="s">
        <v>5668</v>
      </c>
    </row>
    <row r="87" spans="2:4">
      <c r="C87" s="50" t="s">
        <v>5666</v>
      </c>
      <c r="D87" s="50" t="s">
        <v>9058</v>
      </c>
    </row>
    <row r="89" spans="2:4">
      <c r="B89" s="283">
        <v>45152</v>
      </c>
      <c r="C89" s="282" t="s">
        <v>9008</v>
      </c>
    </row>
    <row r="90" spans="2:4">
      <c r="C90" s="50" t="s">
        <v>5667</v>
      </c>
      <c r="D90" s="50" t="s">
        <v>9010</v>
      </c>
    </row>
    <row r="91" spans="2:4">
      <c r="C91" s="50" t="s">
        <v>5668</v>
      </c>
    </row>
    <row r="92" spans="2:4">
      <c r="C92" s="50" t="s">
        <v>5666</v>
      </c>
      <c r="D92" s="50" t="s">
        <v>9009</v>
      </c>
    </row>
    <row r="94" spans="2:4">
      <c r="B94" s="283">
        <v>45138</v>
      </c>
      <c r="C94" s="282" t="s">
        <v>8052</v>
      </c>
    </row>
    <row r="95" spans="2:4">
      <c r="C95" s="50" t="s">
        <v>5667</v>
      </c>
      <c r="D95" s="50" t="s">
        <v>8059</v>
      </c>
    </row>
    <row r="96" spans="2:4">
      <c r="C96" s="50" t="s">
        <v>5668</v>
      </c>
    </row>
    <row r="97" spans="2:4">
      <c r="C97" s="50" t="s">
        <v>5666</v>
      </c>
      <c r="D97" s="280" t="s">
        <v>8053</v>
      </c>
    </row>
    <row r="99" spans="2:4">
      <c r="B99" s="283">
        <v>45133</v>
      </c>
      <c r="C99" s="282" t="s">
        <v>9105</v>
      </c>
    </row>
    <row r="100" spans="2:4">
      <c r="C100" s="50" t="s">
        <v>5667</v>
      </c>
      <c r="D100" s="50" t="s">
        <v>9106</v>
      </c>
    </row>
    <row r="101" spans="2:4">
      <c r="C101" s="50" t="s">
        <v>5668</v>
      </c>
    </row>
    <row r="102" spans="2:4">
      <c r="C102" s="50" t="s">
        <v>5666</v>
      </c>
      <c r="D102" s="50" t="s">
        <v>9107</v>
      </c>
    </row>
    <row r="104" spans="2:4">
      <c r="B104" s="283">
        <v>45115</v>
      </c>
      <c r="C104" s="282" t="s">
        <v>9021</v>
      </c>
    </row>
    <row r="105" spans="2:4">
      <c r="C105" s="50" t="s">
        <v>5667</v>
      </c>
      <c r="D105" s="50" t="s">
        <v>9022</v>
      </c>
    </row>
    <row r="106" spans="2:4">
      <c r="C106" s="50" t="s">
        <v>5668</v>
      </c>
    </row>
    <row r="107" spans="2:4">
      <c r="C107" s="50" t="s">
        <v>5666</v>
      </c>
      <c r="D107" s="50" t="s">
        <v>9023</v>
      </c>
    </row>
    <row r="109" spans="2:4">
      <c r="B109" s="283">
        <v>45102</v>
      </c>
      <c r="C109" s="282" t="s">
        <v>9051</v>
      </c>
    </row>
    <row r="110" spans="2:4">
      <c r="C110" s="50" t="s">
        <v>5667</v>
      </c>
      <c r="D110" s="50" t="s">
        <v>9052</v>
      </c>
    </row>
    <row r="111" spans="2:4">
      <c r="C111" s="50" t="s">
        <v>5668</v>
      </c>
    </row>
    <row r="112" spans="2:4">
      <c r="C112" s="50" t="s">
        <v>5666</v>
      </c>
      <c r="D112" s="50" t="s">
        <v>9053</v>
      </c>
    </row>
    <row r="114" spans="2:4">
      <c r="B114" s="283">
        <v>45099</v>
      </c>
      <c r="C114" s="282" t="s">
        <v>9097</v>
      </c>
    </row>
    <row r="115" spans="2:4">
      <c r="C115" s="50" t="s">
        <v>5667</v>
      </c>
      <c r="D115" s="50" t="s">
        <v>9098</v>
      </c>
    </row>
    <row r="116" spans="2:4">
      <c r="C116" s="50" t="s">
        <v>5668</v>
      </c>
    </row>
    <row r="117" spans="2:4">
      <c r="C117" s="50" t="s">
        <v>5666</v>
      </c>
      <c r="D117" s="50" t="s">
        <v>9099</v>
      </c>
    </row>
    <row r="119" spans="2:4">
      <c r="B119" s="283">
        <v>45092</v>
      </c>
      <c r="C119" s="282" t="s">
        <v>9126</v>
      </c>
    </row>
    <row r="120" spans="2:4">
      <c r="C120" s="50" t="s">
        <v>5667</v>
      </c>
      <c r="D120" s="50" t="s">
        <v>9122</v>
      </c>
    </row>
    <row r="121" spans="2:4">
      <c r="C121" s="50" t="s">
        <v>5668</v>
      </c>
    </row>
    <row r="122" spans="2:4">
      <c r="C122" s="50" t="s">
        <v>5666</v>
      </c>
      <c r="D122" s="50" t="s">
        <v>9127</v>
      </c>
    </row>
    <row r="124" spans="2:4">
      <c r="B124" s="283">
        <v>45077</v>
      </c>
      <c r="C124" s="282" t="s">
        <v>9123</v>
      </c>
    </row>
    <row r="125" spans="2:4">
      <c r="C125" s="50" t="s">
        <v>5667</v>
      </c>
      <c r="D125" s="50" t="s">
        <v>9124</v>
      </c>
    </row>
    <row r="126" spans="2:4">
      <c r="C126" s="50" t="s">
        <v>5668</v>
      </c>
    </row>
    <row r="127" spans="2:4">
      <c r="C127" s="50" t="s">
        <v>5666</v>
      </c>
      <c r="D127" s="50" t="s">
        <v>9125</v>
      </c>
    </row>
    <row r="129" spans="2:4">
      <c r="B129" s="283">
        <v>45076</v>
      </c>
      <c r="C129" s="282" t="s">
        <v>9017</v>
      </c>
    </row>
    <row r="130" spans="2:4">
      <c r="C130" s="50" t="s">
        <v>5667</v>
      </c>
      <c r="D130" s="50" t="s">
        <v>9018</v>
      </c>
    </row>
    <row r="131" spans="2:4">
      <c r="C131" s="50" t="s">
        <v>5668</v>
      </c>
    </row>
    <row r="132" spans="2:4">
      <c r="C132" s="50" t="s">
        <v>5666</v>
      </c>
      <c r="D132" s="50" t="s">
        <v>8265</v>
      </c>
    </row>
    <row r="134" spans="2:4">
      <c r="B134" s="283">
        <v>45075</v>
      </c>
      <c r="C134" s="282" t="s">
        <v>9054</v>
      </c>
    </row>
    <row r="135" spans="2:4">
      <c r="C135" s="50" t="s">
        <v>5667</v>
      </c>
      <c r="D135" s="50" t="s">
        <v>9055</v>
      </c>
    </row>
    <row r="136" spans="2:4">
      <c r="C136" s="50" t="s">
        <v>5668</v>
      </c>
    </row>
    <row r="137" spans="2:4">
      <c r="C137" s="50" t="s">
        <v>5666</v>
      </c>
      <c r="D137" s="50" t="s">
        <v>9056</v>
      </c>
    </row>
    <row r="139" spans="2:4">
      <c r="B139" s="283">
        <v>45071</v>
      </c>
      <c r="C139" s="282" t="s">
        <v>9033</v>
      </c>
    </row>
    <row r="140" spans="2:4">
      <c r="C140" s="50" t="s">
        <v>5667</v>
      </c>
      <c r="D140" s="50" t="s">
        <v>9034</v>
      </c>
    </row>
    <row r="141" spans="2:4">
      <c r="C141" s="50" t="s">
        <v>5668</v>
      </c>
    </row>
    <row r="142" spans="2:4">
      <c r="C142" s="50" t="s">
        <v>5666</v>
      </c>
      <c r="D142" s="50" t="s">
        <v>9035</v>
      </c>
    </row>
    <row r="144" spans="2:4">
      <c r="B144" s="283">
        <v>45069</v>
      </c>
      <c r="C144" s="282" t="s">
        <v>9092</v>
      </c>
    </row>
    <row r="145" spans="2:4">
      <c r="B145" s="283"/>
      <c r="C145" s="50" t="s">
        <v>5667</v>
      </c>
      <c r="D145" s="50" t="s">
        <v>8104</v>
      </c>
    </row>
    <row r="146" spans="2:4">
      <c r="C146" s="50" t="s">
        <v>5668</v>
      </c>
    </row>
    <row r="147" spans="2:4">
      <c r="C147" s="50" t="s">
        <v>5666</v>
      </c>
      <c r="D147" s="44" t="s">
        <v>8105</v>
      </c>
    </row>
    <row r="149" spans="2:4">
      <c r="B149" s="283">
        <v>45062</v>
      </c>
      <c r="C149" s="282" t="s">
        <v>9091</v>
      </c>
    </row>
    <row r="150" spans="2:4">
      <c r="C150" s="50" t="s">
        <v>5667</v>
      </c>
      <c r="D150" s="50" t="s">
        <v>9093</v>
      </c>
    </row>
    <row r="151" spans="2:4">
      <c r="C151" s="50" t="s">
        <v>5668</v>
      </c>
    </row>
    <row r="152" spans="2:4">
      <c r="C152" s="50" t="s">
        <v>5666</v>
      </c>
      <c r="D152" s="50" t="s">
        <v>9094</v>
      </c>
    </row>
    <row r="154" spans="2:4">
      <c r="B154" s="283">
        <v>45049</v>
      </c>
      <c r="C154" s="282" t="s">
        <v>9014</v>
      </c>
    </row>
    <row r="155" spans="2:4">
      <c r="B155" s="283"/>
      <c r="C155" s="50" t="s">
        <v>5667</v>
      </c>
      <c r="D155" s="50" t="s">
        <v>9015</v>
      </c>
    </row>
    <row r="156" spans="2:4">
      <c r="B156" s="283"/>
      <c r="C156" s="50" t="s">
        <v>5668</v>
      </c>
    </row>
    <row r="157" spans="2:4">
      <c r="C157" s="50" t="s">
        <v>5666</v>
      </c>
      <c r="D157" s="50" t="s">
        <v>9016</v>
      </c>
    </row>
    <row r="159" spans="2:4">
      <c r="B159" s="283">
        <v>45041</v>
      </c>
      <c r="C159" s="282" t="s">
        <v>9095</v>
      </c>
    </row>
    <row r="160" spans="2:4">
      <c r="B160" s="283"/>
      <c r="C160" s="50" t="s">
        <v>5667</v>
      </c>
      <c r="D160" s="50" t="s">
        <v>9055</v>
      </c>
    </row>
    <row r="161" spans="2:4">
      <c r="C161" s="50" t="s">
        <v>5668</v>
      </c>
    </row>
    <row r="162" spans="2:4">
      <c r="C162" s="50" t="s">
        <v>5666</v>
      </c>
      <c r="D162" s="50" t="s">
        <v>9096</v>
      </c>
    </row>
    <row r="164" spans="2:4">
      <c r="B164" s="283">
        <v>45040</v>
      </c>
      <c r="C164" s="282" t="s">
        <v>9011</v>
      </c>
    </row>
    <row r="165" spans="2:4">
      <c r="C165" s="50" t="s">
        <v>5667</v>
      </c>
      <c r="D165" s="50" t="s">
        <v>9012</v>
      </c>
    </row>
    <row r="166" spans="2:4">
      <c r="C166" s="50" t="s">
        <v>5668</v>
      </c>
    </row>
    <row r="167" spans="2:4">
      <c r="C167" s="50" t="s">
        <v>5666</v>
      </c>
      <c r="D167" s="50" t="s">
        <v>9013</v>
      </c>
    </row>
    <row r="169" spans="2:4">
      <c r="B169" s="283">
        <v>45021</v>
      </c>
      <c r="C169" s="282" t="s">
        <v>9019</v>
      </c>
    </row>
    <row r="170" spans="2:4">
      <c r="C170" s="50" t="s">
        <v>5667</v>
      </c>
      <c r="D170" s="50" t="s">
        <v>9010</v>
      </c>
    </row>
    <row r="171" spans="2:4">
      <c r="C171" s="50" t="s">
        <v>5668</v>
      </c>
    </row>
    <row r="172" spans="2:4">
      <c r="C172" s="50" t="s">
        <v>5666</v>
      </c>
      <c r="D172" s="50" t="s">
        <v>9020</v>
      </c>
    </row>
    <row r="174" spans="2:4">
      <c r="B174" s="283">
        <v>44993</v>
      </c>
      <c r="C174" s="282" t="s">
        <v>9024</v>
      </c>
    </row>
    <row r="175" spans="2:4">
      <c r="C175" s="50" t="s">
        <v>5667</v>
      </c>
      <c r="D175" s="50" t="s">
        <v>9026</v>
      </c>
    </row>
    <row r="176" spans="2:4">
      <c r="C176" s="50" t="s">
        <v>5668</v>
      </c>
    </row>
    <row r="177" spans="2:4">
      <c r="C177" s="50" t="s">
        <v>5666</v>
      </c>
      <c r="D177" s="280" t="s">
        <v>9025</v>
      </c>
    </row>
    <row r="179" spans="2:4">
      <c r="B179" s="283">
        <v>44992</v>
      </c>
      <c r="C179" s="282" t="s">
        <v>9027</v>
      </c>
    </row>
    <row r="180" spans="2:4">
      <c r="C180" s="50" t="s">
        <v>5667</v>
      </c>
      <c r="D180" s="50" t="s">
        <v>9029</v>
      </c>
    </row>
    <row r="181" spans="2:4">
      <c r="C181" s="50" t="s">
        <v>5668</v>
      </c>
    </row>
    <row r="182" spans="2:4">
      <c r="C182" s="50" t="s">
        <v>5666</v>
      </c>
      <c r="D182" s="50" t="s">
        <v>9028</v>
      </c>
    </row>
    <row r="184" spans="2:4">
      <c r="B184" s="283">
        <v>44991</v>
      </c>
      <c r="C184" s="282" t="s">
        <v>9039</v>
      </c>
    </row>
    <row r="185" spans="2:4">
      <c r="C185" s="50" t="s">
        <v>5667</v>
      </c>
      <c r="D185" s="50" t="s">
        <v>9041</v>
      </c>
    </row>
    <row r="186" spans="2:4">
      <c r="C186" s="50" t="s">
        <v>5668</v>
      </c>
    </row>
    <row r="187" spans="2:4">
      <c r="C187" s="50" t="s">
        <v>5666</v>
      </c>
      <c r="D187" s="50" t="s">
        <v>9040</v>
      </c>
    </row>
    <row r="189" spans="2:4">
      <c r="B189" s="283">
        <v>44964</v>
      </c>
      <c r="C189" s="282" t="s">
        <v>9044</v>
      </c>
    </row>
    <row r="190" spans="2:4">
      <c r="C190" s="50" t="s">
        <v>5667</v>
      </c>
      <c r="D190" s="50" t="s">
        <v>9043</v>
      </c>
    </row>
    <row r="191" spans="2:4">
      <c r="C191" s="50" t="s">
        <v>5668</v>
      </c>
    </row>
    <row r="192" spans="2:4">
      <c r="C192" s="50" t="s">
        <v>5666</v>
      </c>
      <c r="D192" s="50" t="s">
        <v>9042</v>
      </c>
    </row>
    <row r="194" spans="2:4">
      <c r="B194" s="283">
        <v>44956</v>
      </c>
      <c r="C194" s="282" t="s">
        <v>9045</v>
      </c>
    </row>
    <row r="195" spans="2:4">
      <c r="C195" s="50" t="s">
        <v>5667</v>
      </c>
      <c r="D195" s="50" t="s">
        <v>9046</v>
      </c>
    </row>
    <row r="196" spans="2:4">
      <c r="C196" s="50" t="s">
        <v>5668</v>
      </c>
    </row>
    <row r="197" spans="2:4">
      <c r="C197" s="50" t="s">
        <v>5666</v>
      </c>
      <c r="D197" s="50" t="s">
        <v>9047</v>
      </c>
    </row>
    <row r="199" spans="2:4">
      <c r="B199" s="283">
        <v>44956</v>
      </c>
      <c r="C199" s="282" t="s">
        <v>9062</v>
      </c>
    </row>
    <row r="200" spans="2:4">
      <c r="C200" s="50" t="s">
        <v>5667</v>
      </c>
      <c r="D200" s="50" t="s">
        <v>9055</v>
      </c>
    </row>
    <row r="201" spans="2:4">
      <c r="C201" s="50" t="s">
        <v>5668</v>
      </c>
    </row>
    <row r="202" spans="2:4">
      <c r="C202" s="50" t="s">
        <v>5666</v>
      </c>
      <c r="D202" s="50" t="s">
        <v>9061</v>
      </c>
    </row>
    <row r="204" spans="2:4">
      <c r="B204" s="283">
        <v>44956</v>
      </c>
      <c r="C204" s="282" t="s">
        <v>9063</v>
      </c>
    </row>
    <row r="205" spans="2:4">
      <c r="C205" s="50" t="s">
        <v>5667</v>
      </c>
      <c r="D205" s="50" t="s">
        <v>9065</v>
      </c>
    </row>
    <row r="206" spans="2:4">
      <c r="C206" s="50" t="s">
        <v>5668</v>
      </c>
    </row>
    <row r="207" spans="2:4">
      <c r="C207" s="50" t="s">
        <v>5666</v>
      </c>
      <c r="D207" s="50" t="s">
        <v>9064</v>
      </c>
    </row>
    <row r="209" spans="2:4">
      <c r="B209" s="283">
        <v>44952</v>
      </c>
      <c r="C209" s="282" t="s">
        <v>9048</v>
      </c>
    </row>
    <row r="210" spans="2:4">
      <c r="C210" s="50" t="s">
        <v>5667</v>
      </c>
      <c r="D210" s="50" t="s">
        <v>9049</v>
      </c>
    </row>
    <row r="211" spans="2:4">
      <c r="C211" s="50" t="s">
        <v>5668</v>
      </c>
    </row>
    <row r="212" spans="2:4">
      <c r="C212" s="50" t="s">
        <v>5666</v>
      </c>
      <c r="D212" s="50" t="s">
        <v>9050</v>
      </c>
    </row>
    <row r="214" spans="2:4">
      <c r="B214" s="283">
        <v>44931</v>
      </c>
      <c r="C214" s="282" t="s">
        <v>8050</v>
      </c>
    </row>
    <row r="215" spans="2:4">
      <c r="C215" s="50" t="s">
        <v>5667</v>
      </c>
      <c r="D215" s="50" t="s">
        <v>8057</v>
      </c>
    </row>
    <row r="216" spans="2:4">
      <c r="C216" s="50" t="s">
        <v>5668</v>
      </c>
    </row>
    <row r="217" spans="2:4">
      <c r="C217" s="50" t="s">
        <v>5666</v>
      </c>
      <c r="D217" s="280" t="s">
        <v>8051</v>
      </c>
    </row>
    <row r="219" spans="2:4">
      <c r="B219" s="283">
        <v>44887</v>
      </c>
      <c r="C219" s="282" t="s">
        <v>9066</v>
      </c>
    </row>
    <row r="220" spans="2:4">
      <c r="C220" s="50" t="s">
        <v>5667</v>
      </c>
      <c r="D220" s="50" t="s">
        <v>9068</v>
      </c>
    </row>
    <row r="221" spans="2:4">
      <c r="C221" s="50" t="s">
        <v>5668</v>
      </c>
    </row>
    <row r="222" spans="2:4">
      <c r="C222" s="50" t="s">
        <v>5666</v>
      </c>
      <c r="D222" s="50" t="s">
        <v>9067</v>
      </c>
    </row>
    <row r="224" spans="2:4">
      <c r="B224" s="283">
        <v>44859</v>
      </c>
      <c r="C224" s="282" t="s">
        <v>9120</v>
      </c>
    </row>
    <row r="225" spans="2:4">
      <c r="C225" s="50" t="s">
        <v>5667</v>
      </c>
      <c r="D225" s="50" t="s">
        <v>9122</v>
      </c>
    </row>
    <row r="226" spans="2:4">
      <c r="C226" s="50" t="s">
        <v>5668</v>
      </c>
    </row>
    <row r="227" spans="2:4">
      <c r="C227" s="50" t="s">
        <v>5666</v>
      </c>
      <c r="D227" s="50" t="s">
        <v>9121</v>
      </c>
    </row>
    <row r="229" spans="2:4">
      <c r="B229" s="283">
        <v>44799</v>
      </c>
      <c r="C229" s="282" t="s">
        <v>9128</v>
      </c>
    </row>
    <row r="230" spans="2:4">
      <c r="C230" s="50" t="s">
        <v>5667</v>
      </c>
      <c r="D230" s="50" t="s">
        <v>9041</v>
      </c>
    </row>
    <row r="231" spans="2:4">
      <c r="C231" s="50" t="s">
        <v>5668</v>
      </c>
    </row>
    <row r="232" spans="2:4">
      <c r="C232" s="50" t="s">
        <v>5666</v>
      </c>
      <c r="D232" s="50" t="s">
        <v>9129</v>
      </c>
    </row>
    <row r="234" spans="2:4">
      <c r="B234" s="283">
        <v>44762</v>
      </c>
      <c r="C234" s="282" t="s">
        <v>9069</v>
      </c>
    </row>
    <row r="235" spans="2:4">
      <c r="C235" s="50" t="s">
        <v>5667</v>
      </c>
      <c r="D235" s="50" t="s">
        <v>9070</v>
      </c>
    </row>
    <row r="236" spans="2:4">
      <c r="C236" s="50" t="s">
        <v>5668</v>
      </c>
    </row>
    <row r="237" spans="2:4">
      <c r="C237" s="50" t="s">
        <v>5666</v>
      </c>
      <c r="D237" s="50" t="s">
        <v>9071</v>
      </c>
    </row>
    <row r="239" spans="2:4">
      <c r="B239" s="283">
        <v>44671</v>
      </c>
      <c r="C239" s="282" t="s">
        <v>8920</v>
      </c>
    </row>
    <row r="240" spans="2:4">
      <c r="C240" s="50" t="s">
        <v>5667</v>
      </c>
      <c r="D240" s="50" t="s">
        <v>8922</v>
      </c>
    </row>
    <row r="241" spans="2:4">
      <c r="C241" s="50" t="s">
        <v>5668</v>
      </c>
    </row>
    <row r="242" spans="2:4">
      <c r="C242" s="50" t="s">
        <v>5666</v>
      </c>
      <c r="D242" s="50" t="s">
        <v>8921</v>
      </c>
    </row>
    <row r="244" spans="2:4">
      <c r="B244" s="283">
        <v>44650</v>
      </c>
      <c r="C244" s="282" t="s">
        <v>8211</v>
      </c>
    </row>
    <row r="245" spans="2:4">
      <c r="C245" s="50" t="s">
        <v>5667</v>
      </c>
      <c r="D245" s="50" t="s">
        <v>8212</v>
      </c>
    </row>
    <row r="246" spans="2:4">
      <c r="C246" s="50" t="s">
        <v>5668</v>
      </c>
    </row>
    <row r="247" spans="2:4">
      <c r="C247" s="50" t="s">
        <v>5666</v>
      </c>
      <c r="D247" s="50" t="s">
        <v>8213</v>
      </c>
    </row>
    <row r="249" spans="2:4">
      <c r="B249" s="283">
        <v>44649</v>
      </c>
      <c r="C249" s="282" t="s">
        <v>9408</v>
      </c>
    </row>
    <row r="250" spans="2:4">
      <c r="C250" s="50" t="s">
        <v>5667</v>
      </c>
      <c r="D250" s="50" t="s">
        <v>9409</v>
      </c>
    </row>
    <row r="251" spans="2:4">
      <c r="C251" s="50" t="s">
        <v>5668</v>
      </c>
    </row>
    <row r="252" spans="2:4">
      <c r="C252" s="50" t="s">
        <v>5666</v>
      </c>
      <c r="D252" s="50" t="s">
        <v>9410</v>
      </c>
    </row>
    <row r="254" spans="2:4">
      <c r="B254" s="283">
        <v>44551</v>
      </c>
      <c r="C254" s="282" t="s">
        <v>9405</v>
      </c>
    </row>
    <row r="255" spans="2:4">
      <c r="C255" s="50" t="s">
        <v>5667</v>
      </c>
      <c r="D255" s="50" t="s">
        <v>9406</v>
      </c>
    </row>
    <row r="256" spans="2:4">
      <c r="C256" s="50" t="s">
        <v>5668</v>
      </c>
    </row>
    <row r="257" spans="2:4">
      <c r="C257" s="50" t="s">
        <v>5666</v>
      </c>
      <c r="D257" s="50" t="s">
        <v>9407</v>
      </c>
    </row>
    <row r="259" spans="2:4">
      <c r="B259" s="283">
        <v>44503</v>
      </c>
      <c r="C259" s="282" t="s">
        <v>8913</v>
      </c>
    </row>
    <row r="260" spans="2:4">
      <c r="C260" s="50" t="s">
        <v>5667</v>
      </c>
      <c r="D260" s="50" t="s">
        <v>8915</v>
      </c>
    </row>
    <row r="261" spans="2:4">
      <c r="C261" s="50" t="s">
        <v>5668</v>
      </c>
    </row>
    <row r="262" spans="2:4">
      <c r="C262" s="50" t="s">
        <v>5666</v>
      </c>
      <c r="D262" s="50" t="s">
        <v>8914</v>
      </c>
    </row>
    <row r="264" spans="2:4">
      <c r="B264" s="283">
        <v>44452</v>
      </c>
      <c r="C264" s="282" t="s">
        <v>9113</v>
      </c>
    </row>
    <row r="265" spans="2:4">
      <c r="C265" s="50" t="s">
        <v>5667</v>
      </c>
      <c r="D265" s="50" t="s">
        <v>9114</v>
      </c>
    </row>
    <row r="266" spans="2:4">
      <c r="C266" s="50" t="s">
        <v>5668</v>
      </c>
    </row>
    <row r="267" spans="2:4">
      <c r="C267" s="50" t="s">
        <v>5666</v>
      </c>
      <c r="D267" s="50" t="s">
        <v>9115</v>
      </c>
    </row>
    <row r="269" spans="2:4">
      <c r="B269" s="283">
        <v>44361</v>
      </c>
      <c r="C269" s="282" t="s">
        <v>9116</v>
      </c>
    </row>
    <row r="270" spans="2:4">
      <c r="C270" s="50" t="s">
        <v>5667</v>
      </c>
      <c r="D270" s="50" t="s">
        <v>9118</v>
      </c>
    </row>
    <row r="271" spans="2:4">
      <c r="C271" s="50" t="s">
        <v>5668</v>
      </c>
    </row>
    <row r="272" spans="2:4">
      <c r="C272" s="50" t="s">
        <v>5666</v>
      </c>
      <c r="D272" s="50" t="s">
        <v>9117</v>
      </c>
    </row>
    <row r="274" spans="2:4">
      <c r="B274" s="283">
        <v>44329</v>
      </c>
      <c r="C274" s="282" t="s">
        <v>8076</v>
      </c>
    </row>
    <row r="275" spans="2:4">
      <c r="C275" s="50" t="s">
        <v>5667</v>
      </c>
      <c r="D275" s="50" t="s">
        <v>8078</v>
      </c>
    </row>
    <row r="276" spans="2:4">
      <c r="C276" s="50" t="s">
        <v>5668</v>
      </c>
    </row>
    <row r="277" spans="2:4">
      <c r="C277" s="50" t="s">
        <v>5666</v>
      </c>
      <c r="D277" s="280" t="s">
        <v>8077</v>
      </c>
    </row>
    <row r="279" spans="2:4">
      <c r="B279" s="283">
        <v>44259</v>
      </c>
      <c r="C279" s="282" t="s">
        <v>8048</v>
      </c>
    </row>
    <row r="280" spans="2:4">
      <c r="C280" s="50" t="s">
        <v>5667</v>
      </c>
      <c r="D280" s="50" t="s">
        <v>8058</v>
      </c>
    </row>
    <row r="281" spans="2:4">
      <c r="C281" s="50" t="s">
        <v>5668</v>
      </c>
    </row>
    <row r="282" spans="2:4">
      <c r="C282" s="50" t="s">
        <v>5666</v>
      </c>
      <c r="D282" s="280" t="s">
        <v>8049</v>
      </c>
    </row>
    <row r="284" spans="2:4">
      <c r="B284" s="283">
        <v>44252</v>
      </c>
      <c r="C284" s="282" t="s">
        <v>9411</v>
      </c>
    </row>
    <row r="285" spans="2:4">
      <c r="C285" s="50" t="s">
        <v>5667</v>
      </c>
      <c r="D285" s="50" t="s">
        <v>8058</v>
      </c>
    </row>
    <row r="286" spans="2:4">
      <c r="C286" s="50" t="s">
        <v>5668</v>
      </c>
    </row>
    <row r="287" spans="2:4">
      <c r="C287" s="50" t="s">
        <v>5666</v>
      </c>
      <c r="D287" s="280" t="s">
        <v>8049</v>
      </c>
    </row>
    <row r="289" spans="2:4">
      <c r="B289" s="283">
        <v>44133</v>
      </c>
      <c r="C289" s="282" t="s">
        <v>9394</v>
      </c>
    </row>
    <row r="290" spans="2:4">
      <c r="C290" s="50" t="s">
        <v>5667</v>
      </c>
      <c r="D290" s="50" t="s">
        <v>9390</v>
      </c>
    </row>
    <row r="291" spans="2:4">
      <c r="C291" s="50" t="s">
        <v>5668</v>
      </c>
    </row>
    <row r="292" spans="2:4">
      <c r="C292" s="50" t="s">
        <v>5666</v>
      </c>
      <c r="D292" s="50" t="s">
        <v>9395</v>
      </c>
    </row>
    <row r="294" spans="2:4">
      <c r="B294" s="283">
        <v>44126</v>
      </c>
      <c r="C294" s="282" t="s">
        <v>9111</v>
      </c>
    </row>
    <row r="295" spans="2:4">
      <c r="C295" s="50" t="s">
        <v>5667</v>
      </c>
      <c r="D295" s="50" t="s">
        <v>9109</v>
      </c>
    </row>
    <row r="296" spans="2:4">
      <c r="C296" s="50" t="s">
        <v>5668</v>
      </c>
    </row>
    <row r="297" spans="2:4">
      <c r="C297" s="50" t="s">
        <v>5666</v>
      </c>
      <c r="D297" s="50" t="s">
        <v>9112</v>
      </c>
    </row>
    <row r="299" spans="2:4">
      <c r="B299" s="283">
        <v>44116</v>
      </c>
      <c r="C299" s="282" t="s">
        <v>8189</v>
      </c>
    </row>
    <row r="300" spans="2:4">
      <c r="C300" s="50" t="s">
        <v>5667</v>
      </c>
      <c r="D300" s="50" t="s">
        <v>8191</v>
      </c>
    </row>
    <row r="301" spans="2:4">
      <c r="C301" s="50" t="s">
        <v>5668</v>
      </c>
      <c r="D301" s="50">
        <v>1234</v>
      </c>
    </row>
    <row r="302" spans="2:4">
      <c r="C302" s="50" t="s">
        <v>5666</v>
      </c>
      <c r="D302" s="50" t="s">
        <v>8190</v>
      </c>
    </row>
    <row r="304" spans="2:4">
      <c r="B304" s="283">
        <v>44012</v>
      </c>
      <c r="C304" s="282" t="s">
        <v>9402</v>
      </c>
    </row>
    <row r="305" spans="2:4">
      <c r="C305" s="50" t="s">
        <v>5667</v>
      </c>
      <c r="D305" s="50" t="s">
        <v>9403</v>
      </c>
    </row>
    <row r="306" spans="2:4">
      <c r="C306" s="50" t="s">
        <v>5668</v>
      </c>
    </row>
    <row r="307" spans="2:4">
      <c r="C307" s="50" t="s">
        <v>5666</v>
      </c>
      <c r="D307" s="280" t="s">
        <v>9404</v>
      </c>
    </row>
    <row r="309" spans="2:4">
      <c r="B309" s="283">
        <v>43990</v>
      </c>
      <c r="C309" s="282" t="s">
        <v>8079</v>
      </c>
    </row>
    <row r="310" spans="2:4">
      <c r="C310" s="50" t="s">
        <v>5667</v>
      </c>
      <c r="D310" s="50" t="s">
        <v>8084</v>
      </c>
    </row>
    <row r="311" spans="2:4">
      <c r="C311" s="50" t="s">
        <v>5668</v>
      </c>
    </row>
    <row r="312" spans="2:4">
      <c r="C312" s="50" t="s">
        <v>5666</v>
      </c>
      <c r="D312" s="280" t="s">
        <v>8080</v>
      </c>
    </row>
    <row r="314" spans="2:4">
      <c r="B314" s="283">
        <v>43973</v>
      </c>
      <c r="C314" s="282" t="s">
        <v>8070</v>
      </c>
    </row>
    <row r="315" spans="2:4">
      <c r="C315" s="50" t="s">
        <v>5667</v>
      </c>
      <c r="D315" s="50" t="s">
        <v>8072</v>
      </c>
    </row>
    <row r="316" spans="2:4">
      <c r="C316" s="50" t="s">
        <v>5668</v>
      </c>
    </row>
    <row r="317" spans="2:4">
      <c r="C317" s="50" t="s">
        <v>5666</v>
      </c>
      <c r="D317" s="280" t="s">
        <v>8071</v>
      </c>
    </row>
    <row r="319" spans="2:4">
      <c r="B319" s="283">
        <v>43969</v>
      </c>
      <c r="C319" s="282" t="s">
        <v>9392</v>
      </c>
    </row>
    <row r="320" spans="2:4">
      <c r="C320" s="50" t="s">
        <v>5667</v>
      </c>
      <c r="D320" s="50" t="s">
        <v>9109</v>
      </c>
    </row>
    <row r="321" spans="2:4">
      <c r="C321" s="50" t="s">
        <v>5668</v>
      </c>
    </row>
    <row r="322" spans="2:4">
      <c r="C322" s="50" t="s">
        <v>5666</v>
      </c>
      <c r="D322" s="280" t="s">
        <v>9393</v>
      </c>
    </row>
    <row r="324" spans="2:4">
      <c r="B324" s="283">
        <v>43967</v>
      </c>
      <c r="C324" s="282" t="s">
        <v>9396</v>
      </c>
    </row>
    <row r="325" spans="2:4">
      <c r="C325" s="50" t="s">
        <v>5667</v>
      </c>
      <c r="D325" s="50" t="s">
        <v>9398</v>
      </c>
    </row>
    <row r="326" spans="2:4">
      <c r="C326" s="50" t="s">
        <v>5668</v>
      </c>
    </row>
    <row r="327" spans="2:4">
      <c r="C327" s="50" t="s">
        <v>5666</v>
      </c>
      <c r="D327" s="280" t="s">
        <v>9397</v>
      </c>
    </row>
    <row r="329" spans="2:4">
      <c r="B329" s="283">
        <v>43967</v>
      </c>
      <c r="C329" s="282" t="s">
        <v>9399</v>
      </c>
    </row>
    <row r="330" spans="2:4">
      <c r="C330" s="50" t="s">
        <v>5667</v>
      </c>
      <c r="D330" s="50" t="s">
        <v>9400</v>
      </c>
    </row>
    <row r="331" spans="2:4">
      <c r="C331" s="50" t="s">
        <v>5668</v>
      </c>
    </row>
    <row r="332" spans="2:4">
      <c r="C332" s="50" t="s">
        <v>5666</v>
      </c>
      <c r="D332" s="280" t="s">
        <v>9401</v>
      </c>
    </row>
    <row r="334" spans="2:4">
      <c r="B334" s="283">
        <v>43963</v>
      </c>
      <c r="C334" s="282" t="s">
        <v>8073</v>
      </c>
    </row>
    <row r="335" spans="2:4">
      <c r="C335" s="50" t="s">
        <v>5667</v>
      </c>
      <c r="D335" s="50" t="s">
        <v>8074</v>
      </c>
    </row>
    <row r="336" spans="2:4">
      <c r="C336" s="50" t="s">
        <v>5668</v>
      </c>
    </row>
    <row r="337" spans="2:4">
      <c r="C337" s="50" t="s">
        <v>5666</v>
      </c>
      <c r="D337" s="280" t="s">
        <v>8075</v>
      </c>
    </row>
    <row r="338" spans="2:4">
      <c r="D338" s="280"/>
    </row>
    <row r="339" spans="2:4">
      <c r="B339" s="283">
        <v>43963</v>
      </c>
      <c r="C339" s="282" t="s">
        <v>8153</v>
      </c>
      <c r="D339" s="280"/>
    </row>
    <row r="340" spans="2:4">
      <c r="C340" s="50" t="s">
        <v>5667</v>
      </c>
      <c r="D340" s="320" t="s">
        <v>8155</v>
      </c>
    </row>
    <row r="341" spans="2:4">
      <c r="C341" s="50" t="s">
        <v>5668</v>
      </c>
      <c r="D341" s="280"/>
    </row>
    <row r="342" spans="2:4">
      <c r="C342" s="50" t="s">
        <v>5666</v>
      </c>
      <c r="D342" s="280" t="s">
        <v>8154</v>
      </c>
    </row>
    <row r="343" spans="2:4">
      <c r="D343" s="280"/>
    </row>
    <row r="344" spans="2:4">
      <c r="B344" s="283">
        <v>43877</v>
      </c>
      <c r="C344" s="282" t="s">
        <v>9108</v>
      </c>
    </row>
    <row r="345" spans="2:4">
      <c r="C345" s="50" t="s">
        <v>5667</v>
      </c>
      <c r="D345" s="50" t="s">
        <v>9109</v>
      </c>
    </row>
    <row r="346" spans="2:4">
      <c r="C346" s="50" t="s">
        <v>5668</v>
      </c>
    </row>
    <row r="347" spans="2:4">
      <c r="C347" s="50" t="s">
        <v>5666</v>
      </c>
      <c r="D347" s="50" t="s">
        <v>9110</v>
      </c>
    </row>
    <row r="349" spans="2:4">
      <c r="B349" s="283">
        <v>43865</v>
      </c>
      <c r="C349" s="282" t="s">
        <v>8150</v>
      </c>
    </row>
    <row r="350" spans="2:4">
      <c r="C350" s="50" t="s">
        <v>5667</v>
      </c>
      <c r="D350" s="50" t="s">
        <v>8151</v>
      </c>
    </row>
    <row r="351" spans="2:4">
      <c r="C351" s="50" t="s">
        <v>5668</v>
      </c>
    </row>
    <row r="352" spans="2:4">
      <c r="C352" s="50" t="s">
        <v>5666</v>
      </c>
      <c r="D352" s="50" t="s">
        <v>8152</v>
      </c>
    </row>
    <row r="354" spans="2:4">
      <c r="B354" s="50">
        <v>2020</v>
      </c>
      <c r="C354" s="282" t="s">
        <v>8183</v>
      </c>
    </row>
    <row r="355" spans="2:4">
      <c r="C355" s="50" t="s">
        <v>5667</v>
      </c>
      <c r="D355" s="50" t="s">
        <v>8184</v>
      </c>
    </row>
    <row r="356" spans="2:4">
      <c r="C356" s="50" t="s">
        <v>5668</v>
      </c>
    </row>
    <row r="357" spans="2:4">
      <c r="C357" s="50" t="s">
        <v>5666</v>
      </c>
    </row>
    <row r="359" spans="2:4">
      <c r="B359" s="283">
        <v>43802</v>
      </c>
      <c r="C359" s="282" t="s">
        <v>9389</v>
      </c>
    </row>
    <row r="360" spans="2:4">
      <c r="C360" s="50" t="s">
        <v>5667</v>
      </c>
      <c r="D360" s="50" t="s">
        <v>9390</v>
      </c>
    </row>
    <row r="361" spans="2:4">
      <c r="C361" s="50" t="s">
        <v>5668</v>
      </c>
    </row>
    <row r="362" spans="2:4">
      <c r="C362" s="50" t="s">
        <v>5666</v>
      </c>
      <c r="D362" s="50" t="s">
        <v>9391</v>
      </c>
    </row>
    <row r="364" spans="2:4">
      <c r="B364" s="283">
        <v>43761</v>
      </c>
      <c r="C364" s="282" t="s">
        <v>8156</v>
      </c>
    </row>
    <row r="365" spans="2:4">
      <c r="C365" s="50" t="s">
        <v>5667</v>
      </c>
      <c r="D365" s="50" t="s">
        <v>8157</v>
      </c>
    </row>
    <row r="366" spans="2:4">
      <c r="C366" s="50" t="s">
        <v>5668</v>
      </c>
    </row>
    <row r="367" spans="2:4">
      <c r="C367" s="50" t="s">
        <v>5666</v>
      </c>
      <c r="D367" s="280" t="s">
        <v>8158</v>
      </c>
    </row>
    <row r="369" spans="2:14">
      <c r="B369" s="283">
        <v>43746</v>
      </c>
      <c r="C369" s="282" t="s">
        <v>8186</v>
      </c>
    </row>
    <row r="370" spans="2:14">
      <c r="C370" s="50" t="s">
        <v>5667</v>
      </c>
      <c r="D370" s="50" t="s">
        <v>8188</v>
      </c>
    </row>
    <row r="371" spans="2:14">
      <c r="C371" s="50" t="s">
        <v>5668</v>
      </c>
      <c r="D371" s="50">
        <v>881</v>
      </c>
    </row>
    <row r="372" spans="2:14">
      <c r="C372" s="50" t="s">
        <v>5666</v>
      </c>
      <c r="D372" s="50" t="s">
        <v>8187</v>
      </c>
    </row>
    <row r="374" spans="2:14">
      <c r="B374" s="283">
        <v>43607</v>
      </c>
      <c r="C374" s="282" t="s">
        <v>8067</v>
      </c>
    </row>
    <row r="375" spans="2:14">
      <c r="B375" s="283"/>
      <c r="C375" s="50" t="s">
        <v>5667</v>
      </c>
      <c r="D375" s="50" t="s">
        <v>8068</v>
      </c>
      <c r="N375" s="284"/>
    </row>
    <row r="376" spans="2:14">
      <c r="B376" s="283"/>
      <c r="C376" s="50" t="s">
        <v>5668</v>
      </c>
      <c r="N376" s="262"/>
    </row>
    <row r="377" spans="2:14">
      <c r="C377" s="50" t="s">
        <v>5666</v>
      </c>
      <c r="D377" s="280" t="s">
        <v>8069</v>
      </c>
      <c r="N377" s="281"/>
    </row>
    <row r="378" spans="2:14">
      <c r="D378" s="280"/>
      <c r="N378" s="281"/>
    </row>
    <row r="379" spans="2:14">
      <c r="B379" s="283">
        <v>43587</v>
      </c>
      <c r="C379" s="282" t="s">
        <v>8141</v>
      </c>
      <c r="D379" s="280"/>
      <c r="N379" s="281"/>
    </row>
    <row r="380" spans="2:14">
      <c r="C380" s="50" t="s">
        <v>5667</v>
      </c>
      <c r="D380" s="50" t="s">
        <v>8143</v>
      </c>
      <c r="N380" s="281"/>
    </row>
    <row r="381" spans="2:14">
      <c r="C381" s="50" t="s">
        <v>5668</v>
      </c>
      <c r="D381" s="280"/>
      <c r="N381" s="281"/>
    </row>
    <row r="382" spans="2:14">
      <c r="C382" s="50" t="s">
        <v>5666</v>
      </c>
      <c r="D382" s="280" t="s">
        <v>8142</v>
      </c>
      <c r="N382" s="281"/>
    </row>
    <row r="383" spans="2:14">
      <c r="D383" s="280"/>
      <c r="N383" s="281"/>
    </row>
    <row r="384" spans="2:14">
      <c r="B384" s="283">
        <v>43467</v>
      </c>
      <c r="C384" s="282" t="s">
        <v>8177</v>
      </c>
      <c r="D384" s="280"/>
      <c r="N384" s="281"/>
    </row>
    <row r="385" spans="2:14">
      <c r="B385" s="283"/>
      <c r="C385" s="50" t="s">
        <v>5667</v>
      </c>
      <c r="D385" s="50" t="s">
        <v>8179</v>
      </c>
      <c r="N385" s="281"/>
    </row>
    <row r="386" spans="2:14">
      <c r="C386" s="50" t="s">
        <v>5668</v>
      </c>
      <c r="D386" s="280"/>
      <c r="N386" s="281"/>
    </row>
    <row r="387" spans="2:14">
      <c r="C387" s="50" t="s">
        <v>5666</v>
      </c>
      <c r="D387" s="280" t="s">
        <v>8178</v>
      </c>
      <c r="N387" s="281"/>
    </row>
    <row r="388" spans="2:14">
      <c r="N388" s="281"/>
    </row>
    <row r="389" spans="2:14">
      <c r="B389" s="283">
        <v>43428</v>
      </c>
      <c r="C389" s="282" t="s">
        <v>8097</v>
      </c>
      <c r="N389" s="281"/>
    </row>
    <row r="390" spans="2:14">
      <c r="C390" s="50" t="s">
        <v>5667</v>
      </c>
      <c r="D390" s="50" t="s">
        <v>8098</v>
      </c>
      <c r="N390" s="281"/>
    </row>
    <row r="391" spans="2:14">
      <c r="C391" s="50" t="s">
        <v>5668</v>
      </c>
      <c r="N391" s="281"/>
    </row>
    <row r="392" spans="2:14">
      <c r="C392" s="50" t="s">
        <v>5666</v>
      </c>
      <c r="D392" s="280" t="s">
        <v>8867</v>
      </c>
      <c r="N392" s="281"/>
    </row>
    <row r="393" spans="2:14">
      <c r="N393" s="281"/>
    </row>
    <row r="394" spans="2:14">
      <c r="B394" s="283">
        <v>43405</v>
      </c>
      <c r="C394" s="282" t="s">
        <v>9383</v>
      </c>
      <c r="N394" s="281"/>
    </row>
    <row r="395" spans="2:14">
      <c r="C395" s="50" t="s">
        <v>5667</v>
      </c>
      <c r="D395" s="50" t="s">
        <v>9384</v>
      </c>
      <c r="N395" s="281"/>
    </row>
    <row r="396" spans="2:14">
      <c r="C396" s="50" t="s">
        <v>5668</v>
      </c>
      <c r="N396" s="281"/>
    </row>
    <row r="397" spans="2:14">
      <c r="C397" s="50" t="s">
        <v>5666</v>
      </c>
      <c r="D397" s="280" t="s">
        <v>9385</v>
      </c>
      <c r="N397" s="281"/>
    </row>
    <row r="398" spans="2:14">
      <c r="N398" s="281"/>
    </row>
    <row r="399" spans="2:14">
      <c r="B399" s="283">
        <v>43404</v>
      </c>
      <c r="C399" s="282" t="s">
        <v>8089</v>
      </c>
    </row>
    <row r="400" spans="2:14">
      <c r="C400" s="50" t="s">
        <v>5667</v>
      </c>
      <c r="D400" s="50" t="s">
        <v>8091</v>
      </c>
    </row>
    <row r="401" spans="2:4">
      <c r="C401" s="50" t="s">
        <v>5668</v>
      </c>
    </row>
    <row r="402" spans="2:4">
      <c r="C402" s="50" t="s">
        <v>5666</v>
      </c>
      <c r="D402" s="50" t="s">
        <v>8092</v>
      </c>
    </row>
    <row r="404" spans="2:4">
      <c r="B404" s="283">
        <v>43404</v>
      </c>
      <c r="C404" s="282" t="s">
        <v>9346</v>
      </c>
    </row>
    <row r="405" spans="2:4">
      <c r="C405" s="50" t="s">
        <v>5667</v>
      </c>
      <c r="D405" s="50" t="s">
        <v>9347</v>
      </c>
    </row>
    <row r="406" spans="2:4">
      <c r="C406" s="50" t="s">
        <v>5668</v>
      </c>
    </row>
    <row r="407" spans="2:4">
      <c r="C407" s="50" t="s">
        <v>5666</v>
      </c>
      <c r="D407" s="280" t="s">
        <v>9348</v>
      </c>
    </row>
    <row r="408" spans="2:4">
      <c r="D408" s="280"/>
    </row>
    <row r="409" spans="2:4">
      <c r="B409" s="283">
        <v>43404</v>
      </c>
      <c r="C409" s="282" t="s">
        <v>9336</v>
      </c>
    </row>
    <row r="410" spans="2:4">
      <c r="C410" s="50" t="s">
        <v>5667</v>
      </c>
      <c r="D410" s="50" t="s">
        <v>9274</v>
      </c>
    </row>
    <row r="411" spans="2:4">
      <c r="C411" s="50" t="s">
        <v>5668</v>
      </c>
    </row>
    <row r="412" spans="2:4">
      <c r="C412" s="50" t="s">
        <v>5666</v>
      </c>
      <c r="D412" s="280" t="s">
        <v>9275</v>
      </c>
    </row>
    <row r="414" spans="2:4">
      <c r="B414" s="283">
        <v>43385</v>
      </c>
      <c r="C414" s="282" t="s">
        <v>8138</v>
      </c>
    </row>
    <row r="415" spans="2:4">
      <c r="C415" s="50" t="s">
        <v>5667</v>
      </c>
      <c r="D415" s="50" t="s">
        <v>8139</v>
      </c>
    </row>
    <row r="416" spans="2:4">
      <c r="C416" s="50" t="s">
        <v>5668</v>
      </c>
    </row>
    <row r="417" spans="2:4">
      <c r="C417" s="50" t="s">
        <v>5666</v>
      </c>
      <c r="D417" s="50" t="s">
        <v>8140</v>
      </c>
    </row>
    <row r="419" spans="2:4">
      <c r="B419" s="283">
        <v>43370</v>
      </c>
      <c r="C419" s="282" t="s">
        <v>8147</v>
      </c>
    </row>
    <row r="420" spans="2:4">
      <c r="C420" s="50" t="s">
        <v>5667</v>
      </c>
      <c r="D420" s="50" t="s">
        <v>8149</v>
      </c>
    </row>
    <row r="421" spans="2:4">
      <c r="C421" s="50" t="s">
        <v>5668</v>
      </c>
    </row>
    <row r="422" spans="2:4">
      <c r="C422" s="50" t="s">
        <v>5666</v>
      </c>
      <c r="D422" s="50" t="s">
        <v>8148</v>
      </c>
    </row>
    <row r="424" spans="2:4">
      <c r="B424" s="283">
        <v>43364</v>
      </c>
      <c r="C424" s="282" t="s">
        <v>9328</v>
      </c>
    </row>
    <row r="425" spans="2:4">
      <c r="C425" s="50" t="s">
        <v>5667</v>
      </c>
      <c r="D425" s="50" t="s">
        <v>9087</v>
      </c>
    </row>
    <row r="426" spans="2:4">
      <c r="C426" s="50" t="s">
        <v>5668</v>
      </c>
    </row>
    <row r="427" spans="2:4">
      <c r="C427" s="50" t="s">
        <v>5666</v>
      </c>
      <c r="D427" s="50" t="s">
        <v>9329</v>
      </c>
    </row>
    <row r="429" spans="2:4">
      <c r="B429" s="283">
        <v>43362</v>
      </c>
      <c r="C429" s="282" t="s">
        <v>8064</v>
      </c>
    </row>
    <row r="430" spans="2:4">
      <c r="C430" s="50" t="s">
        <v>5667</v>
      </c>
      <c r="D430" s="50" t="s">
        <v>8066</v>
      </c>
    </row>
    <row r="431" spans="2:4">
      <c r="C431" s="50" t="s">
        <v>5668</v>
      </c>
    </row>
    <row r="432" spans="2:4">
      <c r="C432" s="50" t="s">
        <v>5666</v>
      </c>
      <c r="D432" s="280" t="s">
        <v>8065</v>
      </c>
    </row>
    <row r="434" spans="2:4">
      <c r="B434" s="283">
        <v>43349</v>
      </c>
      <c r="C434" s="282" t="s">
        <v>9386</v>
      </c>
    </row>
    <row r="435" spans="2:4">
      <c r="C435" s="50" t="s">
        <v>5667</v>
      </c>
      <c r="D435" s="50" t="s">
        <v>9387</v>
      </c>
    </row>
    <row r="436" spans="2:4">
      <c r="C436" s="50" t="s">
        <v>5668</v>
      </c>
    </row>
    <row r="437" spans="2:4">
      <c r="C437" s="50" t="s">
        <v>5666</v>
      </c>
      <c r="D437" s="50" t="s">
        <v>9388</v>
      </c>
    </row>
    <row r="439" spans="2:4">
      <c r="B439" s="283">
        <v>43263</v>
      </c>
      <c r="C439" s="282" t="s">
        <v>8177</v>
      </c>
    </row>
    <row r="440" spans="2:4">
      <c r="C440" s="50" t="s">
        <v>5667</v>
      </c>
      <c r="D440" s="50" t="s">
        <v>8179</v>
      </c>
    </row>
    <row r="441" spans="2:4">
      <c r="C441" s="50" t="s">
        <v>5668</v>
      </c>
    </row>
    <row r="442" spans="2:4">
      <c r="C442" s="50" t="s">
        <v>5666</v>
      </c>
      <c r="D442" s="50" t="s">
        <v>8178</v>
      </c>
    </row>
    <row r="444" spans="2:4">
      <c r="B444" s="283">
        <v>43194</v>
      </c>
      <c r="C444" s="282" t="s">
        <v>9350</v>
      </c>
    </row>
    <row r="445" spans="2:4">
      <c r="C445" s="50" t="s">
        <v>5667</v>
      </c>
      <c r="D445" s="50" t="s">
        <v>9351</v>
      </c>
    </row>
    <row r="446" spans="2:4">
      <c r="C446" s="50" t="s">
        <v>5668</v>
      </c>
    </row>
    <row r="447" spans="2:4">
      <c r="C447" s="50" t="s">
        <v>5666</v>
      </c>
      <c r="D447" s="50" t="s">
        <v>9352</v>
      </c>
    </row>
    <row r="449" spans="2:4">
      <c r="B449" s="283">
        <v>43183</v>
      </c>
      <c r="C449" s="282" t="s">
        <v>8162</v>
      </c>
    </row>
    <row r="450" spans="2:4">
      <c r="C450" s="50" t="s">
        <v>5667</v>
      </c>
      <c r="D450" s="50" t="s">
        <v>8164</v>
      </c>
    </row>
    <row r="451" spans="2:4">
      <c r="C451" s="50" t="s">
        <v>5668</v>
      </c>
    </row>
    <row r="452" spans="2:4">
      <c r="C452" s="50" t="s">
        <v>5666</v>
      </c>
      <c r="D452" s="280" t="s">
        <v>8163</v>
      </c>
    </row>
    <row r="454" spans="2:4">
      <c r="B454" s="283">
        <v>43182</v>
      </c>
      <c r="C454" s="282" t="s">
        <v>8165</v>
      </c>
    </row>
    <row r="455" spans="2:4">
      <c r="C455" s="50" t="s">
        <v>5667</v>
      </c>
      <c r="D455" s="50" t="s">
        <v>8167</v>
      </c>
    </row>
    <row r="456" spans="2:4">
      <c r="C456" s="50" t="s">
        <v>5668</v>
      </c>
    </row>
    <row r="457" spans="2:4">
      <c r="C457" s="50" t="s">
        <v>5666</v>
      </c>
      <c r="D457" s="50" t="s">
        <v>8166</v>
      </c>
    </row>
    <row r="459" spans="2:4">
      <c r="B459" s="283">
        <v>43154</v>
      </c>
      <c r="C459" s="282" t="s">
        <v>9375</v>
      </c>
    </row>
    <row r="460" spans="2:4">
      <c r="C460" s="50" t="s">
        <v>5667</v>
      </c>
      <c r="D460" s="50" t="s">
        <v>9376</v>
      </c>
    </row>
    <row r="461" spans="2:4">
      <c r="C461" s="50" t="s">
        <v>5668</v>
      </c>
    </row>
    <row r="462" spans="2:4">
      <c r="C462" s="50" t="s">
        <v>5666</v>
      </c>
      <c r="D462" s="50" t="s">
        <v>9377</v>
      </c>
    </row>
    <row r="464" spans="2:4">
      <c r="B464" s="283">
        <v>43154</v>
      </c>
      <c r="C464" s="282" t="s">
        <v>8087</v>
      </c>
    </row>
    <row r="465" spans="2:4">
      <c r="C465" s="50" t="s">
        <v>5667</v>
      </c>
      <c r="D465" s="50" t="s">
        <v>8090</v>
      </c>
    </row>
    <row r="466" spans="2:4">
      <c r="C466" s="50" t="s">
        <v>5668</v>
      </c>
      <c r="D466" s="322">
        <v>908</v>
      </c>
    </row>
    <row r="467" spans="2:4">
      <c r="C467" s="50" t="s">
        <v>5666</v>
      </c>
      <c r="D467" s="50" t="s">
        <v>8088</v>
      </c>
    </row>
    <row r="469" spans="2:4">
      <c r="B469" s="283">
        <v>45337</v>
      </c>
      <c r="C469" s="282" t="s">
        <v>9358</v>
      </c>
    </row>
    <row r="470" spans="2:4">
      <c r="C470" s="50" t="s">
        <v>5667</v>
      </c>
      <c r="D470" s="50" t="s">
        <v>9359</v>
      </c>
    </row>
    <row r="471" spans="2:4">
      <c r="C471" s="50" t="s">
        <v>5668</v>
      </c>
    </row>
    <row r="472" spans="2:4">
      <c r="C472" s="50" t="s">
        <v>5666</v>
      </c>
      <c r="D472" s="50" t="s">
        <v>9360</v>
      </c>
    </row>
    <row r="474" spans="2:4">
      <c r="B474" s="283">
        <v>43144</v>
      </c>
      <c r="C474" s="282" t="s">
        <v>9320</v>
      </c>
    </row>
    <row r="475" spans="2:4">
      <c r="C475" s="50" t="s">
        <v>5667</v>
      </c>
      <c r="D475" s="50" t="s">
        <v>9321</v>
      </c>
    </row>
    <row r="476" spans="2:4">
      <c r="C476" s="50" t="s">
        <v>5668</v>
      </c>
    </row>
    <row r="477" spans="2:4">
      <c r="C477" s="50" t="s">
        <v>5666</v>
      </c>
      <c r="D477" s="50" t="s">
        <v>9322</v>
      </c>
    </row>
    <row r="479" spans="2:4">
      <c r="B479" s="283">
        <v>43130</v>
      </c>
      <c r="C479" s="282" t="s">
        <v>9380</v>
      </c>
    </row>
    <row r="480" spans="2:4">
      <c r="C480" s="50" t="s">
        <v>5667</v>
      </c>
      <c r="D480" s="50" t="s">
        <v>9381</v>
      </c>
    </row>
    <row r="481" spans="2:4">
      <c r="C481" s="50" t="s">
        <v>5668</v>
      </c>
    </row>
    <row r="482" spans="2:4">
      <c r="C482" s="50" t="s">
        <v>5666</v>
      </c>
      <c r="D482" s="50" t="s">
        <v>9382</v>
      </c>
    </row>
    <row r="484" spans="2:4">
      <c r="B484" s="283">
        <v>43085</v>
      </c>
      <c r="C484" s="282" t="s">
        <v>8054</v>
      </c>
    </row>
    <row r="485" spans="2:4">
      <c r="C485" s="50" t="s">
        <v>5667</v>
      </c>
      <c r="D485" s="50" t="s">
        <v>8056</v>
      </c>
    </row>
    <row r="486" spans="2:4">
      <c r="C486" s="50" t="s">
        <v>5668</v>
      </c>
      <c r="D486" s="321">
        <v>2831</v>
      </c>
    </row>
    <row r="487" spans="2:4">
      <c r="C487" s="50" t="s">
        <v>5666</v>
      </c>
      <c r="D487" s="280" t="s">
        <v>8055</v>
      </c>
    </row>
    <row r="488" spans="2:4">
      <c r="D488" s="280"/>
    </row>
    <row r="489" spans="2:4">
      <c r="B489" s="283">
        <v>43045</v>
      </c>
      <c r="C489" s="282" t="s">
        <v>9378</v>
      </c>
      <c r="D489" s="280"/>
    </row>
    <row r="490" spans="2:4">
      <c r="C490" s="50" t="s">
        <v>5667</v>
      </c>
      <c r="D490" s="50" t="s">
        <v>9274</v>
      </c>
    </row>
    <row r="491" spans="2:4">
      <c r="C491" s="50" t="s">
        <v>5668</v>
      </c>
      <c r="D491" s="280"/>
    </row>
    <row r="492" spans="2:4">
      <c r="C492" s="50" t="s">
        <v>5666</v>
      </c>
      <c r="D492" s="280" t="s">
        <v>9379</v>
      </c>
    </row>
    <row r="493" spans="2:4">
      <c r="D493" s="280"/>
    </row>
    <row r="494" spans="2:4">
      <c r="B494" s="283">
        <v>43044</v>
      </c>
      <c r="C494" s="282" t="s">
        <v>9372</v>
      </c>
      <c r="D494" s="280"/>
    </row>
    <row r="495" spans="2:4">
      <c r="C495" s="50" t="s">
        <v>5667</v>
      </c>
      <c r="D495" s="50" t="s">
        <v>9373</v>
      </c>
    </row>
    <row r="496" spans="2:4">
      <c r="C496" s="50" t="s">
        <v>5668</v>
      </c>
      <c r="D496" s="280"/>
    </row>
    <row r="497" spans="2:4">
      <c r="C497" s="50" t="s">
        <v>5666</v>
      </c>
      <c r="D497" s="280" t="s">
        <v>9374</v>
      </c>
    </row>
    <row r="498" spans="2:4">
      <c r="D498" s="280"/>
    </row>
    <row r="499" spans="2:4">
      <c r="B499" s="283">
        <v>43036</v>
      </c>
      <c r="C499" s="282" t="s">
        <v>8159</v>
      </c>
      <c r="D499" s="280"/>
    </row>
    <row r="500" spans="2:4">
      <c r="C500" s="50" t="s">
        <v>5667</v>
      </c>
      <c r="D500" s="50" t="s">
        <v>8161</v>
      </c>
    </row>
    <row r="501" spans="2:4">
      <c r="C501" s="50" t="s">
        <v>5668</v>
      </c>
      <c r="D501" s="280"/>
    </row>
    <row r="502" spans="2:4">
      <c r="C502" s="50" t="s">
        <v>5666</v>
      </c>
      <c r="D502" s="280" t="s">
        <v>8160</v>
      </c>
    </row>
    <row r="503" spans="2:4">
      <c r="D503" s="280"/>
    </row>
    <row r="504" spans="2:4">
      <c r="B504" s="283">
        <v>43036</v>
      </c>
      <c r="C504" s="282" t="s">
        <v>8174</v>
      </c>
      <c r="D504" s="280"/>
    </row>
    <row r="505" spans="2:4">
      <c r="C505" s="50" t="s">
        <v>5667</v>
      </c>
      <c r="D505" s="50" t="s">
        <v>8176</v>
      </c>
    </row>
    <row r="506" spans="2:4">
      <c r="C506" s="50" t="s">
        <v>5668</v>
      </c>
      <c r="D506" s="280"/>
    </row>
    <row r="507" spans="2:4">
      <c r="C507" s="50" t="s">
        <v>5666</v>
      </c>
      <c r="D507" s="280" t="s">
        <v>8175</v>
      </c>
    </row>
    <row r="508" spans="2:4">
      <c r="D508" s="280"/>
    </row>
    <row r="509" spans="2:4">
      <c r="B509" s="283">
        <v>42959</v>
      </c>
      <c r="C509" s="282" t="s">
        <v>9343</v>
      </c>
      <c r="D509" s="280"/>
    </row>
    <row r="510" spans="2:4">
      <c r="B510" s="283"/>
      <c r="C510" s="50" t="s">
        <v>5667</v>
      </c>
      <c r="D510" s="320" t="s">
        <v>9345</v>
      </c>
    </row>
    <row r="511" spans="2:4">
      <c r="C511" s="50" t="s">
        <v>5668</v>
      </c>
      <c r="D511" s="280"/>
    </row>
    <row r="512" spans="2:4">
      <c r="C512" s="50" t="s">
        <v>5666</v>
      </c>
      <c r="D512" s="280" t="s">
        <v>9344</v>
      </c>
    </row>
    <row r="514" spans="2:4">
      <c r="B514" s="283">
        <v>42935</v>
      </c>
      <c r="C514" s="282" t="s">
        <v>9341</v>
      </c>
      <c r="D514" s="280"/>
    </row>
    <row r="515" spans="2:4">
      <c r="C515" s="50" t="s">
        <v>5667</v>
      </c>
      <c r="D515" s="50" t="s">
        <v>9274</v>
      </c>
    </row>
    <row r="516" spans="2:4">
      <c r="C516" s="50" t="s">
        <v>5668</v>
      </c>
      <c r="D516" s="280"/>
    </row>
    <row r="517" spans="2:4">
      <c r="C517" s="50" t="s">
        <v>5666</v>
      </c>
      <c r="D517" s="280" t="s">
        <v>9342</v>
      </c>
    </row>
    <row r="518" spans="2:4">
      <c r="D518" s="280"/>
    </row>
    <row r="519" spans="2:4">
      <c r="B519" s="283">
        <v>42902</v>
      </c>
      <c r="C519" s="282" t="s">
        <v>9314</v>
      </c>
    </row>
    <row r="520" spans="2:4">
      <c r="C520" s="50" t="s">
        <v>5667</v>
      </c>
      <c r="D520" s="50" t="s">
        <v>9315</v>
      </c>
    </row>
    <row r="521" spans="2:4">
      <c r="C521" s="50" t="s">
        <v>5668</v>
      </c>
    </row>
    <row r="522" spans="2:4">
      <c r="C522" s="50" t="s">
        <v>5666</v>
      </c>
      <c r="D522" s="280" t="s">
        <v>9316</v>
      </c>
    </row>
    <row r="523" spans="2:4">
      <c r="D523" s="44"/>
    </row>
    <row r="524" spans="2:4">
      <c r="B524" s="283">
        <v>42894</v>
      </c>
      <c r="C524" s="282" t="s">
        <v>9361</v>
      </c>
      <c r="D524" s="280"/>
    </row>
    <row r="525" spans="2:4">
      <c r="B525" s="283"/>
      <c r="C525" s="50" t="s">
        <v>5667</v>
      </c>
      <c r="D525" s="320" t="s">
        <v>9362</v>
      </c>
    </row>
    <row r="526" spans="2:4">
      <c r="C526" s="50" t="s">
        <v>5668</v>
      </c>
      <c r="D526" s="280"/>
    </row>
    <row r="527" spans="2:4">
      <c r="C527" s="50" t="s">
        <v>5666</v>
      </c>
      <c r="D527" s="280" t="s">
        <v>9363</v>
      </c>
    </row>
    <row r="529" spans="2:4">
      <c r="B529" s="283">
        <v>42891</v>
      </c>
      <c r="C529" s="282" t="s">
        <v>9354</v>
      </c>
      <c r="D529" s="280"/>
    </row>
    <row r="530" spans="2:4">
      <c r="B530" s="283"/>
      <c r="C530" s="50" t="s">
        <v>5667</v>
      </c>
      <c r="D530" s="320" t="s">
        <v>9287</v>
      </c>
    </row>
    <row r="531" spans="2:4">
      <c r="C531" s="50" t="s">
        <v>5668</v>
      </c>
      <c r="D531" s="280"/>
    </row>
    <row r="532" spans="2:4">
      <c r="C532" s="50" t="s">
        <v>5666</v>
      </c>
      <c r="D532" s="280" t="s">
        <v>9355</v>
      </c>
    </row>
    <row r="534" spans="2:4">
      <c r="B534" s="283">
        <v>42891</v>
      </c>
      <c r="C534" s="282" t="s">
        <v>9367</v>
      </c>
      <c r="D534" s="280"/>
    </row>
    <row r="535" spans="2:4">
      <c r="B535" s="283"/>
      <c r="C535" s="50" t="s">
        <v>5667</v>
      </c>
      <c r="D535" s="320" t="s">
        <v>9274</v>
      </c>
    </row>
    <row r="536" spans="2:4">
      <c r="C536" s="50" t="s">
        <v>5668</v>
      </c>
      <c r="D536" s="280"/>
    </row>
    <row r="537" spans="2:4">
      <c r="C537" s="50" t="s">
        <v>5666</v>
      </c>
      <c r="D537" s="280" t="s">
        <v>9368</v>
      </c>
    </row>
    <row r="539" spans="2:4">
      <c r="B539" s="283">
        <v>42866</v>
      </c>
      <c r="C539" s="282" t="s">
        <v>9369</v>
      </c>
      <c r="D539" s="280"/>
    </row>
    <row r="540" spans="2:4">
      <c r="B540" s="283"/>
      <c r="C540" s="50" t="s">
        <v>5667</v>
      </c>
      <c r="D540" s="320" t="s">
        <v>9370</v>
      </c>
    </row>
    <row r="541" spans="2:4">
      <c r="C541" s="50" t="s">
        <v>5668</v>
      </c>
      <c r="D541" s="280"/>
    </row>
    <row r="542" spans="2:4">
      <c r="C542" s="50" t="s">
        <v>5666</v>
      </c>
      <c r="D542" s="280" t="s">
        <v>9371</v>
      </c>
    </row>
    <row r="544" spans="2:4">
      <c r="B544" s="283">
        <v>42860</v>
      </c>
      <c r="C544" s="282" t="s">
        <v>8144</v>
      </c>
      <c r="D544" s="280"/>
    </row>
    <row r="545" spans="2:4">
      <c r="B545" s="283"/>
      <c r="C545" s="50" t="s">
        <v>5667</v>
      </c>
      <c r="D545" s="320" t="s">
        <v>8146</v>
      </c>
    </row>
    <row r="546" spans="2:4">
      <c r="C546" s="50" t="s">
        <v>5668</v>
      </c>
      <c r="D546" s="280"/>
    </row>
    <row r="547" spans="2:4">
      <c r="C547" s="50" t="s">
        <v>5666</v>
      </c>
      <c r="D547" s="280" t="s">
        <v>8145</v>
      </c>
    </row>
    <row r="549" spans="2:4">
      <c r="B549" s="283">
        <v>42817</v>
      </c>
      <c r="C549" s="282" t="s">
        <v>9311</v>
      </c>
    </row>
    <row r="550" spans="2:4">
      <c r="C550" s="50" t="s">
        <v>5667</v>
      </c>
      <c r="D550" s="50" t="s">
        <v>9313</v>
      </c>
    </row>
    <row r="551" spans="2:4">
      <c r="C551" s="50" t="s">
        <v>5668</v>
      </c>
    </row>
    <row r="552" spans="2:4">
      <c r="C552" s="50" t="s">
        <v>5666</v>
      </c>
      <c r="D552" s="280" t="s">
        <v>9312</v>
      </c>
    </row>
    <row r="553" spans="2:4">
      <c r="D553" s="44"/>
    </row>
    <row r="554" spans="2:4">
      <c r="B554" s="283">
        <v>42815</v>
      </c>
      <c r="C554" s="282" t="s">
        <v>9339</v>
      </c>
      <c r="D554" s="44"/>
    </row>
    <row r="555" spans="2:4">
      <c r="C555" s="50" t="s">
        <v>5667</v>
      </c>
      <c r="D555" s="50" t="s">
        <v>9340</v>
      </c>
    </row>
    <row r="556" spans="2:4">
      <c r="C556" s="50" t="s">
        <v>5668</v>
      </c>
    </row>
    <row r="557" spans="2:4">
      <c r="C557" s="50" t="s">
        <v>5666</v>
      </c>
      <c r="D557" s="280"/>
    </row>
    <row r="558" spans="2:4">
      <c r="D558" s="44"/>
    </row>
    <row r="559" spans="2:4">
      <c r="B559" s="283">
        <v>42808</v>
      </c>
      <c r="C559" s="282" t="s">
        <v>9353</v>
      </c>
      <c r="D559" s="280"/>
    </row>
    <row r="560" spans="2:4">
      <c r="B560" s="283"/>
      <c r="C560" s="50" t="s">
        <v>5667</v>
      </c>
      <c r="D560" s="320" t="s">
        <v>8146</v>
      </c>
    </row>
    <row r="561" spans="2:4">
      <c r="C561" s="50" t="s">
        <v>5668</v>
      </c>
      <c r="D561" s="280"/>
    </row>
    <row r="562" spans="2:4">
      <c r="C562" s="50" t="s">
        <v>5666</v>
      </c>
      <c r="D562" s="280" t="s">
        <v>8145</v>
      </c>
    </row>
    <row r="564" spans="2:4">
      <c r="B564" s="283">
        <v>42790</v>
      </c>
      <c r="C564" s="282" t="s">
        <v>9364</v>
      </c>
      <c r="D564" s="280"/>
    </row>
    <row r="565" spans="2:4">
      <c r="B565" s="283"/>
      <c r="C565" s="50" t="s">
        <v>5667</v>
      </c>
      <c r="D565" s="320" t="s">
        <v>9365</v>
      </c>
    </row>
    <row r="566" spans="2:4">
      <c r="C566" s="50" t="s">
        <v>5668</v>
      </c>
      <c r="D566" s="280"/>
    </row>
    <row r="567" spans="2:4">
      <c r="C567" s="50" t="s">
        <v>5666</v>
      </c>
      <c r="D567" s="280" t="s">
        <v>9366</v>
      </c>
    </row>
    <row r="569" spans="2:4">
      <c r="B569" s="50">
        <v>2017</v>
      </c>
      <c r="C569" s="282" t="s">
        <v>9356</v>
      </c>
    </row>
    <row r="570" spans="2:4">
      <c r="C570" s="50" t="s">
        <v>5667</v>
      </c>
      <c r="D570" s="50" t="s">
        <v>9186</v>
      </c>
    </row>
    <row r="571" spans="2:4">
      <c r="C571" s="50" t="s">
        <v>5668</v>
      </c>
    </row>
    <row r="572" spans="2:4">
      <c r="C572" s="50" t="s">
        <v>5666</v>
      </c>
      <c r="D572" s="280" t="s">
        <v>9357</v>
      </c>
    </row>
    <row r="574" spans="2:4">
      <c r="B574" s="50">
        <v>2017</v>
      </c>
      <c r="C574" s="282" t="s">
        <v>9273</v>
      </c>
    </row>
    <row r="575" spans="2:4">
      <c r="C575" s="50" t="s">
        <v>5667</v>
      </c>
      <c r="D575" s="50" t="s">
        <v>9274</v>
      </c>
    </row>
    <row r="576" spans="2:4">
      <c r="C576" s="50" t="s">
        <v>5668</v>
      </c>
    </row>
    <row r="577" spans="2:4">
      <c r="C577" s="50" t="s">
        <v>5666</v>
      </c>
      <c r="D577" s="280" t="s">
        <v>9275</v>
      </c>
    </row>
    <row r="579" spans="2:4">
      <c r="B579" s="50">
        <v>2017</v>
      </c>
      <c r="C579" s="282" t="s">
        <v>9333</v>
      </c>
    </row>
    <row r="580" spans="2:4">
      <c r="C580" s="50" t="s">
        <v>5667</v>
      </c>
      <c r="D580" s="50" t="s">
        <v>9334</v>
      </c>
    </row>
    <row r="581" spans="2:4">
      <c r="C581" s="50" t="s">
        <v>5668</v>
      </c>
    </row>
    <row r="582" spans="2:4">
      <c r="C582" s="50" t="s">
        <v>5666</v>
      </c>
      <c r="D582" s="280" t="s">
        <v>9335</v>
      </c>
    </row>
    <row r="584" spans="2:4">
      <c r="B584" s="50">
        <v>2017</v>
      </c>
      <c r="C584" s="282" t="s">
        <v>8102</v>
      </c>
    </row>
    <row r="585" spans="2:4">
      <c r="C585" s="50" t="s">
        <v>5667</v>
      </c>
      <c r="D585" s="50" t="s">
        <v>8103</v>
      </c>
    </row>
    <row r="586" spans="2:4">
      <c r="C586" s="50" t="s">
        <v>5668</v>
      </c>
    </row>
    <row r="587" spans="2:4">
      <c r="C587" s="50" t="s">
        <v>5666</v>
      </c>
      <c r="D587" s="280" t="s">
        <v>8101</v>
      </c>
    </row>
    <row r="588" spans="2:4">
      <c r="D588" s="44"/>
    </row>
    <row r="589" spans="2:4">
      <c r="B589" s="50">
        <v>2017</v>
      </c>
      <c r="C589" s="282" t="s">
        <v>9317</v>
      </c>
      <c r="D589" s="44"/>
    </row>
    <row r="590" spans="2:4">
      <c r="C590" s="50" t="s">
        <v>5667</v>
      </c>
      <c r="D590" s="50" t="s">
        <v>9318</v>
      </c>
    </row>
    <row r="591" spans="2:4">
      <c r="C591" s="50" t="s">
        <v>5668</v>
      </c>
    </row>
    <row r="592" spans="2:4">
      <c r="C592" s="50" t="s">
        <v>5666</v>
      </c>
      <c r="D592" s="280" t="s">
        <v>9319</v>
      </c>
    </row>
    <row r="593" spans="2:4">
      <c r="D593" s="44"/>
    </row>
    <row r="594" spans="2:4">
      <c r="B594" s="50">
        <v>2017</v>
      </c>
      <c r="C594" s="282" t="s">
        <v>8180</v>
      </c>
      <c r="D594" s="44"/>
    </row>
    <row r="595" spans="2:4">
      <c r="C595" s="50" t="s">
        <v>5667</v>
      </c>
      <c r="D595" s="50" t="s">
        <v>8181</v>
      </c>
    </row>
    <row r="596" spans="2:4">
      <c r="C596" s="50" t="s">
        <v>5668</v>
      </c>
    </row>
    <row r="597" spans="2:4">
      <c r="C597" s="50" t="s">
        <v>5666</v>
      </c>
      <c r="D597" s="280" t="s">
        <v>8182</v>
      </c>
    </row>
    <row r="598" spans="2:4">
      <c r="D598" s="44"/>
    </row>
    <row r="599" spans="2:4">
      <c r="B599" s="50">
        <v>2017</v>
      </c>
      <c r="C599" s="282" t="s">
        <v>9330</v>
      </c>
      <c r="D599" s="44"/>
    </row>
    <row r="600" spans="2:4">
      <c r="C600" s="50" t="s">
        <v>5667</v>
      </c>
      <c r="D600" s="50" t="s">
        <v>9331</v>
      </c>
    </row>
    <row r="601" spans="2:4">
      <c r="C601" s="50" t="s">
        <v>5668</v>
      </c>
    </row>
    <row r="602" spans="2:4">
      <c r="C602" s="50" t="s">
        <v>5666</v>
      </c>
      <c r="D602" s="280" t="s">
        <v>9332</v>
      </c>
    </row>
    <row r="603" spans="2:4">
      <c r="D603" s="44"/>
    </row>
    <row r="604" spans="2:4">
      <c r="B604" s="50">
        <v>2017</v>
      </c>
      <c r="C604" s="282" t="s">
        <v>9308</v>
      </c>
      <c r="D604" s="44"/>
    </row>
    <row r="605" spans="2:4">
      <c r="C605" s="50" t="s">
        <v>5667</v>
      </c>
      <c r="D605" s="50" t="s">
        <v>9309</v>
      </c>
    </row>
    <row r="606" spans="2:4">
      <c r="C606" s="50" t="s">
        <v>5668</v>
      </c>
    </row>
    <row r="607" spans="2:4">
      <c r="C607" s="50" t="s">
        <v>5666</v>
      </c>
      <c r="D607" s="280" t="s">
        <v>9310</v>
      </c>
    </row>
    <row r="608" spans="2:4">
      <c r="D608" s="44"/>
    </row>
    <row r="609" spans="2:4">
      <c r="B609" s="50">
        <v>2017</v>
      </c>
      <c r="C609" s="282" t="s">
        <v>9302</v>
      </c>
      <c r="D609" s="44"/>
    </row>
    <row r="610" spans="2:4">
      <c r="C610" s="50" t="s">
        <v>5667</v>
      </c>
      <c r="D610" s="50" t="s">
        <v>9303</v>
      </c>
    </row>
    <row r="611" spans="2:4">
      <c r="C611" s="50" t="s">
        <v>5668</v>
      </c>
    </row>
    <row r="612" spans="2:4">
      <c r="C612" s="50" t="s">
        <v>5666</v>
      </c>
      <c r="D612" s="280" t="s">
        <v>9304</v>
      </c>
    </row>
    <row r="613" spans="2:4">
      <c r="D613" s="44"/>
    </row>
    <row r="614" spans="2:4">
      <c r="B614" s="50">
        <v>2017</v>
      </c>
      <c r="C614" s="282" t="s">
        <v>9305</v>
      </c>
      <c r="D614" s="44"/>
    </row>
    <row r="615" spans="2:4">
      <c r="C615" s="50" t="s">
        <v>5667</v>
      </c>
      <c r="D615" s="50" t="s">
        <v>9306</v>
      </c>
    </row>
    <row r="616" spans="2:4">
      <c r="C616" s="50" t="s">
        <v>5668</v>
      </c>
    </row>
    <row r="617" spans="2:4">
      <c r="C617" s="50" t="s">
        <v>5666</v>
      </c>
      <c r="D617" s="280" t="s">
        <v>9307</v>
      </c>
    </row>
    <row r="618" spans="2:4">
      <c r="D618" s="44"/>
    </row>
    <row r="619" spans="2:4">
      <c r="B619" s="50">
        <v>2017</v>
      </c>
      <c r="C619" s="282" t="s">
        <v>8171</v>
      </c>
      <c r="D619" s="285"/>
    </row>
    <row r="620" spans="2:4">
      <c r="C620" s="50" t="s">
        <v>5667</v>
      </c>
      <c r="D620" s="50" t="s">
        <v>8173</v>
      </c>
    </row>
    <row r="621" spans="2:4">
      <c r="C621" s="50" t="s">
        <v>5668</v>
      </c>
      <c r="D621" s="50">
        <v>28</v>
      </c>
    </row>
    <row r="622" spans="2:4">
      <c r="C622" s="50" t="s">
        <v>5666</v>
      </c>
      <c r="D622" s="280" t="s">
        <v>8172</v>
      </c>
    </row>
    <row r="624" spans="2:4">
      <c r="B624" s="50">
        <v>2017</v>
      </c>
      <c r="C624" s="282" t="s">
        <v>9325</v>
      </c>
    </row>
    <row r="625" spans="2:4">
      <c r="C625" s="50" t="s">
        <v>5667</v>
      </c>
      <c r="D625" s="50" t="s">
        <v>9326</v>
      </c>
    </row>
    <row r="626" spans="2:4">
      <c r="C626" s="50" t="s">
        <v>5668</v>
      </c>
    </row>
    <row r="627" spans="2:4">
      <c r="C627" s="50" t="s">
        <v>5666</v>
      </c>
      <c r="D627" s="50" t="s">
        <v>9327</v>
      </c>
    </row>
    <row r="629" spans="2:4">
      <c r="B629" s="50">
        <v>2017</v>
      </c>
      <c r="C629" s="282" t="s">
        <v>9255</v>
      </c>
    </row>
    <row r="630" spans="2:4">
      <c r="C630" s="50" t="s">
        <v>5667</v>
      </c>
      <c r="D630" s="50" t="s">
        <v>9256</v>
      </c>
    </row>
    <row r="631" spans="2:4">
      <c r="C631" s="50" t="s">
        <v>5668</v>
      </c>
    </row>
    <row r="632" spans="2:4">
      <c r="C632" s="50" t="s">
        <v>5666</v>
      </c>
      <c r="D632" s="50" t="s">
        <v>9257</v>
      </c>
    </row>
    <row r="634" spans="2:4">
      <c r="B634" s="50">
        <v>2017</v>
      </c>
      <c r="C634" s="282" t="s">
        <v>9258</v>
      </c>
    </row>
    <row r="635" spans="2:4">
      <c r="C635" s="50" t="s">
        <v>5667</v>
      </c>
      <c r="D635" s="50" t="s">
        <v>9259</v>
      </c>
    </row>
    <row r="636" spans="2:4">
      <c r="C636" s="50" t="s">
        <v>5668</v>
      </c>
      <c r="D636" s="296">
        <v>44</v>
      </c>
    </row>
    <row r="637" spans="2:4">
      <c r="C637" s="50" t="s">
        <v>5666</v>
      </c>
      <c r="D637" s="50" t="s">
        <v>9260</v>
      </c>
    </row>
    <row r="639" spans="2:4">
      <c r="B639" s="50">
        <v>2014</v>
      </c>
      <c r="C639" s="282" t="s">
        <v>9323</v>
      </c>
    </row>
    <row r="640" spans="2:4">
      <c r="C640" s="50" t="s">
        <v>5667</v>
      </c>
      <c r="D640" s="50" t="s">
        <v>9250</v>
      </c>
    </row>
    <row r="641" spans="2:4">
      <c r="C641" s="50" t="s">
        <v>5668</v>
      </c>
      <c r="D641" s="296"/>
    </row>
    <row r="642" spans="2:4">
      <c r="C642" s="50" t="s">
        <v>5666</v>
      </c>
      <c r="D642" s="50" t="s">
        <v>9324</v>
      </c>
    </row>
    <row r="644" spans="2:4">
      <c r="B644" s="50">
        <v>2017</v>
      </c>
      <c r="C644" s="282" t="s">
        <v>9279</v>
      </c>
    </row>
    <row r="645" spans="2:4">
      <c r="C645" s="50" t="s">
        <v>5667</v>
      </c>
      <c r="D645" s="50" t="s">
        <v>9277</v>
      </c>
    </row>
    <row r="646" spans="2:4">
      <c r="C646" s="50" t="s">
        <v>5668</v>
      </c>
      <c r="D646" s="296"/>
    </row>
    <row r="647" spans="2:4">
      <c r="C647" s="50" t="s">
        <v>5666</v>
      </c>
      <c r="D647" s="50" t="s">
        <v>9280</v>
      </c>
    </row>
    <row r="649" spans="2:4">
      <c r="B649" s="283">
        <v>42712</v>
      </c>
      <c r="C649" s="282" t="s">
        <v>9289</v>
      </c>
    </row>
    <row r="650" spans="2:4">
      <c r="C650" s="50" t="s">
        <v>5667</v>
      </c>
      <c r="D650" s="50" t="s">
        <v>9290</v>
      </c>
    </row>
    <row r="651" spans="2:4">
      <c r="C651" s="50" t="s">
        <v>5668</v>
      </c>
      <c r="D651" s="296"/>
    </row>
    <row r="652" spans="2:4">
      <c r="C652" s="50" t="s">
        <v>5666</v>
      </c>
      <c r="D652" s="50" t="s">
        <v>9291</v>
      </c>
    </row>
    <row r="654" spans="2:4">
      <c r="B654" s="283">
        <v>42660</v>
      </c>
      <c r="C654" s="282" t="s">
        <v>9270</v>
      </c>
    </row>
    <row r="655" spans="2:4">
      <c r="C655" s="50" t="s">
        <v>5667</v>
      </c>
      <c r="D655" s="50" t="s">
        <v>9271</v>
      </c>
    </row>
    <row r="656" spans="2:4">
      <c r="C656" s="50" t="s">
        <v>5668</v>
      </c>
      <c r="D656" s="296"/>
    </row>
    <row r="657" spans="2:4">
      <c r="C657" s="50" t="s">
        <v>5666</v>
      </c>
      <c r="D657" s="50" t="s">
        <v>9272</v>
      </c>
    </row>
    <row r="659" spans="2:4">
      <c r="B659" s="283">
        <v>42626</v>
      </c>
      <c r="C659" s="282" t="s">
        <v>9299</v>
      </c>
    </row>
    <row r="660" spans="2:4">
      <c r="C660" s="50" t="s">
        <v>5667</v>
      </c>
      <c r="D660" s="50" t="s">
        <v>9300</v>
      </c>
    </row>
    <row r="661" spans="2:4">
      <c r="C661" s="50" t="s">
        <v>5668</v>
      </c>
      <c r="D661" s="296"/>
    </row>
    <row r="662" spans="2:4">
      <c r="C662" s="50" t="s">
        <v>5666</v>
      </c>
      <c r="D662" s="50" t="s">
        <v>9301</v>
      </c>
    </row>
    <row r="664" spans="2:4">
      <c r="B664" s="283">
        <v>42625</v>
      </c>
      <c r="C664" s="282" t="s">
        <v>7539</v>
      </c>
    </row>
    <row r="665" spans="2:4">
      <c r="C665" s="50" t="s">
        <v>5667</v>
      </c>
      <c r="D665" s="50" t="s">
        <v>8085</v>
      </c>
    </row>
    <row r="666" spans="2:4">
      <c r="C666" s="50" t="s">
        <v>5668</v>
      </c>
    </row>
    <row r="667" spans="2:4">
      <c r="C667" s="50" t="s">
        <v>5666</v>
      </c>
      <c r="D667" s="50" t="s">
        <v>8086</v>
      </c>
    </row>
    <row r="669" spans="2:4">
      <c r="B669" s="50">
        <v>2016</v>
      </c>
      <c r="C669" s="282" t="s">
        <v>9261</v>
      </c>
    </row>
    <row r="670" spans="2:4">
      <c r="C670" s="50" t="s">
        <v>5667</v>
      </c>
      <c r="D670" s="50" t="s">
        <v>9262</v>
      </c>
    </row>
    <row r="671" spans="2:4">
      <c r="C671" s="50" t="s">
        <v>5668</v>
      </c>
      <c r="D671" s="296">
        <v>527</v>
      </c>
    </row>
    <row r="672" spans="2:4">
      <c r="C672" s="50" t="s">
        <v>5666</v>
      </c>
      <c r="D672" s="50" t="s">
        <v>9263</v>
      </c>
    </row>
    <row r="674" spans="2:4">
      <c r="B674" s="50">
        <v>2016</v>
      </c>
      <c r="C674" s="282" t="s">
        <v>9267</v>
      </c>
    </row>
    <row r="675" spans="2:4">
      <c r="C675" s="50" t="s">
        <v>5667</v>
      </c>
      <c r="D675" s="50" t="s">
        <v>9269</v>
      </c>
    </row>
    <row r="676" spans="2:4">
      <c r="C676" s="50" t="s">
        <v>5668</v>
      </c>
      <c r="D676" s="296">
        <v>2741</v>
      </c>
    </row>
    <row r="677" spans="2:4">
      <c r="C677" s="50" t="s">
        <v>5666</v>
      </c>
      <c r="D677" s="50" t="s">
        <v>9268</v>
      </c>
    </row>
    <row r="679" spans="2:4">
      <c r="B679" s="50">
        <v>2016</v>
      </c>
      <c r="C679" s="282" t="s">
        <v>9281</v>
      </c>
    </row>
    <row r="680" spans="2:4">
      <c r="C680" s="50" t="s">
        <v>5667</v>
      </c>
      <c r="D680" s="50" t="s">
        <v>9282</v>
      </c>
    </row>
    <row r="681" spans="2:4">
      <c r="C681" s="50" t="s">
        <v>5668</v>
      </c>
      <c r="D681" s="296"/>
    </row>
    <row r="682" spans="2:4">
      <c r="C682" s="50" t="s">
        <v>5666</v>
      </c>
      <c r="D682" s="50" t="s">
        <v>9283</v>
      </c>
    </row>
    <row r="684" spans="2:4">
      <c r="B684" s="50">
        <v>2016</v>
      </c>
      <c r="C684" s="282" t="s">
        <v>9264</v>
      </c>
    </row>
    <row r="685" spans="2:4">
      <c r="C685" s="50" t="s">
        <v>5667</v>
      </c>
      <c r="D685" s="50" t="s">
        <v>9265</v>
      </c>
    </row>
    <row r="686" spans="2:4">
      <c r="C686" s="50" t="s">
        <v>5668</v>
      </c>
      <c r="D686" s="296">
        <v>72</v>
      </c>
    </row>
    <row r="687" spans="2:4">
      <c r="C687" s="50" t="s">
        <v>5666</v>
      </c>
      <c r="D687" s="50" t="s">
        <v>9266</v>
      </c>
    </row>
    <row r="689" spans="2:4">
      <c r="B689" s="50">
        <v>2016</v>
      </c>
      <c r="C689" s="282" t="s">
        <v>9276</v>
      </c>
    </row>
    <row r="690" spans="2:4">
      <c r="C690" s="50" t="s">
        <v>5667</v>
      </c>
      <c r="D690" s="50" t="s">
        <v>9277</v>
      </c>
    </row>
    <row r="691" spans="2:4">
      <c r="C691" s="50" t="s">
        <v>5668</v>
      </c>
      <c r="D691" s="296">
        <v>995</v>
      </c>
    </row>
    <row r="692" spans="2:4">
      <c r="C692" s="50" t="s">
        <v>5666</v>
      </c>
      <c r="D692" s="50" t="s">
        <v>9278</v>
      </c>
    </row>
    <row r="694" spans="2:4">
      <c r="B694" s="50">
        <v>2016</v>
      </c>
      <c r="C694" s="282" t="s">
        <v>9292</v>
      </c>
    </row>
    <row r="695" spans="2:4">
      <c r="C695" s="50" t="s">
        <v>5667</v>
      </c>
      <c r="D695" s="50" t="s">
        <v>8922</v>
      </c>
    </row>
    <row r="696" spans="2:4">
      <c r="C696" s="50" t="s">
        <v>5668</v>
      </c>
      <c r="D696" s="296"/>
    </row>
    <row r="697" spans="2:4">
      <c r="C697" s="50" t="s">
        <v>5666</v>
      </c>
      <c r="D697" s="50" t="s">
        <v>9293</v>
      </c>
    </row>
    <row r="699" spans="2:4">
      <c r="B699" s="283">
        <v>42653</v>
      </c>
      <c r="C699" s="282" t="s">
        <v>9294</v>
      </c>
    </row>
    <row r="700" spans="2:4">
      <c r="C700" s="50" t="s">
        <v>5667</v>
      </c>
      <c r="D700" s="50" t="s">
        <v>9295</v>
      </c>
    </row>
    <row r="701" spans="2:4">
      <c r="C701" s="50" t="s">
        <v>5668</v>
      </c>
      <c r="D701" s="296"/>
    </row>
    <row r="702" spans="2:4">
      <c r="C702" s="50" t="s">
        <v>5666</v>
      </c>
      <c r="D702" s="50" t="s">
        <v>9296</v>
      </c>
    </row>
    <row r="704" spans="2:4">
      <c r="B704" s="283">
        <v>42653</v>
      </c>
      <c r="C704" s="282" t="s">
        <v>9297</v>
      </c>
    </row>
    <row r="705" spans="2:4">
      <c r="C705" s="50" t="s">
        <v>5667</v>
      </c>
      <c r="D705" s="50" t="s">
        <v>9259</v>
      </c>
    </row>
    <row r="706" spans="2:4">
      <c r="C706" s="50" t="s">
        <v>5668</v>
      </c>
      <c r="D706" s="296"/>
    </row>
    <row r="707" spans="2:4">
      <c r="C707" s="50" t="s">
        <v>5666</v>
      </c>
      <c r="D707" s="50" t="s">
        <v>9298</v>
      </c>
    </row>
    <row r="709" spans="2:4">
      <c r="B709" s="50">
        <v>2016</v>
      </c>
      <c r="C709" s="282" t="s">
        <v>9286</v>
      </c>
    </row>
    <row r="710" spans="2:4">
      <c r="C710" s="50" t="s">
        <v>5667</v>
      </c>
      <c r="D710" s="50" t="s">
        <v>9287</v>
      </c>
    </row>
    <row r="711" spans="2:4">
      <c r="C711" s="50" t="s">
        <v>5668</v>
      </c>
      <c r="D711" s="296">
        <v>81</v>
      </c>
    </row>
    <row r="712" spans="2:4">
      <c r="C712" s="50" t="s">
        <v>5666</v>
      </c>
      <c r="D712" s="50" t="s">
        <v>9288</v>
      </c>
    </row>
    <row r="714" spans="2:4">
      <c r="B714" s="283">
        <v>42295</v>
      </c>
      <c r="C714" s="282" t="s">
        <v>9244</v>
      </c>
    </row>
    <row r="715" spans="2:4">
      <c r="C715" s="50" t="s">
        <v>5667</v>
      </c>
      <c r="D715" s="50" t="s">
        <v>9245</v>
      </c>
    </row>
    <row r="716" spans="2:4">
      <c r="C716" s="50" t="s">
        <v>5668</v>
      </c>
    </row>
    <row r="717" spans="2:4">
      <c r="C717" s="50" t="s">
        <v>5666</v>
      </c>
      <c r="D717" s="50" t="s">
        <v>9246</v>
      </c>
    </row>
    <row r="719" spans="2:4">
      <c r="B719" s="375" t="s">
        <v>9232</v>
      </c>
      <c r="C719" s="282" t="s">
        <v>9254</v>
      </c>
    </row>
    <row r="720" spans="2:4">
      <c r="C720" s="50" t="s">
        <v>5667</v>
      </c>
      <c r="D720" s="50" t="s">
        <v>9253</v>
      </c>
    </row>
    <row r="721" spans="2:4">
      <c r="C721" s="50" t="s">
        <v>5668</v>
      </c>
    </row>
    <row r="722" spans="2:4">
      <c r="C722" s="50" t="s">
        <v>5666</v>
      </c>
      <c r="D722" s="50" t="s">
        <v>9252</v>
      </c>
    </row>
    <row r="724" spans="2:4">
      <c r="B724" s="50">
        <v>2015</v>
      </c>
      <c r="C724" s="282" t="s">
        <v>9284</v>
      </c>
    </row>
    <row r="725" spans="2:4">
      <c r="C725" s="50" t="s">
        <v>5667</v>
      </c>
      <c r="D725" s="50" t="s">
        <v>9274</v>
      </c>
    </row>
    <row r="726" spans="2:4">
      <c r="C726" s="50" t="s">
        <v>5668</v>
      </c>
      <c r="D726" s="296">
        <v>26</v>
      </c>
    </row>
    <row r="727" spans="2:4">
      <c r="C727" s="50" t="s">
        <v>5666</v>
      </c>
      <c r="D727" s="50" t="s">
        <v>9285</v>
      </c>
    </row>
    <row r="729" spans="2:4">
      <c r="B729" s="375" t="s">
        <v>9232</v>
      </c>
      <c r="C729" s="282" t="s">
        <v>9249</v>
      </c>
    </row>
    <row r="730" spans="2:4">
      <c r="C730" s="50" t="s">
        <v>5667</v>
      </c>
      <c r="D730" s="50" t="s">
        <v>9250</v>
      </c>
    </row>
    <row r="731" spans="2:4">
      <c r="C731" s="50" t="s">
        <v>5668</v>
      </c>
    </row>
    <row r="732" spans="2:4">
      <c r="C732" s="50" t="s">
        <v>5666</v>
      </c>
      <c r="D732" s="50" t="s">
        <v>9251</v>
      </c>
    </row>
    <row r="734" spans="2:4">
      <c r="B734" s="375" t="s">
        <v>9232</v>
      </c>
      <c r="C734" s="282" t="s">
        <v>9247</v>
      </c>
    </row>
    <row r="735" spans="2:4">
      <c r="C735" s="50" t="s">
        <v>5667</v>
      </c>
      <c r="D735" s="50" t="s">
        <v>9217</v>
      </c>
    </row>
    <row r="736" spans="2:4">
      <c r="C736" s="50" t="s">
        <v>5668</v>
      </c>
    </row>
    <row r="737" spans="2:4">
      <c r="C737" s="50" t="s">
        <v>5666</v>
      </c>
      <c r="D737" s="50" t="s">
        <v>9248</v>
      </c>
    </row>
    <row r="739" spans="2:4">
      <c r="B739" s="375" t="s">
        <v>9232</v>
      </c>
      <c r="C739" s="282" t="s">
        <v>9241</v>
      </c>
    </row>
    <row r="740" spans="2:4">
      <c r="C740" s="50" t="s">
        <v>5667</v>
      </c>
      <c r="D740" s="50" t="s">
        <v>9242</v>
      </c>
    </row>
    <row r="741" spans="2:4">
      <c r="C741" s="50" t="s">
        <v>5668</v>
      </c>
    </row>
    <row r="742" spans="2:4">
      <c r="C742" s="50" t="s">
        <v>5666</v>
      </c>
      <c r="D742" s="50" t="s">
        <v>9243</v>
      </c>
    </row>
    <row r="744" spans="2:4">
      <c r="B744" s="375" t="s">
        <v>9232</v>
      </c>
      <c r="C744" s="282" t="s">
        <v>9238</v>
      </c>
    </row>
    <row r="745" spans="2:4">
      <c r="C745" s="50" t="s">
        <v>5667</v>
      </c>
      <c r="D745" s="50" t="s">
        <v>9239</v>
      </c>
    </row>
    <row r="746" spans="2:4">
      <c r="C746" s="50" t="s">
        <v>5668</v>
      </c>
    </row>
    <row r="747" spans="2:4">
      <c r="C747" s="50" t="s">
        <v>5666</v>
      </c>
      <c r="D747" s="50" t="s">
        <v>9240</v>
      </c>
    </row>
    <row r="749" spans="2:4">
      <c r="B749" s="375" t="s">
        <v>9232</v>
      </c>
      <c r="C749" s="282" t="s">
        <v>9236</v>
      </c>
    </row>
    <row r="750" spans="2:4">
      <c r="C750" s="50" t="s">
        <v>5667</v>
      </c>
      <c r="D750" s="50" t="s">
        <v>5296</v>
      </c>
    </row>
    <row r="751" spans="2:4">
      <c r="C751" s="50" t="s">
        <v>5668</v>
      </c>
      <c r="D751" s="296">
        <v>810</v>
      </c>
    </row>
    <row r="752" spans="2:4">
      <c r="C752" s="50" t="s">
        <v>5666</v>
      </c>
      <c r="D752" s="50" t="s">
        <v>9237</v>
      </c>
    </row>
    <row r="754" spans="2:4">
      <c r="B754" s="375" t="s">
        <v>9232</v>
      </c>
      <c r="C754" s="282" t="s">
        <v>9233</v>
      </c>
    </row>
    <row r="755" spans="2:4">
      <c r="C755" s="50" t="s">
        <v>5667</v>
      </c>
      <c r="D755" s="50" t="s">
        <v>9235</v>
      </c>
    </row>
    <row r="756" spans="2:4">
      <c r="C756" s="50" t="s">
        <v>5668</v>
      </c>
    </row>
    <row r="757" spans="2:4">
      <c r="C757" s="50" t="s">
        <v>5666</v>
      </c>
      <c r="D757" s="50" t="s">
        <v>9234</v>
      </c>
    </row>
    <row r="759" spans="2:4">
      <c r="B759" s="283">
        <v>42179</v>
      </c>
      <c r="C759" s="282" t="s">
        <v>9230</v>
      </c>
    </row>
    <row r="760" spans="2:4">
      <c r="B760" s="283"/>
      <c r="C760" s="50" t="s">
        <v>5667</v>
      </c>
      <c r="D760" s="50" t="s">
        <v>9212</v>
      </c>
    </row>
    <row r="761" spans="2:4">
      <c r="C761" s="50" t="s">
        <v>5668</v>
      </c>
    </row>
    <row r="762" spans="2:4">
      <c r="C762" s="50" t="s">
        <v>5666</v>
      </c>
      <c r="D762" s="50" t="s">
        <v>9231</v>
      </c>
    </row>
    <row r="764" spans="2:4">
      <c r="B764" s="283">
        <v>41977</v>
      </c>
      <c r="C764" s="282" t="s">
        <v>9338</v>
      </c>
    </row>
    <row r="765" spans="2:4">
      <c r="C765" s="50" t="s">
        <v>5667</v>
      </c>
      <c r="D765" s="50" t="s">
        <v>9212</v>
      </c>
    </row>
    <row r="766" spans="2:4">
      <c r="C766" s="50" t="s">
        <v>5668</v>
      </c>
    </row>
    <row r="767" spans="2:4">
      <c r="C767" s="50" t="s">
        <v>5666</v>
      </c>
      <c r="D767" s="50" t="s">
        <v>9213</v>
      </c>
    </row>
    <row r="769" spans="2:4">
      <c r="B769" s="283">
        <v>41990</v>
      </c>
      <c r="C769" s="282" t="s">
        <v>8081</v>
      </c>
    </row>
    <row r="770" spans="2:4">
      <c r="C770" s="50" t="s">
        <v>5667</v>
      </c>
      <c r="D770" s="50" t="s">
        <v>8083</v>
      </c>
    </row>
    <row r="771" spans="2:4">
      <c r="C771" s="50" t="s">
        <v>5668</v>
      </c>
    </row>
    <row r="772" spans="2:4">
      <c r="C772" s="50" t="s">
        <v>5666</v>
      </c>
      <c r="D772" s="50" t="s">
        <v>8082</v>
      </c>
    </row>
    <row r="774" spans="2:4">
      <c r="B774" s="283">
        <v>41981</v>
      </c>
      <c r="C774" s="282" t="s">
        <v>9337</v>
      </c>
    </row>
    <row r="775" spans="2:4">
      <c r="C775" s="50" t="s">
        <v>5667</v>
      </c>
      <c r="D775" s="50" t="s">
        <v>9214</v>
      </c>
    </row>
    <row r="776" spans="2:4">
      <c r="C776" s="50" t="s">
        <v>5668</v>
      </c>
    </row>
    <row r="777" spans="2:4">
      <c r="C777" s="50" t="s">
        <v>5666</v>
      </c>
      <c r="D777" s="50" t="s">
        <v>9215</v>
      </c>
    </row>
    <row r="779" spans="2:4">
      <c r="B779" s="283">
        <v>41793</v>
      </c>
      <c r="C779" s="282" t="s">
        <v>8192</v>
      </c>
    </row>
    <row r="780" spans="2:4">
      <c r="C780" s="50" t="s">
        <v>5667</v>
      </c>
      <c r="D780" s="50" t="s">
        <v>8194</v>
      </c>
    </row>
    <row r="781" spans="2:4">
      <c r="C781" s="50" t="s">
        <v>5668</v>
      </c>
    </row>
    <row r="782" spans="2:4">
      <c r="C782" s="50" t="s">
        <v>5666</v>
      </c>
      <c r="D782" s="280" t="s">
        <v>8193</v>
      </c>
    </row>
    <row r="784" spans="2:4">
      <c r="B784" s="50">
        <v>2014</v>
      </c>
      <c r="C784" s="282" t="s">
        <v>9227</v>
      </c>
    </row>
    <row r="785" spans="2:4">
      <c r="C785" s="50" t="s">
        <v>5667</v>
      </c>
      <c r="D785" s="50" t="s">
        <v>9229</v>
      </c>
    </row>
    <row r="786" spans="2:4">
      <c r="C786" s="50" t="s">
        <v>5668</v>
      </c>
    </row>
    <row r="787" spans="2:4">
      <c r="C787" s="50" t="s">
        <v>5666</v>
      </c>
      <c r="D787" s="50" t="s">
        <v>9228</v>
      </c>
    </row>
    <row r="789" spans="2:4">
      <c r="B789" s="50">
        <v>2014</v>
      </c>
      <c r="C789" s="282" t="s">
        <v>9224</v>
      </c>
    </row>
    <row r="790" spans="2:4">
      <c r="C790" s="50" t="s">
        <v>5667</v>
      </c>
      <c r="D790" s="50" t="s">
        <v>9169</v>
      </c>
    </row>
    <row r="791" spans="2:4">
      <c r="C791" s="50" t="s">
        <v>9225</v>
      </c>
    </row>
    <row r="792" spans="2:4">
      <c r="C792" s="50" t="s">
        <v>5666</v>
      </c>
      <c r="D792" s="50" t="s">
        <v>9226</v>
      </c>
    </row>
    <row r="794" spans="2:4">
      <c r="B794" s="50">
        <v>2014</v>
      </c>
      <c r="C794" s="282" t="s">
        <v>9349</v>
      </c>
    </row>
    <row r="795" spans="2:4">
      <c r="C795" s="50" t="s">
        <v>5667</v>
      </c>
      <c r="D795" s="50" t="s">
        <v>9222</v>
      </c>
    </row>
    <row r="796" spans="2:4">
      <c r="C796" s="50" t="s">
        <v>5668</v>
      </c>
    </row>
    <row r="797" spans="2:4">
      <c r="C797" s="50" t="s">
        <v>5666</v>
      </c>
      <c r="D797" s="280" t="s">
        <v>9223</v>
      </c>
    </row>
    <row r="799" spans="2:4">
      <c r="B799" s="50">
        <v>2014</v>
      </c>
      <c r="C799" s="282" t="s">
        <v>9219</v>
      </c>
    </row>
    <row r="800" spans="2:4">
      <c r="C800" s="50" t="s">
        <v>5667</v>
      </c>
      <c r="D800" s="50" t="s">
        <v>9220</v>
      </c>
    </row>
    <row r="801" spans="2:4">
      <c r="C801" s="50" t="s">
        <v>5668</v>
      </c>
    </row>
    <row r="802" spans="2:4">
      <c r="C802" s="50" t="s">
        <v>5666</v>
      </c>
      <c r="D802" s="50" t="s">
        <v>9221</v>
      </c>
    </row>
    <row r="804" spans="2:4">
      <c r="B804" s="50">
        <v>2014</v>
      </c>
      <c r="C804" s="282" t="s">
        <v>9216</v>
      </c>
    </row>
    <row r="805" spans="2:4">
      <c r="C805" s="50" t="s">
        <v>5667</v>
      </c>
      <c r="D805" s="50" t="s">
        <v>9217</v>
      </c>
    </row>
    <row r="806" spans="2:4">
      <c r="C806" s="50" t="s">
        <v>5668</v>
      </c>
    </row>
    <row r="807" spans="2:4">
      <c r="C807" s="50" t="s">
        <v>5666</v>
      </c>
      <c r="D807" s="50" t="s">
        <v>9218</v>
      </c>
    </row>
    <row r="809" spans="2:4">
      <c r="B809" s="50">
        <v>2014</v>
      </c>
      <c r="C809" s="282" t="s">
        <v>9209</v>
      </c>
    </row>
    <row r="810" spans="2:4">
      <c r="C810" s="50" t="s">
        <v>5667</v>
      </c>
      <c r="D810" s="50" t="s">
        <v>9210</v>
      </c>
    </row>
    <row r="811" spans="2:4">
      <c r="C811" s="50" t="s">
        <v>5668</v>
      </c>
    </row>
    <row r="812" spans="2:4">
      <c r="C812" s="50" t="s">
        <v>5666</v>
      </c>
      <c r="D812" s="50" t="s">
        <v>9211</v>
      </c>
    </row>
    <row r="814" spans="2:4">
      <c r="B814" s="50">
        <v>2014</v>
      </c>
      <c r="C814" s="282" t="s">
        <v>9207</v>
      </c>
    </row>
    <row r="815" spans="2:4">
      <c r="C815" s="50" t="s">
        <v>5667</v>
      </c>
      <c r="D815" s="50" t="s">
        <v>9175</v>
      </c>
    </row>
    <row r="816" spans="2:4">
      <c r="C816" s="50" t="s">
        <v>5668</v>
      </c>
      <c r="D816" s="296">
        <v>1479</v>
      </c>
    </row>
    <row r="817" spans="2:4">
      <c r="C817" s="50" t="s">
        <v>5666</v>
      </c>
      <c r="D817" s="50" t="s">
        <v>9208</v>
      </c>
    </row>
    <row r="819" spans="2:4">
      <c r="B819" s="50">
        <v>2014</v>
      </c>
      <c r="C819" s="282" t="s">
        <v>9204</v>
      </c>
    </row>
    <row r="820" spans="2:4">
      <c r="C820" s="50" t="s">
        <v>5667</v>
      </c>
      <c r="D820" s="50" t="s">
        <v>9205</v>
      </c>
    </row>
    <row r="821" spans="2:4">
      <c r="C821" s="50" t="s">
        <v>5668</v>
      </c>
    </row>
    <row r="822" spans="2:4">
      <c r="C822" s="50" t="s">
        <v>5666</v>
      </c>
      <c r="D822" s="50" t="s">
        <v>9206</v>
      </c>
    </row>
    <row r="824" spans="2:4">
      <c r="B824" s="50">
        <v>2014</v>
      </c>
      <c r="C824" s="282" t="s">
        <v>9202</v>
      </c>
    </row>
    <row r="825" spans="2:4">
      <c r="C825" s="50" t="s">
        <v>5667</v>
      </c>
      <c r="D825" s="50" t="s">
        <v>9169</v>
      </c>
    </row>
    <row r="826" spans="2:4">
      <c r="C826" s="50" t="s">
        <v>5668</v>
      </c>
    </row>
    <row r="827" spans="2:4">
      <c r="C827" s="50" t="s">
        <v>5666</v>
      </c>
      <c r="D827" s="50" t="s">
        <v>9203</v>
      </c>
    </row>
    <row r="829" spans="2:4">
      <c r="B829" s="50">
        <v>2013</v>
      </c>
      <c r="C829" s="282" t="s">
        <v>9199</v>
      </c>
    </row>
    <row r="830" spans="2:4">
      <c r="C830" s="50" t="s">
        <v>5667</v>
      </c>
      <c r="D830" s="50" t="s">
        <v>9200</v>
      </c>
    </row>
    <row r="831" spans="2:4">
      <c r="C831" s="50" t="s">
        <v>5668</v>
      </c>
    </row>
    <row r="832" spans="2:4">
      <c r="C832" s="50" t="s">
        <v>5666</v>
      </c>
      <c r="D832" s="50" t="s">
        <v>9201</v>
      </c>
    </row>
    <row r="834" spans="2:4">
      <c r="B834" s="50">
        <v>2013</v>
      </c>
      <c r="C834" s="282" t="s">
        <v>9196</v>
      </c>
    </row>
    <row r="835" spans="2:4">
      <c r="C835" s="50" t="s">
        <v>5667</v>
      </c>
      <c r="D835" s="50" t="s">
        <v>9197</v>
      </c>
    </row>
    <row r="836" spans="2:4">
      <c r="C836" s="50" t="s">
        <v>5668</v>
      </c>
      <c r="D836" s="50">
        <v>244</v>
      </c>
    </row>
    <row r="837" spans="2:4">
      <c r="C837" s="50" t="s">
        <v>5666</v>
      </c>
      <c r="D837" s="50" t="s">
        <v>9198</v>
      </c>
    </row>
    <row r="839" spans="2:4">
      <c r="B839" s="50">
        <v>2013</v>
      </c>
      <c r="C839" s="282" t="s">
        <v>9193</v>
      </c>
    </row>
    <row r="840" spans="2:4">
      <c r="C840" s="50" t="s">
        <v>5667</v>
      </c>
      <c r="D840" s="50" t="s">
        <v>9194</v>
      </c>
    </row>
    <row r="841" spans="2:4">
      <c r="C841" s="50" t="s">
        <v>5668</v>
      </c>
    </row>
    <row r="842" spans="2:4">
      <c r="C842" s="50" t="s">
        <v>5666</v>
      </c>
      <c r="D842" s="50" t="s">
        <v>9195</v>
      </c>
    </row>
    <row r="844" spans="2:4">
      <c r="B844" s="50">
        <v>2013</v>
      </c>
      <c r="C844" s="282" t="s">
        <v>9190</v>
      </c>
    </row>
    <row r="845" spans="2:4">
      <c r="C845" s="50" t="s">
        <v>5667</v>
      </c>
      <c r="D845" s="50" t="s">
        <v>9191</v>
      </c>
    </row>
    <row r="846" spans="2:4">
      <c r="C846" s="50" t="s">
        <v>5668</v>
      </c>
      <c r="D846" s="296">
        <v>72</v>
      </c>
    </row>
    <row r="847" spans="2:4">
      <c r="C847" s="50" t="s">
        <v>5666</v>
      </c>
      <c r="D847" s="50" t="s">
        <v>9192</v>
      </c>
    </row>
    <row r="849" spans="2:4">
      <c r="B849" s="50">
        <v>2013</v>
      </c>
      <c r="C849" s="282" t="s">
        <v>9188</v>
      </c>
    </row>
    <row r="850" spans="2:4">
      <c r="C850" s="50" t="s">
        <v>5667</v>
      </c>
      <c r="D850" s="50" t="s">
        <v>9178</v>
      </c>
    </row>
    <row r="851" spans="2:4">
      <c r="C851" s="50" t="s">
        <v>5668</v>
      </c>
      <c r="D851" s="296">
        <v>732</v>
      </c>
    </row>
    <row r="852" spans="2:4">
      <c r="C852" s="50" t="s">
        <v>5666</v>
      </c>
      <c r="D852" s="50" t="s">
        <v>9189</v>
      </c>
    </row>
    <row r="854" spans="2:4">
      <c r="B854" s="50">
        <v>2013</v>
      </c>
      <c r="C854" s="282" t="s">
        <v>9185</v>
      </c>
    </row>
    <row r="855" spans="2:4">
      <c r="C855" s="50" t="s">
        <v>5667</v>
      </c>
      <c r="D855" s="50" t="s">
        <v>9186</v>
      </c>
    </row>
    <row r="856" spans="2:4">
      <c r="C856" s="50" t="s">
        <v>5668</v>
      </c>
      <c r="D856" s="296">
        <v>581</v>
      </c>
    </row>
    <row r="857" spans="2:4">
      <c r="C857" s="50" t="s">
        <v>5666</v>
      </c>
      <c r="D857" s="50" t="s">
        <v>9187</v>
      </c>
    </row>
    <row r="859" spans="2:4">
      <c r="B859" s="50">
        <v>2012</v>
      </c>
      <c r="C859" s="282" t="s">
        <v>9183</v>
      </c>
    </row>
    <row r="860" spans="2:4">
      <c r="C860" s="50" t="s">
        <v>5667</v>
      </c>
      <c r="D860" s="50" t="s">
        <v>5822</v>
      </c>
    </row>
    <row r="861" spans="2:4">
      <c r="C861" s="50" t="s">
        <v>5668</v>
      </c>
    </row>
    <row r="862" spans="2:4">
      <c r="C862" s="50" t="s">
        <v>5666</v>
      </c>
      <c r="D862" s="50" t="s">
        <v>9184</v>
      </c>
    </row>
    <row r="864" spans="2:4">
      <c r="B864" s="50">
        <v>2012</v>
      </c>
      <c r="C864" s="282" t="s">
        <v>9180</v>
      </c>
    </row>
    <row r="865" spans="2:4">
      <c r="C865" s="50" t="s">
        <v>5667</v>
      </c>
      <c r="D865" s="50" t="s">
        <v>9181</v>
      </c>
    </row>
    <row r="866" spans="2:4">
      <c r="C866" s="50" t="s">
        <v>5668</v>
      </c>
      <c r="D866" s="374">
        <v>6668</v>
      </c>
    </row>
    <row r="867" spans="2:4">
      <c r="C867" s="50" t="s">
        <v>5666</v>
      </c>
      <c r="D867" s="50" t="s">
        <v>9182</v>
      </c>
    </row>
    <row r="869" spans="2:4">
      <c r="B869" s="50">
        <v>2012</v>
      </c>
      <c r="C869" s="282" t="s">
        <v>9171</v>
      </c>
    </row>
    <row r="870" spans="2:4">
      <c r="C870" s="50" t="s">
        <v>5667</v>
      </c>
      <c r="D870" s="50" t="s">
        <v>9172</v>
      </c>
    </row>
    <row r="871" spans="2:4">
      <c r="C871" s="50" t="s">
        <v>5668</v>
      </c>
    </row>
    <row r="872" spans="2:4">
      <c r="C872" s="50" t="s">
        <v>5666</v>
      </c>
      <c r="D872" s="50" t="s">
        <v>9173</v>
      </c>
    </row>
    <row r="874" spans="2:4">
      <c r="B874" s="50">
        <v>2012</v>
      </c>
      <c r="C874" s="282" t="s">
        <v>9174</v>
      </c>
    </row>
    <row r="875" spans="2:4">
      <c r="C875" s="50" t="s">
        <v>5667</v>
      </c>
      <c r="D875" s="50" t="s">
        <v>9175</v>
      </c>
    </row>
    <row r="876" spans="2:4">
      <c r="C876" s="50" t="s">
        <v>5668</v>
      </c>
      <c r="D876" s="296">
        <v>467</v>
      </c>
    </row>
    <row r="877" spans="2:4">
      <c r="C877" s="50" t="s">
        <v>5666</v>
      </c>
      <c r="D877" s="50" t="s">
        <v>9176</v>
      </c>
    </row>
    <row r="879" spans="2:4">
      <c r="B879" s="50">
        <v>2011</v>
      </c>
      <c r="C879" s="282" t="s">
        <v>9177</v>
      </c>
    </row>
    <row r="880" spans="2:4">
      <c r="C880" s="50" t="s">
        <v>5667</v>
      </c>
      <c r="D880" s="50" t="s">
        <v>9178</v>
      </c>
    </row>
    <row r="881" spans="2:4">
      <c r="C881" s="50" t="s">
        <v>5668</v>
      </c>
      <c r="D881" s="374">
        <v>1930</v>
      </c>
    </row>
    <row r="882" spans="2:4">
      <c r="C882" s="50" t="s">
        <v>5666</v>
      </c>
      <c r="D882" s="50" t="s">
        <v>9179</v>
      </c>
    </row>
    <row r="884" spans="2:4">
      <c r="B884" s="50">
        <v>2010</v>
      </c>
      <c r="C884" s="282" t="s">
        <v>8168</v>
      </c>
    </row>
    <row r="885" spans="2:4">
      <c r="C885" s="50" t="s">
        <v>5667</v>
      </c>
      <c r="D885" s="50" t="s">
        <v>8170</v>
      </c>
    </row>
    <row r="886" spans="2:4">
      <c r="C886" s="50" t="s">
        <v>5668</v>
      </c>
      <c r="D886" s="374">
        <v>2152</v>
      </c>
    </row>
    <row r="887" spans="2:4">
      <c r="C887" s="50" t="s">
        <v>5666</v>
      </c>
      <c r="D887" s="50" t="s">
        <v>8169</v>
      </c>
    </row>
    <row r="889" spans="2:4">
      <c r="B889" s="50">
        <v>2008</v>
      </c>
      <c r="C889" s="282" t="s">
        <v>9161</v>
      </c>
    </row>
    <row r="890" spans="2:4">
      <c r="C890" s="50" t="s">
        <v>5667</v>
      </c>
      <c r="D890" s="50" t="s">
        <v>9162</v>
      </c>
    </row>
    <row r="891" spans="2:4">
      <c r="C891" s="50" t="s">
        <v>5668</v>
      </c>
      <c r="D891" s="296">
        <v>96</v>
      </c>
    </row>
    <row r="892" spans="2:4">
      <c r="C892" s="50" t="s">
        <v>9163</v>
      </c>
      <c r="D892" s="50" t="s">
        <v>9164</v>
      </c>
    </row>
    <row r="894" spans="2:4">
      <c r="B894" s="50">
        <v>2006</v>
      </c>
      <c r="C894" s="282" t="s">
        <v>9168</v>
      </c>
    </row>
    <row r="895" spans="2:4">
      <c r="C895" s="50" t="s">
        <v>5667</v>
      </c>
      <c r="D895" s="50" t="s">
        <v>9169</v>
      </c>
    </row>
    <row r="896" spans="2:4">
      <c r="C896" s="50" t="s">
        <v>5668</v>
      </c>
      <c r="D896" s="374">
        <v>6392</v>
      </c>
    </row>
    <row r="897" spans="2:4">
      <c r="C897" s="50" t="s">
        <v>9163</v>
      </c>
      <c r="D897" s="50" t="s">
        <v>9170</v>
      </c>
    </row>
    <row r="899" spans="2:4">
      <c r="B899" s="50">
        <v>2005</v>
      </c>
      <c r="C899" s="282" t="s">
        <v>9165</v>
      </c>
    </row>
    <row r="900" spans="2:4">
      <c r="C900" s="50" t="s">
        <v>5667</v>
      </c>
      <c r="D900" s="50" t="s">
        <v>9166</v>
      </c>
    </row>
    <row r="901" spans="2:4">
      <c r="C901" s="50" t="s">
        <v>5668</v>
      </c>
      <c r="D901" s="374">
        <v>5841</v>
      </c>
    </row>
    <row r="902" spans="2:4">
      <c r="C902" s="50" t="s">
        <v>5666</v>
      </c>
      <c r="D902" s="50" t="s">
        <v>9167</v>
      </c>
    </row>
    <row r="904" spans="2:4">
      <c r="B904" s="50">
        <v>1997</v>
      </c>
      <c r="C904" s="282" t="s">
        <v>9158</v>
      </c>
    </row>
    <row r="905" spans="2:4">
      <c r="C905" s="50" t="s">
        <v>5667</v>
      </c>
      <c r="D905" s="50" t="s">
        <v>9159</v>
      </c>
    </row>
    <row r="906" spans="2:4">
      <c r="C906" s="50" t="s">
        <v>5668</v>
      </c>
      <c r="D906" s="296">
        <v>408</v>
      </c>
    </row>
    <row r="907" spans="2:4">
      <c r="C907" s="50" t="s">
        <v>5666</v>
      </c>
      <c r="D907" s="50" t="s">
        <v>9160</v>
      </c>
    </row>
    <row r="909" spans="2:4">
      <c r="B909" s="50">
        <v>1996</v>
      </c>
      <c r="C909" s="282" t="s">
        <v>8099</v>
      </c>
    </row>
    <row r="910" spans="2:4">
      <c r="C910" s="50" t="s">
        <v>5667</v>
      </c>
      <c r="D910" s="50" t="s">
        <v>8100</v>
      </c>
    </row>
    <row r="912" spans="2:4">
      <c r="B912" s="50">
        <v>1994</v>
      </c>
      <c r="C912" s="282" t="s">
        <v>9155</v>
      </c>
    </row>
    <row r="913" spans="2:4">
      <c r="C913" s="50" t="s">
        <v>5667</v>
      </c>
      <c r="D913" s="50" t="s">
        <v>9156</v>
      </c>
    </row>
    <row r="914" spans="2:4">
      <c r="C914" s="50" t="s">
        <v>5668</v>
      </c>
      <c r="D914" s="374">
        <v>1256</v>
      </c>
    </row>
    <row r="915" spans="2:4">
      <c r="C915" s="50" t="s">
        <v>5666</v>
      </c>
      <c r="D915" s="50" t="s">
        <v>9157</v>
      </c>
    </row>
    <row r="917" spans="2:4">
      <c r="B917" s="50">
        <v>1991</v>
      </c>
      <c r="C917" s="282" t="s">
        <v>9152</v>
      </c>
    </row>
    <row r="918" spans="2:4">
      <c r="C918" s="50" t="s">
        <v>5667</v>
      </c>
      <c r="D918" s="50" t="s">
        <v>9154</v>
      </c>
    </row>
    <row r="919" spans="2:4">
      <c r="C919" s="50" t="s">
        <v>5668</v>
      </c>
      <c r="D919" s="296">
        <v>36</v>
      </c>
    </row>
    <row r="920" spans="2:4">
      <c r="C920" s="50" t="s">
        <v>5666</v>
      </c>
      <c r="D920" s="50" t="s">
        <v>9153</v>
      </c>
    </row>
    <row r="922" spans="2:4">
      <c r="B922" s="50">
        <v>1991</v>
      </c>
      <c r="C922" s="282" t="s">
        <v>9149</v>
      </c>
    </row>
    <row r="923" spans="2:4">
      <c r="C923" s="50" t="s">
        <v>5667</v>
      </c>
      <c r="D923" s="50" t="s">
        <v>9150</v>
      </c>
    </row>
    <row r="924" spans="2:4">
      <c r="C924" s="50" t="s">
        <v>5668</v>
      </c>
    </row>
    <row r="925" spans="2:4">
      <c r="C925" s="50" t="s">
        <v>5666</v>
      </c>
      <c r="D925" s="50" t="s">
        <v>9151</v>
      </c>
    </row>
    <row r="927" spans="2:4">
      <c r="B927" s="50">
        <v>1989</v>
      </c>
      <c r="C927" s="282" t="s">
        <v>9146</v>
      </c>
    </row>
    <row r="928" spans="2:4">
      <c r="C928" s="50" t="s">
        <v>5667</v>
      </c>
      <c r="D928" s="50" t="s">
        <v>9148</v>
      </c>
    </row>
    <row r="929" spans="2:4">
      <c r="C929" s="50" t="s">
        <v>5668</v>
      </c>
      <c r="D929" s="374">
        <v>2961</v>
      </c>
    </row>
    <row r="930" spans="2:4">
      <c r="C930" s="50" t="s">
        <v>5666</v>
      </c>
      <c r="D930" s="50" t="s">
        <v>9147</v>
      </c>
    </row>
    <row r="932" spans="2:4">
      <c r="B932" s="50">
        <v>1989</v>
      </c>
      <c r="C932" s="282" t="s">
        <v>9143</v>
      </c>
    </row>
    <row r="933" spans="2:4">
      <c r="C933" s="50" t="s">
        <v>5667</v>
      </c>
      <c r="D933" s="50" t="s">
        <v>9144</v>
      </c>
    </row>
    <row r="934" spans="2:4">
      <c r="C934" s="50" t="s">
        <v>5668</v>
      </c>
      <c r="D934" s="374">
        <v>13699</v>
      </c>
    </row>
    <row r="935" spans="2:4">
      <c r="C935" s="50" t="s">
        <v>5666</v>
      </c>
      <c r="D935" s="50" t="s">
        <v>9145</v>
      </c>
    </row>
    <row r="937" spans="2:4">
      <c r="B937" s="50">
        <v>1986</v>
      </c>
      <c r="C937" s="282" t="s">
        <v>9142</v>
      </c>
    </row>
    <row r="938" spans="2:4">
      <c r="C938" s="50" t="s">
        <v>5667</v>
      </c>
      <c r="D938" s="50" t="s">
        <v>9140</v>
      </c>
    </row>
    <row r="939" spans="2:4">
      <c r="C939" s="50" t="s">
        <v>5668</v>
      </c>
      <c r="D939" s="296">
        <v>358</v>
      </c>
    </row>
    <row r="940" spans="2:4">
      <c r="C940" s="50" t="s">
        <v>5666</v>
      </c>
      <c r="D940" s="50" t="s">
        <v>9141</v>
      </c>
    </row>
    <row r="942" spans="2:4">
      <c r="B942" s="50">
        <v>1986</v>
      </c>
      <c r="C942" s="282" t="s">
        <v>9137</v>
      </c>
    </row>
    <row r="943" spans="2:4">
      <c r="C943" s="50" t="s">
        <v>5667</v>
      </c>
      <c r="D943" s="50" t="s">
        <v>9138</v>
      </c>
    </row>
    <row r="944" spans="2:4">
      <c r="C944" s="50" t="s">
        <v>5668</v>
      </c>
    </row>
    <row r="945" spans="2:4">
      <c r="C945" s="50" t="s">
        <v>5666</v>
      </c>
      <c r="D945" s="50" t="s">
        <v>9139</v>
      </c>
    </row>
    <row r="947" spans="2:4">
      <c r="B947" s="50">
        <v>1983</v>
      </c>
      <c r="C947" s="282" t="s">
        <v>9134</v>
      </c>
    </row>
    <row r="948" spans="2:4">
      <c r="C948" s="50" t="s">
        <v>5667</v>
      </c>
      <c r="D948" s="50" t="s">
        <v>9135</v>
      </c>
    </row>
    <row r="949" spans="2:4">
      <c r="C949" s="50" t="s">
        <v>5668</v>
      </c>
      <c r="D949" s="296">
        <v>643</v>
      </c>
    </row>
    <row r="950" spans="2:4">
      <c r="C950" s="50" t="s">
        <v>5666</v>
      </c>
      <c r="D950" s="50" t="s">
        <v>9136</v>
      </c>
    </row>
    <row r="953" spans="2:4">
      <c r="B953" s="50">
        <v>1983</v>
      </c>
      <c r="C953" s="282" t="s">
        <v>9131</v>
      </c>
    </row>
    <row r="954" spans="2:4">
      <c r="C954" s="50" t="s">
        <v>5667</v>
      </c>
      <c r="D954" s="50" t="s">
        <v>9132</v>
      </c>
    </row>
    <row r="955" spans="2:4">
      <c r="C955" s="50" t="s">
        <v>5668</v>
      </c>
    </row>
    <row r="956" spans="2:4">
      <c r="C956" s="50" t="s">
        <v>5666</v>
      </c>
      <c r="D956" s="50" t="s">
        <v>9133</v>
      </c>
    </row>
    <row r="961" spans="3:3">
      <c r="C961" s="50" t="s">
        <v>8185</v>
      </c>
    </row>
  </sheetData>
  <hyperlinks>
    <hyperlink ref="D97" r:id="rId1" xr:uid="{56D3BAD7-9CD0-8F45-8D7A-0F1B952D68D2}"/>
    <hyperlink ref="D487" r:id="rId2" xr:uid="{06220F7B-8571-5B40-9C25-D0654EFA044A}"/>
    <hyperlink ref="D217" r:id="rId3" xr:uid="{472527B7-47E4-BD4D-88C2-010413011F86}"/>
    <hyperlink ref="D282" r:id="rId4" xr:uid="{998DDAB7-5A51-BC44-9D21-713E54103D18}"/>
    <hyperlink ref="D52" r:id="rId5" xr:uid="{AE19B69C-9E84-0647-A976-3B143177D766}"/>
    <hyperlink ref="D47" r:id="rId6" xr:uid="{3935FC03-2B80-744A-99F8-6C7EE2AEA4D6}"/>
    <hyperlink ref="A1" location="Main!A1" display="Main" xr:uid="{0A2DABEC-4618-0842-867A-0B0B698C7AD2}"/>
    <hyperlink ref="D432" r:id="rId7" xr:uid="{FA3FC65C-3CA2-5749-959A-1662ADBDE7B8}"/>
    <hyperlink ref="D377" r:id="rId8" xr:uid="{F94A1DF5-8FD3-A842-9FB0-ACDB6FE15311}"/>
    <hyperlink ref="D317" r:id="rId9" xr:uid="{A58119FB-BE94-274A-9BDE-C79788280F58}"/>
    <hyperlink ref="D337" r:id="rId10" xr:uid="{DBDF5758-B52B-974E-9CF7-164C5B1ACFDC}"/>
    <hyperlink ref="D277" r:id="rId11" xr:uid="{1A640137-3B3F-254C-A524-3C66C684E8B4}"/>
    <hyperlink ref="D312" r:id="rId12" xr:uid="{09BB46E4-35DF-BA49-BB81-4502D4562759}"/>
    <hyperlink ref="D587" r:id="rId13" xr:uid="{98301AE4-5D38-6948-BC7D-C1810616E333}"/>
    <hyperlink ref="D147" r:id="rId14" xr:uid="{1A4077B8-F1A8-EB42-9562-B818ACB2890E}"/>
    <hyperlink ref="D367" r:id="rId15" xr:uid="{70C079C3-4FCA-C54A-8A62-D33AB8569657}"/>
    <hyperlink ref="D502" r:id="rId16" xr:uid="{C559ACBB-4A86-6844-9DCC-D1B49F17E850}"/>
    <hyperlink ref="D452" r:id="rId17" xr:uid="{720C36B2-01C6-244A-82F8-07A0D9DAB472}"/>
    <hyperlink ref="D597" r:id="rId18" xr:uid="{B937A697-07D6-8B46-AF77-462D84D1B745}"/>
    <hyperlink ref="D782" r:id="rId19" xr:uid="{4A0EA7CA-7B63-254E-A609-F8945586BA95}"/>
    <hyperlink ref="D77" r:id="rId20" xr:uid="{1C045187-1B08-8D44-B43C-74E6FF2B00CD}"/>
    <hyperlink ref="D22" r:id="rId21" xr:uid="{887139F6-52DF-224F-A5D5-3F3D7C32160A}"/>
    <hyperlink ref="D21" r:id="rId22" xr:uid="{144A9F23-BB90-5E4F-805A-380A3A81A29D}"/>
    <hyperlink ref="D387" r:id="rId23" xr:uid="{B967C7A5-B4DC-5440-AE7B-B5FCD3FFD248}"/>
    <hyperlink ref="D392" r:id="rId24" xr:uid="{126A8B16-040E-0B44-AC84-AE9CE0D72D31}"/>
    <hyperlink ref="D177" r:id="rId25" xr:uid="{D4BABABC-1F5F-D945-8DE5-133340E3CEDB}"/>
    <hyperlink ref="D592" r:id="rId26" xr:uid="{873FC6EF-A9D6-104F-A18F-2EC0C2A4762D}"/>
    <hyperlink ref="D797" r:id="rId27" xr:uid="{0EEE05A7-334A-D44A-812C-E1039930C06D}"/>
    <hyperlink ref="D287" r:id="rId28" xr:uid="{C1768380-98D9-7743-9E5C-373A38966C3E}"/>
  </hyperlinks>
  <pageMargins left="0.7" right="0.7" top="0.75" bottom="0.75" header="0.3" footer="0.3"/>
  <pageSetup orientation="portrait" horizontalDpi="0" verticalDpi="0"/>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B18A8-0B6B-004F-A81B-3F11E2BF8F8E}">
  <dimension ref="A1:S70"/>
  <sheetViews>
    <sheetView zoomScale="120" zoomScaleNormal="120" workbookViewId="0">
      <pane xSplit="2" ySplit="2" topLeftCell="C3" activePane="bottomRight" state="frozen"/>
      <selection pane="topRight" activeCell="C1" sqref="C1"/>
      <selection pane="bottomLeft" activeCell="A3" sqref="A3"/>
      <selection pane="bottomRight" activeCell="J15" sqref="J15"/>
    </sheetView>
  </sheetViews>
  <sheetFormatPr baseColWidth="10" defaultColWidth="10.83203125" defaultRowHeight="16"/>
  <cols>
    <col min="1" max="1" width="5.33203125" style="286" bestFit="1" customWidth="1"/>
    <col min="2" max="2" width="24.6640625" style="286" customWidth="1"/>
    <col min="3" max="4" width="10.83203125" style="286"/>
    <col min="5" max="6" width="10.83203125" style="301"/>
    <col min="7" max="7" width="10.83203125" style="286"/>
    <col min="8" max="8" width="10.83203125" style="301"/>
    <col min="9" max="9" width="10.83203125" style="286"/>
    <col min="10" max="10" width="10.83203125" style="304"/>
    <col min="11" max="15" width="10.83203125" style="286"/>
    <col min="16" max="18" width="10.83203125" style="304"/>
    <col min="19" max="16384" width="10.83203125" style="286"/>
  </cols>
  <sheetData>
    <row r="1" spans="1:19">
      <c r="A1" s="280" t="s">
        <v>1165</v>
      </c>
      <c r="B1" s="50"/>
      <c r="C1" s="285"/>
      <c r="D1" s="50"/>
      <c r="E1" s="297"/>
      <c r="F1" s="296"/>
      <c r="G1" s="50"/>
      <c r="H1" s="296"/>
      <c r="I1" s="50"/>
      <c r="K1" s="50"/>
      <c r="L1" s="50"/>
      <c r="M1" s="50">
        <v>2013</v>
      </c>
      <c r="N1" s="283">
        <v>45334</v>
      </c>
    </row>
    <row r="2" spans="1:19">
      <c r="A2" s="50"/>
      <c r="B2" s="50"/>
      <c r="C2" s="287" t="s">
        <v>7675</v>
      </c>
      <c r="D2" s="287" t="s">
        <v>7674</v>
      </c>
      <c r="E2" s="298" t="s">
        <v>3967</v>
      </c>
      <c r="F2" s="298" t="s">
        <v>3972</v>
      </c>
      <c r="G2" s="287" t="s">
        <v>7427</v>
      </c>
      <c r="H2" s="298" t="s">
        <v>7680</v>
      </c>
      <c r="I2" s="287" t="s">
        <v>7681</v>
      </c>
      <c r="J2" s="305" t="s">
        <v>8112</v>
      </c>
      <c r="K2" s="287" t="s">
        <v>7677</v>
      </c>
      <c r="L2" s="287" t="s">
        <v>1150</v>
      </c>
      <c r="M2" s="287" t="s">
        <v>7706</v>
      </c>
      <c r="N2" s="287" t="s">
        <v>7706</v>
      </c>
      <c r="O2" s="298" t="s">
        <v>8261</v>
      </c>
      <c r="P2" s="305" t="s">
        <v>8305</v>
      </c>
    </row>
    <row r="3" spans="1:19">
      <c r="A3" s="50"/>
      <c r="B3" s="50" t="s">
        <v>3213</v>
      </c>
      <c r="C3" s="50">
        <v>2022</v>
      </c>
      <c r="D3" s="50" t="s">
        <v>6144</v>
      </c>
      <c r="E3" s="297" t="s">
        <v>5132</v>
      </c>
      <c r="F3" s="296" t="s">
        <v>7679</v>
      </c>
      <c r="G3" s="50">
        <v>330</v>
      </c>
      <c r="H3" s="296" t="s">
        <v>7765</v>
      </c>
      <c r="I3" s="50">
        <f>330/40</f>
        <v>8.25</v>
      </c>
      <c r="J3" s="333">
        <v>0.18</v>
      </c>
      <c r="K3" s="288" t="s">
        <v>8111</v>
      </c>
      <c r="L3" s="50"/>
      <c r="M3" s="289">
        <v>11.71</v>
      </c>
      <c r="N3" s="289">
        <v>17.22</v>
      </c>
      <c r="O3" s="452">
        <f>AVERAGE(838,842,855)</f>
        <v>845</v>
      </c>
      <c r="P3" s="452">
        <f>AVERAGE(14024,14189)</f>
        <v>14106.5</v>
      </c>
    </row>
    <row r="4" spans="1:19">
      <c r="A4" s="50"/>
      <c r="B4" s="50" t="s">
        <v>1542</v>
      </c>
      <c r="C4" s="50">
        <v>2017</v>
      </c>
      <c r="D4" s="50" t="s">
        <v>7687</v>
      </c>
      <c r="E4" s="297" t="s">
        <v>7711</v>
      </c>
      <c r="F4" s="296" t="s">
        <v>7699</v>
      </c>
      <c r="G4" s="50">
        <f>32*12</f>
        <v>384</v>
      </c>
      <c r="H4" s="296">
        <v>100</v>
      </c>
      <c r="I4" s="50">
        <f>G4/H4</f>
        <v>3.84</v>
      </c>
      <c r="J4" s="333" t="s">
        <v>1</v>
      </c>
      <c r="K4" s="288"/>
      <c r="L4" s="50" t="s">
        <v>8113</v>
      </c>
      <c r="M4" s="50">
        <v>5.9790000000000001</v>
      </c>
      <c r="N4" s="50">
        <v>6.1369999999999996</v>
      </c>
      <c r="O4" s="452" t="s">
        <v>1</v>
      </c>
      <c r="P4" s="452" t="s">
        <v>1</v>
      </c>
      <c r="Q4" s="306"/>
      <c r="R4" s="306"/>
      <c r="S4" s="303"/>
    </row>
    <row r="5" spans="1:19">
      <c r="A5" s="50"/>
      <c r="B5" s="50" t="s">
        <v>7435</v>
      </c>
      <c r="C5" s="50">
        <v>2020</v>
      </c>
      <c r="D5" s="50"/>
      <c r="E5" s="297" t="s">
        <v>5141</v>
      </c>
      <c r="F5" s="296" t="s">
        <v>7701</v>
      </c>
      <c r="G5" s="50">
        <v>39</v>
      </c>
      <c r="H5" s="296" t="s">
        <v>7700</v>
      </c>
      <c r="I5" s="50">
        <f>39/4</f>
        <v>9.75</v>
      </c>
      <c r="J5" s="333">
        <v>0.19</v>
      </c>
      <c r="K5" s="288" t="s">
        <v>7702</v>
      </c>
      <c r="L5" s="50"/>
      <c r="M5" s="50">
        <v>2.5950000000000002</v>
      </c>
      <c r="N5" s="50">
        <v>2.0179999999999998</v>
      </c>
      <c r="O5" s="452" t="s">
        <v>1</v>
      </c>
      <c r="P5" s="452" t="s">
        <v>1</v>
      </c>
      <c r="R5" s="307"/>
      <c r="S5"/>
    </row>
    <row r="6" spans="1:19">
      <c r="A6" s="50"/>
      <c r="B6" s="50" t="s">
        <v>620</v>
      </c>
      <c r="C6" s="50">
        <v>2022</v>
      </c>
      <c r="D6" s="50" t="s">
        <v>6144</v>
      </c>
      <c r="E6" s="297" t="s">
        <v>5140</v>
      </c>
      <c r="F6" s="296" t="s">
        <v>2683</v>
      </c>
      <c r="G6" s="50">
        <v>999</v>
      </c>
      <c r="H6" s="296" t="s">
        <v>7689</v>
      </c>
      <c r="I6" s="288">
        <f>999/225</f>
        <v>4.4400000000000004</v>
      </c>
      <c r="J6" s="333">
        <v>0.1</v>
      </c>
      <c r="K6" s="288" t="s">
        <v>7683</v>
      </c>
      <c r="L6" s="50"/>
      <c r="M6" s="50">
        <v>2.012</v>
      </c>
      <c r="N6" s="50">
        <v>1.927</v>
      </c>
      <c r="O6" s="452">
        <f>AVERAGE(7623, 6520, 6038,5998)</f>
        <v>6544.75</v>
      </c>
      <c r="P6" s="452">
        <f>AVERAGE(65064, 67021)</f>
        <v>66042.5</v>
      </c>
      <c r="Q6" s="286"/>
      <c r="R6" s="307"/>
      <c r="S6"/>
    </row>
    <row r="7" spans="1:19">
      <c r="A7" s="50"/>
      <c r="B7" s="50" t="s">
        <v>122</v>
      </c>
      <c r="C7" s="50"/>
      <c r="D7" s="50"/>
      <c r="E7" s="297" t="s">
        <v>4467</v>
      </c>
      <c r="F7" s="296"/>
      <c r="G7" s="50">
        <v>149</v>
      </c>
      <c r="H7" s="296" t="s">
        <v>7730</v>
      </c>
      <c r="I7" s="262">
        <f>149/20</f>
        <v>7.45</v>
      </c>
      <c r="J7" s="333">
        <v>7.4999999999999997E-2</v>
      </c>
      <c r="K7" s="288"/>
      <c r="L7" s="50" t="s">
        <v>7731</v>
      </c>
      <c r="M7" s="290">
        <v>0.96093700000000004</v>
      </c>
      <c r="N7" s="290">
        <v>0.79211799999999999</v>
      </c>
      <c r="O7" s="452">
        <f>AVERAGE(12545, 12495)</f>
        <v>12520</v>
      </c>
      <c r="P7" s="452">
        <f>(38598+91087+45608+47662)</f>
        <v>222955</v>
      </c>
    </row>
    <row r="8" spans="1:19">
      <c r="A8" s="50"/>
      <c r="B8" s="50" t="s">
        <v>481</v>
      </c>
      <c r="C8" s="50"/>
      <c r="D8" s="50"/>
      <c r="E8" s="297" t="s">
        <v>5142</v>
      </c>
      <c r="F8" s="296"/>
      <c r="G8" s="50">
        <v>6.0000000000000001E-3</v>
      </c>
      <c r="H8" s="296" t="s">
        <v>7712</v>
      </c>
      <c r="I8" s="262">
        <f>G8*60*60</f>
        <v>21.599999999999998</v>
      </c>
      <c r="J8" s="333">
        <v>8.9099999999999999E-2</v>
      </c>
      <c r="K8" s="288"/>
      <c r="L8" s="50"/>
      <c r="M8" s="290">
        <v>0.91888099999999995</v>
      </c>
      <c r="N8" s="290">
        <v>0.49071100000000001</v>
      </c>
      <c r="O8" s="452">
        <f>AVERAGE(921,1236,1020)</f>
        <v>1059</v>
      </c>
      <c r="P8" s="452">
        <f>AVERAGE(5702,5522)</f>
        <v>5612</v>
      </c>
      <c r="Q8" s="306"/>
    </row>
    <row r="9" spans="1:19">
      <c r="A9" s="50"/>
      <c r="B9" s="50" t="s">
        <v>7426</v>
      </c>
      <c r="C9" s="50">
        <v>2018</v>
      </c>
      <c r="D9" s="50" t="s">
        <v>7694</v>
      </c>
      <c r="E9" s="297" t="s">
        <v>7428</v>
      </c>
      <c r="F9" s="296" t="s">
        <v>7693</v>
      </c>
      <c r="G9" s="50">
        <v>99</v>
      </c>
      <c r="H9" s="302" t="s">
        <v>7691</v>
      </c>
      <c r="I9" s="262">
        <f>99/75</f>
        <v>1.32</v>
      </c>
      <c r="J9" s="333" t="s">
        <v>8117</v>
      </c>
      <c r="K9" s="288" t="s">
        <v>7692</v>
      </c>
      <c r="L9" s="50" t="s">
        <v>7695</v>
      </c>
      <c r="M9" s="290">
        <v>0.29441499999999998</v>
      </c>
      <c r="N9" s="290">
        <v>0.34598200000000001</v>
      </c>
      <c r="O9" s="452" t="s">
        <v>1</v>
      </c>
      <c r="P9" s="452" t="s">
        <v>1</v>
      </c>
    </row>
    <row r="10" spans="1:19">
      <c r="A10" s="50"/>
      <c r="B10" s="50" t="s">
        <v>8313</v>
      </c>
      <c r="C10" s="50"/>
      <c r="D10" s="50" t="s">
        <v>5193</v>
      </c>
      <c r="E10" s="297" t="s">
        <v>7735</v>
      </c>
      <c r="F10" s="296"/>
      <c r="G10" s="50">
        <v>36</v>
      </c>
      <c r="H10" s="296" t="s">
        <v>7736</v>
      </c>
      <c r="I10" s="262">
        <f>36/6</f>
        <v>6</v>
      </c>
      <c r="J10" s="333">
        <f>34/300000*1000</f>
        <v>0.11333333333333333</v>
      </c>
      <c r="K10" s="288"/>
      <c r="L10" s="50"/>
      <c r="M10" s="290">
        <v>6.5215999999999996E-2</v>
      </c>
      <c r="N10" s="289">
        <v>0.32053300000000001</v>
      </c>
      <c r="O10" s="452"/>
      <c r="P10" s="452"/>
    </row>
    <row r="11" spans="1:19">
      <c r="A11" s="50"/>
      <c r="B11" s="50" t="s">
        <v>7729</v>
      </c>
      <c r="C11" s="50"/>
      <c r="D11" s="50"/>
      <c r="E11" s="297" t="s">
        <v>7786</v>
      </c>
      <c r="F11" s="296"/>
      <c r="G11" s="50">
        <v>162</v>
      </c>
      <c r="H11" s="296" t="s">
        <v>7690</v>
      </c>
      <c r="I11" s="262">
        <f>162/20</f>
        <v>8.1</v>
      </c>
      <c r="J11" s="333">
        <v>0.18</v>
      </c>
      <c r="K11" s="288"/>
      <c r="L11" s="50"/>
      <c r="M11" s="290">
        <v>0.36320200000000002</v>
      </c>
      <c r="N11" s="289">
        <v>0.18176500000000001</v>
      </c>
      <c r="O11" s="452"/>
      <c r="P11" s="452"/>
      <c r="S11"/>
    </row>
    <row r="12" spans="1:19">
      <c r="A12" s="50"/>
      <c r="B12" s="291" t="s">
        <v>1966</v>
      </c>
      <c r="C12" s="291">
        <v>2020</v>
      </c>
      <c r="D12" s="291" t="s">
        <v>6144</v>
      </c>
      <c r="E12" s="299" t="s">
        <v>7684</v>
      </c>
      <c r="F12" s="300" t="s">
        <v>7676</v>
      </c>
      <c r="G12" s="291">
        <v>175</v>
      </c>
      <c r="H12" s="300" t="s">
        <v>7682</v>
      </c>
      <c r="I12" s="292">
        <f>175/25</f>
        <v>7</v>
      </c>
      <c r="J12" s="334">
        <v>0.14000000000000001</v>
      </c>
      <c r="K12" s="293" t="s">
        <v>7678</v>
      </c>
      <c r="L12" s="291"/>
      <c r="M12" s="294">
        <v>0.26786700000000002</v>
      </c>
      <c r="N12" s="290">
        <v>0.12159</v>
      </c>
      <c r="O12" s="452" t="s">
        <v>8312</v>
      </c>
      <c r="P12" s="452" t="s">
        <v>8312</v>
      </c>
      <c r="S12"/>
    </row>
    <row r="13" spans="1:19">
      <c r="A13" s="50"/>
      <c r="B13" s="50" t="s">
        <v>1293</v>
      </c>
      <c r="C13" s="50"/>
      <c r="D13" s="50"/>
      <c r="E13" s="297" t="s">
        <v>7740</v>
      </c>
      <c r="F13" s="296"/>
      <c r="G13" s="50">
        <v>119</v>
      </c>
      <c r="H13" s="296" t="s">
        <v>7741</v>
      </c>
      <c r="I13" s="262">
        <f>119/30</f>
        <v>3.9666666666666668</v>
      </c>
      <c r="J13" s="333"/>
      <c r="K13" s="288"/>
      <c r="L13" s="50"/>
      <c r="M13" s="290">
        <v>0.119672</v>
      </c>
      <c r="N13" s="289">
        <v>0.108222</v>
      </c>
      <c r="O13" s="452"/>
      <c r="P13" s="452"/>
    </row>
    <row r="14" spans="1:19">
      <c r="A14" s="50"/>
      <c r="B14" s="50" t="s">
        <v>7433</v>
      </c>
      <c r="C14" s="50">
        <v>2019</v>
      </c>
      <c r="D14" s="50"/>
      <c r="E14" s="297" t="s">
        <v>7784</v>
      </c>
      <c r="F14" s="296"/>
      <c r="G14" s="50">
        <v>199</v>
      </c>
      <c r="H14" s="296" t="s">
        <v>7700</v>
      </c>
      <c r="I14" s="262">
        <f>199/4</f>
        <v>49.75</v>
      </c>
      <c r="J14" s="333"/>
      <c r="K14" s="288" t="s">
        <v>7728</v>
      </c>
      <c r="L14" s="50"/>
      <c r="M14" s="290">
        <v>3.2071000000000002E-2</v>
      </c>
      <c r="N14" s="289">
        <v>9.2105000000000006E-2</v>
      </c>
      <c r="O14" s="452"/>
      <c r="P14" s="452"/>
    </row>
    <row r="15" spans="1:19">
      <c r="A15" s="50"/>
      <c r="B15" s="50" t="s">
        <v>2000</v>
      </c>
      <c r="C15" s="50"/>
      <c r="D15" s="50"/>
      <c r="E15" s="297" t="s">
        <v>7734</v>
      </c>
      <c r="F15" s="296"/>
      <c r="G15" s="50">
        <v>36</v>
      </c>
      <c r="H15" s="296" t="s">
        <v>7700</v>
      </c>
      <c r="I15" s="262">
        <f>G15/4</f>
        <v>9</v>
      </c>
      <c r="J15" s="333"/>
      <c r="K15" s="288"/>
      <c r="L15" s="50" t="s">
        <v>6643</v>
      </c>
      <c r="M15" s="290">
        <v>0.130269</v>
      </c>
      <c r="N15" s="289">
        <v>9.0467000000000006E-2</v>
      </c>
      <c r="O15" s="452"/>
      <c r="P15" s="452"/>
    </row>
    <row r="16" spans="1:19">
      <c r="A16" s="50"/>
      <c r="B16" s="50" t="s">
        <v>8258</v>
      </c>
      <c r="C16" s="50">
        <v>2023</v>
      </c>
      <c r="D16" s="50" t="s">
        <v>8307</v>
      </c>
      <c r="E16" s="297" t="s">
        <v>8306</v>
      </c>
      <c r="F16" s="296"/>
      <c r="G16" s="50"/>
      <c r="H16" s="296"/>
      <c r="I16" s="262"/>
      <c r="J16" s="335">
        <v>1E-3</v>
      </c>
      <c r="K16" s="288" t="s">
        <v>8352</v>
      </c>
      <c r="L16" s="50"/>
      <c r="M16" s="290"/>
      <c r="N16" s="289">
        <v>6.4905000000000004E-2</v>
      </c>
      <c r="O16" s="452">
        <f>AVERAGE(151,151,148,153)</f>
        <v>150.75</v>
      </c>
      <c r="P16" s="452">
        <f>AVERAGE(973,812,816)</f>
        <v>867</v>
      </c>
    </row>
    <row r="17" spans="1:16">
      <c r="A17" s="50"/>
      <c r="B17" s="50"/>
      <c r="C17" s="50"/>
      <c r="D17" s="50"/>
      <c r="E17" s="297"/>
      <c r="F17" s="296"/>
      <c r="G17" s="50"/>
      <c r="H17" s="296"/>
      <c r="I17" s="262"/>
      <c r="J17" s="335"/>
      <c r="K17" s="288"/>
      <c r="L17" s="50"/>
      <c r="M17" s="290"/>
      <c r="N17" s="289"/>
      <c r="O17" s="452"/>
      <c r="P17" s="452"/>
    </row>
    <row r="18" spans="1:16">
      <c r="A18" s="50"/>
      <c r="B18" s="50" t="s">
        <v>5172</v>
      </c>
      <c r="C18" s="50">
        <v>2022</v>
      </c>
      <c r="D18" s="50"/>
      <c r="E18" s="297" t="s">
        <v>7709</v>
      </c>
      <c r="F18" s="296" t="s">
        <v>7710</v>
      </c>
      <c r="G18" s="50">
        <v>4999</v>
      </c>
      <c r="H18" s="296" t="s">
        <v>7704</v>
      </c>
      <c r="I18" s="262">
        <f>5000/12500</f>
        <v>0.4</v>
      </c>
      <c r="J18" s="333">
        <v>7.9000000000000008E-3</v>
      </c>
      <c r="K18" s="288"/>
      <c r="L18" s="50" t="s">
        <v>7705</v>
      </c>
      <c r="M18" s="289">
        <v>1.6397999999999999E-2</v>
      </c>
      <c r="N18" s="289">
        <v>3.4521000000000003E-2</v>
      </c>
      <c r="O18" s="452"/>
      <c r="P18" s="452"/>
    </row>
    <row r="19" spans="1:16">
      <c r="A19" s="50"/>
      <c r="B19" s="50" t="s">
        <v>6214</v>
      </c>
      <c r="C19" s="50">
        <v>2021</v>
      </c>
      <c r="D19" s="50" t="s">
        <v>7687</v>
      </c>
      <c r="E19" s="297" t="s">
        <v>7688</v>
      </c>
      <c r="F19" s="296" t="s">
        <v>7685</v>
      </c>
      <c r="G19" s="50">
        <v>75</v>
      </c>
      <c r="H19" s="296" t="s">
        <v>7690</v>
      </c>
      <c r="I19" s="50">
        <f>75/20</f>
        <v>3.75</v>
      </c>
      <c r="J19" s="333">
        <v>7.4999999999999997E-2</v>
      </c>
      <c r="K19" s="288" t="s">
        <v>7686</v>
      </c>
      <c r="L19" s="50"/>
      <c r="M19" s="290">
        <v>5.1739999999999998E-3</v>
      </c>
      <c r="N19" s="290">
        <v>5.1739999999999998E-3</v>
      </c>
      <c r="O19" s="452">
        <v>370</v>
      </c>
      <c r="P19" s="452">
        <v>2822</v>
      </c>
    </row>
    <row r="20" spans="1:16">
      <c r="A20" s="50"/>
      <c r="B20" s="50" t="s">
        <v>7780</v>
      </c>
      <c r="C20" s="50"/>
      <c r="D20" s="50"/>
      <c r="E20" s="297" t="s">
        <v>7781</v>
      </c>
      <c r="F20" s="296"/>
      <c r="G20" s="50">
        <v>7</v>
      </c>
      <c r="H20" s="296" t="s">
        <v>7782</v>
      </c>
      <c r="I20" s="262">
        <f>7/0.6</f>
        <v>11.666666666666668</v>
      </c>
      <c r="J20" s="333"/>
      <c r="K20" s="288"/>
      <c r="L20" s="50" t="s">
        <v>7783</v>
      </c>
      <c r="M20" s="290"/>
      <c r="N20" s="289">
        <v>9.7940000000000006E-3</v>
      </c>
      <c r="O20" s="452"/>
      <c r="P20" s="452"/>
    </row>
    <row r="21" spans="1:16">
      <c r="A21" s="50"/>
      <c r="B21" s="50" t="s">
        <v>7766</v>
      </c>
      <c r="C21" s="50"/>
      <c r="D21" s="50"/>
      <c r="E21" s="297" t="s">
        <v>7785</v>
      </c>
      <c r="F21" s="296"/>
      <c r="G21" s="50">
        <v>99</v>
      </c>
      <c r="H21" s="296" t="s">
        <v>7767</v>
      </c>
      <c r="I21" s="262">
        <f>100/24</f>
        <v>4.166666666666667</v>
      </c>
      <c r="J21" s="333"/>
      <c r="K21" s="288"/>
      <c r="L21" s="50"/>
      <c r="M21" s="290"/>
      <c r="N21" s="289"/>
      <c r="O21" s="452"/>
      <c r="P21" s="452"/>
    </row>
    <row r="22" spans="1:16">
      <c r="A22" s="50"/>
      <c r="B22" s="50" t="s">
        <v>8310</v>
      </c>
      <c r="C22" s="50"/>
      <c r="D22" s="50"/>
      <c r="E22" s="297" t="s">
        <v>3935</v>
      </c>
      <c r="F22" s="296"/>
      <c r="G22" s="50"/>
      <c r="H22" s="296"/>
      <c r="I22" s="262"/>
      <c r="J22" s="333">
        <v>1.4999999999999999E-2</v>
      </c>
      <c r="K22" s="288" t="s">
        <v>1</v>
      </c>
      <c r="L22" s="50"/>
      <c r="M22" s="290"/>
      <c r="N22" s="289"/>
      <c r="O22" s="452">
        <f>AVERAGE(810,921,733)</f>
        <v>821.33333333333337</v>
      </c>
      <c r="P22" s="452">
        <f>AVERAGE(12281,11833,8494)</f>
        <v>10869.333333333334</v>
      </c>
    </row>
    <row r="23" spans="1:16">
      <c r="A23" s="50"/>
      <c r="B23" s="50" t="s">
        <v>8311</v>
      </c>
      <c r="C23" s="50"/>
      <c r="D23" s="50"/>
      <c r="E23" s="297" t="s">
        <v>3935</v>
      </c>
      <c r="F23" s="296"/>
      <c r="G23" s="50"/>
      <c r="H23" s="296"/>
      <c r="I23" s="262"/>
      <c r="J23" s="333">
        <v>0.03</v>
      </c>
      <c r="K23" s="288" t="s">
        <v>1</v>
      </c>
      <c r="L23" s="50"/>
      <c r="M23" s="290"/>
      <c r="N23" s="289"/>
      <c r="O23" s="452">
        <f>AVERAGE(1284,1360,1283)</f>
        <v>1309</v>
      </c>
      <c r="P23" s="452">
        <f>AVERAGE(11602,10651)</f>
        <v>11126.5</v>
      </c>
    </row>
    <row r="24" spans="1:16">
      <c r="A24" s="50"/>
      <c r="B24" s="50" t="s">
        <v>8266</v>
      </c>
      <c r="C24" s="50"/>
      <c r="D24" s="50"/>
      <c r="E24" s="296" t="s">
        <v>8308</v>
      </c>
      <c r="F24" s="296"/>
      <c r="G24" s="50"/>
      <c r="H24" s="296"/>
      <c r="I24" s="50"/>
      <c r="J24" s="333">
        <v>4.0000000000000001E-3</v>
      </c>
      <c r="K24" s="288" t="s">
        <v>1</v>
      </c>
      <c r="L24" s="50"/>
      <c r="M24" s="50"/>
      <c r="N24" s="289"/>
      <c r="O24" s="452">
        <v>91</v>
      </c>
      <c r="P24" s="452">
        <v>783</v>
      </c>
    </row>
    <row r="25" spans="1:16">
      <c r="A25" s="50"/>
      <c r="B25" s="50" t="s">
        <v>8267</v>
      </c>
      <c r="C25" s="50"/>
      <c r="D25" s="50"/>
      <c r="E25" s="296" t="s">
        <v>8308</v>
      </c>
      <c r="F25" s="296"/>
      <c r="G25" s="50"/>
      <c r="H25" s="296"/>
      <c r="I25" s="50"/>
      <c r="J25" s="333">
        <v>1.6E-2</v>
      </c>
      <c r="K25" s="288" t="s">
        <v>1</v>
      </c>
      <c r="L25" s="50"/>
      <c r="M25" s="50"/>
      <c r="N25" s="289"/>
      <c r="O25" s="452">
        <v>140</v>
      </c>
      <c r="P25" s="452">
        <v>2449</v>
      </c>
    </row>
    <row r="26" spans="1:16">
      <c r="A26" s="50"/>
      <c r="B26" s="50" t="s">
        <v>8245</v>
      </c>
      <c r="C26" s="50"/>
      <c r="D26" s="50"/>
      <c r="E26" s="296"/>
      <c r="F26" s="296"/>
      <c r="G26" s="50"/>
      <c r="H26" s="296"/>
      <c r="I26" s="50"/>
      <c r="J26" s="333"/>
      <c r="K26" s="50"/>
      <c r="L26" s="50"/>
      <c r="M26" s="50"/>
      <c r="N26" s="289">
        <v>3.25</v>
      </c>
      <c r="O26" s="452"/>
      <c r="P26" s="452"/>
    </row>
    <row r="27" spans="1:16">
      <c r="A27" s="50"/>
      <c r="B27" s="50" t="s">
        <v>3522</v>
      </c>
      <c r="C27" s="50"/>
      <c r="D27" s="50"/>
      <c r="E27" s="296"/>
      <c r="F27" s="296"/>
      <c r="G27" s="50"/>
      <c r="H27" s="296"/>
      <c r="I27" s="50"/>
      <c r="J27" s="333"/>
      <c r="K27" s="50"/>
      <c r="L27" s="50"/>
      <c r="M27" s="50"/>
      <c r="N27" s="50">
        <v>2.2210000000000001</v>
      </c>
      <c r="O27" s="452"/>
      <c r="P27" s="452"/>
    </row>
    <row r="28" spans="1:16">
      <c r="A28" s="50"/>
      <c r="B28" s="50" t="s">
        <v>8255</v>
      </c>
      <c r="C28" s="50"/>
      <c r="D28" s="50"/>
      <c r="E28" s="296"/>
      <c r="F28" s="296"/>
      <c r="G28" s="50"/>
      <c r="H28" s="296"/>
      <c r="I28" s="50"/>
      <c r="J28" s="333"/>
      <c r="K28" s="50"/>
      <c r="L28" s="50"/>
      <c r="M28" s="50"/>
      <c r="N28" s="289">
        <v>1.155</v>
      </c>
      <c r="O28" s="452"/>
      <c r="P28" s="452"/>
    </row>
    <row r="29" spans="1:16">
      <c r="A29" s="50"/>
      <c r="B29" s="50" t="s">
        <v>8257</v>
      </c>
      <c r="C29" s="50"/>
      <c r="D29" s="50"/>
      <c r="E29" s="296"/>
      <c r="F29" s="296"/>
      <c r="G29" s="50"/>
      <c r="H29" s="296"/>
      <c r="I29" s="50"/>
      <c r="J29" s="333"/>
      <c r="K29" s="50"/>
      <c r="L29" s="50"/>
      <c r="M29" s="50"/>
      <c r="N29" s="289">
        <v>0.46410600000000002</v>
      </c>
      <c r="O29" s="452"/>
      <c r="P29" s="452"/>
    </row>
    <row r="30" spans="1:16">
      <c r="A30" s="50"/>
      <c r="B30" s="50" t="s">
        <v>7696</v>
      </c>
      <c r="C30" s="50"/>
      <c r="D30" s="50"/>
      <c r="E30" s="296" t="s">
        <v>8309</v>
      </c>
      <c r="F30" s="296"/>
      <c r="G30" s="50"/>
      <c r="H30" s="296"/>
      <c r="I30" s="50"/>
      <c r="J30" s="333">
        <f>0.000004 * 1000</f>
        <v>4.0000000000000001E-3</v>
      </c>
      <c r="K30" s="288" t="s">
        <v>1</v>
      </c>
      <c r="L30" s="50"/>
      <c r="M30" s="50"/>
      <c r="N30" s="50"/>
      <c r="O30" s="452">
        <v>157</v>
      </c>
      <c r="P30" s="452">
        <v>1525</v>
      </c>
    </row>
    <row r="31" spans="1:16">
      <c r="A31" s="50"/>
      <c r="B31" s="50" t="s">
        <v>8260</v>
      </c>
      <c r="C31" s="50"/>
      <c r="D31" s="50"/>
      <c r="E31" s="296" t="s">
        <v>8256</v>
      </c>
      <c r="F31" s="296"/>
      <c r="G31" s="50"/>
      <c r="H31" s="296"/>
      <c r="I31" s="50"/>
      <c r="J31" s="333">
        <f>15/1000</f>
        <v>1.4999999999999999E-2</v>
      </c>
      <c r="K31" s="288" t="s">
        <v>1</v>
      </c>
      <c r="L31" s="50"/>
      <c r="M31" s="50"/>
      <c r="N31" s="50"/>
      <c r="O31" s="452">
        <v>465</v>
      </c>
      <c r="P31" s="452">
        <v>2342</v>
      </c>
    </row>
    <row r="32" spans="1:16">
      <c r="A32" s="50"/>
      <c r="B32" s="50" t="s">
        <v>8114</v>
      </c>
      <c r="C32" s="50"/>
      <c r="D32" s="50"/>
      <c r="E32" s="296"/>
      <c r="F32" s="296"/>
      <c r="G32" s="50"/>
      <c r="H32" s="296"/>
      <c r="I32" s="50"/>
      <c r="J32" s="333"/>
      <c r="K32" s="50"/>
      <c r="L32" s="50"/>
      <c r="M32" s="50"/>
      <c r="N32" s="50"/>
      <c r="O32" s="50"/>
      <c r="P32" s="453"/>
    </row>
    <row r="33" spans="1:16">
      <c r="A33" s="50"/>
      <c r="B33" s="50" t="s">
        <v>8115</v>
      </c>
      <c r="C33" s="50"/>
      <c r="D33" s="50"/>
      <c r="E33" s="296"/>
      <c r="F33" s="296"/>
      <c r="G33" s="50"/>
      <c r="H33" s="296"/>
      <c r="I33" s="50"/>
      <c r="J33" s="333"/>
      <c r="K33" s="50"/>
      <c r="L33" s="50"/>
      <c r="M33" s="50"/>
      <c r="N33" s="50"/>
      <c r="O33" s="50"/>
      <c r="P33" s="453"/>
    </row>
    <row r="34" spans="1:16">
      <c r="A34" s="50"/>
      <c r="B34" s="50"/>
      <c r="C34" s="50"/>
      <c r="D34" s="50"/>
      <c r="E34" s="296"/>
      <c r="F34" s="296"/>
      <c r="G34" s="50"/>
      <c r="H34" s="296"/>
      <c r="I34" s="50"/>
      <c r="J34" s="333"/>
      <c r="K34" s="50"/>
      <c r="L34" s="50"/>
      <c r="M34" s="50"/>
      <c r="N34" s="50"/>
    </row>
    <row r="35" spans="1:16">
      <c r="A35" s="50"/>
      <c r="B35" s="282" t="s">
        <v>7719</v>
      </c>
      <c r="C35" s="50"/>
      <c r="D35" s="50"/>
      <c r="E35" s="296"/>
      <c r="F35" s="296"/>
      <c r="G35" s="50"/>
      <c r="H35" s="296"/>
      <c r="I35" s="50"/>
      <c r="J35" s="333"/>
      <c r="K35" s="50"/>
      <c r="L35" s="50"/>
      <c r="M35" s="50"/>
      <c r="N35" s="50"/>
    </row>
    <row r="36" spans="1:16">
      <c r="A36" s="50"/>
      <c r="B36" s="50" t="s">
        <v>8116</v>
      </c>
      <c r="C36" s="50"/>
      <c r="D36" s="50"/>
      <c r="E36" s="296"/>
      <c r="F36" s="296"/>
      <c r="G36" s="50">
        <v>20</v>
      </c>
      <c r="H36" s="296" t="s">
        <v>7690</v>
      </c>
      <c r="I36" s="262">
        <v>1</v>
      </c>
      <c r="J36" s="333"/>
      <c r="K36" s="50" t="s">
        <v>1</v>
      </c>
      <c r="L36" s="50" t="s">
        <v>7703</v>
      </c>
      <c r="M36" s="50"/>
      <c r="N36" s="50"/>
    </row>
    <row r="37" spans="1:16">
      <c r="A37" s="50"/>
      <c r="B37" s="50" t="s">
        <v>3924</v>
      </c>
      <c r="C37" s="50"/>
      <c r="D37" s="50"/>
      <c r="E37" s="296"/>
      <c r="F37" s="296"/>
      <c r="G37" s="50"/>
      <c r="H37" s="296" t="s">
        <v>7714</v>
      </c>
      <c r="I37" s="288" t="s">
        <v>1</v>
      </c>
      <c r="J37" s="333"/>
      <c r="K37" s="50" t="s">
        <v>1</v>
      </c>
      <c r="L37" s="50" t="s">
        <v>7703</v>
      </c>
      <c r="M37" s="50"/>
      <c r="N37" s="50"/>
    </row>
    <row r="38" spans="1:16">
      <c r="A38" s="50"/>
      <c r="B38" s="50" t="s">
        <v>7434</v>
      </c>
      <c r="C38" s="50"/>
      <c r="D38" s="50"/>
      <c r="E38" s="296"/>
      <c r="F38" s="296"/>
      <c r="G38" s="50"/>
      <c r="H38" s="296"/>
      <c r="I38" s="50"/>
      <c r="J38" s="333"/>
      <c r="K38" s="50"/>
      <c r="L38" s="50"/>
      <c r="M38" s="50">
        <v>1.986</v>
      </c>
      <c r="N38" s="50" t="s">
        <v>7707</v>
      </c>
    </row>
    <row r="39" spans="1:16">
      <c r="A39" s="50"/>
      <c r="B39" s="50" t="s">
        <v>957</v>
      </c>
      <c r="C39" s="50"/>
      <c r="D39" s="50"/>
      <c r="E39" s="296"/>
      <c r="F39" s="296"/>
      <c r="G39" s="50"/>
      <c r="H39" s="296"/>
      <c r="I39" s="50"/>
      <c r="J39" s="333"/>
      <c r="K39" s="50"/>
      <c r="L39" s="50" t="s">
        <v>7715</v>
      </c>
      <c r="M39" s="50"/>
      <c r="N39" s="50"/>
    </row>
    <row r="40" spans="1:16">
      <c r="A40" s="50"/>
      <c r="B40" s="50" t="s">
        <v>1474</v>
      </c>
      <c r="C40" s="50">
        <v>2018</v>
      </c>
      <c r="D40" s="50"/>
      <c r="E40" s="296"/>
      <c r="F40" s="296" t="s">
        <v>7717</v>
      </c>
      <c r="G40" s="50">
        <v>0.09</v>
      </c>
      <c r="H40" s="296" t="s">
        <v>7712</v>
      </c>
      <c r="I40" s="262">
        <f>G40*60*60</f>
        <v>323.99999999999994</v>
      </c>
      <c r="J40" s="333"/>
      <c r="K40" s="50" t="s">
        <v>7716</v>
      </c>
      <c r="L40" s="50"/>
      <c r="M40" s="289">
        <v>0.109024</v>
      </c>
      <c r="N40" s="50" t="s">
        <v>7718</v>
      </c>
    </row>
    <row r="41" spans="1:16">
      <c r="A41" s="50"/>
      <c r="B41" s="50" t="s">
        <v>2003</v>
      </c>
      <c r="C41" s="50"/>
      <c r="D41" s="50"/>
      <c r="E41" s="297" t="s">
        <v>7713</v>
      </c>
      <c r="F41" s="296"/>
      <c r="G41" s="50"/>
      <c r="H41" s="296"/>
      <c r="I41" s="50"/>
      <c r="K41" s="50"/>
      <c r="L41" s="50"/>
      <c r="M41" s="50">
        <v>3.2669999999999999</v>
      </c>
      <c r="N41" s="50" t="s">
        <v>7720</v>
      </c>
    </row>
    <row r="42" spans="1:16">
      <c r="A42" s="50"/>
      <c r="B42" s="50" t="s">
        <v>1442</v>
      </c>
      <c r="C42" s="50"/>
      <c r="D42" s="50"/>
      <c r="E42" s="296"/>
      <c r="F42" s="296"/>
      <c r="G42" s="50">
        <v>99</v>
      </c>
      <c r="H42" s="296" t="s">
        <v>7721</v>
      </c>
      <c r="I42" s="262"/>
      <c r="K42" s="262"/>
      <c r="L42" s="50" t="s">
        <v>7722</v>
      </c>
      <c r="M42" s="50"/>
      <c r="N42" s="50"/>
    </row>
    <row r="43" spans="1:16">
      <c r="A43" s="50"/>
      <c r="B43" s="50" t="s">
        <v>5168</v>
      </c>
      <c r="C43" s="50"/>
      <c r="D43" s="50"/>
      <c r="E43" s="296"/>
      <c r="F43" s="296"/>
      <c r="G43" s="50"/>
      <c r="H43" s="296"/>
      <c r="I43" s="50"/>
      <c r="K43" s="50"/>
      <c r="L43" s="50" t="s">
        <v>7723</v>
      </c>
      <c r="M43" s="50"/>
      <c r="N43" s="50"/>
    </row>
    <row r="44" spans="1:16">
      <c r="A44" s="50"/>
      <c r="B44" s="50" t="s">
        <v>5889</v>
      </c>
      <c r="C44" s="50"/>
      <c r="D44" s="50"/>
      <c r="E44" s="296"/>
      <c r="F44" s="296"/>
      <c r="G44" s="50"/>
      <c r="H44" s="296"/>
      <c r="I44" s="50"/>
      <c r="K44" s="50"/>
      <c r="L44" s="50" t="s">
        <v>7724</v>
      </c>
      <c r="M44" s="50"/>
      <c r="N44" s="50"/>
    </row>
    <row r="45" spans="1:16">
      <c r="A45" s="50"/>
      <c r="B45" s="50" t="s">
        <v>386</v>
      </c>
      <c r="C45" s="50"/>
      <c r="D45" s="50"/>
      <c r="E45" s="296"/>
      <c r="F45" s="296"/>
      <c r="G45" s="50"/>
      <c r="H45" s="296"/>
      <c r="I45" s="50"/>
      <c r="K45" s="50"/>
      <c r="L45" s="50" t="s">
        <v>7725</v>
      </c>
      <c r="M45" s="50"/>
      <c r="N45" s="50"/>
    </row>
    <row r="46" spans="1:16">
      <c r="A46" s="50"/>
      <c r="B46" s="50" t="s">
        <v>928</v>
      </c>
      <c r="C46" s="50"/>
      <c r="D46" s="50"/>
      <c r="E46" s="296"/>
      <c r="F46" s="296"/>
      <c r="G46" s="50"/>
      <c r="H46" s="296"/>
      <c r="I46" s="50"/>
      <c r="K46" s="50"/>
      <c r="L46" s="50" t="s">
        <v>7726</v>
      </c>
      <c r="M46" s="50"/>
      <c r="N46" s="50"/>
    </row>
    <row r="47" spans="1:16">
      <c r="A47" s="50"/>
      <c r="B47" s="50" t="s">
        <v>3000</v>
      </c>
      <c r="C47" s="50"/>
      <c r="D47" s="50"/>
      <c r="E47" s="296"/>
      <c r="F47" s="296"/>
      <c r="G47" s="50"/>
      <c r="H47" s="296"/>
      <c r="I47" s="50"/>
      <c r="K47" s="50"/>
      <c r="L47" s="50" t="s">
        <v>7727</v>
      </c>
      <c r="M47" s="50"/>
      <c r="N47" s="50"/>
    </row>
    <row r="48" spans="1:16">
      <c r="A48" s="50"/>
      <c r="B48" s="295" t="s">
        <v>2526</v>
      </c>
      <c r="C48" s="50"/>
      <c r="D48" s="50"/>
      <c r="E48" s="296"/>
      <c r="F48" s="296"/>
      <c r="G48" s="50"/>
      <c r="H48" s="296"/>
      <c r="I48" s="50"/>
      <c r="K48" s="50"/>
      <c r="L48" s="50"/>
      <c r="M48" s="50"/>
      <c r="N48" s="50"/>
    </row>
    <row r="49" spans="1:14">
      <c r="A49" s="50"/>
      <c r="B49" s="50" t="s">
        <v>5076</v>
      </c>
      <c r="C49" s="50"/>
      <c r="D49" s="50"/>
      <c r="E49" s="296"/>
      <c r="F49" s="296"/>
      <c r="G49" s="50" t="s">
        <v>7733</v>
      </c>
      <c r="H49" s="296" t="s">
        <v>7732</v>
      </c>
      <c r="I49" s="50"/>
      <c r="K49" s="50"/>
      <c r="L49" s="50"/>
      <c r="M49" s="50"/>
      <c r="N49" s="50"/>
    </row>
    <row r="50" spans="1:14">
      <c r="A50" s="50"/>
      <c r="B50" s="50" t="s">
        <v>638</v>
      </c>
      <c r="C50" s="50"/>
      <c r="D50" s="50"/>
      <c r="E50" s="296"/>
      <c r="F50" s="296"/>
      <c r="G50" s="50"/>
      <c r="H50" s="296"/>
      <c r="I50" s="50"/>
      <c r="K50" s="50"/>
      <c r="L50" s="296" t="s">
        <v>7698</v>
      </c>
      <c r="M50" s="50"/>
      <c r="N50" s="50"/>
    </row>
    <row r="51" spans="1:14">
      <c r="A51" s="50"/>
      <c r="B51" s="50" t="s">
        <v>6711</v>
      </c>
      <c r="C51" s="50"/>
      <c r="D51" s="50"/>
      <c r="E51" s="296"/>
      <c r="F51" s="296"/>
      <c r="G51" s="50"/>
      <c r="H51" s="296"/>
      <c r="I51" s="50"/>
      <c r="K51" s="50"/>
      <c r="L51" s="50"/>
      <c r="M51" s="50">
        <v>1.5589999999999999</v>
      </c>
      <c r="N51" s="50" t="s">
        <v>7708</v>
      </c>
    </row>
    <row r="52" spans="1:14">
      <c r="A52" s="50"/>
      <c r="B52" s="50" t="s">
        <v>6741</v>
      </c>
      <c r="C52" s="50"/>
      <c r="D52" s="50"/>
      <c r="E52" s="296"/>
      <c r="F52" s="296"/>
      <c r="G52" s="50"/>
      <c r="H52" s="296"/>
      <c r="I52" s="50"/>
      <c r="K52" s="50"/>
      <c r="L52" s="50"/>
      <c r="M52" s="50"/>
      <c r="N52" s="50"/>
    </row>
    <row r="53" spans="1:14">
      <c r="A53" s="50"/>
      <c r="B53" s="50" t="s">
        <v>7742</v>
      </c>
      <c r="C53" s="50"/>
      <c r="D53" s="50"/>
      <c r="E53" s="296"/>
      <c r="F53" s="296"/>
      <c r="G53" s="50"/>
      <c r="H53" s="296"/>
      <c r="I53" s="50"/>
      <c r="K53" s="50"/>
      <c r="L53" s="50"/>
      <c r="M53" s="50">
        <v>2.0636000000000002E-2</v>
      </c>
      <c r="N53" s="50"/>
    </row>
    <row r="54" spans="1:14">
      <c r="A54" s="50"/>
      <c r="B54" s="50" t="s">
        <v>7743</v>
      </c>
      <c r="C54" s="50"/>
      <c r="D54" s="50"/>
      <c r="E54" s="296"/>
      <c r="F54" s="296"/>
      <c r="G54" s="50"/>
      <c r="H54" s="296"/>
      <c r="I54" s="50"/>
      <c r="K54" s="50"/>
      <c r="L54" s="50"/>
      <c r="M54" s="50">
        <v>0.89679900000000001</v>
      </c>
      <c r="N54" s="50"/>
    </row>
    <row r="55" spans="1:14">
      <c r="A55" s="50"/>
      <c r="B55" s="50" t="s">
        <v>1349</v>
      </c>
      <c r="C55" s="50"/>
      <c r="D55" s="50"/>
      <c r="E55" s="296"/>
      <c r="F55" s="296"/>
      <c r="G55" s="50"/>
      <c r="H55" s="296"/>
      <c r="I55" s="50"/>
      <c r="K55" s="50"/>
      <c r="L55" s="50"/>
      <c r="M55" s="50">
        <v>0.65854500000000005</v>
      </c>
      <c r="N55" s="50"/>
    </row>
    <row r="56" spans="1:14">
      <c r="A56" s="50"/>
      <c r="B56" s="50" t="s">
        <v>7744</v>
      </c>
      <c r="C56" s="50"/>
      <c r="D56" s="50"/>
      <c r="E56" s="297" t="s">
        <v>7745</v>
      </c>
      <c r="F56" s="296"/>
      <c r="G56" s="50"/>
      <c r="H56" s="296"/>
      <c r="I56" s="50"/>
      <c r="K56" s="50"/>
      <c r="L56" s="50"/>
      <c r="M56" s="50"/>
      <c r="N56" s="50"/>
    </row>
    <row r="57" spans="1:14">
      <c r="A57" s="50"/>
      <c r="B57" s="50" t="s">
        <v>7747</v>
      </c>
      <c r="C57" s="50"/>
      <c r="D57" s="50"/>
      <c r="E57" s="297" t="s">
        <v>7746</v>
      </c>
      <c r="F57" s="296"/>
      <c r="G57" s="50"/>
      <c r="H57" s="296"/>
      <c r="I57" s="50"/>
      <c r="K57" s="50"/>
      <c r="L57" s="50"/>
      <c r="M57" s="50"/>
      <c r="N57" s="50"/>
    </row>
    <row r="58" spans="1:14">
      <c r="A58" s="50"/>
      <c r="B58" s="50" t="s">
        <v>7748</v>
      </c>
      <c r="C58" s="50"/>
      <c r="D58" s="50"/>
      <c r="E58" s="296"/>
      <c r="F58" s="296"/>
      <c r="G58" s="50">
        <v>8.0000000000000007E-5</v>
      </c>
      <c r="H58" s="296" t="s">
        <v>7749</v>
      </c>
      <c r="I58" s="262">
        <f>G58*250000</f>
        <v>20</v>
      </c>
      <c r="K58" s="50"/>
      <c r="L58" s="50"/>
      <c r="M58" s="50"/>
      <c r="N58" s="50"/>
    </row>
    <row r="59" spans="1:14">
      <c r="A59" s="50"/>
      <c r="B59" s="50"/>
      <c r="C59" s="50"/>
      <c r="D59" s="50"/>
      <c r="E59" s="296"/>
      <c r="F59" s="296"/>
      <c r="G59" s="50"/>
      <c r="H59" s="296"/>
      <c r="I59" s="50"/>
      <c r="K59" s="50"/>
      <c r="L59" s="50"/>
      <c r="M59" s="50"/>
      <c r="N59" s="50"/>
    </row>
    <row r="60" spans="1:14">
      <c r="A60" s="50"/>
      <c r="B60" s="50"/>
      <c r="C60" s="50"/>
      <c r="D60" s="50"/>
      <c r="E60" s="296"/>
      <c r="F60" s="296"/>
      <c r="G60" s="50"/>
      <c r="H60" s="296"/>
      <c r="I60" s="50"/>
      <c r="K60" s="50"/>
      <c r="L60" s="50"/>
      <c r="M60" s="50"/>
      <c r="N60" s="50"/>
    </row>
    <row r="61" spans="1:14">
      <c r="A61" s="50"/>
      <c r="B61" t="s">
        <v>8245</v>
      </c>
      <c r="C61" s="50"/>
      <c r="D61" s="50"/>
      <c r="E61" s="296"/>
      <c r="F61" s="296"/>
      <c r="G61" s="50"/>
      <c r="H61" s="296"/>
      <c r="I61" s="50"/>
      <c r="K61" s="50"/>
      <c r="L61" s="50"/>
      <c r="M61" s="50"/>
      <c r="N61" s="50"/>
    </row>
    <row r="62" spans="1:14">
      <c r="A62" s="50"/>
      <c r="B62" t="s">
        <v>8244</v>
      </c>
      <c r="C62" s="50"/>
      <c r="D62" s="50"/>
      <c r="E62" s="296"/>
      <c r="F62" s="296"/>
      <c r="G62" s="50"/>
      <c r="H62" s="296"/>
      <c r="I62" s="50"/>
      <c r="K62" s="50"/>
      <c r="L62" s="50"/>
      <c r="M62" s="50"/>
      <c r="N62" s="50"/>
    </row>
    <row r="63" spans="1:14">
      <c r="A63" s="50"/>
      <c r="B63" t="s">
        <v>7729</v>
      </c>
      <c r="C63" s="50"/>
      <c r="D63" s="50"/>
      <c r="E63" s="296"/>
      <c r="F63" s="296"/>
      <c r="G63" s="50"/>
      <c r="H63" s="296"/>
      <c r="I63" s="50"/>
      <c r="K63" s="50"/>
      <c r="L63" s="50"/>
      <c r="M63" s="50"/>
      <c r="N63" s="50"/>
    </row>
    <row r="64" spans="1:14">
      <c r="B64" t="s">
        <v>8243</v>
      </c>
    </row>
    <row r="65" spans="2:2">
      <c r="B65" t="s">
        <v>1253</v>
      </c>
    </row>
    <row r="66" spans="2:2">
      <c r="B66" t="s">
        <v>403</v>
      </c>
    </row>
    <row r="67" spans="2:2">
      <c r="B67" t="s">
        <v>8242</v>
      </c>
    </row>
    <row r="68" spans="2:2">
      <c r="B68" t="s">
        <v>8241</v>
      </c>
    </row>
    <row r="69" spans="2:2">
      <c r="B69" t="s">
        <v>1383</v>
      </c>
    </row>
    <row r="70" spans="2:2">
      <c r="B70" t="s">
        <v>8240</v>
      </c>
    </row>
  </sheetData>
  <hyperlinks>
    <hyperlink ref="E6" r:id="rId1" xr:uid="{6F20C77C-3565-BB41-AF99-4414A4345CD9}"/>
    <hyperlink ref="E12" r:id="rId2" xr:uid="{DDE01190-AB56-2946-8E18-483FB6BF4735}"/>
    <hyperlink ref="E3" r:id="rId3" xr:uid="{1441F3F9-7BA7-E94F-BF15-B9F799E4FB47}"/>
    <hyperlink ref="E19" r:id="rId4" xr:uid="{E32980B6-F10A-2F48-8810-C8DBA5698EE7}"/>
    <hyperlink ref="E9" r:id="rId5" xr:uid="{A6E8EB31-6520-BF4F-BECA-84FA707781F3}"/>
    <hyperlink ref="E5" r:id="rId6" xr:uid="{A621B667-05F5-3742-B853-B856BFE0865D}"/>
    <hyperlink ref="E18" r:id="rId7" xr:uid="{251C4F88-B1DC-7040-9D8B-170B8EE37DD1}"/>
    <hyperlink ref="E4" r:id="rId8" xr:uid="{92FD8217-6E61-464C-A12B-2C1EAF4F40A8}"/>
    <hyperlink ref="E41" r:id="rId9" xr:uid="{08803D76-EB2D-AA46-BC85-AEDDA6CC301D}"/>
    <hyperlink ref="E15" r:id="rId10" xr:uid="{782AED29-31AC-2A42-8B06-70569AE34C48}"/>
    <hyperlink ref="E10" r:id="rId11" xr:uid="{7921B99A-E601-634A-BB7E-EAA0ECE834A5}"/>
    <hyperlink ref="E13" r:id="rId12" xr:uid="{BB1708BF-D0E4-804A-9168-6D105B8DE9D4}"/>
    <hyperlink ref="E56" r:id="rId13" xr:uid="{2C3AA4DD-5BC1-154A-98B6-E6E5E62BD0D8}"/>
    <hyperlink ref="E57" r:id="rId14" xr:uid="{6466BF3B-2C9F-4B42-8658-E7E90E2CAFA3}"/>
    <hyperlink ref="E20" r:id="rId15" xr:uid="{237EB54F-1B42-4C4B-AF91-C6AE1738DFBC}"/>
    <hyperlink ref="E14" r:id="rId16" xr:uid="{EEC42CC4-281B-BF4C-8362-7B0C8F581685}"/>
    <hyperlink ref="E21" r:id="rId17" xr:uid="{2D116B1E-729B-414A-98DB-206E5035A9C7}"/>
    <hyperlink ref="E11" r:id="rId18" xr:uid="{E5029151-E410-B94E-B570-605FC217062C}"/>
    <hyperlink ref="E7" r:id="rId19" xr:uid="{0D9E2D0B-56A1-B146-8CDD-373717F210EA}"/>
    <hyperlink ref="E8" r:id="rId20" xr:uid="{8A310C2F-AEDB-1E42-938A-F0C4F33F8EC5}"/>
    <hyperlink ref="A1" location="Main!A1" display="Main" xr:uid="{E77E9E44-C73C-A54C-B159-C9484C6DBA8C}"/>
    <hyperlink ref="E16" r:id="rId21" xr:uid="{F5E15FDF-052C-E740-AF9E-15C572C470D3}"/>
    <hyperlink ref="E22" r:id="rId22" xr:uid="{27023BF2-6DB9-364C-AE42-D9F85A8EBE49}"/>
    <hyperlink ref="E23" r:id="rId23" xr:uid="{B01D08C8-3F96-CA43-9A42-DC97FDAFBFA1}"/>
  </hyperlinks>
  <pageMargins left="0.7" right="0.7" top="0.75" bottom="0.75" header="0.3" footer="0.3"/>
  <pageSetup orientation="portrait" horizontalDpi="0" verticalDpi="0"/>
  <legacyDrawing r:id="rId24"/>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70FEA3-DC5D-4A47-AF50-1776FDD974A5}">
  <dimension ref="A1:S380"/>
  <sheetViews>
    <sheetView zoomScale="120" zoomScaleNormal="120" workbookViewId="0">
      <pane xSplit="2" ySplit="2" topLeftCell="C3" activePane="bottomRight" state="frozen"/>
      <selection pane="topRight" activeCell="C1" sqref="C1"/>
      <selection pane="bottomLeft" activeCell="A3" sqref="A3"/>
      <selection pane="bottomRight" activeCell="M17" sqref="M17"/>
    </sheetView>
  </sheetViews>
  <sheetFormatPr baseColWidth="10" defaultColWidth="10.83203125" defaultRowHeight="13"/>
  <cols>
    <col min="1" max="1" width="4.83203125" style="107" bestFit="1" customWidth="1"/>
    <col min="2" max="2" width="17.83203125" style="107" customWidth="1"/>
    <col min="3" max="3" width="22.33203125" style="107" customWidth="1"/>
    <col min="4" max="7" width="10.83203125" style="107"/>
    <col min="8" max="8" width="15.1640625" style="107" customWidth="1"/>
    <col min="9" max="10" width="10.83203125" style="107"/>
    <col min="11" max="11" width="6.1640625" style="107" customWidth="1"/>
    <col min="12" max="12" width="9.1640625" style="107" customWidth="1"/>
    <col min="13" max="16384" width="10.83203125" style="107"/>
  </cols>
  <sheetData>
    <row r="1" spans="1:12">
      <c r="A1" s="25" t="s">
        <v>1165</v>
      </c>
      <c r="B1" s="277"/>
      <c r="C1" s="277"/>
      <c r="D1" s="277"/>
      <c r="E1" s="277"/>
      <c r="F1" s="277"/>
      <c r="G1" s="277"/>
    </row>
    <row r="2" spans="1:12">
      <c r="A2" s="25"/>
      <c r="B2" s="142" t="s">
        <v>3977</v>
      </c>
      <c r="C2" s="142" t="s">
        <v>6213</v>
      </c>
      <c r="D2" s="142" t="s">
        <v>1800</v>
      </c>
      <c r="E2" s="142" t="s">
        <v>5666</v>
      </c>
      <c r="F2" s="142" t="s">
        <v>6319</v>
      </c>
      <c r="G2" s="142"/>
      <c r="H2" s="142" t="s">
        <v>8225</v>
      </c>
      <c r="I2" s="142" t="s">
        <v>5667</v>
      </c>
      <c r="J2" s="277"/>
      <c r="K2" s="277"/>
    </row>
    <row r="3" spans="1:12">
      <c r="A3" s="25"/>
      <c r="B3" s="277" t="s">
        <v>7927</v>
      </c>
      <c r="C3" s="25" t="s">
        <v>8353</v>
      </c>
      <c r="D3" s="277" t="s">
        <v>8692</v>
      </c>
      <c r="E3" s="142"/>
      <c r="F3" s="277">
        <v>56200</v>
      </c>
      <c r="G3" s="142"/>
      <c r="H3" s="277" t="s">
        <v>1</v>
      </c>
      <c r="I3" s="277" t="s">
        <v>0</v>
      </c>
      <c r="J3" s="277"/>
      <c r="K3" s="277"/>
    </row>
    <row r="4" spans="1:12">
      <c r="B4" s="277" t="s">
        <v>8322</v>
      </c>
      <c r="C4" s="25" t="s">
        <v>8323</v>
      </c>
      <c r="D4" s="277" t="s">
        <v>8868</v>
      </c>
      <c r="E4" s="25"/>
      <c r="F4" s="277">
        <v>50000</v>
      </c>
      <c r="G4" s="277"/>
      <c r="H4" s="277" t="s">
        <v>1</v>
      </c>
      <c r="I4" s="277" t="s">
        <v>8869</v>
      </c>
      <c r="J4" s="277"/>
      <c r="K4" s="277"/>
    </row>
    <row r="5" spans="1:12">
      <c r="B5" s="277" t="s">
        <v>8870</v>
      </c>
      <c r="C5" s="25" t="s">
        <v>8860</v>
      </c>
      <c r="D5" s="277" t="s">
        <v>8861</v>
      </c>
      <c r="E5" s="25"/>
      <c r="F5" s="277">
        <v>41000</v>
      </c>
      <c r="G5" s="277"/>
      <c r="H5" s="277" t="s">
        <v>1</v>
      </c>
      <c r="I5" s="277" t="s">
        <v>8871</v>
      </c>
      <c r="J5" s="277"/>
      <c r="K5" s="277"/>
    </row>
    <row r="6" spans="1:12">
      <c r="B6" s="277" t="s">
        <v>8324</v>
      </c>
      <c r="C6" s="25" t="s">
        <v>8325</v>
      </c>
      <c r="D6" s="277" t="s">
        <v>8874</v>
      </c>
      <c r="E6" s="25"/>
      <c r="F6" s="277">
        <v>33200</v>
      </c>
      <c r="G6" s="277"/>
      <c r="H6" s="277" t="s">
        <v>1</v>
      </c>
      <c r="I6" s="277" t="s">
        <v>8879</v>
      </c>
      <c r="J6" s="277"/>
      <c r="K6" s="277"/>
      <c r="L6" s="146"/>
    </row>
    <row r="7" spans="1:12">
      <c r="A7" s="277"/>
      <c r="B7" s="277" t="s">
        <v>7739</v>
      </c>
      <c r="C7" s="25" t="s">
        <v>8110</v>
      </c>
      <c r="D7" s="277" t="s">
        <v>8862</v>
      </c>
      <c r="E7" s="25"/>
      <c r="F7" s="277">
        <v>30600</v>
      </c>
      <c r="G7" s="277"/>
      <c r="H7" s="277" t="s">
        <v>8876</v>
      </c>
      <c r="I7" s="277" t="s">
        <v>8872</v>
      </c>
      <c r="J7" s="277"/>
      <c r="K7" s="277"/>
      <c r="L7" s="146"/>
    </row>
    <row r="8" spans="1:12" s="49" customFormat="1">
      <c r="B8" s="49" t="s">
        <v>8320</v>
      </c>
      <c r="C8" s="37" t="s">
        <v>8321</v>
      </c>
      <c r="D8" s="49" t="s">
        <v>2594</v>
      </c>
      <c r="E8" s="37"/>
      <c r="F8" s="49">
        <v>27000</v>
      </c>
      <c r="H8" s="49" t="s">
        <v>8904</v>
      </c>
      <c r="I8" s="49" t="s">
        <v>8864</v>
      </c>
      <c r="L8" s="343"/>
    </row>
    <row r="9" spans="1:12">
      <c r="B9" s="277" t="s">
        <v>8834</v>
      </c>
      <c r="C9" s="25" t="s">
        <v>8833</v>
      </c>
      <c r="D9" s="277" t="s">
        <v>8866</v>
      </c>
      <c r="E9" s="25"/>
      <c r="F9" s="277">
        <v>25200</v>
      </c>
      <c r="G9" s="277"/>
      <c r="H9" s="277" t="s">
        <v>1</v>
      </c>
      <c r="I9" s="277" t="s">
        <v>8875</v>
      </c>
      <c r="J9" s="277"/>
      <c r="K9" s="277"/>
      <c r="L9" s="146"/>
    </row>
    <row r="10" spans="1:12">
      <c r="B10" s="277" t="s">
        <v>8040</v>
      </c>
      <c r="C10" s="25" t="s">
        <v>8039</v>
      </c>
      <c r="D10" s="277"/>
      <c r="E10" s="25"/>
      <c r="F10" s="277">
        <v>23900</v>
      </c>
      <c r="G10" s="277"/>
      <c r="H10" s="277" t="s">
        <v>1</v>
      </c>
      <c r="I10" s="277" t="s">
        <v>8865</v>
      </c>
      <c r="J10" s="277"/>
      <c r="K10" s="277"/>
      <c r="L10" s="146"/>
    </row>
    <row r="11" spans="1:12">
      <c r="A11" s="277"/>
      <c r="B11" s="277" t="s">
        <v>6220</v>
      </c>
      <c r="C11" s="25" t="s">
        <v>6221</v>
      </c>
      <c r="D11" s="277"/>
      <c r="E11" s="277"/>
      <c r="F11" s="277">
        <v>22800</v>
      </c>
      <c r="G11" s="277"/>
      <c r="H11" s="277"/>
      <c r="I11" s="277" t="s">
        <v>8880</v>
      </c>
      <c r="J11" s="277"/>
      <c r="K11" s="277"/>
      <c r="L11" s="146"/>
    </row>
    <row r="12" spans="1:12">
      <c r="A12" s="277"/>
      <c r="B12" s="277" t="s">
        <v>8835</v>
      </c>
      <c r="C12" s="25" t="s">
        <v>8836</v>
      </c>
      <c r="D12" s="277"/>
      <c r="E12" s="277"/>
      <c r="F12" s="277">
        <v>18800</v>
      </c>
      <c r="G12" s="277"/>
      <c r="H12" s="277"/>
      <c r="I12" s="277" t="s">
        <v>782</v>
      </c>
      <c r="J12" s="277"/>
      <c r="K12" s="277"/>
    </row>
    <row r="13" spans="1:12">
      <c r="A13" s="277"/>
      <c r="B13" s="277" t="s">
        <v>5273</v>
      </c>
      <c r="C13" s="25" t="s">
        <v>8859</v>
      </c>
      <c r="D13" s="277"/>
      <c r="E13" s="277"/>
      <c r="F13" s="277">
        <v>16500</v>
      </c>
      <c r="G13" s="277"/>
      <c r="H13" s="277"/>
      <c r="I13" s="277"/>
      <c r="J13" s="277"/>
      <c r="K13" s="277"/>
    </row>
    <row r="14" spans="1:12">
      <c r="B14" s="277" t="s">
        <v>8326</v>
      </c>
      <c r="C14" s="25" t="s">
        <v>8327</v>
      </c>
      <c r="D14" s="277"/>
      <c r="E14" s="25"/>
      <c r="F14" s="277">
        <v>14400</v>
      </c>
      <c r="G14" s="277"/>
      <c r="H14" s="277"/>
      <c r="I14" s="277"/>
      <c r="J14" s="277"/>
      <c r="K14" s="277"/>
    </row>
    <row r="15" spans="1:12">
      <c r="B15" s="277" t="s">
        <v>8328</v>
      </c>
      <c r="C15" s="25" t="s">
        <v>8863</v>
      </c>
      <c r="D15" s="277"/>
      <c r="E15" s="25"/>
      <c r="F15" s="277">
        <v>14300</v>
      </c>
      <c r="G15" s="277"/>
      <c r="H15" s="277"/>
      <c r="I15" s="277"/>
      <c r="J15" s="277"/>
      <c r="K15" s="277"/>
    </row>
    <row r="16" spans="1:12">
      <c r="B16" s="277" t="s">
        <v>8838</v>
      </c>
      <c r="C16" s="25" t="s">
        <v>8837</v>
      </c>
      <c r="D16" s="277"/>
      <c r="E16" s="25"/>
      <c r="F16" s="277">
        <v>13700</v>
      </c>
      <c r="G16" s="277"/>
      <c r="H16" s="277" t="s">
        <v>1</v>
      </c>
      <c r="I16" s="277"/>
      <c r="J16" s="277"/>
      <c r="K16" s="277"/>
    </row>
    <row r="17" spans="1:13">
      <c r="B17" s="277" t="s">
        <v>8354</v>
      </c>
      <c r="C17" s="25" t="s">
        <v>8355</v>
      </c>
      <c r="D17" s="277"/>
      <c r="E17" s="25"/>
      <c r="F17" s="277">
        <v>13500</v>
      </c>
      <c r="G17" s="277"/>
      <c r="H17" s="277"/>
      <c r="I17" s="277"/>
      <c r="J17" s="277"/>
      <c r="K17" s="277"/>
      <c r="M17" s="107" t="s">
        <v>15213</v>
      </c>
    </row>
    <row r="18" spans="1:13">
      <c r="B18" s="277" t="s">
        <v>8840</v>
      </c>
      <c r="C18" s="25" t="s">
        <v>8839</v>
      </c>
      <c r="D18" s="277"/>
      <c r="E18" s="25"/>
      <c r="F18" s="277">
        <v>12400</v>
      </c>
      <c r="G18" s="277"/>
      <c r="H18" s="277"/>
      <c r="I18" s="277"/>
      <c r="J18" s="277"/>
      <c r="K18" s="277"/>
    </row>
    <row r="19" spans="1:13">
      <c r="A19" s="277"/>
      <c r="B19" s="277" t="s">
        <v>6144</v>
      </c>
      <c r="C19" s="25" t="s">
        <v>6209</v>
      </c>
      <c r="E19" s="25" t="s">
        <v>8094</v>
      </c>
      <c r="F19" s="277">
        <v>11100</v>
      </c>
      <c r="G19" s="277" t="s">
        <v>8873</v>
      </c>
      <c r="H19" s="277" t="s">
        <v>8226</v>
      </c>
      <c r="I19" s="277" t="s">
        <v>8104</v>
      </c>
      <c r="J19" s="277"/>
      <c r="K19" s="277"/>
    </row>
    <row r="20" spans="1:13">
      <c r="B20" s="277" t="s">
        <v>8330</v>
      </c>
      <c r="C20" s="25" t="s">
        <v>8329</v>
      </c>
      <c r="D20" s="277"/>
      <c r="E20" s="25"/>
      <c r="F20" s="277">
        <v>9700</v>
      </c>
      <c r="G20" s="277"/>
      <c r="H20" s="277"/>
      <c r="I20" s="277"/>
      <c r="J20" s="277"/>
      <c r="K20" s="277"/>
    </row>
    <row r="21" spans="1:13">
      <c r="B21" s="277" t="s">
        <v>8229</v>
      </c>
      <c r="C21" s="25" t="s">
        <v>8356</v>
      </c>
      <c r="D21" s="277"/>
      <c r="E21" s="25"/>
      <c r="F21" s="277">
        <v>9700</v>
      </c>
      <c r="G21" s="277"/>
      <c r="H21" s="277" t="s">
        <v>8876</v>
      </c>
      <c r="I21" s="277" t="s">
        <v>782</v>
      </c>
      <c r="J21" s="277"/>
      <c r="K21" s="277"/>
    </row>
    <row r="22" spans="1:13" s="49" customFormat="1">
      <c r="B22" s="49" t="s">
        <v>8357</v>
      </c>
      <c r="C22" s="37" t="s">
        <v>8358</v>
      </c>
      <c r="E22" s="37"/>
      <c r="F22" s="49">
        <v>9700</v>
      </c>
    </row>
    <row r="23" spans="1:13">
      <c r="A23" s="277"/>
      <c r="B23" s="277" t="s">
        <v>7737</v>
      </c>
      <c r="C23" s="25" t="s">
        <v>8108</v>
      </c>
      <c r="D23" s="277" t="s">
        <v>8109</v>
      </c>
      <c r="E23" s="25" t="s">
        <v>7738</v>
      </c>
      <c r="F23" s="277">
        <v>9300</v>
      </c>
      <c r="G23" s="277"/>
      <c r="H23" s="277"/>
      <c r="I23" s="277" t="s">
        <v>1088</v>
      </c>
      <c r="J23" s="277"/>
      <c r="K23" s="277"/>
    </row>
    <row r="24" spans="1:13">
      <c r="B24" s="277" t="s">
        <v>8331</v>
      </c>
      <c r="C24" s="25" t="s">
        <v>8332</v>
      </c>
      <c r="D24" s="277"/>
      <c r="E24" s="25"/>
      <c r="F24" s="277">
        <v>8600</v>
      </c>
      <c r="G24" s="277"/>
      <c r="H24" s="277" t="s">
        <v>1</v>
      </c>
      <c r="I24" s="277" t="s">
        <v>8865</v>
      </c>
      <c r="J24" s="277"/>
      <c r="K24" s="277"/>
    </row>
    <row r="25" spans="1:13">
      <c r="B25" s="277" t="s">
        <v>8842</v>
      </c>
      <c r="C25" s="25" t="s">
        <v>8841</v>
      </c>
      <c r="D25" s="277"/>
      <c r="E25" s="25"/>
      <c r="F25" s="277">
        <v>8200</v>
      </c>
      <c r="G25" s="277"/>
      <c r="H25" s="277"/>
      <c r="I25" s="277"/>
      <c r="J25" s="277"/>
      <c r="K25" s="277"/>
    </row>
    <row r="26" spans="1:13">
      <c r="B26" s="277" t="s">
        <v>8852</v>
      </c>
      <c r="C26" s="25" t="s">
        <v>8851</v>
      </c>
      <c r="D26" s="277"/>
      <c r="E26" s="25"/>
      <c r="F26" s="277">
        <v>8000</v>
      </c>
      <c r="G26" s="277"/>
      <c r="H26" s="277"/>
      <c r="I26" s="277"/>
      <c r="J26" s="277"/>
      <c r="K26" s="277"/>
    </row>
    <row r="27" spans="1:13">
      <c r="B27" s="277" t="s">
        <v>8359</v>
      </c>
      <c r="C27" s="25" t="s">
        <v>8360</v>
      </c>
      <c r="D27" s="277" t="s">
        <v>8692</v>
      </c>
      <c r="E27" s="25"/>
      <c r="F27" s="277">
        <v>7900</v>
      </c>
      <c r="G27" s="277"/>
      <c r="H27" s="277" t="s">
        <v>1</v>
      </c>
      <c r="I27" s="277"/>
      <c r="J27" s="277"/>
      <c r="K27" s="277"/>
    </row>
    <row r="28" spans="1:13">
      <c r="B28" s="277" t="s">
        <v>8361</v>
      </c>
      <c r="C28" s="25" t="s">
        <v>8362</v>
      </c>
      <c r="D28" s="277" t="s">
        <v>8692</v>
      </c>
      <c r="E28" s="25"/>
      <c r="F28" s="277">
        <v>7900</v>
      </c>
      <c r="G28" s="277"/>
      <c r="H28" s="277" t="s">
        <v>1</v>
      </c>
      <c r="I28" s="277"/>
      <c r="J28" s="277"/>
      <c r="K28" s="277"/>
    </row>
    <row r="29" spans="1:13">
      <c r="B29" s="277" t="s">
        <v>8363</v>
      </c>
      <c r="C29" s="25" t="s">
        <v>8364</v>
      </c>
      <c r="D29" s="277"/>
      <c r="E29" s="25"/>
      <c r="F29" s="277">
        <v>7600</v>
      </c>
      <c r="G29" s="277"/>
      <c r="H29" s="277"/>
      <c r="I29" s="277"/>
      <c r="J29" s="277"/>
      <c r="K29" s="277"/>
    </row>
    <row r="30" spans="1:13">
      <c r="B30" s="277" t="s">
        <v>8844</v>
      </c>
      <c r="C30" s="25" t="s">
        <v>8843</v>
      </c>
      <c r="D30" s="277"/>
      <c r="E30" s="25"/>
      <c r="F30" s="277">
        <v>7400</v>
      </c>
      <c r="G30" s="277"/>
      <c r="H30" s="277"/>
      <c r="I30" s="277" t="s">
        <v>0</v>
      </c>
      <c r="J30" s="277"/>
      <c r="K30" s="277"/>
    </row>
    <row r="31" spans="1:13">
      <c r="B31" s="277" t="s">
        <v>8366</v>
      </c>
      <c r="C31" s="25" t="s">
        <v>8365</v>
      </c>
      <c r="D31" s="277"/>
      <c r="E31" s="25"/>
      <c r="F31" s="277">
        <v>7300</v>
      </c>
      <c r="G31" s="277"/>
      <c r="H31" s="277" t="s">
        <v>1</v>
      </c>
      <c r="I31" s="277"/>
      <c r="J31" s="277"/>
      <c r="K31" s="277"/>
    </row>
    <row r="32" spans="1:13">
      <c r="B32" s="277" t="s">
        <v>8367</v>
      </c>
      <c r="C32" s="25" t="s">
        <v>8368</v>
      </c>
      <c r="D32" s="277"/>
      <c r="E32" s="25"/>
      <c r="F32" s="277">
        <v>7300</v>
      </c>
      <c r="G32" s="277"/>
      <c r="H32" s="277"/>
      <c r="I32" s="277"/>
      <c r="J32" s="277"/>
      <c r="K32" s="277"/>
    </row>
    <row r="33" spans="1:11">
      <c r="B33" s="277" t="s">
        <v>8333</v>
      </c>
      <c r="C33" s="25" t="s">
        <v>8334</v>
      </c>
      <c r="D33" s="277"/>
      <c r="E33" s="25"/>
      <c r="F33" s="277">
        <v>6900</v>
      </c>
      <c r="G33" s="277"/>
      <c r="H33" s="277"/>
      <c r="I33" s="277"/>
      <c r="J33" s="277"/>
      <c r="K33" s="277"/>
    </row>
    <row r="34" spans="1:11">
      <c r="B34" s="277" t="s">
        <v>8369</v>
      </c>
      <c r="C34" s="25" t="s">
        <v>8370</v>
      </c>
      <c r="D34" s="277"/>
      <c r="E34" s="25"/>
      <c r="F34" s="277">
        <v>6900</v>
      </c>
      <c r="G34" s="277"/>
      <c r="H34" s="277"/>
      <c r="I34" s="277"/>
      <c r="J34" s="277"/>
      <c r="K34" s="277"/>
    </row>
    <row r="35" spans="1:11">
      <c r="B35" s="277" t="s">
        <v>8371</v>
      </c>
      <c r="C35" s="25" t="s">
        <v>8372</v>
      </c>
      <c r="D35" s="277"/>
      <c r="E35" s="25"/>
      <c r="F35" s="277">
        <v>6700</v>
      </c>
      <c r="G35" s="277"/>
      <c r="H35" s="277"/>
      <c r="I35" s="277"/>
      <c r="J35" s="277"/>
      <c r="K35" s="277"/>
    </row>
    <row r="36" spans="1:11">
      <c r="B36" s="277" t="s">
        <v>8373</v>
      </c>
      <c r="C36" s="25" t="s">
        <v>8374</v>
      </c>
      <c r="D36" s="277"/>
      <c r="E36" s="25"/>
      <c r="F36" s="277">
        <v>6500</v>
      </c>
      <c r="G36" s="277"/>
      <c r="H36" s="277"/>
      <c r="I36" s="277"/>
      <c r="J36" s="277"/>
      <c r="K36" s="277"/>
    </row>
    <row r="37" spans="1:11">
      <c r="B37" s="277" t="s">
        <v>8846</v>
      </c>
      <c r="C37" s="25" t="s">
        <v>8845</v>
      </c>
      <c r="D37" s="277"/>
      <c r="E37" s="25"/>
      <c r="F37" s="277">
        <v>6500</v>
      </c>
      <c r="G37" s="277"/>
      <c r="H37" s="277" t="s">
        <v>1</v>
      </c>
      <c r="I37" s="277"/>
      <c r="J37" s="277"/>
      <c r="K37" s="277"/>
    </row>
    <row r="38" spans="1:11">
      <c r="B38" s="277" t="s">
        <v>8376</v>
      </c>
      <c r="C38" s="25" t="s">
        <v>8375</v>
      </c>
      <c r="D38" s="277" t="s">
        <v>8692</v>
      </c>
      <c r="E38" s="25"/>
      <c r="F38" s="277">
        <v>6500</v>
      </c>
      <c r="G38" s="277"/>
      <c r="H38" s="277" t="s">
        <v>1</v>
      </c>
      <c r="I38" s="277"/>
      <c r="J38" s="277"/>
      <c r="K38" s="277"/>
    </row>
    <row r="39" spans="1:11">
      <c r="B39" s="277" t="s">
        <v>8377</v>
      </c>
      <c r="C39" s="25" t="s">
        <v>8378</v>
      </c>
      <c r="D39" s="277"/>
      <c r="E39" s="25"/>
      <c r="F39" s="277">
        <v>6300</v>
      </c>
      <c r="G39" s="277"/>
      <c r="H39" s="277"/>
      <c r="I39" s="277"/>
      <c r="J39" s="277"/>
      <c r="K39" s="277"/>
    </row>
    <row r="40" spans="1:11">
      <c r="A40" s="277"/>
      <c r="B40" s="277" t="s">
        <v>5257</v>
      </c>
      <c r="C40" s="25" t="s">
        <v>6215</v>
      </c>
      <c r="D40" s="277" t="s">
        <v>2594</v>
      </c>
      <c r="E40" s="277"/>
      <c r="F40" s="277">
        <v>6000</v>
      </c>
      <c r="G40" s="277"/>
      <c r="H40" s="277" t="s">
        <v>8227</v>
      </c>
      <c r="I40" s="277"/>
      <c r="J40" s="277"/>
      <c r="K40" s="277"/>
    </row>
    <row r="41" spans="1:11">
      <c r="A41" s="277"/>
      <c r="B41" s="277" t="s">
        <v>8335</v>
      </c>
      <c r="C41" s="25" t="s">
        <v>8336</v>
      </c>
      <c r="D41" s="277"/>
      <c r="E41" s="25"/>
      <c r="F41" s="277">
        <v>5900</v>
      </c>
      <c r="G41" s="277"/>
      <c r="H41" s="277"/>
      <c r="I41" s="277"/>
      <c r="J41" s="277"/>
      <c r="K41" s="277"/>
    </row>
    <row r="42" spans="1:11">
      <c r="A42" s="277"/>
      <c r="B42" s="277" t="s">
        <v>8379</v>
      </c>
      <c r="C42" s="25" t="s">
        <v>8337</v>
      </c>
      <c r="D42" s="277"/>
      <c r="E42" s="25"/>
      <c r="F42" s="277">
        <v>5900</v>
      </c>
      <c r="G42" s="277"/>
      <c r="H42" s="277"/>
      <c r="I42" s="277"/>
      <c r="J42" s="277"/>
      <c r="K42" s="277"/>
    </row>
    <row r="43" spans="1:11">
      <c r="A43" s="277"/>
      <c r="B43" s="277" t="s">
        <v>8848</v>
      </c>
      <c r="C43" s="25" t="s">
        <v>8847</v>
      </c>
      <c r="D43" s="277"/>
      <c r="E43" s="25"/>
      <c r="F43" s="277">
        <v>5600</v>
      </c>
      <c r="G43" s="277"/>
      <c r="H43" s="277"/>
      <c r="I43" s="277"/>
      <c r="J43" s="277"/>
      <c r="K43" s="277"/>
    </row>
    <row r="44" spans="1:11">
      <c r="A44" s="277"/>
      <c r="B44" s="277" t="s">
        <v>8338</v>
      </c>
      <c r="C44" s="25" t="s">
        <v>8339</v>
      </c>
      <c r="D44" s="277"/>
      <c r="E44" s="25"/>
      <c r="F44" s="277">
        <v>5500</v>
      </c>
      <c r="G44" s="277"/>
      <c r="H44" s="277"/>
      <c r="I44" s="277"/>
      <c r="J44" s="277"/>
      <c r="K44" s="277"/>
    </row>
    <row r="45" spans="1:11">
      <c r="A45" s="277"/>
      <c r="B45" s="277" t="s">
        <v>8341</v>
      </c>
      <c r="C45" s="25" t="s">
        <v>8340</v>
      </c>
      <c r="D45" s="277"/>
      <c r="E45" s="25"/>
      <c r="F45" s="277">
        <v>5500</v>
      </c>
      <c r="G45" s="277"/>
      <c r="H45" s="277"/>
      <c r="I45" s="277"/>
      <c r="J45" s="277"/>
      <c r="K45" s="277"/>
    </row>
    <row r="46" spans="1:11">
      <c r="A46" s="277"/>
      <c r="B46" s="277" t="s">
        <v>8850</v>
      </c>
      <c r="C46" s="25" t="s">
        <v>8849</v>
      </c>
      <c r="D46" s="277"/>
      <c r="E46" s="25"/>
      <c r="F46" s="277">
        <v>4700</v>
      </c>
      <c r="G46" s="277"/>
      <c r="H46" s="277"/>
      <c r="I46" s="277" t="s">
        <v>8877</v>
      </c>
      <c r="J46" s="277"/>
      <c r="K46" s="277"/>
    </row>
    <row r="47" spans="1:11">
      <c r="A47" s="277"/>
      <c r="B47" s="277" t="s">
        <v>8380</v>
      </c>
      <c r="C47" s="25" t="s">
        <v>8381</v>
      </c>
      <c r="D47" s="277"/>
      <c r="E47" s="25"/>
      <c r="F47" s="277">
        <v>4600</v>
      </c>
      <c r="G47" s="277"/>
      <c r="H47" s="277"/>
      <c r="I47" s="277"/>
      <c r="J47" s="277"/>
      <c r="K47" s="277"/>
    </row>
    <row r="48" spans="1:11">
      <c r="B48" s="277" t="s">
        <v>8342</v>
      </c>
      <c r="C48" s="25" t="s">
        <v>8343</v>
      </c>
      <c r="D48" s="277"/>
      <c r="E48" s="25"/>
      <c r="F48" s="277">
        <v>4400</v>
      </c>
      <c r="G48" s="277"/>
      <c r="H48" s="277"/>
      <c r="I48" s="277"/>
      <c r="J48" s="277"/>
      <c r="K48" s="277"/>
    </row>
    <row r="49" spans="1:11">
      <c r="A49" s="277"/>
      <c r="B49" s="277" t="s">
        <v>6218</v>
      </c>
      <c r="C49" s="25" t="s">
        <v>6219</v>
      </c>
      <c r="D49" s="277"/>
      <c r="E49" s="277"/>
      <c r="F49" s="277">
        <v>4300</v>
      </c>
      <c r="G49" s="277"/>
      <c r="H49" s="277"/>
      <c r="I49" s="277"/>
      <c r="J49" s="277"/>
      <c r="K49" s="277"/>
    </row>
    <row r="50" spans="1:11">
      <c r="A50" s="277"/>
      <c r="B50" s="277" t="s">
        <v>8344</v>
      </c>
      <c r="C50" s="277"/>
      <c r="D50" s="277"/>
      <c r="E50" s="25"/>
      <c r="F50" s="277">
        <v>4000</v>
      </c>
      <c r="G50" s="277"/>
      <c r="H50" s="277"/>
      <c r="I50" s="277"/>
      <c r="J50" s="277"/>
      <c r="K50" s="277"/>
    </row>
    <row r="51" spans="1:11" ht="15">
      <c r="A51" s="277"/>
      <c r="B51" s="277" t="s">
        <v>8385</v>
      </c>
      <c r="C51" s="44" t="s">
        <v>8384</v>
      </c>
      <c r="D51" s="277"/>
      <c r="E51" s="25"/>
      <c r="F51" s="277">
        <v>3900</v>
      </c>
      <c r="G51" s="277"/>
      <c r="H51" s="277"/>
      <c r="I51" s="277"/>
      <c r="J51" s="277"/>
      <c r="K51" s="277"/>
    </row>
    <row r="52" spans="1:11" ht="15">
      <c r="A52" s="277"/>
      <c r="B52" s="277" t="s">
        <v>8383</v>
      </c>
      <c r="C52" s="44" t="s">
        <v>8382</v>
      </c>
      <c r="D52" s="277"/>
      <c r="E52" s="25"/>
      <c r="F52" s="277">
        <v>3700</v>
      </c>
      <c r="G52" s="277"/>
      <c r="H52" s="277"/>
      <c r="I52" s="277" t="s">
        <v>3846</v>
      </c>
      <c r="J52" s="277"/>
      <c r="K52" s="277"/>
    </row>
    <row r="53" spans="1:11">
      <c r="A53" s="277"/>
      <c r="B53" s="277" t="s">
        <v>8345</v>
      </c>
      <c r="C53" s="277"/>
      <c r="D53" s="277"/>
      <c r="E53" s="25"/>
      <c r="F53" s="277">
        <v>3600</v>
      </c>
      <c r="G53" s="277"/>
      <c r="H53" s="277"/>
      <c r="I53" s="277"/>
      <c r="J53" s="277"/>
      <c r="K53" s="277"/>
    </row>
    <row r="54" spans="1:11">
      <c r="A54" s="277"/>
      <c r="B54" s="277" t="s">
        <v>7881</v>
      </c>
      <c r="C54" s="25" t="s">
        <v>7882</v>
      </c>
      <c r="D54" s="277"/>
      <c r="E54" s="277"/>
      <c r="F54" s="277">
        <v>3600</v>
      </c>
      <c r="G54" s="277" t="s">
        <v>8228</v>
      </c>
      <c r="H54" s="277" t="s">
        <v>8227</v>
      </c>
      <c r="I54" s="277" t="s">
        <v>8878</v>
      </c>
      <c r="J54" s="277"/>
      <c r="K54" s="277"/>
    </row>
    <row r="55" spans="1:11">
      <c r="A55" s="277"/>
      <c r="B55" s="277" t="s">
        <v>8386</v>
      </c>
      <c r="C55" s="25" t="s">
        <v>8387</v>
      </c>
      <c r="D55" s="277"/>
      <c r="E55" s="277"/>
      <c r="F55" s="277">
        <v>3600</v>
      </c>
      <c r="G55" s="277"/>
      <c r="H55" s="277"/>
      <c r="I55" s="277"/>
      <c r="J55" s="277"/>
      <c r="K55" s="277"/>
    </row>
    <row r="56" spans="1:11">
      <c r="A56" s="277"/>
      <c r="B56" s="277" t="s">
        <v>8389</v>
      </c>
      <c r="C56" s="25" t="s">
        <v>8388</v>
      </c>
      <c r="D56" s="277"/>
      <c r="E56" s="277"/>
      <c r="F56" s="277">
        <v>3500</v>
      </c>
      <c r="G56" s="277"/>
      <c r="H56" s="277"/>
      <c r="I56" s="277"/>
      <c r="J56" s="277"/>
      <c r="K56" s="277"/>
    </row>
    <row r="57" spans="1:11" ht="14">
      <c r="A57" s="277"/>
      <c r="B57" s="277" t="s">
        <v>8095</v>
      </c>
      <c r="C57" s="28" t="s">
        <v>8096</v>
      </c>
      <c r="D57" s="277"/>
      <c r="E57" s="25"/>
      <c r="F57" s="277">
        <v>3100</v>
      </c>
      <c r="G57" s="277"/>
      <c r="H57" s="277"/>
      <c r="I57" s="277"/>
      <c r="J57" s="277"/>
      <c r="K57" s="277"/>
    </row>
    <row r="58" spans="1:11" ht="14">
      <c r="B58" s="277" t="s">
        <v>8346</v>
      </c>
      <c r="C58" s="28"/>
      <c r="D58" s="277"/>
      <c r="E58" s="25"/>
      <c r="F58" s="277">
        <v>3000</v>
      </c>
      <c r="G58" s="277"/>
      <c r="H58" s="277"/>
      <c r="I58" s="277"/>
      <c r="J58" s="277"/>
      <c r="K58" s="277"/>
    </row>
    <row r="59" spans="1:11">
      <c r="B59" s="277" t="s">
        <v>8347</v>
      </c>
      <c r="C59" s="277" t="s">
        <v>8390</v>
      </c>
      <c r="D59" s="277" t="s">
        <v>8348</v>
      </c>
      <c r="E59" s="277"/>
      <c r="F59" s="277">
        <v>2900</v>
      </c>
      <c r="G59" s="277"/>
      <c r="H59" s="277"/>
      <c r="I59" s="277"/>
      <c r="J59" s="277"/>
      <c r="K59" s="277"/>
    </row>
    <row r="60" spans="1:11">
      <c r="B60" s="277" t="s">
        <v>8391</v>
      </c>
      <c r="C60" s="277" t="s">
        <v>8392</v>
      </c>
      <c r="D60" s="277"/>
      <c r="E60" s="277"/>
      <c r="F60" s="277">
        <v>2800</v>
      </c>
      <c r="G60" s="277"/>
      <c r="H60" s="277"/>
      <c r="I60" s="277"/>
      <c r="J60" s="277"/>
      <c r="K60" s="277"/>
    </row>
    <row r="61" spans="1:11" ht="14">
      <c r="B61" s="277" t="s">
        <v>8333</v>
      </c>
      <c r="C61" s="28"/>
      <c r="D61" s="277"/>
      <c r="E61" s="25"/>
      <c r="F61" s="277">
        <v>2800</v>
      </c>
      <c r="G61" s="277"/>
      <c r="H61" s="277"/>
      <c r="I61" s="277"/>
      <c r="J61" s="277"/>
      <c r="K61" s="277"/>
    </row>
    <row r="62" spans="1:11" ht="14">
      <c r="B62" s="277" t="s">
        <v>8349</v>
      </c>
      <c r="C62" s="28"/>
      <c r="D62" s="277"/>
      <c r="E62" s="25"/>
      <c r="F62" s="277">
        <v>2800</v>
      </c>
      <c r="G62" s="277"/>
      <c r="H62" s="277"/>
      <c r="I62" s="277"/>
      <c r="J62" s="277"/>
      <c r="K62" s="277"/>
    </row>
    <row r="63" spans="1:11" ht="14">
      <c r="B63" s="277" t="s">
        <v>8394</v>
      </c>
      <c r="C63" s="28" t="s">
        <v>8393</v>
      </c>
      <c r="D63" s="277"/>
      <c r="E63" s="25"/>
      <c r="F63" s="277">
        <v>2700</v>
      </c>
      <c r="G63" s="277"/>
      <c r="H63" s="277"/>
      <c r="I63" s="277"/>
      <c r="J63" s="277"/>
      <c r="K63" s="277"/>
    </row>
    <row r="64" spans="1:11" ht="14">
      <c r="B64" s="277" t="s">
        <v>8853</v>
      </c>
      <c r="C64" s="28" t="s">
        <v>8854</v>
      </c>
      <c r="D64" s="277"/>
      <c r="E64" s="25"/>
      <c r="F64" s="277">
        <v>2600</v>
      </c>
      <c r="G64" s="277"/>
      <c r="H64" s="277"/>
      <c r="I64" s="277"/>
      <c r="J64" s="277"/>
      <c r="K64" s="277"/>
    </row>
    <row r="65" spans="2:11" ht="14">
      <c r="B65" s="277" t="s">
        <v>8395</v>
      </c>
      <c r="C65" s="28" t="s">
        <v>8396</v>
      </c>
      <c r="D65" s="277"/>
      <c r="E65" s="25"/>
      <c r="F65" s="277">
        <v>2600</v>
      </c>
      <c r="G65" s="277"/>
      <c r="H65" s="277"/>
      <c r="I65" s="277"/>
      <c r="J65" s="277"/>
      <c r="K65" s="277"/>
    </row>
    <row r="66" spans="2:11" ht="14">
      <c r="B66" s="277" t="s">
        <v>8397</v>
      </c>
      <c r="C66" s="28" t="s">
        <v>8398</v>
      </c>
      <c r="D66" s="277"/>
      <c r="E66" s="25"/>
      <c r="F66" s="277">
        <v>2500</v>
      </c>
      <c r="G66" s="277"/>
      <c r="H66" s="277"/>
      <c r="I66" s="277"/>
      <c r="J66" s="277"/>
      <c r="K66" s="277"/>
    </row>
    <row r="67" spans="2:11" ht="14">
      <c r="B67" s="277" t="s">
        <v>8400</v>
      </c>
      <c r="C67" s="28" t="s">
        <v>8399</v>
      </c>
      <c r="D67" s="277"/>
      <c r="E67" s="25"/>
      <c r="F67" s="277">
        <v>2400</v>
      </c>
      <c r="G67" s="277"/>
      <c r="H67" s="277"/>
      <c r="I67" s="277"/>
      <c r="J67" s="277"/>
      <c r="K67" s="277"/>
    </row>
    <row r="68" spans="2:11">
      <c r="B68" s="277" t="s">
        <v>8253</v>
      </c>
      <c r="C68" s="277" t="s">
        <v>8254</v>
      </c>
      <c r="D68" s="277"/>
      <c r="E68" s="277"/>
      <c r="F68" s="277">
        <v>2300</v>
      </c>
      <c r="G68" s="277"/>
      <c r="H68" s="277"/>
      <c r="I68" s="277"/>
      <c r="J68" s="277"/>
      <c r="K68" s="277"/>
    </row>
    <row r="69" spans="2:11">
      <c r="B69" s="277" t="s">
        <v>8401</v>
      </c>
      <c r="C69" s="277" t="s">
        <v>8403</v>
      </c>
      <c r="D69" s="277"/>
      <c r="E69" s="277"/>
      <c r="F69" s="277">
        <v>2300</v>
      </c>
      <c r="G69" s="277"/>
      <c r="H69" s="277"/>
      <c r="I69" s="277"/>
      <c r="J69" s="277"/>
      <c r="K69" s="277"/>
    </row>
    <row r="70" spans="2:11">
      <c r="B70" s="277" t="s">
        <v>8402</v>
      </c>
      <c r="C70" s="277" t="s">
        <v>8404</v>
      </c>
      <c r="D70" s="277"/>
      <c r="E70" s="277"/>
      <c r="F70" s="277">
        <v>2300</v>
      </c>
      <c r="G70" s="277"/>
      <c r="H70" s="277"/>
      <c r="I70" s="277" t="s">
        <v>782</v>
      </c>
      <c r="J70" s="277"/>
      <c r="K70" s="277"/>
    </row>
    <row r="71" spans="2:11">
      <c r="B71" s="277" t="s">
        <v>8405</v>
      </c>
      <c r="C71" s="277" t="s">
        <v>8406</v>
      </c>
      <c r="D71" s="277"/>
      <c r="E71" s="277"/>
      <c r="F71" s="277">
        <v>2300</v>
      </c>
      <c r="G71" s="277"/>
      <c r="H71" s="277"/>
      <c r="I71" s="277"/>
      <c r="J71" s="277"/>
      <c r="K71" s="277"/>
    </row>
    <row r="72" spans="2:11">
      <c r="B72" s="277" t="s">
        <v>5193</v>
      </c>
      <c r="C72" s="277" t="s">
        <v>8407</v>
      </c>
      <c r="D72" s="277"/>
      <c r="E72" s="277"/>
      <c r="F72" s="277">
        <v>2300</v>
      </c>
      <c r="G72" s="277"/>
      <c r="H72" s="277"/>
      <c r="I72" s="277"/>
      <c r="J72" s="277"/>
      <c r="K72" s="277"/>
    </row>
    <row r="73" spans="2:11">
      <c r="B73" s="277" t="s">
        <v>8856</v>
      </c>
      <c r="C73" s="277" t="s">
        <v>8855</v>
      </c>
      <c r="D73" s="277"/>
      <c r="E73" s="277"/>
      <c r="F73" s="277">
        <v>2300</v>
      </c>
      <c r="G73" s="277"/>
      <c r="H73" s="277"/>
      <c r="I73" s="277"/>
      <c r="J73" s="277"/>
      <c r="K73" s="277"/>
    </row>
    <row r="74" spans="2:11">
      <c r="B74" s="277" t="s">
        <v>8350</v>
      </c>
      <c r="C74" s="277" t="s">
        <v>8410</v>
      </c>
      <c r="D74" s="277"/>
      <c r="E74" s="277"/>
      <c r="F74" s="277">
        <v>2200</v>
      </c>
      <c r="G74" s="277"/>
      <c r="H74" s="277"/>
      <c r="I74" s="277"/>
      <c r="J74" s="277"/>
      <c r="K74" s="277"/>
    </row>
    <row r="75" spans="2:11">
      <c r="B75" s="277" t="s">
        <v>8409</v>
      </c>
      <c r="C75" s="277" t="s">
        <v>8408</v>
      </c>
      <c r="D75" s="277"/>
      <c r="E75" s="277"/>
      <c r="F75" s="277">
        <v>2200</v>
      </c>
      <c r="G75" s="277"/>
      <c r="H75" s="277"/>
      <c r="I75" s="277"/>
      <c r="J75" s="277"/>
      <c r="K75" s="277"/>
    </row>
    <row r="76" spans="2:11">
      <c r="B76" s="277" t="s">
        <v>8412</v>
      </c>
      <c r="C76" s="277" t="s">
        <v>8411</v>
      </c>
      <c r="D76" s="277"/>
      <c r="E76" s="277"/>
      <c r="F76" s="277">
        <v>2200</v>
      </c>
      <c r="G76" s="277"/>
      <c r="H76" s="277"/>
      <c r="I76" s="277"/>
      <c r="J76" s="277"/>
      <c r="K76" s="277"/>
    </row>
    <row r="77" spans="2:11">
      <c r="B77" s="277" t="s">
        <v>8414</v>
      </c>
      <c r="C77" s="277" t="s">
        <v>8413</v>
      </c>
      <c r="D77" s="277"/>
      <c r="E77" s="277"/>
      <c r="F77" s="277">
        <v>2100</v>
      </c>
      <c r="G77" s="277"/>
      <c r="H77" s="277"/>
      <c r="I77" s="277"/>
      <c r="J77" s="277"/>
      <c r="K77" s="277"/>
    </row>
    <row r="78" spans="2:11">
      <c r="B78" s="277" t="s">
        <v>8415</v>
      </c>
      <c r="C78" s="277" t="s">
        <v>8418</v>
      </c>
      <c r="D78" s="277"/>
      <c r="E78" s="277"/>
      <c r="F78" s="277">
        <v>2100</v>
      </c>
      <c r="G78" s="277"/>
      <c r="H78" s="277"/>
      <c r="I78" s="277"/>
      <c r="J78" s="277"/>
      <c r="K78" s="277"/>
    </row>
    <row r="79" spans="2:11">
      <c r="B79" s="277" t="s">
        <v>8416</v>
      </c>
      <c r="C79" s="277" t="s">
        <v>8417</v>
      </c>
      <c r="D79" s="277"/>
      <c r="E79" s="277"/>
      <c r="F79" s="277">
        <v>2100</v>
      </c>
      <c r="G79" s="277"/>
      <c r="H79" s="277"/>
      <c r="I79" s="277"/>
      <c r="J79" s="277"/>
      <c r="K79" s="277"/>
    </row>
    <row r="80" spans="2:11">
      <c r="B80" s="277" t="s">
        <v>8419</v>
      </c>
      <c r="C80" s="277" t="s">
        <v>8420</v>
      </c>
      <c r="D80" s="277"/>
      <c r="E80" s="277"/>
      <c r="F80" s="277">
        <v>2100</v>
      </c>
      <c r="G80" s="277"/>
      <c r="H80" s="277"/>
      <c r="I80" s="277"/>
      <c r="J80" s="277"/>
      <c r="K80" s="277"/>
    </row>
    <row r="81" spans="1:11">
      <c r="B81" s="277" t="s">
        <v>8422</v>
      </c>
      <c r="C81" s="277" t="s">
        <v>8421</v>
      </c>
      <c r="D81" s="277"/>
      <c r="E81" s="277"/>
      <c r="F81" s="277">
        <v>2000</v>
      </c>
      <c r="G81" s="277"/>
      <c r="H81" s="277"/>
      <c r="I81" s="277"/>
      <c r="J81" s="277"/>
      <c r="K81" s="277"/>
    </row>
    <row r="82" spans="1:11">
      <c r="B82" s="277" t="s">
        <v>8424</v>
      </c>
      <c r="C82" s="277" t="s">
        <v>8423</v>
      </c>
      <c r="D82" s="277"/>
      <c r="E82" s="277"/>
      <c r="F82" s="277">
        <v>1900</v>
      </c>
      <c r="G82" s="277"/>
      <c r="H82" s="277"/>
      <c r="I82" s="277"/>
      <c r="J82" s="277"/>
      <c r="K82" s="277"/>
    </row>
    <row r="83" spans="1:11">
      <c r="B83" s="49" t="s">
        <v>8425</v>
      </c>
      <c r="C83" s="49" t="s">
        <v>8426</v>
      </c>
      <c r="D83" s="277"/>
      <c r="E83" s="277"/>
      <c r="F83" s="49">
        <v>1900</v>
      </c>
      <c r="G83" s="277"/>
      <c r="H83" s="277"/>
      <c r="I83" s="277"/>
      <c r="J83" s="277"/>
      <c r="K83" s="277"/>
    </row>
    <row r="84" spans="1:11">
      <c r="B84" s="277" t="s">
        <v>8427</v>
      </c>
      <c r="C84" s="277" t="s">
        <v>8428</v>
      </c>
      <c r="D84" s="277"/>
      <c r="E84" s="277"/>
      <c r="F84" s="277">
        <v>1800</v>
      </c>
      <c r="G84" s="277"/>
      <c r="H84" s="277"/>
      <c r="I84" s="277"/>
      <c r="J84" s="277"/>
      <c r="K84" s="277"/>
    </row>
    <row r="85" spans="1:11">
      <c r="B85" s="277" t="s">
        <v>8429</v>
      </c>
      <c r="C85" s="277" t="s">
        <v>8430</v>
      </c>
      <c r="D85" s="277"/>
      <c r="E85" s="277"/>
      <c r="F85" s="277">
        <v>1800</v>
      </c>
      <c r="G85" s="277"/>
      <c r="H85" s="277"/>
      <c r="I85" s="277"/>
      <c r="J85" s="277"/>
      <c r="K85" s="277"/>
    </row>
    <row r="86" spans="1:11">
      <c r="B86" s="277" t="s">
        <v>8431</v>
      </c>
      <c r="C86" s="277" t="s">
        <v>8432</v>
      </c>
      <c r="D86" s="277"/>
      <c r="E86" s="277"/>
      <c r="F86" s="277">
        <v>1800</v>
      </c>
      <c r="G86" s="277"/>
      <c r="H86" s="277"/>
      <c r="I86" s="277"/>
      <c r="J86" s="277"/>
      <c r="K86" s="277"/>
    </row>
    <row r="87" spans="1:11">
      <c r="B87" s="277" t="s">
        <v>8433</v>
      </c>
      <c r="C87" s="277" t="s">
        <v>8434</v>
      </c>
      <c r="D87" s="277"/>
      <c r="E87" s="277"/>
      <c r="F87" s="277">
        <v>1800</v>
      </c>
      <c r="G87" s="277"/>
      <c r="H87" s="277"/>
      <c r="I87" s="277"/>
      <c r="J87" s="277"/>
      <c r="K87" s="277"/>
    </row>
    <row r="88" spans="1:11">
      <c r="B88" s="277" t="s">
        <v>8435</v>
      </c>
      <c r="C88" s="277" t="s">
        <v>8436</v>
      </c>
      <c r="D88" s="277"/>
      <c r="E88" s="277"/>
      <c r="F88" s="277">
        <v>1700</v>
      </c>
      <c r="G88" s="277"/>
      <c r="H88" s="277"/>
      <c r="I88" s="277"/>
      <c r="J88" s="277"/>
      <c r="K88" s="277"/>
    </row>
    <row r="89" spans="1:11">
      <c r="B89" s="277" t="s">
        <v>8333</v>
      </c>
      <c r="C89" s="277" t="s">
        <v>8437</v>
      </c>
      <c r="D89" s="277"/>
      <c r="E89" s="277"/>
      <c r="F89" s="277">
        <v>1700</v>
      </c>
      <c r="G89" s="277"/>
      <c r="H89" s="277"/>
      <c r="I89" s="277"/>
      <c r="J89" s="277"/>
      <c r="K89" s="277"/>
    </row>
    <row r="90" spans="1:11">
      <c r="B90" s="277" t="s">
        <v>8439</v>
      </c>
      <c r="C90" s="277" t="s">
        <v>8438</v>
      </c>
      <c r="D90" s="277"/>
      <c r="E90" s="277"/>
      <c r="F90" s="277">
        <v>1700</v>
      </c>
      <c r="G90" s="277"/>
      <c r="H90" s="277"/>
      <c r="I90" s="277"/>
      <c r="J90" s="277"/>
      <c r="K90" s="277"/>
    </row>
    <row r="91" spans="1:11">
      <c r="B91" s="277" t="s">
        <v>8440</v>
      </c>
      <c r="C91" s="277" t="s">
        <v>8441</v>
      </c>
      <c r="D91" s="277"/>
      <c r="E91" s="277"/>
      <c r="F91" s="277">
        <v>1600</v>
      </c>
      <c r="G91" s="277"/>
      <c r="H91" s="277"/>
      <c r="I91" s="277"/>
      <c r="J91" s="277"/>
      <c r="K91" s="277"/>
    </row>
    <row r="92" spans="1:11">
      <c r="B92" s="277" t="s">
        <v>8442</v>
      </c>
      <c r="C92" s="277" t="s">
        <v>8443</v>
      </c>
      <c r="D92" s="277"/>
      <c r="E92" s="277"/>
      <c r="F92" s="277">
        <v>1600</v>
      </c>
      <c r="G92" s="277"/>
      <c r="H92" s="277"/>
      <c r="I92" s="277"/>
      <c r="J92" s="277"/>
      <c r="K92" s="277"/>
    </row>
    <row r="93" spans="1:11">
      <c r="B93" s="277" t="s">
        <v>8444</v>
      </c>
      <c r="C93" s="277" t="s">
        <v>8445</v>
      </c>
      <c r="D93" s="277"/>
      <c r="E93" s="277"/>
      <c r="F93" s="277">
        <v>1600</v>
      </c>
      <c r="G93" s="277"/>
      <c r="H93" s="277"/>
      <c r="I93" s="277"/>
      <c r="J93" s="277"/>
      <c r="K93" s="277"/>
    </row>
    <row r="94" spans="1:11" ht="14">
      <c r="A94" s="277"/>
      <c r="B94" s="277" t="s">
        <v>5205</v>
      </c>
      <c r="C94" s="28" t="s">
        <v>8318</v>
      </c>
      <c r="D94" s="277"/>
      <c r="E94" s="25"/>
      <c r="F94" s="277">
        <v>1600</v>
      </c>
      <c r="G94" s="277"/>
      <c r="H94" s="277"/>
      <c r="I94" s="277"/>
      <c r="J94" s="277"/>
      <c r="K94" s="277"/>
    </row>
    <row r="95" spans="1:11" ht="14">
      <c r="A95" s="277"/>
      <c r="B95" s="277" t="s">
        <v>8446</v>
      </c>
      <c r="C95" s="28" t="s">
        <v>8447</v>
      </c>
      <c r="D95" s="277"/>
      <c r="E95" s="25"/>
      <c r="F95" s="277">
        <v>1500</v>
      </c>
      <c r="G95" s="277"/>
      <c r="H95" s="277"/>
      <c r="I95" s="277"/>
      <c r="J95" s="277"/>
      <c r="K95" s="277"/>
    </row>
    <row r="96" spans="1:11" ht="14">
      <c r="A96" s="277"/>
      <c r="B96" s="277" t="s">
        <v>8449</v>
      </c>
      <c r="C96" s="28" t="s">
        <v>8448</v>
      </c>
      <c r="D96" s="277"/>
      <c r="E96" s="25"/>
      <c r="F96" s="277">
        <v>1500</v>
      </c>
      <c r="G96" s="277"/>
      <c r="H96" s="277"/>
      <c r="I96" s="277"/>
      <c r="J96" s="277"/>
      <c r="K96" s="277"/>
    </row>
    <row r="97" spans="1:11" ht="14">
      <c r="A97" s="277"/>
      <c r="B97" s="277" t="s">
        <v>8858</v>
      </c>
      <c r="C97" s="28" t="s">
        <v>8857</v>
      </c>
      <c r="D97" s="277"/>
      <c r="E97" s="25"/>
      <c r="F97" s="277">
        <v>1500</v>
      </c>
      <c r="G97" s="277"/>
      <c r="H97" s="277"/>
      <c r="I97" s="277"/>
      <c r="J97" s="277"/>
      <c r="K97" s="277"/>
    </row>
    <row r="98" spans="1:11" ht="14">
      <c r="A98" s="277"/>
      <c r="B98" s="277" t="s">
        <v>8450</v>
      </c>
      <c r="C98" s="28" t="s">
        <v>8451</v>
      </c>
      <c r="D98" s="277"/>
      <c r="E98" s="25"/>
      <c r="F98" s="277">
        <v>1500</v>
      </c>
      <c r="G98" s="277"/>
      <c r="H98" s="277"/>
      <c r="I98" s="277"/>
      <c r="J98" s="277"/>
      <c r="K98" s="277"/>
    </row>
    <row r="99" spans="1:11" ht="14">
      <c r="A99" s="277"/>
      <c r="B99" s="277" t="s">
        <v>8453</v>
      </c>
      <c r="C99" s="28" t="s">
        <v>8452</v>
      </c>
      <c r="D99" s="277"/>
      <c r="E99" s="25"/>
      <c r="F99" s="277">
        <v>1500</v>
      </c>
      <c r="G99" s="277"/>
      <c r="H99" s="277"/>
      <c r="I99" s="277"/>
      <c r="J99" s="277"/>
      <c r="K99" s="277"/>
    </row>
    <row r="100" spans="1:11" ht="14">
      <c r="A100" s="277"/>
      <c r="B100" s="277" t="s">
        <v>8455</v>
      </c>
      <c r="C100" s="28" t="s">
        <v>8454</v>
      </c>
      <c r="D100" s="277"/>
      <c r="E100" s="25"/>
      <c r="F100" s="277">
        <v>1400</v>
      </c>
      <c r="G100" s="277"/>
      <c r="H100" s="277"/>
      <c r="I100" s="277"/>
      <c r="J100" s="277"/>
      <c r="K100" s="277"/>
    </row>
    <row r="101" spans="1:11" ht="14">
      <c r="A101" s="277"/>
      <c r="B101" s="277" t="s">
        <v>8457</v>
      </c>
      <c r="C101" s="28" t="s">
        <v>8456</v>
      </c>
      <c r="D101" s="277"/>
      <c r="E101" s="25"/>
      <c r="F101" s="277">
        <v>1400</v>
      </c>
      <c r="G101" s="277"/>
      <c r="H101" s="277"/>
      <c r="I101" s="277"/>
      <c r="J101" s="277"/>
      <c r="K101" s="277"/>
    </row>
    <row r="102" spans="1:11" ht="14">
      <c r="A102" s="277"/>
      <c r="B102" s="277" t="s">
        <v>8458</v>
      </c>
      <c r="C102" s="28" t="s">
        <v>8459</v>
      </c>
      <c r="D102" s="277"/>
      <c r="E102" s="25"/>
      <c r="F102" s="277">
        <v>1400</v>
      </c>
      <c r="G102" s="277"/>
      <c r="H102" s="277"/>
      <c r="I102" s="277"/>
      <c r="J102" s="277"/>
      <c r="K102" s="277"/>
    </row>
    <row r="103" spans="1:11" ht="14">
      <c r="A103" s="277"/>
      <c r="B103" s="277" t="s">
        <v>8460</v>
      </c>
      <c r="C103" s="28" t="s">
        <v>8461</v>
      </c>
      <c r="D103" s="277"/>
      <c r="E103" s="25"/>
      <c r="F103" s="277">
        <v>1400</v>
      </c>
      <c r="G103" s="277"/>
      <c r="H103" s="277"/>
      <c r="I103" s="277"/>
      <c r="J103" s="277"/>
      <c r="K103" s="277"/>
    </row>
    <row r="104" spans="1:11" ht="14">
      <c r="A104" s="277"/>
      <c r="B104" s="277" t="s">
        <v>8463</v>
      </c>
      <c r="C104" s="28" t="s">
        <v>8462</v>
      </c>
      <c r="D104" s="277"/>
      <c r="E104" s="25"/>
      <c r="F104" s="277">
        <v>1300</v>
      </c>
      <c r="G104" s="277"/>
      <c r="H104" s="277"/>
      <c r="I104" s="277"/>
      <c r="J104" s="277"/>
      <c r="K104" s="277"/>
    </row>
    <row r="105" spans="1:11" ht="14">
      <c r="A105" s="277"/>
      <c r="B105" s="277" t="s">
        <v>8464</v>
      </c>
      <c r="C105" s="28" t="s">
        <v>8465</v>
      </c>
      <c r="D105" s="277"/>
      <c r="E105" s="25"/>
      <c r="F105" s="277">
        <v>1300</v>
      </c>
      <c r="G105" s="277"/>
      <c r="H105" s="277"/>
      <c r="I105" s="277"/>
      <c r="J105" s="277"/>
      <c r="K105" s="277"/>
    </row>
    <row r="106" spans="1:11" ht="14">
      <c r="A106" s="277"/>
      <c r="B106" s="277" t="s">
        <v>8467</v>
      </c>
      <c r="C106" s="28" t="s">
        <v>8466</v>
      </c>
      <c r="D106" s="277"/>
      <c r="E106" s="25"/>
      <c r="F106" s="277">
        <v>1300</v>
      </c>
      <c r="G106" s="277"/>
      <c r="H106" s="277"/>
      <c r="I106" s="277"/>
      <c r="J106" s="277"/>
      <c r="K106" s="277"/>
    </row>
    <row r="107" spans="1:11" ht="14">
      <c r="A107" s="277"/>
      <c r="B107" s="277" t="s">
        <v>8468</v>
      </c>
      <c r="C107" s="28" t="s">
        <v>8469</v>
      </c>
      <c r="D107" s="277"/>
      <c r="E107" s="25"/>
      <c r="F107" s="277">
        <v>1300</v>
      </c>
      <c r="G107" s="277"/>
      <c r="H107" s="277"/>
      <c r="I107" s="277"/>
      <c r="J107" s="277"/>
      <c r="K107" s="277"/>
    </row>
    <row r="108" spans="1:11" ht="14">
      <c r="A108" s="277"/>
      <c r="B108" s="277" t="s">
        <v>8470</v>
      </c>
      <c r="C108" s="28" t="s">
        <v>8471</v>
      </c>
      <c r="D108" s="277"/>
      <c r="E108" s="25"/>
      <c r="F108" s="277">
        <v>1200</v>
      </c>
      <c r="G108" s="277"/>
      <c r="H108" s="277"/>
      <c r="I108" s="277"/>
      <c r="J108" s="277"/>
      <c r="K108" s="277"/>
    </row>
    <row r="109" spans="1:11" ht="14">
      <c r="A109" s="277"/>
      <c r="B109" s="277" t="s">
        <v>8472</v>
      </c>
      <c r="C109" s="28" t="s">
        <v>8473</v>
      </c>
      <c r="D109" s="277"/>
      <c r="E109" s="25"/>
      <c r="F109" s="277">
        <v>1200</v>
      </c>
      <c r="G109" s="277"/>
      <c r="H109" s="277"/>
      <c r="I109" s="277"/>
      <c r="J109" s="277"/>
      <c r="K109" s="277"/>
    </row>
    <row r="110" spans="1:11" ht="14">
      <c r="A110" s="277"/>
      <c r="B110" s="277" t="s">
        <v>8474</v>
      </c>
      <c r="C110" s="28" t="s">
        <v>8475</v>
      </c>
      <c r="D110" s="277"/>
      <c r="E110" s="25"/>
      <c r="F110" s="277">
        <v>1200</v>
      </c>
      <c r="G110" s="277"/>
      <c r="H110" s="277"/>
      <c r="I110" s="277"/>
      <c r="J110" s="277"/>
      <c r="K110" s="277"/>
    </row>
    <row r="111" spans="1:11" ht="14">
      <c r="A111" s="277"/>
      <c r="B111" s="277" t="s">
        <v>8476</v>
      </c>
      <c r="C111" s="28" t="s">
        <v>8477</v>
      </c>
      <c r="D111" s="277"/>
      <c r="E111" s="25"/>
      <c r="F111" s="277">
        <v>1200</v>
      </c>
      <c r="G111" s="277"/>
      <c r="H111" s="277"/>
      <c r="I111" s="277"/>
      <c r="J111" s="277"/>
      <c r="K111" s="277"/>
    </row>
    <row r="112" spans="1:11" ht="14">
      <c r="A112" s="277"/>
      <c r="B112" s="277" t="s">
        <v>8479</v>
      </c>
      <c r="C112" s="28" t="s">
        <v>8478</v>
      </c>
      <c r="D112" s="277"/>
      <c r="E112" s="25"/>
      <c r="F112" s="277">
        <v>1200</v>
      </c>
      <c r="G112" s="277"/>
      <c r="H112" s="277"/>
      <c r="I112" s="277"/>
      <c r="J112" s="277"/>
      <c r="K112" s="277"/>
    </row>
    <row r="113" spans="1:11" ht="14">
      <c r="A113" s="277"/>
      <c r="B113" s="277" t="s">
        <v>8480</v>
      </c>
      <c r="C113" s="28" t="s">
        <v>8481</v>
      </c>
      <c r="D113" s="277"/>
      <c r="E113" s="25"/>
      <c r="F113" s="277">
        <v>1200</v>
      </c>
      <c r="G113" s="277"/>
      <c r="H113" s="277"/>
      <c r="I113" s="277"/>
      <c r="J113" s="277"/>
      <c r="K113" s="277"/>
    </row>
    <row r="114" spans="1:11" ht="14">
      <c r="A114" s="277"/>
      <c r="B114" s="277" t="s">
        <v>8483</v>
      </c>
      <c r="C114" s="28" t="s">
        <v>8482</v>
      </c>
      <c r="D114" s="277"/>
      <c r="E114" s="25"/>
      <c r="F114" s="277">
        <v>1200</v>
      </c>
      <c r="G114" s="277"/>
      <c r="H114" s="277"/>
      <c r="I114" s="277"/>
      <c r="J114" s="277"/>
      <c r="K114" s="277"/>
    </row>
    <row r="115" spans="1:11" ht="14">
      <c r="A115" s="277"/>
      <c r="B115" s="277" t="s">
        <v>8484</v>
      </c>
      <c r="C115" s="28" t="s">
        <v>8485</v>
      </c>
      <c r="D115" s="277"/>
      <c r="E115" s="25"/>
      <c r="F115" s="277">
        <v>1200</v>
      </c>
      <c r="G115" s="277"/>
      <c r="H115" s="277"/>
      <c r="I115" s="277"/>
      <c r="J115" s="277"/>
      <c r="K115" s="277"/>
    </row>
    <row r="116" spans="1:11" ht="14">
      <c r="A116" s="277"/>
      <c r="B116" s="277" t="s">
        <v>8487</v>
      </c>
      <c r="C116" s="28" t="s">
        <v>8486</v>
      </c>
      <c r="D116" s="277"/>
      <c r="E116" s="25"/>
      <c r="F116" s="277">
        <v>1200</v>
      </c>
      <c r="G116" s="277"/>
      <c r="H116" s="277"/>
      <c r="I116" s="277"/>
      <c r="J116" s="277"/>
      <c r="K116" s="277"/>
    </row>
    <row r="117" spans="1:11" ht="14">
      <c r="A117" s="277"/>
      <c r="B117" s="277" t="s">
        <v>8489</v>
      </c>
      <c r="C117" s="28" t="s">
        <v>8488</v>
      </c>
      <c r="D117" s="277"/>
      <c r="E117" s="25"/>
      <c r="F117" s="277">
        <v>1200</v>
      </c>
      <c r="G117" s="277"/>
      <c r="H117" s="277"/>
      <c r="I117" s="277"/>
      <c r="J117" s="277"/>
      <c r="K117" s="277"/>
    </row>
    <row r="118" spans="1:11" ht="14">
      <c r="A118" s="277"/>
      <c r="B118" s="277" t="s">
        <v>8491</v>
      </c>
      <c r="C118" s="28" t="s">
        <v>8490</v>
      </c>
      <c r="D118" s="277"/>
      <c r="E118" s="25"/>
      <c r="F118" s="277">
        <v>1100</v>
      </c>
      <c r="G118" s="277"/>
      <c r="H118" s="277"/>
      <c r="I118" s="277"/>
      <c r="J118" s="277"/>
      <c r="K118" s="277"/>
    </row>
    <row r="119" spans="1:11" ht="14">
      <c r="A119" s="277"/>
      <c r="B119" s="49" t="s">
        <v>8264</v>
      </c>
      <c r="C119" s="336" t="s">
        <v>8492</v>
      </c>
      <c r="D119" s="49"/>
      <c r="E119" s="25" t="s">
        <v>8265</v>
      </c>
      <c r="F119" s="49">
        <v>1100</v>
      </c>
      <c r="G119" s="277"/>
      <c r="H119" s="277"/>
      <c r="I119" s="277"/>
      <c r="J119" s="277"/>
      <c r="K119" s="277"/>
    </row>
    <row r="120" spans="1:11" ht="14">
      <c r="A120" s="277"/>
      <c r="B120" s="277" t="s">
        <v>8493</v>
      </c>
      <c r="C120" s="28" t="s">
        <v>8494</v>
      </c>
      <c r="D120" s="49"/>
      <c r="E120" s="37"/>
      <c r="F120" s="277">
        <v>1100</v>
      </c>
      <c r="G120" s="277"/>
      <c r="H120" s="277"/>
      <c r="I120" s="277"/>
      <c r="J120" s="277"/>
      <c r="K120" s="277"/>
    </row>
    <row r="121" spans="1:11" ht="14">
      <c r="A121" s="277"/>
      <c r="B121" s="277" t="s">
        <v>8495</v>
      </c>
      <c r="C121" s="28" t="s">
        <v>8496</v>
      </c>
      <c r="D121" s="49"/>
      <c r="E121" s="37"/>
      <c r="F121" s="277">
        <v>1100</v>
      </c>
      <c r="G121" s="277"/>
      <c r="H121" s="277"/>
      <c r="I121" s="277"/>
      <c r="J121" s="277"/>
      <c r="K121" s="277"/>
    </row>
    <row r="122" spans="1:11" ht="14">
      <c r="A122" s="277"/>
      <c r="B122" s="277" t="s">
        <v>8497</v>
      </c>
      <c r="C122" s="28" t="s">
        <v>8498</v>
      </c>
      <c r="D122" s="49"/>
      <c r="E122" s="37"/>
      <c r="F122" s="277">
        <v>1100</v>
      </c>
      <c r="G122" s="277"/>
      <c r="H122" s="277"/>
      <c r="I122" s="277"/>
      <c r="J122" s="277"/>
      <c r="K122" s="277"/>
    </row>
    <row r="123" spans="1:11" ht="14">
      <c r="A123" s="277"/>
      <c r="B123" s="277" t="s">
        <v>8499</v>
      </c>
      <c r="C123" s="28" t="s">
        <v>8500</v>
      </c>
      <c r="D123" s="49"/>
      <c r="E123" s="37"/>
      <c r="F123" s="277">
        <v>1100</v>
      </c>
      <c r="G123" s="277"/>
      <c r="H123" s="277"/>
      <c r="I123" s="277"/>
      <c r="J123" s="277"/>
      <c r="K123" s="277"/>
    </row>
    <row r="124" spans="1:11" ht="14">
      <c r="A124" s="277"/>
      <c r="B124" s="277" t="s">
        <v>8502</v>
      </c>
      <c r="C124" s="28" t="s">
        <v>8501</v>
      </c>
      <c r="D124" s="49"/>
      <c r="E124" s="37"/>
      <c r="F124" s="277">
        <v>1100</v>
      </c>
      <c r="G124" s="277"/>
      <c r="H124" s="277"/>
      <c r="I124" s="277"/>
      <c r="J124" s="277"/>
      <c r="K124" s="277"/>
    </row>
    <row r="125" spans="1:11" ht="14">
      <c r="A125" s="277"/>
      <c r="B125" s="277" t="s">
        <v>8503</v>
      </c>
      <c r="C125" s="28" t="s">
        <v>8504</v>
      </c>
      <c r="D125" s="49"/>
      <c r="E125" s="37"/>
      <c r="F125" s="277">
        <v>1100</v>
      </c>
      <c r="G125" s="277"/>
      <c r="H125" s="277"/>
      <c r="I125" s="277"/>
      <c r="J125" s="277"/>
      <c r="K125" s="277"/>
    </row>
    <row r="126" spans="1:11" ht="14">
      <c r="A126" s="277"/>
      <c r="B126" s="277" t="s">
        <v>6148</v>
      </c>
      <c r="C126" s="25" t="s">
        <v>6008</v>
      </c>
      <c r="D126" s="277" t="s">
        <v>6222</v>
      </c>
      <c r="E126" s="28" t="s">
        <v>6011</v>
      </c>
      <c r="F126" s="277">
        <v>1100</v>
      </c>
      <c r="G126" s="277"/>
      <c r="H126" s="277"/>
      <c r="I126" s="277"/>
      <c r="J126" s="277"/>
      <c r="K126" s="277"/>
    </row>
    <row r="127" spans="1:11" ht="14">
      <c r="A127" s="277"/>
      <c r="B127" s="277" t="s">
        <v>8505</v>
      </c>
      <c r="C127" s="28" t="s">
        <v>8506</v>
      </c>
      <c r="D127" s="49"/>
      <c r="E127" s="37"/>
      <c r="F127" s="277">
        <v>1000</v>
      </c>
      <c r="G127" s="277"/>
      <c r="H127" s="277"/>
      <c r="I127" s="277"/>
      <c r="J127" s="277"/>
      <c r="K127" s="277"/>
    </row>
    <row r="128" spans="1:11" ht="14">
      <c r="A128" s="277"/>
      <c r="B128" s="277" t="s">
        <v>8507</v>
      </c>
      <c r="C128" s="28" t="s">
        <v>8508</v>
      </c>
      <c r="D128" s="49"/>
      <c r="E128" s="37"/>
      <c r="F128" s="277">
        <v>980</v>
      </c>
      <c r="G128" s="277"/>
      <c r="H128" s="277"/>
      <c r="I128" s="277"/>
      <c r="J128" s="277"/>
      <c r="K128" s="277"/>
    </row>
    <row r="129" spans="1:11">
      <c r="A129" s="277"/>
      <c r="B129" s="277" t="s">
        <v>8509</v>
      </c>
      <c r="C129" s="25" t="s">
        <v>8514</v>
      </c>
      <c r="D129" s="277"/>
      <c r="E129" s="277"/>
      <c r="F129" s="277">
        <v>975</v>
      </c>
      <c r="G129" s="277"/>
      <c r="H129" s="277"/>
      <c r="I129" s="277"/>
      <c r="J129" s="277"/>
      <c r="K129" s="277"/>
    </row>
    <row r="130" spans="1:11">
      <c r="A130" s="277"/>
      <c r="B130" s="277" t="s">
        <v>8510</v>
      </c>
      <c r="C130" s="25" t="s">
        <v>8513</v>
      </c>
      <c r="D130" s="277"/>
      <c r="E130" s="277"/>
      <c r="F130" s="277">
        <v>966</v>
      </c>
      <c r="G130" s="277"/>
      <c r="H130" s="277"/>
      <c r="I130" s="277"/>
      <c r="J130" s="277"/>
      <c r="K130" s="277"/>
    </row>
    <row r="131" spans="1:11">
      <c r="B131" s="277" t="s">
        <v>8093</v>
      </c>
      <c r="C131" s="277" t="s">
        <v>8512</v>
      </c>
      <c r="D131" s="277"/>
      <c r="E131" s="25"/>
      <c r="F131" s="277">
        <v>942</v>
      </c>
      <c r="G131" s="277"/>
      <c r="H131" s="277"/>
      <c r="I131" s="277"/>
      <c r="J131" s="277"/>
      <c r="K131" s="277"/>
    </row>
    <row r="132" spans="1:11">
      <c r="A132" s="277"/>
      <c r="B132" s="277" t="s">
        <v>8511</v>
      </c>
      <c r="C132" s="25" t="s">
        <v>8515</v>
      </c>
      <c r="D132" s="277"/>
      <c r="E132" s="277"/>
      <c r="F132" s="277">
        <v>941</v>
      </c>
      <c r="G132" s="277"/>
      <c r="H132" s="277"/>
      <c r="I132" s="277"/>
      <c r="J132" s="277"/>
      <c r="K132" s="277"/>
    </row>
    <row r="133" spans="1:11">
      <c r="A133" s="277"/>
      <c r="B133" s="277" t="s">
        <v>8516</v>
      </c>
      <c r="C133" s="25" t="s">
        <v>8517</v>
      </c>
      <c r="D133" s="277"/>
      <c r="E133" s="277"/>
      <c r="F133" s="277">
        <v>941</v>
      </c>
      <c r="G133" s="277"/>
      <c r="H133" s="277"/>
      <c r="I133" s="277"/>
      <c r="J133" s="277"/>
      <c r="K133" s="277"/>
    </row>
    <row r="134" spans="1:11">
      <c r="A134" s="277"/>
      <c r="B134" s="277" t="s">
        <v>8519</v>
      </c>
      <c r="C134" s="25" t="s">
        <v>8518</v>
      </c>
      <c r="D134" s="277"/>
      <c r="E134" s="277"/>
      <c r="F134" s="277">
        <v>940</v>
      </c>
      <c r="G134" s="277"/>
      <c r="H134" s="277"/>
      <c r="I134" s="277"/>
      <c r="J134" s="277"/>
      <c r="K134" s="277"/>
    </row>
    <row r="135" spans="1:11">
      <c r="A135" s="277"/>
      <c r="B135" s="277" t="s">
        <v>8520</v>
      </c>
      <c r="C135" s="25" t="s">
        <v>8521</v>
      </c>
      <c r="D135" s="277"/>
      <c r="E135" s="277"/>
      <c r="F135" s="277">
        <v>939</v>
      </c>
      <c r="G135" s="277"/>
      <c r="H135" s="277"/>
      <c r="I135" s="277"/>
      <c r="J135" s="277"/>
      <c r="K135" s="277"/>
    </row>
    <row r="136" spans="1:11">
      <c r="A136" s="277"/>
      <c r="B136" s="277" t="s">
        <v>6223</v>
      </c>
      <c r="C136" s="25" t="s">
        <v>6224</v>
      </c>
      <c r="D136" s="277"/>
      <c r="E136" s="277"/>
      <c r="F136" s="277">
        <v>932</v>
      </c>
      <c r="G136" s="277"/>
      <c r="H136" s="277"/>
      <c r="I136" s="277"/>
      <c r="J136" s="277"/>
      <c r="K136" s="277"/>
    </row>
    <row r="137" spans="1:11">
      <c r="A137" s="277"/>
      <c r="B137" s="277" t="s">
        <v>8522</v>
      </c>
      <c r="C137" s="25" t="s">
        <v>8523</v>
      </c>
      <c r="D137" s="277"/>
      <c r="E137" s="277"/>
      <c r="F137" s="277">
        <v>928</v>
      </c>
      <c r="G137" s="277"/>
      <c r="H137" s="277"/>
      <c r="I137" s="277"/>
      <c r="J137" s="277"/>
      <c r="K137" s="277"/>
    </row>
    <row r="138" spans="1:11">
      <c r="A138" s="277"/>
      <c r="B138" s="277" t="s">
        <v>8525</v>
      </c>
      <c r="C138" s="25" t="s">
        <v>8526</v>
      </c>
      <c r="D138" s="277"/>
      <c r="E138" s="277"/>
      <c r="F138" s="277">
        <v>910</v>
      </c>
      <c r="G138" s="277"/>
      <c r="H138" s="277"/>
      <c r="I138" s="277"/>
      <c r="J138" s="277"/>
      <c r="K138" s="277"/>
    </row>
    <row r="139" spans="1:11">
      <c r="A139" s="277"/>
      <c r="B139" s="277" t="s">
        <v>8527</v>
      </c>
      <c r="C139" s="25" t="s">
        <v>8528</v>
      </c>
      <c r="D139" s="277"/>
      <c r="E139" s="277"/>
      <c r="F139" s="277">
        <v>891</v>
      </c>
      <c r="G139" s="277"/>
      <c r="H139" s="277"/>
      <c r="I139" s="277"/>
      <c r="J139" s="277"/>
      <c r="K139" s="277"/>
    </row>
    <row r="140" spans="1:11">
      <c r="A140" s="277"/>
      <c r="B140" s="277" t="s">
        <v>8529</v>
      </c>
      <c r="C140" s="25" t="s">
        <v>8530</v>
      </c>
      <c r="D140" s="277"/>
      <c r="E140" s="277"/>
      <c r="F140" s="277">
        <v>891</v>
      </c>
      <c r="G140" s="277"/>
      <c r="H140" s="277"/>
      <c r="I140" s="277"/>
      <c r="J140" s="277"/>
      <c r="K140" s="277"/>
    </row>
    <row r="141" spans="1:11">
      <c r="A141" s="277"/>
      <c r="B141" s="277" t="s">
        <v>8532</v>
      </c>
      <c r="C141" s="25" t="s">
        <v>8533</v>
      </c>
      <c r="D141" s="277"/>
      <c r="E141" s="277"/>
      <c r="F141" s="277">
        <v>881</v>
      </c>
      <c r="G141" s="277"/>
      <c r="H141" s="277"/>
      <c r="I141" s="277"/>
      <c r="J141" s="277"/>
      <c r="K141" s="277"/>
    </row>
    <row r="142" spans="1:11">
      <c r="A142" s="277"/>
      <c r="B142" s="277" t="s">
        <v>8531</v>
      </c>
      <c r="C142" s="25" t="s">
        <v>8534</v>
      </c>
      <c r="D142" s="277"/>
      <c r="E142" s="277"/>
      <c r="F142" s="277">
        <v>873</v>
      </c>
      <c r="G142" s="277"/>
      <c r="H142" s="277"/>
      <c r="I142" s="277"/>
      <c r="J142" s="277"/>
      <c r="K142" s="277"/>
    </row>
    <row r="143" spans="1:11">
      <c r="A143" s="277"/>
      <c r="B143" s="277" t="s">
        <v>8536</v>
      </c>
      <c r="C143" s="25" t="s">
        <v>8535</v>
      </c>
      <c r="D143" s="277"/>
      <c r="E143" s="277"/>
      <c r="F143" s="277">
        <v>871</v>
      </c>
      <c r="G143" s="277"/>
      <c r="H143" s="277"/>
      <c r="I143" s="277"/>
      <c r="J143" s="277"/>
      <c r="K143" s="277"/>
    </row>
    <row r="144" spans="1:11">
      <c r="A144" s="277"/>
      <c r="B144" s="277" t="s">
        <v>8537</v>
      </c>
      <c r="C144" s="25" t="s">
        <v>8538</v>
      </c>
      <c r="D144" s="277"/>
      <c r="E144" s="277"/>
      <c r="F144" s="277">
        <v>845</v>
      </c>
      <c r="G144" s="277"/>
      <c r="H144" s="277"/>
      <c r="I144" s="277"/>
      <c r="J144" s="277"/>
      <c r="K144" s="277"/>
    </row>
    <row r="145" spans="1:11" ht="14">
      <c r="A145" s="277"/>
      <c r="B145" s="277" t="s">
        <v>5204</v>
      </c>
      <c r="C145" s="28" t="s">
        <v>8319</v>
      </c>
      <c r="D145" s="277"/>
      <c r="E145" s="25"/>
      <c r="F145" s="277">
        <v>834</v>
      </c>
      <c r="G145" s="277"/>
      <c r="H145" s="277"/>
      <c r="I145" s="277"/>
      <c r="J145" s="277"/>
      <c r="K145" s="277"/>
    </row>
    <row r="146" spans="1:11" ht="14">
      <c r="A146" s="277"/>
      <c r="B146" s="277" t="s">
        <v>8539</v>
      </c>
      <c r="C146" s="28" t="s">
        <v>8542</v>
      </c>
      <c r="D146" s="277"/>
      <c r="E146" s="25"/>
      <c r="F146" s="277">
        <v>834</v>
      </c>
      <c r="G146" s="277"/>
      <c r="H146" s="277"/>
      <c r="I146" s="277"/>
      <c r="J146" s="277"/>
      <c r="K146" s="277"/>
    </row>
    <row r="147" spans="1:11" ht="14">
      <c r="A147" s="277"/>
      <c r="B147" s="277" t="s">
        <v>8540</v>
      </c>
      <c r="C147" s="28" t="s">
        <v>8541</v>
      </c>
      <c r="D147" s="277"/>
      <c r="E147" s="25"/>
      <c r="F147" s="277">
        <v>822</v>
      </c>
      <c r="G147" s="277"/>
      <c r="H147" s="277"/>
      <c r="I147" s="277"/>
      <c r="J147" s="277"/>
      <c r="K147" s="277"/>
    </row>
    <row r="148" spans="1:11" ht="14">
      <c r="A148" s="277"/>
      <c r="B148" s="277" t="s">
        <v>5265</v>
      </c>
      <c r="C148" s="28" t="s">
        <v>8543</v>
      </c>
      <c r="D148" s="277"/>
      <c r="E148" s="25"/>
      <c r="F148" s="277">
        <v>821</v>
      </c>
      <c r="G148" s="277"/>
      <c r="H148" s="277"/>
      <c r="I148" s="277"/>
      <c r="J148" s="277"/>
      <c r="K148" s="277"/>
    </row>
    <row r="149" spans="1:11" ht="14">
      <c r="A149" s="277"/>
      <c r="B149" s="277" t="s">
        <v>8544</v>
      </c>
      <c r="C149" s="28" t="s">
        <v>8545</v>
      </c>
      <c r="D149" s="277"/>
      <c r="E149" s="25"/>
      <c r="F149" s="277">
        <v>811</v>
      </c>
      <c r="G149" s="277"/>
      <c r="H149" s="277"/>
      <c r="I149" s="277"/>
      <c r="J149" s="277"/>
      <c r="K149" s="277"/>
    </row>
    <row r="150" spans="1:11" ht="14">
      <c r="A150" s="277"/>
      <c r="B150" s="277" t="s">
        <v>8546</v>
      </c>
      <c r="C150" s="28" t="s">
        <v>8547</v>
      </c>
      <c r="D150" s="277"/>
      <c r="E150" s="25"/>
      <c r="F150" s="277">
        <v>809</v>
      </c>
      <c r="G150" s="277"/>
      <c r="H150" s="277"/>
      <c r="I150" s="277"/>
      <c r="J150" s="277"/>
      <c r="K150" s="277"/>
    </row>
    <row r="151" spans="1:11" ht="14">
      <c r="A151" s="277"/>
      <c r="B151" s="277" t="s">
        <v>8549</v>
      </c>
      <c r="C151" s="28" t="s">
        <v>8548</v>
      </c>
      <c r="D151" s="277"/>
      <c r="E151" s="25"/>
      <c r="F151" s="277">
        <v>805</v>
      </c>
      <c r="G151" s="277"/>
      <c r="H151" s="277"/>
      <c r="I151" s="277"/>
      <c r="J151" s="277"/>
      <c r="K151" s="277"/>
    </row>
    <row r="152" spans="1:11" ht="14">
      <c r="A152" s="277"/>
      <c r="B152" s="277" t="s">
        <v>8550</v>
      </c>
      <c r="C152" s="28" t="s">
        <v>8551</v>
      </c>
      <c r="D152" s="277"/>
      <c r="E152" s="25"/>
      <c r="F152" s="277">
        <v>800</v>
      </c>
      <c r="G152" s="277"/>
      <c r="H152" s="277"/>
      <c r="I152" s="277"/>
      <c r="J152" s="277"/>
      <c r="K152" s="277"/>
    </row>
    <row r="153" spans="1:11" ht="14">
      <c r="A153" s="277"/>
      <c r="B153" s="277" t="s">
        <v>7884</v>
      </c>
      <c r="C153" s="28" t="s">
        <v>7883</v>
      </c>
      <c r="D153" s="277"/>
      <c r="E153" s="25"/>
      <c r="F153" s="277">
        <v>795</v>
      </c>
      <c r="G153" s="277"/>
      <c r="H153" s="277"/>
      <c r="I153" s="277"/>
      <c r="J153" s="277"/>
      <c r="K153" s="277"/>
    </row>
    <row r="154" spans="1:11" ht="14">
      <c r="A154" s="277"/>
      <c r="B154" s="277" t="s">
        <v>8552</v>
      </c>
      <c r="C154" s="28" t="s">
        <v>8553</v>
      </c>
      <c r="D154" s="277"/>
      <c r="E154" s="25"/>
      <c r="F154" s="277">
        <v>794</v>
      </c>
      <c r="G154" s="277"/>
      <c r="H154" s="277"/>
      <c r="I154" s="277"/>
      <c r="J154" s="277"/>
      <c r="K154" s="277"/>
    </row>
    <row r="155" spans="1:11" ht="14">
      <c r="A155" s="277"/>
      <c r="B155" s="277" t="s">
        <v>8554</v>
      </c>
      <c r="C155" s="28" t="s">
        <v>8555</v>
      </c>
      <c r="D155" s="277"/>
      <c r="E155" s="25"/>
      <c r="F155" s="277">
        <v>794</v>
      </c>
      <c r="G155" s="277"/>
      <c r="H155" s="277"/>
      <c r="I155" s="277"/>
      <c r="J155" s="277"/>
      <c r="K155" s="277"/>
    </row>
    <row r="156" spans="1:11" ht="15">
      <c r="B156" s="277" t="s">
        <v>8556</v>
      </c>
      <c r="C156" s="44" t="s">
        <v>8557</v>
      </c>
      <c r="D156" s="277"/>
      <c r="E156" s="25"/>
      <c r="F156" s="277">
        <v>793</v>
      </c>
      <c r="G156" s="277"/>
      <c r="H156" s="277"/>
      <c r="I156" s="277"/>
      <c r="J156" s="277"/>
      <c r="K156" s="277"/>
    </row>
    <row r="157" spans="1:11" ht="15">
      <c r="B157" s="277" t="s">
        <v>8558</v>
      </c>
      <c r="C157" s="44" t="s">
        <v>8559</v>
      </c>
      <c r="D157" s="277"/>
      <c r="E157" s="25"/>
      <c r="F157" s="277">
        <v>785</v>
      </c>
      <c r="G157" s="277"/>
      <c r="H157" s="277"/>
      <c r="I157" s="277"/>
      <c r="J157" s="277"/>
      <c r="K157" s="277"/>
    </row>
    <row r="158" spans="1:11" ht="15">
      <c r="B158" s="277" t="s">
        <v>8560</v>
      </c>
      <c r="C158" s="44" t="s">
        <v>8561</v>
      </c>
      <c r="D158" s="277"/>
      <c r="E158" s="25"/>
      <c r="F158" s="277">
        <v>766</v>
      </c>
      <c r="G158" s="277"/>
      <c r="H158" s="277"/>
      <c r="I158" s="277"/>
      <c r="J158" s="277"/>
      <c r="K158" s="277"/>
    </row>
    <row r="159" spans="1:11" ht="15">
      <c r="B159" s="277" t="s">
        <v>8562</v>
      </c>
      <c r="C159" s="44" t="s">
        <v>8563</v>
      </c>
      <c r="D159" s="277"/>
      <c r="E159" s="25"/>
      <c r="F159" s="277">
        <v>756</v>
      </c>
      <c r="G159" s="277"/>
      <c r="H159" s="277"/>
      <c r="I159" s="277"/>
      <c r="J159" s="277"/>
      <c r="K159" s="277"/>
    </row>
    <row r="160" spans="1:11" ht="15">
      <c r="B160" s="277" t="s">
        <v>8564</v>
      </c>
      <c r="C160" s="44" t="s">
        <v>8565</v>
      </c>
      <c r="D160" s="277"/>
      <c r="E160" s="25"/>
      <c r="F160" s="277">
        <v>752</v>
      </c>
      <c r="G160" s="277"/>
      <c r="H160" s="277"/>
      <c r="I160" s="277"/>
      <c r="J160" s="277"/>
      <c r="K160" s="277"/>
    </row>
    <row r="161" spans="1:11" ht="15">
      <c r="B161" s="277" t="s">
        <v>8567</v>
      </c>
      <c r="C161" s="44" t="s">
        <v>8566</v>
      </c>
      <c r="D161" s="277"/>
      <c r="E161" s="25"/>
      <c r="F161" s="277">
        <v>727</v>
      </c>
      <c r="G161" s="277"/>
      <c r="H161" s="277"/>
      <c r="I161" s="277"/>
      <c r="J161" s="277"/>
      <c r="K161" s="277"/>
    </row>
    <row r="162" spans="1:11" ht="15">
      <c r="B162" s="277" t="s">
        <v>8569</v>
      </c>
      <c r="C162" s="44" t="s">
        <v>8568</v>
      </c>
      <c r="D162" s="277"/>
      <c r="E162" s="25"/>
      <c r="F162" s="277">
        <v>724</v>
      </c>
      <c r="G162" s="277"/>
      <c r="H162" s="277"/>
      <c r="I162" s="277"/>
      <c r="J162" s="277"/>
      <c r="K162" s="277"/>
    </row>
    <row r="163" spans="1:11" ht="15">
      <c r="B163" s="277" t="s">
        <v>8570</v>
      </c>
      <c r="C163" s="44" t="s">
        <v>8571</v>
      </c>
      <c r="D163" s="277"/>
      <c r="E163" s="25"/>
      <c r="F163" s="277">
        <v>710</v>
      </c>
      <c r="G163" s="277"/>
      <c r="H163" s="277"/>
      <c r="I163" s="277"/>
      <c r="J163" s="277"/>
      <c r="K163" s="277"/>
    </row>
    <row r="164" spans="1:11" ht="15">
      <c r="B164" s="277" t="s">
        <v>5209</v>
      </c>
      <c r="C164" s="44" t="s">
        <v>9119</v>
      </c>
      <c r="D164" s="277"/>
      <c r="E164" s="25"/>
      <c r="F164" s="277"/>
      <c r="G164" s="277"/>
      <c r="H164" s="277"/>
      <c r="I164" s="277"/>
      <c r="J164" s="277"/>
      <c r="K164" s="277"/>
    </row>
    <row r="165" spans="1:11" ht="15">
      <c r="B165" s="277" t="s">
        <v>8572</v>
      </c>
      <c r="C165" s="44" t="s">
        <v>8574</v>
      </c>
      <c r="D165" s="277"/>
      <c r="E165" s="25"/>
      <c r="F165" s="277">
        <v>704</v>
      </c>
      <c r="G165" s="277"/>
      <c r="H165" s="277"/>
      <c r="I165" s="277"/>
      <c r="J165" s="277"/>
      <c r="K165" s="277"/>
    </row>
    <row r="166" spans="1:11" ht="15">
      <c r="B166" s="277" t="s">
        <v>8573</v>
      </c>
      <c r="C166" s="44" t="s">
        <v>8575</v>
      </c>
      <c r="D166" s="277"/>
      <c r="E166" s="25"/>
      <c r="F166" s="277">
        <v>704</v>
      </c>
      <c r="G166" s="277"/>
      <c r="H166" s="277"/>
      <c r="I166" s="277"/>
      <c r="J166" s="277"/>
      <c r="K166" s="277"/>
    </row>
    <row r="167" spans="1:11">
      <c r="A167" s="277"/>
      <c r="B167" s="277" t="s">
        <v>6210</v>
      </c>
      <c r="C167" s="25" t="s">
        <v>6211</v>
      </c>
      <c r="D167" s="277" t="s">
        <v>6212</v>
      </c>
      <c r="E167" s="277"/>
      <c r="F167" s="277">
        <v>700</v>
      </c>
      <c r="G167" s="277"/>
      <c r="H167" s="277"/>
      <c r="I167" s="277"/>
      <c r="J167" s="277"/>
      <c r="K167" s="277"/>
    </row>
    <row r="168" spans="1:11">
      <c r="A168" s="277"/>
      <c r="B168" s="277" t="s">
        <v>8578</v>
      </c>
      <c r="C168" s="25" t="s">
        <v>8579</v>
      </c>
      <c r="D168" s="277"/>
      <c r="E168" s="277"/>
      <c r="F168" s="277">
        <v>695</v>
      </c>
      <c r="G168" s="277"/>
      <c r="H168" s="277"/>
      <c r="I168" s="277"/>
      <c r="J168" s="277"/>
      <c r="K168" s="277"/>
    </row>
    <row r="169" spans="1:11">
      <c r="A169" s="277"/>
      <c r="B169" s="277" t="s">
        <v>8580</v>
      </c>
      <c r="C169" s="25" t="s">
        <v>8581</v>
      </c>
      <c r="D169" s="277"/>
      <c r="E169" s="277"/>
      <c r="F169" s="277">
        <v>693</v>
      </c>
      <c r="G169" s="277"/>
      <c r="H169" s="277"/>
      <c r="I169" s="277"/>
      <c r="J169" s="277"/>
      <c r="K169" s="277"/>
    </row>
    <row r="170" spans="1:11">
      <c r="A170" s="277"/>
      <c r="B170" s="277" t="s">
        <v>8582</v>
      </c>
      <c r="C170" s="25" t="s">
        <v>8583</v>
      </c>
      <c r="D170" s="277"/>
      <c r="E170" s="277"/>
      <c r="F170" s="277">
        <v>687</v>
      </c>
      <c r="G170" s="277"/>
      <c r="H170" s="277"/>
      <c r="I170" s="277"/>
      <c r="J170" s="277"/>
      <c r="K170" s="277"/>
    </row>
    <row r="171" spans="1:11">
      <c r="A171" s="277"/>
      <c r="B171" s="277" t="s">
        <v>8584</v>
      </c>
      <c r="C171" s="25" t="s">
        <v>8585</v>
      </c>
      <c r="D171" s="277"/>
      <c r="E171" s="277"/>
      <c r="F171" s="277">
        <v>681</v>
      </c>
      <c r="G171" s="277"/>
      <c r="H171" s="277"/>
      <c r="I171" s="277"/>
      <c r="J171" s="277"/>
      <c r="K171" s="277"/>
    </row>
    <row r="172" spans="1:11">
      <c r="A172" s="277"/>
      <c r="B172" s="277" t="s">
        <v>8586</v>
      </c>
      <c r="C172" s="25" t="s">
        <v>8587</v>
      </c>
      <c r="D172" s="277"/>
      <c r="E172" s="277"/>
      <c r="F172" s="277">
        <v>674</v>
      </c>
      <c r="G172" s="277"/>
      <c r="H172" s="277"/>
      <c r="I172" s="277"/>
      <c r="J172" s="277"/>
      <c r="K172" s="277"/>
    </row>
    <row r="173" spans="1:11">
      <c r="A173" s="277"/>
      <c r="B173" s="277" t="s">
        <v>8589</v>
      </c>
      <c r="C173" s="25" t="s">
        <v>8588</v>
      </c>
      <c r="D173" s="277"/>
      <c r="E173" s="277"/>
      <c r="F173" s="277">
        <v>658</v>
      </c>
      <c r="G173" s="277"/>
      <c r="H173" s="277"/>
      <c r="I173" s="277"/>
      <c r="J173" s="277"/>
      <c r="K173" s="277"/>
    </row>
    <row r="174" spans="1:11" ht="15">
      <c r="A174" s="277"/>
      <c r="B174" s="277" t="s">
        <v>8590</v>
      </c>
      <c r="C174" s="44" t="s">
        <v>8591</v>
      </c>
      <c r="D174" s="277"/>
      <c r="E174" s="277"/>
      <c r="F174" s="277">
        <v>652</v>
      </c>
      <c r="G174" s="277"/>
      <c r="H174" s="277"/>
      <c r="I174" s="277"/>
      <c r="J174" s="277"/>
      <c r="K174" s="277"/>
    </row>
    <row r="175" spans="1:11" ht="15">
      <c r="A175" s="277"/>
      <c r="B175" s="277" t="s">
        <v>8593</v>
      </c>
      <c r="C175" s="44" t="s">
        <v>8592</v>
      </c>
      <c r="D175" s="277"/>
      <c r="E175" s="277"/>
      <c r="F175" s="277">
        <v>635</v>
      </c>
      <c r="G175" s="277"/>
      <c r="H175" s="277"/>
      <c r="I175" s="277"/>
      <c r="J175" s="277"/>
      <c r="K175" s="277"/>
    </row>
    <row r="176" spans="1:11" ht="15">
      <c r="A176" s="277"/>
      <c r="B176" s="277" t="s">
        <v>8595</v>
      </c>
      <c r="C176" s="44" t="s">
        <v>8594</v>
      </c>
      <c r="D176" s="277"/>
      <c r="E176" s="277"/>
      <c r="F176" s="277">
        <v>628</v>
      </c>
      <c r="G176" s="277"/>
      <c r="H176" s="277"/>
      <c r="I176" s="277"/>
      <c r="J176" s="277"/>
      <c r="K176" s="277"/>
    </row>
    <row r="177" spans="1:11" ht="15">
      <c r="A177" s="277"/>
      <c r="B177" s="277" t="s">
        <v>8597</v>
      </c>
      <c r="C177" s="44" t="s">
        <v>8596</v>
      </c>
      <c r="D177" s="277"/>
      <c r="E177" s="277"/>
      <c r="F177" s="277">
        <v>627</v>
      </c>
      <c r="G177" s="277"/>
      <c r="H177" s="277"/>
      <c r="I177" s="277"/>
      <c r="J177" s="277"/>
      <c r="K177" s="277"/>
    </row>
    <row r="178" spans="1:11" ht="15">
      <c r="A178" s="277"/>
      <c r="B178" s="277" t="s">
        <v>8599</v>
      </c>
      <c r="C178" s="44" t="s">
        <v>8598</v>
      </c>
      <c r="D178" s="277"/>
      <c r="E178" s="277"/>
      <c r="F178" s="277">
        <v>624</v>
      </c>
      <c r="G178" s="277"/>
      <c r="H178" s="277"/>
      <c r="I178" s="277"/>
      <c r="J178" s="277"/>
      <c r="K178" s="277"/>
    </row>
    <row r="179" spans="1:11" ht="15">
      <c r="A179" s="277"/>
      <c r="B179" s="277" t="s">
        <v>8499</v>
      </c>
      <c r="C179" s="44" t="s">
        <v>8600</v>
      </c>
      <c r="D179" s="277"/>
      <c r="E179" s="277"/>
      <c r="F179" s="277">
        <v>622</v>
      </c>
      <c r="G179" s="277"/>
      <c r="H179" s="277"/>
      <c r="I179" s="277"/>
      <c r="J179" s="277"/>
      <c r="K179" s="277"/>
    </row>
    <row r="180" spans="1:11" ht="15">
      <c r="A180" s="277"/>
      <c r="B180" s="277" t="s">
        <v>8602</v>
      </c>
      <c r="C180" s="44" t="s">
        <v>8601</v>
      </c>
      <c r="D180" s="277"/>
      <c r="E180" s="277"/>
      <c r="F180" s="277">
        <v>621</v>
      </c>
      <c r="G180" s="277"/>
      <c r="H180" s="277"/>
      <c r="I180" s="277"/>
      <c r="J180" s="277"/>
      <c r="K180" s="277"/>
    </row>
    <row r="181" spans="1:11" ht="15">
      <c r="A181" s="277"/>
      <c r="B181" s="277" t="s">
        <v>8604</v>
      </c>
      <c r="C181" s="44" t="s">
        <v>8603</v>
      </c>
      <c r="D181" s="277"/>
      <c r="E181" s="277"/>
      <c r="F181" s="277">
        <v>620</v>
      </c>
      <c r="G181" s="277"/>
      <c r="H181" s="277"/>
      <c r="I181" s="277"/>
      <c r="J181" s="277"/>
      <c r="K181" s="277"/>
    </row>
    <row r="182" spans="1:11" ht="15">
      <c r="A182" s="277"/>
      <c r="B182" s="277" t="s">
        <v>8605</v>
      </c>
      <c r="C182" s="44" t="s">
        <v>8606</v>
      </c>
      <c r="D182" s="277"/>
      <c r="E182" s="277"/>
      <c r="F182" s="277">
        <v>613</v>
      </c>
      <c r="G182" s="277"/>
      <c r="H182" s="277"/>
      <c r="I182" s="277"/>
      <c r="J182" s="277"/>
      <c r="K182" s="277"/>
    </row>
    <row r="183" spans="1:11" ht="15">
      <c r="A183" s="277"/>
      <c r="B183" s="277" t="s">
        <v>8607</v>
      </c>
      <c r="C183" s="44" t="s">
        <v>8608</v>
      </c>
      <c r="D183" s="277"/>
      <c r="E183" s="277"/>
      <c r="F183" s="277">
        <v>612</v>
      </c>
      <c r="G183" s="277"/>
      <c r="H183" s="277"/>
      <c r="I183" s="277"/>
      <c r="J183" s="277"/>
      <c r="K183" s="277"/>
    </row>
    <row r="184" spans="1:11" ht="15">
      <c r="A184" s="277"/>
      <c r="B184" s="277" t="s">
        <v>8610</v>
      </c>
      <c r="C184" s="44" t="s">
        <v>8609</v>
      </c>
      <c r="D184" s="277"/>
      <c r="E184" s="277"/>
      <c r="F184" s="277">
        <v>610</v>
      </c>
      <c r="G184" s="277"/>
      <c r="H184" s="277"/>
      <c r="I184" s="277"/>
      <c r="J184" s="277"/>
      <c r="K184" s="277"/>
    </row>
    <row r="185" spans="1:11" ht="15">
      <c r="A185" s="277"/>
      <c r="B185" s="277" t="s">
        <v>8612</v>
      </c>
      <c r="C185" s="44" t="s">
        <v>8611</v>
      </c>
      <c r="D185" s="277"/>
      <c r="E185" s="277"/>
      <c r="F185" s="277">
        <v>607</v>
      </c>
      <c r="G185" s="277"/>
      <c r="H185" s="277"/>
      <c r="I185" s="277"/>
      <c r="J185" s="277"/>
      <c r="K185" s="277"/>
    </row>
    <row r="186" spans="1:11" ht="15">
      <c r="A186" s="277"/>
      <c r="B186" s="277" t="s">
        <v>8613</v>
      </c>
      <c r="C186" s="44" t="s">
        <v>8614</v>
      </c>
      <c r="D186" s="277"/>
      <c r="E186" s="277"/>
      <c r="F186" s="277">
        <v>603</v>
      </c>
      <c r="G186" s="277"/>
      <c r="H186" s="277"/>
      <c r="I186" s="277"/>
      <c r="J186" s="277"/>
      <c r="K186" s="277"/>
    </row>
    <row r="187" spans="1:11" ht="15">
      <c r="A187" s="277"/>
      <c r="B187" s="277" t="s">
        <v>8616</v>
      </c>
      <c r="C187" s="44" t="s">
        <v>8615</v>
      </c>
      <c r="D187" s="277"/>
      <c r="E187" s="277"/>
      <c r="F187" s="277">
        <v>601</v>
      </c>
      <c r="G187" s="277"/>
      <c r="H187" s="277"/>
      <c r="I187" s="277"/>
      <c r="J187" s="277"/>
      <c r="K187" s="277"/>
    </row>
    <row r="188" spans="1:11" ht="15">
      <c r="A188" s="277"/>
      <c r="B188" s="277" t="s">
        <v>8618</v>
      </c>
      <c r="C188" s="44" t="s">
        <v>8617</v>
      </c>
      <c r="D188" s="277"/>
      <c r="E188" s="277"/>
      <c r="F188" s="277">
        <v>596</v>
      </c>
      <c r="G188" s="277"/>
      <c r="H188" s="277"/>
      <c r="I188" s="277"/>
      <c r="J188" s="277"/>
      <c r="K188" s="277"/>
    </row>
    <row r="189" spans="1:11" ht="15">
      <c r="A189" s="277"/>
      <c r="B189" s="277" t="s">
        <v>8619</v>
      </c>
      <c r="C189" s="44" t="s">
        <v>8620</v>
      </c>
      <c r="D189" s="277"/>
      <c r="E189" s="277"/>
      <c r="F189" s="277">
        <v>591</v>
      </c>
      <c r="G189" s="277"/>
      <c r="H189" s="277"/>
      <c r="I189" s="277"/>
      <c r="J189" s="277"/>
      <c r="K189" s="277"/>
    </row>
    <row r="190" spans="1:11" ht="15">
      <c r="A190" s="277"/>
      <c r="B190" s="277" t="s">
        <v>8621</v>
      </c>
      <c r="C190" s="44" t="s">
        <v>8622</v>
      </c>
      <c r="D190" s="277"/>
      <c r="E190" s="277"/>
      <c r="F190" s="277">
        <v>584</v>
      </c>
      <c r="G190" s="277"/>
      <c r="H190" s="277"/>
      <c r="I190" s="277"/>
      <c r="J190" s="277"/>
      <c r="K190" s="277"/>
    </row>
    <row r="191" spans="1:11" ht="15">
      <c r="A191" s="277"/>
      <c r="B191" s="277" t="s">
        <v>8624</v>
      </c>
      <c r="C191" s="44" t="s">
        <v>8623</v>
      </c>
      <c r="D191" s="277"/>
      <c r="E191" s="277"/>
      <c r="F191" s="277">
        <v>583</v>
      </c>
      <c r="G191" s="277"/>
      <c r="H191" s="277"/>
      <c r="I191" s="277"/>
      <c r="J191" s="277"/>
      <c r="K191" s="277"/>
    </row>
    <row r="192" spans="1:11" ht="15">
      <c r="A192" s="277"/>
      <c r="B192" s="277" t="s">
        <v>8625</v>
      </c>
      <c r="C192" s="44" t="s">
        <v>8626</v>
      </c>
      <c r="D192" s="277"/>
      <c r="E192" s="277"/>
      <c r="F192" s="277">
        <v>580</v>
      </c>
      <c r="G192" s="277"/>
      <c r="H192" s="277"/>
      <c r="I192" s="277"/>
      <c r="J192" s="277"/>
      <c r="K192" s="277"/>
    </row>
    <row r="193" spans="1:11" ht="15">
      <c r="A193" s="277"/>
      <c r="B193" s="277" t="s">
        <v>8628</v>
      </c>
      <c r="C193" s="44" t="s">
        <v>8627</v>
      </c>
      <c r="D193" s="277"/>
      <c r="E193" s="277"/>
      <c r="F193" s="277">
        <v>574</v>
      </c>
      <c r="G193" s="277"/>
      <c r="H193" s="277"/>
      <c r="I193" s="277"/>
      <c r="J193" s="277"/>
      <c r="K193" s="277"/>
    </row>
    <row r="194" spans="1:11" ht="15">
      <c r="A194" s="277"/>
      <c r="B194" s="277" t="s">
        <v>8629</v>
      </c>
      <c r="C194" s="44" t="s">
        <v>8630</v>
      </c>
      <c r="D194" s="277"/>
      <c r="E194" s="277"/>
      <c r="F194" s="277">
        <v>574</v>
      </c>
      <c r="G194" s="277"/>
      <c r="H194" s="277"/>
      <c r="I194" s="277"/>
      <c r="J194" s="277"/>
      <c r="K194" s="277"/>
    </row>
    <row r="195" spans="1:11" ht="15">
      <c r="A195" s="277"/>
      <c r="B195" s="277" t="s">
        <v>8631</v>
      </c>
      <c r="C195" s="44" t="s">
        <v>8632</v>
      </c>
      <c r="D195" s="277"/>
      <c r="E195" s="277"/>
      <c r="F195" s="277">
        <v>574</v>
      </c>
      <c r="G195" s="277"/>
      <c r="H195" s="277"/>
      <c r="I195" s="277"/>
      <c r="J195" s="277"/>
      <c r="K195" s="277"/>
    </row>
    <row r="196" spans="1:11" ht="15">
      <c r="A196" s="277"/>
      <c r="B196" s="277" t="s">
        <v>8633</v>
      </c>
      <c r="C196" s="44" t="s">
        <v>8634</v>
      </c>
      <c r="D196" s="277"/>
      <c r="E196" s="277"/>
      <c r="F196" s="277">
        <v>563</v>
      </c>
      <c r="G196" s="277"/>
      <c r="H196" s="277"/>
      <c r="I196" s="277"/>
      <c r="J196" s="277"/>
      <c r="K196" s="277"/>
    </row>
    <row r="197" spans="1:11" ht="15">
      <c r="A197" s="277"/>
      <c r="B197" s="277" t="s">
        <v>8636</v>
      </c>
      <c r="C197" s="44" t="s">
        <v>8635</v>
      </c>
      <c r="D197" s="277"/>
      <c r="E197" s="277"/>
      <c r="F197" s="277">
        <v>562</v>
      </c>
      <c r="G197" s="277"/>
      <c r="H197" s="277"/>
      <c r="I197" s="277"/>
      <c r="J197" s="277"/>
      <c r="K197" s="277"/>
    </row>
    <row r="198" spans="1:11" ht="15">
      <c r="A198" s="277"/>
      <c r="B198" s="277" t="s">
        <v>8638</v>
      </c>
      <c r="C198" s="44" t="s">
        <v>8637</v>
      </c>
      <c r="D198" s="277"/>
      <c r="E198" s="277"/>
      <c r="F198" s="277">
        <v>560</v>
      </c>
      <c r="G198" s="277"/>
      <c r="H198" s="277"/>
      <c r="I198" s="277"/>
      <c r="J198" s="277"/>
      <c r="K198" s="277"/>
    </row>
    <row r="199" spans="1:11" ht="15">
      <c r="A199" s="277"/>
      <c r="B199" s="277" t="s">
        <v>8639</v>
      </c>
      <c r="C199" s="44" t="s">
        <v>8640</v>
      </c>
      <c r="D199" s="277"/>
      <c r="E199" s="277"/>
      <c r="F199" s="277">
        <v>559</v>
      </c>
      <c r="G199" s="277"/>
      <c r="H199" s="277"/>
      <c r="I199" s="277"/>
      <c r="J199" s="277"/>
      <c r="K199" s="277"/>
    </row>
    <row r="200" spans="1:11" ht="15">
      <c r="A200" s="277"/>
      <c r="B200" s="277" t="s">
        <v>8641</v>
      </c>
      <c r="C200" s="44" t="s">
        <v>8642</v>
      </c>
      <c r="D200" s="277"/>
      <c r="E200" s="277"/>
      <c r="F200" s="277">
        <v>559</v>
      </c>
      <c r="G200" s="277"/>
      <c r="H200" s="277"/>
      <c r="I200" s="277"/>
      <c r="J200" s="277"/>
      <c r="K200" s="277"/>
    </row>
    <row r="201" spans="1:11" ht="15">
      <c r="A201" s="277"/>
      <c r="B201" s="277" t="s">
        <v>8643</v>
      </c>
      <c r="C201" s="44" t="s">
        <v>8644</v>
      </c>
      <c r="D201" s="277"/>
      <c r="E201" s="277"/>
      <c r="F201" s="277">
        <v>540</v>
      </c>
      <c r="G201" s="277"/>
      <c r="H201" s="277"/>
      <c r="I201" s="277"/>
      <c r="J201" s="277"/>
      <c r="K201" s="277"/>
    </row>
    <row r="202" spans="1:11" ht="15">
      <c r="A202" s="277"/>
      <c r="B202" s="277" t="s">
        <v>8646</v>
      </c>
      <c r="C202" s="44" t="s">
        <v>8645</v>
      </c>
      <c r="D202" s="277"/>
      <c r="E202" s="277"/>
      <c r="F202" s="277">
        <v>533</v>
      </c>
      <c r="G202" s="277"/>
      <c r="H202" s="277"/>
      <c r="I202" s="277"/>
      <c r="J202" s="277"/>
      <c r="K202" s="277"/>
    </row>
    <row r="203" spans="1:11" ht="15">
      <c r="A203" s="277"/>
      <c r="B203" s="277" t="s">
        <v>8648</v>
      </c>
      <c r="C203" s="44" t="s">
        <v>8647</v>
      </c>
      <c r="D203" s="277"/>
      <c r="E203" s="277"/>
      <c r="F203" s="277">
        <v>530</v>
      </c>
      <c r="G203" s="277"/>
      <c r="H203" s="277"/>
      <c r="I203" s="277"/>
      <c r="J203" s="277"/>
      <c r="K203" s="277"/>
    </row>
    <row r="204" spans="1:11" ht="15">
      <c r="B204" s="277" t="s">
        <v>8347</v>
      </c>
      <c r="C204" s="44" t="s">
        <v>8649</v>
      </c>
      <c r="D204" s="277" t="s">
        <v>8650</v>
      </c>
      <c r="E204" s="25"/>
      <c r="F204" s="277">
        <v>525</v>
      </c>
      <c r="G204" s="277"/>
      <c r="H204" s="277"/>
      <c r="I204" s="277"/>
      <c r="J204" s="277"/>
      <c r="K204" s="277"/>
    </row>
    <row r="205" spans="1:11" ht="15">
      <c r="B205" s="277" t="s">
        <v>8652</v>
      </c>
      <c r="C205" s="44" t="s">
        <v>8651</v>
      </c>
      <c r="D205" s="277"/>
      <c r="E205" s="25"/>
      <c r="F205" s="277">
        <v>520</v>
      </c>
      <c r="G205" s="277"/>
      <c r="H205" s="277"/>
      <c r="I205" s="277"/>
      <c r="J205" s="277"/>
      <c r="K205" s="277"/>
    </row>
    <row r="206" spans="1:11" ht="15">
      <c r="B206" s="277" t="s">
        <v>8654</v>
      </c>
      <c r="C206" s="44" t="s">
        <v>8653</v>
      </c>
      <c r="D206" s="277"/>
      <c r="E206" s="25"/>
      <c r="F206" s="277">
        <v>515</v>
      </c>
      <c r="G206" s="277"/>
      <c r="H206" s="277"/>
      <c r="I206" s="277"/>
      <c r="J206" s="277"/>
      <c r="K206" s="277"/>
    </row>
    <row r="207" spans="1:11">
      <c r="A207" s="277"/>
      <c r="B207" s="277" t="s">
        <v>8315</v>
      </c>
      <c r="C207" s="25" t="s">
        <v>8314</v>
      </c>
      <c r="D207" s="277"/>
      <c r="E207" s="277"/>
      <c r="F207" s="277">
        <v>515</v>
      </c>
      <c r="G207" s="277"/>
      <c r="H207" s="277"/>
      <c r="I207" s="277"/>
      <c r="J207" s="277"/>
      <c r="K207" s="277"/>
    </row>
    <row r="208" spans="1:11">
      <c r="A208" s="277"/>
      <c r="B208" s="277" t="s">
        <v>8655</v>
      </c>
      <c r="C208" s="25" t="s">
        <v>8656</v>
      </c>
      <c r="D208" s="277"/>
      <c r="E208" s="277"/>
      <c r="F208" s="277">
        <v>514</v>
      </c>
      <c r="G208" s="277"/>
      <c r="H208" s="277"/>
      <c r="I208" s="277"/>
      <c r="J208" s="277"/>
      <c r="K208" s="277"/>
    </row>
    <row r="209" spans="1:11">
      <c r="A209" s="277"/>
      <c r="B209" s="277" t="s">
        <v>8657</v>
      </c>
      <c r="C209" s="25" t="s">
        <v>8658</v>
      </c>
      <c r="D209" s="277"/>
      <c r="E209" s="277"/>
      <c r="F209" s="277">
        <v>514</v>
      </c>
      <c r="G209" s="277"/>
      <c r="H209" s="277"/>
      <c r="I209" s="277"/>
      <c r="J209" s="277"/>
      <c r="K209" s="277"/>
    </row>
    <row r="210" spans="1:11">
      <c r="A210" s="277"/>
      <c r="B210" s="277" t="s">
        <v>8659</v>
      </c>
      <c r="C210" s="25" t="s">
        <v>8660</v>
      </c>
      <c r="D210" s="277"/>
      <c r="E210" s="277"/>
      <c r="F210" s="277">
        <v>507</v>
      </c>
      <c r="G210" s="277"/>
      <c r="H210" s="277"/>
      <c r="I210" s="277"/>
      <c r="J210" s="277"/>
      <c r="K210" s="277"/>
    </row>
    <row r="211" spans="1:11">
      <c r="A211" s="277"/>
      <c r="B211" s="277" t="s">
        <v>8661</v>
      </c>
      <c r="C211" s="25" t="s">
        <v>8662</v>
      </c>
      <c r="D211" s="277"/>
      <c r="E211" s="277"/>
      <c r="F211" s="277">
        <v>500</v>
      </c>
      <c r="G211" s="277"/>
      <c r="H211" s="277"/>
      <c r="I211" s="277"/>
      <c r="J211" s="277"/>
      <c r="K211" s="277"/>
    </row>
    <row r="212" spans="1:11">
      <c r="A212" s="277"/>
      <c r="B212" s="277" t="s">
        <v>8664</v>
      </c>
      <c r="C212" s="25" t="s">
        <v>8663</v>
      </c>
      <c r="D212" s="277"/>
      <c r="E212" s="277"/>
      <c r="F212" s="277">
        <v>495</v>
      </c>
      <c r="G212" s="277"/>
      <c r="H212" s="277"/>
      <c r="I212" s="277"/>
      <c r="J212" s="277"/>
      <c r="K212" s="277"/>
    </row>
    <row r="213" spans="1:11">
      <c r="A213" s="277"/>
      <c r="B213" s="277" t="s">
        <v>8666</v>
      </c>
      <c r="C213" s="25" t="s">
        <v>8665</v>
      </c>
      <c r="D213" s="277"/>
      <c r="E213" s="277"/>
      <c r="F213" s="277">
        <v>493</v>
      </c>
      <c r="G213" s="277"/>
      <c r="H213" s="277"/>
      <c r="I213" s="277"/>
      <c r="J213" s="277"/>
      <c r="K213" s="277"/>
    </row>
    <row r="214" spans="1:11">
      <c r="A214" s="277"/>
      <c r="B214" s="277" t="s">
        <v>8549</v>
      </c>
      <c r="C214" s="25" t="s">
        <v>8667</v>
      </c>
      <c r="D214" s="277"/>
      <c r="E214" s="277"/>
      <c r="F214" s="277">
        <v>490</v>
      </c>
      <c r="G214" s="277"/>
      <c r="H214" s="277"/>
      <c r="I214" s="277"/>
      <c r="J214" s="277"/>
      <c r="K214" s="277"/>
    </row>
    <row r="215" spans="1:11">
      <c r="A215" s="277"/>
      <c r="B215" s="277" t="s">
        <v>8668</v>
      </c>
      <c r="C215" s="25" t="s">
        <v>8669</v>
      </c>
      <c r="D215" s="277"/>
      <c r="E215" s="277"/>
      <c r="F215" s="277">
        <v>488</v>
      </c>
      <c r="G215" s="277"/>
      <c r="H215" s="277"/>
      <c r="I215" s="277"/>
      <c r="J215" s="277"/>
      <c r="K215" s="277"/>
    </row>
    <row r="216" spans="1:11">
      <c r="A216" s="277"/>
      <c r="B216" s="277" t="s">
        <v>8670</v>
      </c>
      <c r="C216" s="25" t="s">
        <v>8671</v>
      </c>
      <c r="D216" s="277"/>
      <c r="E216" s="277"/>
      <c r="F216" s="277">
        <v>484</v>
      </c>
      <c r="G216" s="277"/>
      <c r="H216" s="277"/>
      <c r="I216" s="277"/>
      <c r="J216" s="277"/>
      <c r="K216" s="277"/>
    </row>
    <row r="217" spans="1:11">
      <c r="A217" s="277"/>
      <c r="B217" s="277" t="s">
        <v>8595</v>
      </c>
      <c r="C217" s="25" t="s">
        <v>8672</v>
      </c>
      <c r="D217" s="277"/>
      <c r="E217" s="277"/>
      <c r="F217" s="277">
        <v>484</v>
      </c>
      <c r="G217" s="277"/>
      <c r="H217" s="277"/>
      <c r="I217" s="277"/>
      <c r="J217" s="277"/>
      <c r="K217" s="277"/>
    </row>
    <row r="218" spans="1:11">
      <c r="A218" s="277"/>
      <c r="B218" s="277" t="s">
        <v>8673</v>
      </c>
      <c r="C218" s="25" t="s">
        <v>8674</v>
      </c>
      <c r="D218" s="277"/>
      <c r="E218" s="277"/>
      <c r="F218" s="277">
        <v>479</v>
      </c>
      <c r="G218" s="277"/>
      <c r="H218" s="277"/>
      <c r="I218" s="277"/>
      <c r="J218" s="277"/>
      <c r="K218" s="277"/>
    </row>
    <row r="219" spans="1:11">
      <c r="A219" s="277"/>
      <c r="B219" s="277" t="s">
        <v>8431</v>
      </c>
      <c r="C219" s="25" t="s">
        <v>8675</v>
      </c>
      <c r="D219" s="277"/>
      <c r="E219" s="277"/>
      <c r="F219" s="277">
        <v>479</v>
      </c>
      <c r="G219" s="277"/>
      <c r="H219" s="277"/>
      <c r="I219" s="277"/>
      <c r="J219" s="277"/>
      <c r="K219" s="277"/>
    </row>
    <row r="220" spans="1:11">
      <c r="A220" s="277"/>
      <c r="B220" s="277" t="s">
        <v>8676</v>
      </c>
      <c r="C220" s="25" t="s">
        <v>8677</v>
      </c>
      <c r="D220" s="277"/>
      <c r="E220" s="277"/>
      <c r="F220" s="277">
        <v>477</v>
      </c>
      <c r="G220" s="277"/>
      <c r="H220" s="277"/>
      <c r="I220" s="277"/>
      <c r="J220" s="277"/>
      <c r="K220" s="277"/>
    </row>
    <row r="221" spans="1:11">
      <c r="A221" s="277"/>
      <c r="B221" s="277" t="s">
        <v>8678</v>
      </c>
      <c r="C221" s="25" t="s">
        <v>8679</v>
      </c>
      <c r="D221" s="277"/>
      <c r="E221" s="277"/>
      <c r="F221" s="277">
        <v>474</v>
      </c>
      <c r="G221" s="277"/>
      <c r="H221" s="277"/>
      <c r="I221" s="277"/>
      <c r="J221" s="277"/>
      <c r="K221" s="277"/>
    </row>
    <row r="222" spans="1:11">
      <c r="A222" s="277"/>
      <c r="B222" s="277" t="s">
        <v>8681</v>
      </c>
      <c r="C222" s="25" t="s">
        <v>8680</v>
      </c>
      <c r="D222" s="277"/>
      <c r="E222" s="277"/>
      <c r="F222" s="277">
        <v>470</v>
      </c>
      <c r="G222" s="277"/>
      <c r="H222" s="277"/>
      <c r="I222" s="277"/>
      <c r="J222" s="277"/>
      <c r="K222" s="277"/>
    </row>
    <row r="223" spans="1:11">
      <c r="A223" s="277"/>
      <c r="B223" s="277" t="s">
        <v>8683</v>
      </c>
      <c r="C223" s="25" t="s">
        <v>8682</v>
      </c>
      <c r="D223" s="277"/>
      <c r="E223" s="277"/>
      <c r="F223" s="277">
        <v>461</v>
      </c>
      <c r="G223" s="277"/>
      <c r="H223" s="277"/>
      <c r="I223" s="277"/>
      <c r="J223" s="277"/>
      <c r="K223" s="277"/>
    </row>
    <row r="224" spans="1:11">
      <c r="A224" s="277"/>
      <c r="B224" s="277" t="s">
        <v>8684</v>
      </c>
      <c r="C224" s="25" t="s">
        <v>8685</v>
      </c>
      <c r="D224" s="277"/>
      <c r="E224" s="277" t="s">
        <v>8929</v>
      </c>
      <c r="F224" s="277">
        <v>460</v>
      </c>
      <c r="G224" s="277"/>
      <c r="H224" s="277" t="s">
        <v>6222</v>
      </c>
      <c r="I224" s="277"/>
      <c r="J224" s="277"/>
      <c r="K224" s="277"/>
    </row>
    <row r="225" spans="1:11">
      <c r="A225" s="277"/>
      <c r="B225" s="277" t="s">
        <v>8687</v>
      </c>
      <c r="C225" s="25" t="s">
        <v>8686</v>
      </c>
      <c r="D225" s="277"/>
      <c r="E225" s="277"/>
      <c r="F225" s="277">
        <v>455</v>
      </c>
      <c r="G225" s="277"/>
      <c r="H225" s="277"/>
      <c r="I225" s="277"/>
      <c r="J225" s="277"/>
      <c r="K225" s="277"/>
    </row>
    <row r="226" spans="1:11">
      <c r="A226" s="277"/>
      <c r="B226" s="277" t="s">
        <v>8689</v>
      </c>
      <c r="C226" s="25" t="s">
        <v>8688</v>
      </c>
      <c r="D226" s="277"/>
      <c r="E226" s="277"/>
      <c r="F226" s="277">
        <v>448</v>
      </c>
      <c r="G226" s="277"/>
      <c r="H226" s="277"/>
      <c r="I226" s="277"/>
      <c r="J226" s="277"/>
      <c r="K226" s="277"/>
    </row>
    <row r="227" spans="1:11">
      <c r="A227" s="277"/>
      <c r="B227" s="277" t="s">
        <v>8691</v>
      </c>
      <c r="C227" s="25" t="s">
        <v>8690</v>
      </c>
      <c r="D227" s="277"/>
      <c r="E227" s="277"/>
      <c r="F227" s="277">
        <v>444</v>
      </c>
      <c r="G227" s="277"/>
      <c r="H227" s="277"/>
      <c r="I227" s="277"/>
      <c r="J227" s="277"/>
      <c r="K227" s="277"/>
    </row>
    <row r="228" spans="1:11">
      <c r="A228" s="277"/>
      <c r="B228" s="277" t="s">
        <v>8692</v>
      </c>
      <c r="C228" s="25" t="s">
        <v>8693</v>
      </c>
      <c r="D228" s="277"/>
      <c r="E228" s="277"/>
      <c r="F228" s="277">
        <v>442</v>
      </c>
      <c r="G228" s="277"/>
      <c r="H228" s="277"/>
      <c r="I228" s="277"/>
      <c r="J228" s="277"/>
      <c r="K228" s="277"/>
    </row>
    <row r="229" spans="1:11">
      <c r="A229" s="277"/>
      <c r="B229" s="277" t="s">
        <v>8692</v>
      </c>
      <c r="C229" s="25" t="s">
        <v>8694</v>
      </c>
      <c r="D229" s="277"/>
      <c r="E229" s="277"/>
      <c r="F229" s="277">
        <v>439</v>
      </c>
      <c r="G229" s="277"/>
      <c r="H229" s="277"/>
      <c r="I229" s="277"/>
      <c r="J229" s="277"/>
      <c r="K229" s="277"/>
    </row>
    <row r="230" spans="1:11">
      <c r="A230" s="277"/>
      <c r="B230" s="277" t="s">
        <v>8695</v>
      </c>
      <c r="C230" s="25" t="s">
        <v>8696</v>
      </c>
      <c r="D230" s="277"/>
      <c r="E230" s="277"/>
      <c r="F230" s="277">
        <v>438</v>
      </c>
      <c r="G230" s="277"/>
      <c r="H230" s="277"/>
      <c r="I230" s="277"/>
      <c r="J230" s="277"/>
      <c r="K230" s="277"/>
    </row>
    <row r="231" spans="1:11">
      <c r="A231" s="277"/>
      <c r="B231" s="277" t="s">
        <v>8697</v>
      </c>
      <c r="C231" s="25" t="s">
        <v>8698</v>
      </c>
      <c r="D231" s="277"/>
      <c r="E231" s="277"/>
      <c r="F231" s="277">
        <v>436</v>
      </c>
      <c r="G231" s="277"/>
      <c r="H231" s="277"/>
      <c r="I231" s="277"/>
      <c r="J231" s="277"/>
      <c r="K231" s="277"/>
    </row>
    <row r="232" spans="1:11">
      <c r="A232" s="277"/>
      <c r="B232" s="277" t="s">
        <v>8700</v>
      </c>
      <c r="C232" s="25" t="s">
        <v>8699</v>
      </c>
      <c r="D232" s="277"/>
      <c r="E232" s="277"/>
      <c r="F232" s="277">
        <v>433</v>
      </c>
      <c r="G232" s="277"/>
      <c r="H232" s="277"/>
      <c r="I232" s="277"/>
      <c r="J232" s="277"/>
      <c r="K232" s="277"/>
    </row>
    <row r="233" spans="1:11">
      <c r="A233" s="277"/>
      <c r="B233" s="277" t="s">
        <v>8701</v>
      </c>
      <c r="C233" s="25" t="s">
        <v>8702</v>
      </c>
      <c r="D233" s="277"/>
      <c r="E233" s="277"/>
      <c r="F233" s="277">
        <v>431</v>
      </c>
      <c r="G233" s="277"/>
      <c r="H233" s="277"/>
      <c r="I233" s="277"/>
      <c r="J233" s="277"/>
      <c r="K233" s="277"/>
    </row>
    <row r="234" spans="1:11">
      <c r="A234" s="277"/>
      <c r="B234" s="277" t="s">
        <v>8704</v>
      </c>
      <c r="C234" s="25" t="s">
        <v>8703</v>
      </c>
      <c r="D234" s="277"/>
      <c r="E234" s="277"/>
      <c r="F234" s="277">
        <v>430</v>
      </c>
      <c r="G234" s="277"/>
      <c r="H234" s="277"/>
      <c r="I234" s="277"/>
      <c r="J234" s="277"/>
      <c r="K234" s="277"/>
    </row>
    <row r="235" spans="1:11">
      <c r="A235" s="277"/>
      <c r="B235" s="277" t="s">
        <v>8706</v>
      </c>
      <c r="C235" s="25" t="s">
        <v>8705</v>
      </c>
      <c r="D235" s="277"/>
      <c r="E235" s="277"/>
      <c r="F235" s="277">
        <v>424</v>
      </c>
      <c r="G235" s="277"/>
      <c r="H235" s="277"/>
      <c r="I235" s="277"/>
      <c r="J235" s="277"/>
      <c r="K235" s="277"/>
    </row>
    <row r="236" spans="1:11">
      <c r="A236" s="277"/>
      <c r="B236" s="277" t="s">
        <v>8708</v>
      </c>
      <c r="C236" s="25" t="s">
        <v>8707</v>
      </c>
      <c r="D236" s="277"/>
      <c r="E236" s="277"/>
      <c r="F236" s="277">
        <v>419</v>
      </c>
      <c r="G236" s="277"/>
      <c r="H236" s="277"/>
      <c r="I236" s="277"/>
      <c r="J236" s="277"/>
      <c r="K236" s="277"/>
    </row>
    <row r="237" spans="1:11">
      <c r="A237" s="277"/>
      <c r="B237" s="277" t="s">
        <v>8709</v>
      </c>
      <c r="C237" s="25" t="s">
        <v>8710</v>
      </c>
      <c r="D237" s="277"/>
      <c r="E237" s="277"/>
      <c r="F237" s="277">
        <v>418</v>
      </c>
      <c r="G237" s="277"/>
      <c r="H237" s="277"/>
      <c r="I237" s="277"/>
      <c r="J237" s="277"/>
      <c r="K237" s="277"/>
    </row>
    <row r="238" spans="1:11">
      <c r="A238" s="277"/>
      <c r="B238" s="277" t="s">
        <v>8711</v>
      </c>
      <c r="C238" s="25" t="s">
        <v>8712</v>
      </c>
      <c r="D238" s="277"/>
      <c r="E238" s="277"/>
      <c r="F238" s="277">
        <v>411</v>
      </c>
      <c r="G238" s="277"/>
      <c r="H238" s="277"/>
      <c r="I238" s="277"/>
      <c r="J238" s="277"/>
      <c r="K238" s="277"/>
    </row>
    <row r="239" spans="1:11">
      <c r="A239" s="277"/>
      <c r="B239" s="277" t="s">
        <v>8714</v>
      </c>
      <c r="C239" s="25" t="s">
        <v>8713</v>
      </c>
      <c r="D239" s="277"/>
      <c r="E239" s="277"/>
      <c r="F239" s="277">
        <v>409</v>
      </c>
      <c r="G239" s="277"/>
      <c r="H239" s="277"/>
      <c r="I239" s="277"/>
      <c r="J239" s="277"/>
      <c r="K239" s="277"/>
    </row>
    <row r="240" spans="1:11">
      <c r="A240" s="277"/>
      <c r="B240" s="277" t="s">
        <v>8715</v>
      </c>
      <c r="C240" s="25" t="s">
        <v>8716</v>
      </c>
      <c r="D240" s="277"/>
      <c r="E240" s="277"/>
      <c r="F240" s="277">
        <v>401</v>
      </c>
      <c r="G240" s="277"/>
      <c r="H240" s="277"/>
      <c r="I240" s="277"/>
      <c r="J240" s="277"/>
      <c r="K240" s="277"/>
    </row>
    <row r="241" spans="1:11">
      <c r="A241" s="277"/>
      <c r="B241" s="277" t="s">
        <v>8717</v>
      </c>
      <c r="C241" s="25" t="s">
        <v>8718</v>
      </c>
      <c r="D241" s="277"/>
      <c r="E241" s="277"/>
      <c r="F241" s="277">
        <v>399</v>
      </c>
      <c r="G241" s="277"/>
      <c r="H241" s="277"/>
      <c r="I241" s="277"/>
      <c r="J241" s="277"/>
      <c r="K241" s="277"/>
    </row>
    <row r="242" spans="1:11">
      <c r="A242" s="277"/>
      <c r="B242" s="277" t="s">
        <v>8719</v>
      </c>
      <c r="C242" s="25" t="s">
        <v>8720</v>
      </c>
      <c r="D242" s="277"/>
      <c r="E242" s="277"/>
      <c r="F242" s="277">
        <v>397</v>
      </c>
      <c r="G242" s="277"/>
      <c r="H242" s="277"/>
      <c r="I242" s="277"/>
      <c r="J242" s="277"/>
      <c r="K242" s="277"/>
    </row>
    <row r="243" spans="1:11">
      <c r="A243" s="277"/>
      <c r="B243" s="277" t="s">
        <v>8721</v>
      </c>
      <c r="C243" s="25" t="s">
        <v>8722</v>
      </c>
      <c r="D243" s="277"/>
      <c r="E243" s="277"/>
      <c r="F243" s="277">
        <v>395</v>
      </c>
      <c r="G243" s="277"/>
      <c r="H243" s="277"/>
      <c r="I243" s="277"/>
      <c r="J243" s="277"/>
      <c r="K243" s="277"/>
    </row>
    <row r="244" spans="1:11">
      <c r="A244" s="277"/>
      <c r="B244" s="277" t="s">
        <v>8725</v>
      </c>
      <c r="C244" s="25" t="s">
        <v>8727</v>
      </c>
      <c r="D244" s="277"/>
      <c r="E244" s="277"/>
      <c r="F244" s="277">
        <v>390</v>
      </c>
      <c r="G244" s="277"/>
      <c r="H244" s="277"/>
      <c r="I244" s="277"/>
      <c r="J244" s="277"/>
      <c r="K244" s="277"/>
    </row>
    <row r="245" spans="1:11">
      <c r="A245" s="277"/>
      <c r="B245" s="277" t="s">
        <v>8728</v>
      </c>
      <c r="C245" s="25" t="s">
        <v>8726</v>
      </c>
      <c r="D245" s="277"/>
      <c r="E245" s="277"/>
      <c r="F245" s="277">
        <v>390</v>
      </c>
      <c r="G245" s="277"/>
      <c r="H245" s="277"/>
      <c r="I245" s="277"/>
      <c r="J245" s="277"/>
      <c r="K245" s="277"/>
    </row>
    <row r="246" spans="1:11">
      <c r="A246" s="277"/>
      <c r="B246" s="277" t="s">
        <v>8729</v>
      </c>
      <c r="C246" s="25" t="s">
        <v>8730</v>
      </c>
      <c r="D246" s="277" t="s">
        <v>8923</v>
      </c>
      <c r="E246" s="25" t="s">
        <v>8924</v>
      </c>
      <c r="F246" s="277">
        <v>387</v>
      </c>
      <c r="G246" s="277"/>
      <c r="H246" s="277"/>
      <c r="I246" s="277"/>
      <c r="J246" s="277"/>
      <c r="K246" s="277"/>
    </row>
    <row r="247" spans="1:11">
      <c r="A247" s="277"/>
      <c r="B247" s="277" t="s">
        <v>8731</v>
      </c>
      <c r="C247" s="25" t="s">
        <v>8732</v>
      </c>
      <c r="D247" s="277"/>
      <c r="E247" s="277"/>
      <c r="F247" s="277">
        <v>386</v>
      </c>
      <c r="G247" s="277"/>
      <c r="H247" s="277"/>
      <c r="I247" s="277"/>
      <c r="J247" s="277"/>
      <c r="K247" s="277"/>
    </row>
    <row r="248" spans="1:11">
      <c r="A248" s="277"/>
      <c r="B248" s="277" t="s">
        <v>8733</v>
      </c>
      <c r="C248" s="25" t="s">
        <v>8734</v>
      </c>
      <c r="D248" s="277"/>
      <c r="E248" s="277"/>
      <c r="F248" s="277">
        <v>386</v>
      </c>
      <c r="G248" s="277"/>
      <c r="H248" s="277"/>
      <c r="I248" s="277"/>
      <c r="J248" s="277"/>
      <c r="K248" s="277"/>
    </row>
    <row r="249" spans="1:11">
      <c r="A249" s="277"/>
      <c r="B249" s="277" t="s">
        <v>8412</v>
      </c>
      <c r="C249" s="25" t="s">
        <v>8735</v>
      </c>
      <c r="D249" s="277"/>
      <c r="E249" s="277"/>
      <c r="F249" s="277">
        <v>383</v>
      </c>
      <c r="G249" s="277"/>
      <c r="H249" s="277"/>
      <c r="I249" s="277"/>
      <c r="J249" s="277"/>
      <c r="K249" s="277"/>
    </row>
    <row r="250" spans="1:11">
      <c r="A250" s="277"/>
      <c r="B250" s="277" t="s">
        <v>8737</v>
      </c>
      <c r="C250" s="25" t="s">
        <v>8736</v>
      </c>
      <c r="D250" s="277"/>
      <c r="E250" s="277"/>
      <c r="F250" s="277">
        <v>382</v>
      </c>
      <c r="G250" s="277"/>
      <c r="H250" s="277"/>
      <c r="I250" s="277"/>
      <c r="J250" s="277"/>
      <c r="K250" s="277"/>
    </row>
    <row r="251" spans="1:11">
      <c r="A251" s="277"/>
      <c r="B251" s="277" t="s">
        <v>8549</v>
      </c>
      <c r="C251" s="25" t="s">
        <v>8738</v>
      </c>
      <c r="D251" s="277"/>
      <c r="E251" s="277"/>
      <c r="F251" s="277">
        <v>380</v>
      </c>
      <c r="G251" s="277"/>
      <c r="H251" s="277"/>
      <c r="I251" s="277"/>
      <c r="J251" s="277"/>
      <c r="K251" s="277"/>
    </row>
    <row r="252" spans="1:11">
      <c r="A252" s="277"/>
      <c r="B252" s="277" t="s">
        <v>8739</v>
      </c>
      <c r="C252" s="25" t="s">
        <v>8740</v>
      </c>
      <c r="D252" s="277"/>
      <c r="E252" s="277"/>
      <c r="F252" s="277">
        <v>379</v>
      </c>
      <c r="G252" s="277"/>
      <c r="H252" s="277"/>
      <c r="I252" s="277"/>
      <c r="J252" s="277"/>
      <c r="K252" s="277"/>
    </row>
    <row r="253" spans="1:11">
      <c r="A253" s="277"/>
      <c r="B253" s="277" t="s">
        <v>8741</v>
      </c>
      <c r="C253" s="25" t="s">
        <v>8742</v>
      </c>
      <c r="D253" s="277"/>
      <c r="E253" s="277"/>
      <c r="F253" s="277">
        <v>376</v>
      </c>
      <c r="G253" s="277"/>
      <c r="H253" s="277"/>
      <c r="I253" s="277"/>
      <c r="J253" s="277"/>
      <c r="K253" s="277"/>
    </row>
    <row r="254" spans="1:11">
      <c r="A254" s="277"/>
      <c r="B254" s="277" t="s">
        <v>8549</v>
      </c>
      <c r="C254" s="25" t="s">
        <v>8743</v>
      </c>
      <c r="D254" s="277"/>
      <c r="E254" s="277"/>
      <c r="F254" s="277">
        <v>375</v>
      </c>
      <c r="G254" s="277"/>
      <c r="H254" s="277"/>
      <c r="I254" s="277"/>
      <c r="J254" s="277"/>
      <c r="K254" s="277"/>
    </row>
    <row r="255" spans="1:11">
      <c r="A255" s="277"/>
      <c r="B255" s="277" t="s">
        <v>8744</v>
      </c>
      <c r="C255" s="25" t="s">
        <v>8745</v>
      </c>
      <c r="D255" s="277"/>
      <c r="E255" s="277"/>
      <c r="F255" s="277">
        <v>374</v>
      </c>
      <c r="G255" s="277"/>
      <c r="H255" s="277"/>
      <c r="I255" s="277"/>
      <c r="J255" s="277"/>
      <c r="K255" s="277"/>
    </row>
    <row r="256" spans="1:11">
      <c r="A256" s="277"/>
      <c r="B256" s="277" t="s">
        <v>8746</v>
      </c>
      <c r="C256" s="25" t="s">
        <v>8747</v>
      </c>
      <c r="D256" s="277"/>
      <c r="E256" s="277"/>
      <c r="F256" s="277">
        <v>373</v>
      </c>
      <c r="G256" s="277"/>
      <c r="H256" s="277"/>
      <c r="I256" s="277"/>
      <c r="J256" s="277"/>
      <c r="K256" s="277"/>
    </row>
    <row r="257" spans="1:11">
      <c r="A257" s="277"/>
      <c r="B257" s="277" t="s">
        <v>8749</v>
      </c>
      <c r="C257" s="25" t="s">
        <v>8748</v>
      </c>
      <c r="D257" s="277"/>
      <c r="E257" s="277"/>
      <c r="F257" s="277">
        <v>371</v>
      </c>
      <c r="G257" s="277"/>
      <c r="H257" s="277"/>
      <c r="I257" s="277"/>
      <c r="J257" s="277"/>
      <c r="K257" s="277"/>
    </row>
    <row r="258" spans="1:11">
      <c r="A258" s="277"/>
      <c r="B258" s="277" t="s">
        <v>8558</v>
      </c>
      <c r="C258" s="25" t="s">
        <v>8750</v>
      </c>
      <c r="D258" s="277"/>
      <c r="E258" s="277"/>
      <c r="F258" s="277">
        <v>370</v>
      </c>
      <c r="G258" s="277"/>
      <c r="H258" s="277"/>
      <c r="I258" s="277"/>
      <c r="J258" s="277"/>
      <c r="K258" s="277"/>
    </row>
    <row r="259" spans="1:11">
      <c r="A259" s="277"/>
      <c r="B259" s="277" t="s">
        <v>8527</v>
      </c>
      <c r="C259" s="25" t="s">
        <v>8751</v>
      </c>
      <c r="D259" s="277"/>
      <c r="E259" s="277"/>
      <c r="F259" s="277">
        <v>370</v>
      </c>
      <c r="G259" s="277"/>
      <c r="H259" s="277"/>
      <c r="I259" s="277"/>
      <c r="J259" s="277"/>
      <c r="K259" s="277"/>
    </row>
    <row r="260" spans="1:11">
      <c r="A260" s="277"/>
      <c r="B260" s="277" t="s">
        <v>8753</v>
      </c>
      <c r="C260" s="25" t="s">
        <v>8752</v>
      </c>
      <c r="D260" s="277"/>
      <c r="E260" s="277"/>
      <c r="F260" s="277">
        <v>369</v>
      </c>
      <c r="G260" s="277"/>
      <c r="H260" s="277"/>
      <c r="I260" s="277"/>
      <c r="J260" s="277"/>
      <c r="K260" s="277"/>
    </row>
    <row r="261" spans="1:11">
      <c r="A261" s="277"/>
      <c r="B261" s="277" t="s">
        <v>8754</v>
      </c>
      <c r="C261" s="25" t="s">
        <v>8755</v>
      </c>
      <c r="D261" s="277"/>
      <c r="E261" s="277"/>
      <c r="F261" s="277">
        <v>368</v>
      </c>
      <c r="G261" s="277"/>
      <c r="H261" s="277"/>
      <c r="I261" s="277"/>
      <c r="J261" s="277"/>
      <c r="K261" s="277"/>
    </row>
    <row r="262" spans="1:11">
      <c r="A262" s="277"/>
      <c r="B262" s="277" t="s">
        <v>8756</v>
      </c>
      <c r="C262" s="25" t="s">
        <v>8755</v>
      </c>
      <c r="D262" s="277"/>
      <c r="E262" s="277"/>
      <c r="F262" s="277">
        <v>368</v>
      </c>
      <c r="G262" s="277"/>
      <c r="H262" s="277"/>
      <c r="I262" s="277"/>
      <c r="J262" s="277"/>
      <c r="K262" s="277"/>
    </row>
    <row r="263" spans="1:11">
      <c r="A263" s="277"/>
      <c r="B263" s="277" t="s">
        <v>8602</v>
      </c>
      <c r="C263" s="25" t="s">
        <v>8757</v>
      </c>
      <c r="D263" s="277"/>
      <c r="E263" s="277"/>
      <c r="F263" s="277">
        <v>366</v>
      </c>
      <c r="G263" s="277"/>
      <c r="H263" s="277"/>
      <c r="I263" s="277"/>
      <c r="J263" s="277"/>
      <c r="K263" s="277"/>
    </row>
    <row r="264" spans="1:11">
      <c r="A264" s="277"/>
      <c r="B264" s="277" t="s">
        <v>8758</v>
      </c>
      <c r="C264" s="25" t="s">
        <v>8759</v>
      </c>
      <c r="D264" s="277"/>
      <c r="E264" s="277"/>
      <c r="F264" s="277">
        <v>365</v>
      </c>
      <c r="G264" s="277"/>
      <c r="H264" s="277"/>
      <c r="I264" s="277"/>
      <c r="J264" s="277"/>
      <c r="K264" s="277"/>
    </row>
    <row r="265" spans="1:11">
      <c r="A265" s="277"/>
      <c r="B265" s="277" t="s">
        <v>8761</v>
      </c>
      <c r="C265" s="25" t="s">
        <v>8760</v>
      </c>
      <c r="D265" s="277"/>
      <c r="E265" s="277"/>
      <c r="F265" s="277">
        <v>364</v>
      </c>
      <c r="G265" s="277"/>
      <c r="H265" s="277"/>
      <c r="I265" s="277"/>
      <c r="J265" s="277"/>
      <c r="K265" s="277"/>
    </row>
    <row r="266" spans="1:11">
      <c r="A266" s="277"/>
      <c r="B266" s="277" t="s">
        <v>8762</v>
      </c>
      <c r="C266" s="25" t="s">
        <v>8763</v>
      </c>
      <c r="D266" s="277"/>
      <c r="E266" s="277"/>
      <c r="F266" s="277">
        <v>360</v>
      </c>
      <c r="G266" s="277"/>
      <c r="H266" s="277"/>
      <c r="I266" s="277"/>
      <c r="J266" s="277"/>
      <c r="K266" s="277"/>
    </row>
    <row r="267" spans="1:11">
      <c r="A267" s="277"/>
      <c r="B267" s="277" t="s">
        <v>8764</v>
      </c>
      <c r="C267" s="25" t="s">
        <v>8765</v>
      </c>
      <c r="D267" s="277"/>
      <c r="E267" s="277"/>
      <c r="F267" s="277">
        <v>360</v>
      </c>
      <c r="G267" s="277"/>
      <c r="H267" s="277"/>
      <c r="I267" s="277"/>
      <c r="J267" s="277"/>
      <c r="K267" s="277"/>
    </row>
    <row r="268" spans="1:11">
      <c r="A268" s="277"/>
      <c r="B268" s="277" t="s">
        <v>8767</v>
      </c>
      <c r="C268" s="25" t="s">
        <v>8766</v>
      </c>
      <c r="D268" s="277"/>
      <c r="E268" s="277"/>
      <c r="F268" s="277">
        <v>358</v>
      </c>
      <c r="G268" s="277"/>
      <c r="H268" s="277"/>
      <c r="I268" s="277"/>
      <c r="J268" s="277"/>
      <c r="K268" s="277"/>
    </row>
    <row r="269" spans="1:11">
      <c r="A269" s="277"/>
      <c r="B269" s="277" t="s">
        <v>8769</v>
      </c>
      <c r="C269" s="25" t="s">
        <v>8768</v>
      </c>
      <c r="D269" s="277"/>
      <c r="E269" s="277"/>
      <c r="F269" s="277">
        <v>356</v>
      </c>
      <c r="G269" s="277"/>
      <c r="H269" s="277"/>
      <c r="I269" s="277"/>
      <c r="J269" s="277"/>
      <c r="K269" s="277"/>
    </row>
    <row r="270" spans="1:11">
      <c r="A270" s="277"/>
      <c r="B270" s="277" t="s">
        <v>8367</v>
      </c>
      <c r="C270" s="25" t="s">
        <v>8770</v>
      </c>
      <c r="D270" s="277"/>
      <c r="E270" s="277"/>
      <c r="F270" s="277">
        <v>351</v>
      </c>
      <c r="G270" s="277"/>
      <c r="H270" s="277"/>
      <c r="I270" s="277"/>
      <c r="J270" s="277"/>
      <c r="K270" s="277"/>
    </row>
    <row r="271" spans="1:11">
      <c r="A271" s="277"/>
      <c r="B271" s="277" t="s">
        <v>8772</v>
      </c>
      <c r="C271" s="25" t="s">
        <v>8771</v>
      </c>
      <c r="D271" s="277"/>
      <c r="E271" s="277"/>
      <c r="F271" s="277">
        <v>350</v>
      </c>
      <c r="G271" s="277"/>
      <c r="H271" s="277"/>
      <c r="I271" s="277"/>
      <c r="J271" s="277"/>
      <c r="K271" s="277"/>
    </row>
    <row r="272" spans="1:11">
      <c r="A272" s="277"/>
      <c r="B272" s="277" t="s">
        <v>8773</v>
      </c>
      <c r="C272" s="25" t="s">
        <v>8774</v>
      </c>
      <c r="D272" s="277"/>
      <c r="E272" s="277"/>
      <c r="F272" s="277">
        <v>350</v>
      </c>
      <c r="G272" s="277"/>
      <c r="H272" s="277"/>
      <c r="I272" s="277"/>
      <c r="J272" s="277"/>
      <c r="K272" s="277"/>
    </row>
    <row r="273" spans="1:11">
      <c r="A273" s="277"/>
      <c r="B273" s="277" t="s">
        <v>8775</v>
      </c>
      <c r="C273" s="25" t="s">
        <v>8776</v>
      </c>
      <c r="D273" s="277"/>
      <c r="E273" s="277"/>
      <c r="F273" s="277">
        <v>350</v>
      </c>
      <c r="G273" s="277"/>
      <c r="H273" s="277"/>
      <c r="I273" s="277"/>
      <c r="J273" s="277"/>
      <c r="K273" s="277"/>
    </row>
    <row r="274" spans="1:11">
      <c r="A274" s="277"/>
      <c r="B274" s="277" t="s">
        <v>8549</v>
      </c>
      <c r="C274" s="25" t="s">
        <v>8777</v>
      </c>
      <c r="D274" s="277"/>
      <c r="E274" s="277"/>
      <c r="F274" s="277">
        <v>349</v>
      </c>
      <c r="G274" s="277"/>
      <c r="H274" s="277"/>
      <c r="I274" s="277"/>
      <c r="J274" s="277"/>
      <c r="K274" s="277"/>
    </row>
    <row r="275" spans="1:11">
      <c r="A275" s="277"/>
      <c r="B275" s="277" t="s">
        <v>8778</v>
      </c>
      <c r="C275" s="25" t="s">
        <v>8779</v>
      </c>
      <c r="D275" s="277"/>
      <c r="E275" s="277"/>
      <c r="F275" s="277">
        <v>348</v>
      </c>
      <c r="G275" s="277"/>
      <c r="H275" s="277"/>
      <c r="I275" s="277"/>
      <c r="J275" s="277"/>
      <c r="K275" s="277"/>
    </row>
    <row r="276" spans="1:11">
      <c r="A276" s="277"/>
      <c r="B276" s="277" t="s">
        <v>8756</v>
      </c>
      <c r="C276" s="25" t="s">
        <v>8780</v>
      </c>
      <c r="D276" s="277"/>
      <c r="E276" s="277"/>
      <c r="F276" s="277">
        <v>345</v>
      </c>
      <c r="G276" s="277"/>
      <c r="H276" s="277"/>
      <c r="I276" s="277"/>
      <c r="J276" s="277"/>
      <c r="K276" s="277"/>
    </row>
    <row r="277" spans="1:11">
      <c r="A277" s="277"/>
      <c r="B277" s="277" t="s">
        <v>8782</v>
      </c>
      <c r="C277" s="25" t="s">
        <v>8781</v>
      </c>
      <c r="D277" s="277"/>
      <c r="E277" s="277"/>
      <c r="F277" s="277">
        <v>343</v>
      </c>
      <c r="G277" s="277"/>
      <c r="H277" s="277"/>
      <c r="I277" s="277"/>
      <c r="J277" s="277"/>
      <c r="K277" s="277"/>
    </row>
    <row r="278" spans="1:11">
      <c r="A278" s="277"/>
      <c r="B278" s="277" t="s">
        <v>8783</v>
      </c>
      <c r="C278" s="25" t="s">
        <v>8784</v>
      </c>
      <c r="D278" s="277"/>
      <c r="E278" s="277"/>
      <c r="F278" s="277">
        <v>342</v>
      </c>
      <c r="G278" s="277"/>
      <c r="H278" s="277"/>
      <c r="I278" s="277"/>
      <c r="J278" s="277"/>
      <c r="K278" s="277"/>
    </row>
    <row r="279" spans="1:11">
      <c r="A279" s="277"/>
      <c r="B279" s="277" t="s">
        <v>8785</v>
      </c>
      <c r="C279" s="25" t="s">
        <v>8786</v>
      </c>
      <c r="D279" s="277"/>
      <c r="E279" s="277"/>
      <c r="F279" s="277">
        <v>342</v>
      </c>
      <c r="G279" s="277"/>
      <c r="H279" s="277"/>
      <c r="I279" s="277"/>
      <c r="J279" s="277"/>
      <c r="K279" s="277"/>
    </row>
    <row r="280" spans="1:11">
      <c r="A280" s="277"/>
      <c r="B280" s="277" t="s">
        <v>8787</v>
      </c>
      <c r="C280" s="25" t="s">
        <v>8788</v>
      </c>
      <c r="D280" s="277"/>
      <c r="E280" s="277"/>
      <c r="F280" s="277">
        <v>338</v>
      </c>
      <c r="G280" s="277"/>
      <c r="H280" s="277"/>
      <c r="I280" s="277"/>
      <c r="J280" s="277"/>
      <c r="K280" s="277"/>
    </row>
    <row r="281" spans="1:11">
      <c r="A281" s="277"/>
      <c r="B281" s="277" t="s">
        <v>8790</v>
      </c>
      <c r="C281" s="25" t="s">
        <v>8789</v>
      </c>
      <c r="D281" s="277"/>
      <c r="E281" s="277"/>
      <c r="F281" s="277">
        <v>333</v>
      </c>
      <c r="G281" s="277"/>
      <c r="H281" s="277"/>
      <c r="I281" s="277"/>
      <c r="J281" s="277"/>
      <c r="K281" s="277"/>
    </row>
    <row r="282" spans="1:11">
      <c r="A282" s="277"/>
      <c r="B282" s="277" t="s">
        <v>8791</v>
      </c>
      <c r="C282" s="25" t="s">
        <v>8792</v>
      </c>
      <c r="D282" s="277"/>
      <c r="E282" s="277"/>
      <c r="F282" s="277">
        <v>332</v>
      </c>
      <c r="G282" s="277"/>
      <c r="H282" s="277"/>
      <c r="I282" s="277"/>
      <c r="J282" s="277"/>
      <c r="K282" s="277"/>
    </row>
    <row r="283" spans="1:11">
      <c r="A283" s="277"/>
      <c r="B283" s="277" t="s">
        <v>7966</v>
      </c>
      <c r="C283" s="277" t="s">
        <v>8107</v>
      </c>
      <c r="D283" s="277"/>
      <c r="E283" s="277"/>
      <c r="F283" s="277">
        <v>331</v>
      </c>
      <c r="G283" s="277"/>
      <c r="H283" s="277"/>
      <c r="I283" s="277"/>
      <c r="J283" s="277"/>
      <c r="K283" s="277"/>
    </row>
    <row r="284" spans="1:11">
      <c r="A284" s="277"/>
      <c r="B284" s="277" t="s">
        <v>8794</v>
      </c>
      <c r="C284" s="25" t="s">
        <v>8793</v>
      </c>
      <c r="D284" s="277"/>
      <c r="E284" s="277"/>
      <c r="F284" s="277">
        <v>329</v>
      </c>
      <c r="G284" s="277"/>
      <c r="H284" s="277"/>
      <c r="I284" s="277"/>
      <c r="J284" s="277"/>
      <c r="K284" s="277"/>
    </row>
    <row r="285" spans="1:11">
      <c r="A285" s="277"/>
      <c r="B285" s="277" t="s">
        <v>8796</v>
      </c>
      <c r="C285" s="25" t="s">
        <v>8795</v>
      </c>
      <c r="D285" s="277"/>
      <c r="E285" s="277"/>
      <c r="F285" s="277">
        <v>324</v>
      </c>
      <c r="G285" s="277"/>
      <c r="H285" s="277"/>
      <c r="I285" s="277"/>
      <c r="J285" s="277"/>
      <c r="K285" s="277"/>
    </row>
    <row r="286" spans="1:11">
      <c r="A286" s="277"/>
      <c r="B286" s="277" t="s">
        <v>8798</v>
      </c>
      <c r="C286" s="25" t="s">
        <v>8797</v>
      </c>
      <c r="D286" s="277"/>
      <c r="E286" s="277"/>
      <c r="F286" s="277">
        <v>321</v>
      </c>
      <c r="G286" s="277"/>
      <c r="H286" s="277"/>
      <c r="I286" s="277"/>
      <c r="J286" s="277"/>
      <c r="K286" s="277"/>
    </row>
    <row r="287" spans="1:11">
      <c r="A287" s="277"/>
      <c r="B287" s="277" t="s">
        <v>8316</v>
      </c>
      <c r="C287" s="25" t="s">
        <v>8317</v>
      </c>
      <c r="D287" s="277"/>
      <c r="E287" s="277"/>
      <c r="F287" s="277">
        <v>320</v>
      </c>
      <c r="G287" s="277"/>
      <c r="H287" s="277"/>
      <c r="I287" s="277"/>
      <c r="J287" s="277"/>
      <c r="K287" s="277"/>
    </row>
    <row r="288" spans="1:11">
      <c r="A288" s="277"/>
      <c r="B288" s="277" t="s">
        <v>8799</v>
      </c>
      <c r="C288" s="25" t="s">
        <v>8800</v>
      </c>
      <c r="D288" s="277"/>
      <c r="E288" s="277"/>
      <c r="F288" s="277">
        <v>317</v>
      </c>
      <c r="G288" s="277"/>
      <c r="H288" s="277"/>
      <c r="I288" s="277"/>
      <c r="J288" s="277"/>
      <c r="K288" s="277"/>
    </row>
    <row r="289" spans="1:11">
      <c r="A289" s="277"/>
      <c r="B289" s="277" t="s">
        <v>8801</v>
      </c>
      <c r="C289" s="25" t="s">
        <v>8802</v>
      </c>
      <c r="D289" s="277"/>
      <c r="E289" s="277"/>
      <c r="F289" s="277">
        <v>315</v>
      </c>
      <c r="G289" s="277"/>
      <c r="H289" s="277"/>
      <c r="I289" s="277"/>
      <c r="J289" s="277"/>
      <c r="K289" s="277"/>
    </row>
    <row r="290" spans="1:11">
      <c r="A290" s="277"/>
      <c r="B290" s="277" t="s">
        <v>8803</v>
      </c>
      <c r="C290" s="25" t="s">
        <v>8804</v>
      </c>
      <c r="D290" s="277"/>
      <c r="E290" s="277"/>
      <c r="F290" s="277">
        <v>309</v>
      </c>
      <c r="G290" s="277"/>
      <c r="H290" s="277"/>
      <c r="I290" s="277"/>
      <c r="J290" s="277"/>
      <c r="K290" s="277"/>
    </row>
    <row r="291" spans="1:11">
      <c r="A291" s="277"/>
      <c r="B291" s="277" t="s">
        <v>8806</v>
      </c>
      <c r="C291" s="25" t="s">
        <v>8805</v>
      </c>
      <c r="D291" s="277"/>
      <c r="E291" s="277"/>
      <c r="F291" s="277">
        <v>309</v>
      </c>
      <c r="G291" s="277"/>
      <c r="H291" s="277"/>
      <c r="I291" s="277"/>
      <c r="J291" s="277"/>
      <c r="K291" s="277"/>
    </row>
    <row r="292" spans="1:11">
      <c r="A292" s="277"/>
      <c r="B292" s="277" t="s">
        <v>8808</v>
      </c>
      <c r="C292" s="25" t="s">
        <v>8807</v>
      </c>
      <c r="D292" s="277"/>
      <c r="E292" s="277"/>
      <c r="F292" s="277">
        <v>307</v>
      </c>
      <c r="G292" s="277"/>
      <c r="H292" s="277"/>
      <c r="I292" s="277"/>
      <c r="J292" s="277"/>
      <c r="K292" s="277"/>
    </row>
    <row r="293" spans="1:11">
      <c r="A293" s="277"/>
      <c r="B293" s="277" t="s">
        <v>8810</v>
      </c>
      <c r="C293" s="25" t="s">
        <v>8809</v>
      </c>
      <c r="D293" s="277"/>
      <c r="E293" s="277"/>
      <c r="F293" s="277">
        <v>306</v>
      </c>
      <c r="G293" s="277"/>
      <c r="H293" s="277"/>
      <c r="I293" s="277"/>
      <c r="J293" s="277"/>
      <c r="K293" s="277"/>
    </row>
    <row r="294" spans="1:11">
      <c r="A294" s="277"/>
      <c r="B294" s="277" t="s">
        <v>8811</v>
      </c>
      <c r="C294" s="25" t="s">
        <v>8813</v>
      </c>
      <c r="D294" s="277"/>
      <c r="E294" s="277"/>
      <c r="F294" s="277">
        <v>306</v>
      </c>
      <c r="G294" s="277"/>
      <c r="H294" s="277"/>
      <c r="I294" s="277"/>
      <c r="J294" s="277"/>
      <c r="K294" s="277"/>
    </row>
    <row r="295" spans="1:11">
      <c r="A295" s="277"/>
      <c r="B295" s="277" t="s">
        <v>8714</v>
      </c>
      <c r="C295" s="25" t="s">
        <v>8812</v>
      </c>
      <c r="D295" s="277"/>
      <c r="E295" s="277"/>
      <c r="F295" s="277">
        <v>306</v>
      </c>
      <c r="G295" s="277"/>
      <c r="H295" s="277"/>
      <c r="I295" s="277"/>
      <c r="J295" s="277"/>
      <c r="K295" s="277"/>
    </row>
    <row r="296" spans="1:11">
      <c r="A296" s="277"/>
      <c r="B296" s="277" t="s">
        <v>8815</v>
      </c>
      <c r="C296" s="25" t="s">
        <v>8814</v>
      </c>
      <c r="D296" s="277"/>
      <c r="E296" s="277"/>
      <c r="F296" s="277">
        <v>306</v>
      </c>
      <c r="G296" s="277"/>
      <c r="H296" s="277"/>
      <c r="I296" s="277"/>
      <c r="J296" s="277"/>
      <c r="K296" s="277"/>
    </row>
    <row r="297" spans="1:11">
      <c r="A297" s="277"/>
      <c r="B297" s="277" t="s">
        <v>8816</v>
      </c>
      <c r="C297" s="25" t="s">
        <v>8817</v>
      </c>
      <c r="D297" s="277"/>
      <c r="E297" s="277"/>
      <c r="F297" s="277">
        <v>306</v>
      </c>
      <c r="G297" s="277"/>
      <c r="H297" s="277"/>
      <c r="I297" s="277"/>
      <c r="J297" s="277"/>
      <c r="K297" s="277"/>
    </row>
    <row r="298" spans="1:11">
      <c r="A298" s="277"/>
      <c r="B298" s="277" t="s">
        <v>8819</v>
      </c>
      <c r="C298" s="25" t="s">
        <v>8818</v>
      </c>
      <c r="D298" s="277"/>
      <c r="E298" s="277"/>
      <c r="F298" s="277">
        <v>304</v>
      </c>
      <c r="G298" s="277"/>
      <c r="H298" s="277"/>
      <c r="I298" s="277"/>
      <c r="J298" s="277"/>
      <c r="K298" s="277"/>
    </row>
    <row r="299" spans="1:11">
      <c r="A299" s="277"/>
      <c r="B299" s="277" t="s">
        <v>8821</v>
      </c>
      <c r="C299" s="25" t="s">
        <v>8820</v>
      </c>
      <c r="D299" s="277"/>
      <c r="E299" s="277"/>
      <c r="F299" s="277">
        <v>303</v>
      </c>
      <c r="G299" s="277"/>
      <c r="H299" s="277"/>
      <c r="I299" s="277"/>
      <c r="J299" s="277"/>
      <c r="K299" s="277"/>
    </row>
    <row r="300" spans="1:11">
      <c r="B300" s="277" t="s">
        <v>8230</v>
      </c>
      <c r="C300" s="25" t="s">
        <v>8231</v>
      </c>
      <c r="D300" s="277"/>
      <c r="E300" s="277" t="s">
        <v>8232</v>
      </c>
      <c r="F300" s="277">
        <v>288</v>
      </c>
      <c r="H300" s="277"/>
      <c r="I300" s="277"/>
      <c r="J300" s="277"/>
      <c r="K300" s="277"/>
    </row>
    <row r="301" spans="1:11">
      <c r="B301" s="277" t="s">
        <v>8823</v>
      </c>
      <c r="C301" s="25" t="s">
        <v>8822</v>
      </c>
      <c r="D301" s="277"/>
      <c r="E301" s="25"/>
      <c r="F301" s="277">
        <v>254</v>
      </c>
      <c r="G301" s="277"/>
      <c r="H301" s="277"/>
      <c r="I301" s="277"/>
      <c r="J301" s="277"/>
      <c r="K301" s="277"/>
    </row>
    <row r="302" spans="1:11">
      <c r="B302" s="277" t="s">
        <v>8825</v>
      </c>
      <c r="C302" s="25" t="s">
        <v>8824</v>
      </c>
      <c r="D302" s="277"/>
      <c r="E302" s="25"/>
      <c r="F302" s="277">
        <v>233</v>
      </c>
      <c r="G302" s="277"/>
      <c r="H302" s="277"/>
      <c r="I302" s="277"/>
      <c r="J302" s="277"/>
      <c r="K302" s="277"/>
    </row>
    <row r="303" spans="1:11">
      <c r="B303" s="277" t="s">
        <v>7928</v>
      </c>
      <c r="C303" s="25" t="s">
        <v>8826</v>
      </c>
      <c r="D303" s="277"/>
      <c r="E303" s="25"/>
      <c r="F303" s="277">
        <v>228</v>
      </c>
      <c r="G303" s="277"/>
      <c r="H303" s="277"/>
      <c r="I303" s="277"/>
      <c r="J303" s="277"/>
      <c r="K303" s="277"/>
    </row>
    <row r="304" spans="1:11" ht="14">
      <c r="A304" s="277"/>
      <c r="B304" s="277" t="s">
        <v>6145</v>
      </c>
      <c r="C304" s="25" t="s">
        <v>6146</v>
      </c>
      <c r="D304" s="28" t="s">
        <v>6147</v>
      </c>
      <c r="E304" s="277" t="s">
        <v>6146</v>
      </c>
      <c r="F304" s="277">
        <v>216</v>
      </c>
      <c r="G304" s="277"/>
      <c r="H304" s="277"/>
      <c r="I304" s="277"/>
      <c r="J304" s="277"/>
      <c r="K304" s="277"/>
    </row>
    <row r="305" spans="1:11" ht="14">
      <c r="A305" s="277"/>
      <c r="B305" s="277" t="s">
        <v>8827</v>
      </c>
      <c r="C305" s="25" t="s">
        <v>8828</v>
      </c>
      <c r="D305" s="28"/>
      <c r="E305" s="277"/>
      <c r="F305" s="277">
        <v>209</v>
      </c>
      <c r="G305" s="277"/>
      <c r="H305" s="277"/>
      <c r="I305" s="277"/>
      <c r="J305" s="277"/>
      <c r="K305" s="277"/>
    </row>
    <row r="306" spans="1:11" ht="14">
      <c r="A306" s="277"/>
      <c r="B306" s="277" t="s">
        <v>8830</v>
      </c>
      <c r="C306" s="25" t="s">
        <v>8829</v>
      </c>
      <c r="D306" s="28"/>
      <c r="E306" s="277"/>
      <c r="F306" s="277">
        <v>207</v>
      </c>
      <c r="G306" s="277"/>
      <c r="H306" s="277"/>
      <c r="I306" s="277"/>
      <c r="J306" s="277"/>
      <c r="K306" s="277"/>
    </row>
    <row r="307" spans="1:11" ht="14">
      <c r="A307" s="277"/>
      <c r="B307" s="277" t="s">
        <v>9103</v>
      </c>
      <c r="C307" s="25" t="s">
        <v>9104</v>
      </c>
      <c r="D307" s="28"/>
      <c r="E307" s="277"/>
      <c r="F307" s="277">
        <v>222</v>
      </c>
      <c r="G307" s="277"/>
      <c r="H307" s="277"/>
      <c r="I307" s="277"/>
      <c r="J307" s="277"/>
      <c r="K307" s="277"/>
    </row>
    <row r="308" spans="1:11" ht="14">
      <c r="A308" s="277"/>
      <c r="B308" s="277" t="s">
        <v>8832</v>
      </c>
      <c r="C308" s="25" t="s">
        <v>8831</v>
      </c>
      <c r="D308" s="28"/>
      <c r="E308" s="277"/>
      <c r="F308" s="277">
        <v>197</v>
      </c>
      <c r="G308" s="277"/>
      <c r="H308" s="277"/>
      <c r="I308" s="277"/>
      <c r="J308" s="277"/>
      <c r="K308" s="277"/>
    </row>
    <row r="309" spans="1:11">
      <c r="A309" s="277"/>
      <c r="B309" s="277" t="s">
        <v>6216</v>
      </c>
      <c r="C309" s="25" t="s">
        <v>6217</v>
      </c>
      <c r="D309" s="277"/>
      <c r="E309" s="277"/>
      <c r="F309" s="277">
        <v>26</v>
      </c>
      <c r="G309" s="277"/>
      <c r="H309" s="277"/>
      <c r="I309" s="277"/>
      <c r="J309" s="277"/>
      <c r="K309" s="277"/>
    </row>
    <row r="310" spans="1:11">
      <c r="A310" s="277"/>
      <c r="B310" s="277" t="s">
        <v>9079</v>
      </c>
      <c r="C310" s="25" t="s">
        <v>9078</v>
      </c>
      <c r="D310" s="277"/>
      <c r="E310" s="277"/>
      <c r="F310" s="277"/>
      <c r="G310" s="277"/>
      <c r="H310" s="277"/>
      <c r="I310" s="277"/>
      <c r="J310" s="277"/>
      <c r="K310" s="277"/>
    </row>
    <row r="311" spans="1:11">
      <c r="A311" s="277"/>
      <c r="B311" s="277" t="s">
        <v>8003</v>
      </c>
      <c r="C311" s="277"/>
      <c r="D311" s="277"/>
      <c r="E311" s="25"/>
      <c r="F311" s="277"/>
      <c r="G311" s="277"/>
      <c r="H311" s="277"/>
      <c r="I311" s="277"/>
      <c r="J311" s="277"/>
      <c r="K311" s="277"/>
    </row>
    <row r="312" spans="1:11" ht="14">
      <c r="B312" s="277" t="s">
        <v>5198</v>
      </c>
      <c r="C312" s="28"/>
      <c r="D312" s="277"/>
      <c r="E312" s="25"/>
      <c r="F312" s="277"/>
      <c r="G312" s="277"/>
      <c r="H312" s="277"/>
      <c r="I312" s="277"/>
      <c r="J312" s="277"/>
      <c r="K312" s="277"/>
    </row>
    <row r="313" spans="1:11" ht="14">
      <c r="B313" s="277" t="s">
        <v>9084</v>
      </c>
      <c r="C313" s="28" t="s">
        <v>9085</v>
      </c>
      <c r="D313" s="277"/>
      <c r="E313" s="25"/>
      <c r="F313" s="277"/>
      <c r="G313" s="277"/>
      <c r="H313" s="277"/>
      <c r="I313" s="277"/>
      <c r="J313" s="277"/>
      <c r="K313" s="277"/>
    </row>
    <row r="314" spans="1:11">
      <c r="B314" s="277" t="s">
        <v>8040</v>
      </c>
      <c r="C314" s="277" t="s">
        <v>8039</v>
      </c>
      <c r="D314" s="277"/>
      <c r="E314" s="25"/>
      <c r="F314" s="277"/>
      <c r="G314" s="277"/>
      <c r="H314" s="277"/>
      <c r="I314" s="277"/>
      <c r="J314" s="277" t="s">
        <v>8252</v>
      </c>
      <c r="K314" s="277"/>
    </row>
    <row r="315" spans="1:11">
      <c r="B315" s="277" t="s">
        <v>9089</v>
      </c>
      <c r="C315" s="277" t="s">
        <v>9090</v>
      </c>
      <c r="D315" s="277"/>
      <c r="E315" s="25"/>
      <c r="F315" s="277"/>
      <c r="G315" s="277"/>
      <c r="H315" s="277"/>
      <c r="I315" s="277"/>
      <c r="J315" s="277"/>
      <c r="K315" s="277"/>
    </row>
    <row r="316" spans="1:11">
      <c r="B316" s="277" t="s">
        <v>8262</v>
      </c>
      <c r="C316" s="277"/>
      <c r="D316" s="277"/>
      <c r="E316" s="25"/>
      <c r="F316" s="277"/>
      <c r="G316" s="277"/>
      <c r="H316" s="277"/>
      <c r="I316" s="277"/>
      <c r="J316" s="277"/>
      <c r="K316" s="277"/>
    </row>
    <row r="317" spans="1:11">
      <c r="B317" s="277" t="s">
        <v>8263</v>
      </c>
      <c r="C317" s="277"/>
      <c r="D317" s="277"/>
      <c r="E317" s="25"/>
      <c r="F317" s="277"/>
      <c r="G317" s="277"/>
      <c r="H317" s="277"/>
      <c r="I317" s="277"/>
      <c r="J317" s="277"/>
      <c r="K317" s="277"/>
    </row>
    <row r="318" spans="1:11">
      <c r="B318" s="277" t="s">
        <v>8268</v>
      </c>
      <c r="C318" s="277" t="s">
        <v>8269</v>
      </c>
      <c r="D318" s="277"/>
      <c r="E318" s="25"/>
      <c r="F318" s="277"/>
      <c r="G318" s="277"/>
      <c r="H318" s="277"/>
      <c r="I318" s="277"/>
      <c r="J318" s="277"/>
      <c r="K318" s="277"/>
    </row>
    <row r="319" spans="1:11">
      <c r="B319" s="277" t="s">
        <v>8135</v>
      </c>
      <c r="C319" s="277"/>
      <c r="D319" s="277" t="s">
        <v>8136</v>
      </c>
      <c r="E319" s="277"/>
      <c r="F319" s="277"/>
      <c r="G319" s="277"/>
      <c r="H319" s="277"/>
      <c r="I319" s="277"/>
      <c r="J319" s="277"/>
      <c r="K319" s="277"/>
    </row>
    <row r="320" spans="1:11">
      <c r="B320" s="277" t="s">
        <v>8233</v>
      </c>
      <c r="C320" s="277"/>
      <c r="D320" s="277" t="s">
        <v>782</v>
      </c>
      <c r="E320" s="277"/>
      <c r="F320" s="277"/>
      <c r="G320" s="277"/>
      <c r="H320" s="277"/>
      <c r="I320" s="277"/>
      <c r="J320" s="277"/>
      <c r="K320" s="277"/>
    </row>
    <row r="321" spans="2:19">
      <c r="B321" s="277"/>
      <c r="C321" s="277"/>
      <c r="D321" s="277"/>
      <c r="E321" s="277"/>
      <c r="F321" s="277"/>
      <c r="G321" s="277"/>
      <c r="H321" s="277"/>
      <c r="I321" s="277"/>
      <c r="J321" s="277"/>
      <c r="K321" s="277"/>
    </row>
    <row r="322" spans="2:19">
      <c r="B322" s="277"/>
      <c r="C322" s="277"/>
      <c r="D322" s="277"/>
      <c r="E322" s="277"/>
      <c r="F322" s="277"/>
      <c r="G322" s="277"/>
      <c r="H322" s="277"/>
      <c r="I322" s="277"/>
      <c r="J322" s="277"/>
      <c r="K322" s="277"/>
    </row>
    <row r="323" spans="2:19">
      <c r="B323" s="142" t="s">
        <v>7962</v>
      </c>
      <c r="C323" s="277"/>
      <c r="D323" s="277"/>
      <c r="E323" s="277" t="s">
        <v>1150</v>
      </c>
      <c r="F323" s="277"/>
      <c r="G323" s="277"/>
      <c r="H323" s="277"/>
      <c r="I323" s="277"/>
      <c r="J323" s="277"/>
      <c r="K323" s="277"/>
    </row>
    <row r="324" spans="2:19" ht="14">
      <c r="B324" s="277" t="s">
        <v>5193</v>
      </c>
      <c r="C324" s="28" t="s">
        <v>3846</v>
      </c>
      <c r="D324" s="277" t="s">
        <v>7554</v>
      </c>
      <c r="E324" s="28" t="s">
        <v>7537</v>
      </c>
      <c r="F324" s="277"/>
      <c r="G324" s="277"/>
      <c r="H324" s="277"/>
      <c r="I324" s="277"/>
      <c r="J324" s="277"/>
      <c r="K324" s="277"/>
      <c r="P324" s="243"/>
    </row>
    <row r="325" spans="2:19">
      <c r="B325" s="277" t="s">
        <v>7963</v>
      </c>
      <c r="C325" s="277"/>
      <c r="D325" s="277"/>
      <c r="E325" s="277" t="s">
        <v>8106</v>
      </c>
      <c r="F325" s="277"/>
      <c r="G325" s="277"/>
      <c r="H325" s="277"/>
      <c r="I325" s="277"/>
      <c r="J325" s="277"/>
      <c r="K325" s="277"/>
    </row>
    <row r="326" spans="2:19" ht="14">
      <c r="B326" s="277" t="s">
        <v>7949</v>
      </c>
      <c r="C326" s="277" t="s">
        <v>1088</v>
      </c>
      <c r="D326" s="28" t="s">
        <v>7950</v>
      </c>
      <c r="E326" s="277" t="s">
        <v>8106</v>
      </c>
      <c r="F326" s="277"/>
      <c r="G326" s="277"/>
      <c r="H326" s="277"/>
      <c r="I326" s="277"/>
      <c r="J326" s="277"/>
      <c r="K326" s="277"/>
    </row>
    <row r="327" spans="2:19">
      <c r="B327" s="277" t="s">
        <v>7965</v>
      </c>
      <c r="C327" s="277"/>
      <c r="D327" s="277" t="s">
        <v>8351</v>
      </c>
      <c r="E327" s="277"/>
      <c r="F327" s="277">
        <v>1700</v>
      </c>
      <c r="G327" s="277"/>
      <c r="H327" s="277"/>
      <c r="I327" s="277"/>
      <c r="J327" s="277"/>
      <c r="K327" s="277"/>
    </row>
    <row r="328" spans="2:19">
      <c r="B328" s="277" t="s">
        <v>7967</v>
      </c>
      <c r="C328" s="277" t="s">
        <v>7969</v>
      </c>
      <c r="D328" s="277"/>
      <c r="E328" s="277"/>
      <c r="F328" s="277"/>
      <c r="G328" s="277"/>
      <c r="H328" s="277"/>
      <c r="I328" s="277"/>
      <c r="J328" s="277"/>
      <c r="K328" s="277"/>
    </row>
    <row r="329" spans="2:19">
      <c r="B329" s="277" t="s">
        <v>7968</v>
      </c>
      <c r="C329" s="277"/>
      <c r="D329" s="277" t="s">
        <v>7974</v>
      </c>
      <c r="E329" s="277"/>
      <c r="F329" s="277"/>
      <c r="G329" s="277"/>
      <c r="H329" s="277"/>
      <c r="I329" s="277"/>
      <c r="J329" s="277"/>
      <c r="K329" s="277"/>
    </row>
    <row r="330" spans="2:19">
      <c r="B330" s="269" t="s">
        <v>7989</v>
      </c>
      <c r="D330" s="269" t="s">
        <v>7990</v>
      </c>
      <c r="P330" s="146"/>
      <c r="Q330" s="146"/>
      <c r="R330" s="257"/>
      <c r="S330" s="257"/>
    </row>
    <row r="331" spans="2:19">
      <c r="B331" s="277" t="s">
        <v>8250</v>
      </c>
      <c r="C331" s="277" t="s">
        <v>1088</v>
      </c>
      <c r="D331" s="277" t="s">
        <v>8251</v>
      </c>
      <c r="P331" s="146"/>
      <c r="Q331" s="146"/>
      <c r="R331" s="257"/>
      <c r="S331" s="257"/>
    </row>
    <row r="332" spans="2:19">
      <c r="B332" s="277" t="s">
        <v>5206</v>
      </c>
      <c r="D332" s="107" t="s">
        <v>8524</v>
      </c>
      <c r="F332" s="107">
        <v>914</v>
      </c>
      <c r="P332" s="146"/>
      <c r="Q332" s="146"/>
      <c r="R332" s="257"/>
      <c r="S332" s="257"/>
    </row>
    <row r="333" spans="2:19">
      <c r="B333" s="277" t="s">
        <v>8576</v>
      </c>
      <c r="D333" s="107" t="s">
        <v>8577</v>
      </c>
      <c r="F333" s="107">
        <v>702</v>
      </c>
      <c r="P333" s="146"/>
      <c r="Q333" s="146"/>
      <c r="R333" s="257"/>
      <c r="S333" s="257"/>
    </row>
    <row r="334" spans="2:19">
      <c r="B334" s="277" t="s">
        <v>8723</v>
      </c>
      <c r="D334" s="107" t="s">
        <v>8724</v>
      </c>
      <c r="F334" s="107">
        <v>394</v>
      </c>
    </row>
    <row r="336" spans="2:19">
      <c r="B336" s="277" t="s">
        <v>8137</v>
      </c>
    </row>
    <row r="337" spans="14:14">
      <c r="N337" s="277" t="s">
        <v>8044</v>
      </c>
    </row>
    <row r="375" spans="2:3">
      <c r="B375" s="269" t="s">
        <v>7953</v>
      </c>
      <c r="C375" s="269" t="s">
        <v>7954</v>
      </c>
    </row>
    <row r="376" spans="2:3">
      <c r="B376" s="269" t="s">
        <v>7958</v>
      </c>
      <c r="C376" s="269" t="s">
        <v>7961</v>
      </c>
    </row>
    <row r="377" spans="2:3">
      <c r="B377" s="269" t="s">
        <v>7951</v>
      </c>
      <c r="C377" s="269" t="s">
        <v>7952</v>
      </c>
    </row>
    <row r="378" spans="2:3">
      <c r="B378" s="269" t="s">
        <v>7957</v>
      </c>
    </row>
    <row r="379" spans="2:3">
      <c r="B379" s="269" t="s">
        <v>7955</v>
      </c>
      <c r="C379" s="269" t="s">
        <v>7956</v>
      </c>
    </row>
    <row r="380" spans="2:3">
      <c r="B380" s="269" t="s">
        <v>7959</v>
      </c>
      <c r="C380" s="269" t="s">
        <v>7960</v>
      </c>
    </row>
  </sheetData>
  <hyperlinks>
    <hyperlink ref="C304" r:id="rId1" xr:uid="{A7FF0639-4C3A-614A-8121-499A1E7C2E05}"/>
    <hyperlink ref="A1" location="Main!A1" display="Main" xr:uid="{057A79D4-D529-6048-BE66-E47AF4D6A9B2}"/>
    <hyperlink ref="D304" r:id="rId2" xr:uid="{86A059A9-DAC5-BE43-AC23-D2CA451F81E0}"/>
    <hyperlink ref="C19" r:id="rId3" xr:uid="{34C8FAAE-6A8F-5340-BA66-72B5C19A9EF8}"/>
    <hyperlink ref="C167" r:id="rId4" xr:uid="{4DA66039-315E-8D42-BC9F-0A4AF7E8FCA1}"/>
    <hyperlink ref="C40" r:id="rId5" xr:uid="{319EE091-C8D2-ED48-B6D2-CC1C0BBA2056}"/>
    <hyperlink ref="C309" r:id="rId6" xr:uid="{AC7DEAF0-8430-CA4E-AF1A-92C6A6CE3D49}"/>
    <hyperlink ref="C49" r:id="rId7" xr:uid="{A2514E92-0844-7049-9200-778F0223231A}"/>
    <hyperlink ref="C11" r:id="rId8" xr:uid="{733A3714-7363-0E40-8B35-C1661B67B7C0}"/>
    <hyperlink ref="C126" r:id="rId9" xr:uid="{B7591921-99CC-E743-B222-DB652ABAD25C}"/>
    <hyperlink ref="E126" r:id="rId10" xr:uid="{3FCCBB7E-10D4-9D4D-B1A6-121322A44C8B}"/>
    <hyperlink ref="C136" r:id="rId11" xr:uid="{08A00BBB-C056-7540-8842-EACED2CAA336}"/>
    <hyperlink ref="E324" r:id="rId12" xr:uid="{8EB8ECD8-2FAB-0145-BF5F-D03EA29897B4}"/>
    <hyperlink ref="E23" r:id="rId13" xr:uid="{4B5E6AAA-030A-9945-BF6E-DCE9347860B5}"/>
    <hyperlink ref="E19" r:id="rId14" xr:uid="{97C05615-6E8C-FC4B-9702-B077D57056DE}"/>
    <hyperlink ref="C54" r:id="rId15" xr:uid="{B908ED33-7B6A-A84E-A452-0808B2FF8206}"/>
    <hyperlink ref="C207" r:id="rId16" xr:uid="{36B9332F-54F6-7F44-B141-60364D015A79}"/>
    <hyperlink ref="C23" r:id="rId17" xr:uid="{3ECAB4D5-1A5C-354D-A505-D7161D0B8E06}"/>
    <hyperlink ref="C7" r:id="rId18" xr:uid="{1E72F881-7684-C148-83C3-E3A32C075B7E}"/>
    <hyperlink ref="C300" r:id="rId19" xr:uid="{038714CC-4485-364B-AFA0-209E2864DE9A}"/>
    <hyperlink ref="C6" r:id="rId20" xr:uid="{7615F56F-5B95-1C4A-828B-817CA8717C70}"/>
    <hyperlink ref="C5" r:id="rId21" xr:uid="{7AFAE6A6-158F-B94A-B614-33E3736A9652}"/>
    <hyperlink ref="C4" r:id="rId22" xr:uid="{DDC6CAE7-3B97-0B42-BF5F-2AC84D73BBE1}"/>
    <hyperlink ref="C3" r:id="rId23" xr:uid="{28C1457B-738C-7F44-B87D-C5D83F313EA3}"/>
    <hyperlink ref="C14" r:id="rId24" xr:uid="{5837825B-1135-DF4B-B74A-1F6AFB803FC4}"/>
    <hyperlink ref="C16" r:id="rId25" xr:uid="{2D59875E-AE8A-0F44-8AC2-7C1518C8946D}"/>
    <hyperlink ref="C17" r:id="rId26" xr:uid="{65D6D9F3-77C1-DD40-8888-C0F5892F22A0}"/>
    <hyperlink ref="C18" r:id="rId27" xr:uid="{EB85C04E-9465-5048-9379-A3E4049357BC}"/>
    <hyperlink ref="C15" r:id="rId28" xr:uid="{6E29F441-B65B-2E4E-BB64-7F8711C8CC16}"/>
    <hyperlink ref="C9" r:id="rId29" xr:uid="{3D80B546-943E-C446-9B7B-27F95BE21E46}"/>
    <hyperlink ref="C52" r:id="rId30" xr:uid="{ABF3563B-D7C3-B441-AFBB-1D2061CC1B52}"/>
    <hyperlink ref="C51" r:id="rId31" xr:uid="{76215F86-FDD9-4E40-8A35-03AD3B98D8BA}"/>
    <hyperlink ref="C48" r:id="rId32" xr:uid="{F790C559-464E-5441-A788-A92934B05366}"/>
    <hyperlink ref="E246" r:id="rId33" display="https://www.youtube.com/redirect?event=video_description&amp;redir_token=QUFFLUhqbGRBV0xfUjR0ZW1KQTJNVUhrX2xyUl9iWjI0QXxBQ3Jtc0trWnZZMWowcnhiRVIxdWx3SjIyMU5kUzRHZVFtajBNLURaalhRVkI4VVJZckNMMW0yRkNIZWZkZDJUdC03bTc0UkktOURRUTBuWGZMOWpTb3U3S3NBQ3FRd1BNUWRtRVRmbFJtYmZRcDVJWFFJeXlZSQ&amp;q=https%3A%2F%2Farxiv.org%2Fpdf%2F2204.09224.pdf&amp;v=aiGp1g-dCY4" xr:uid="{05397911-B8C1-254E-94F6-D67F54CDDB0E}"/>
    <hyperlink ref="C12" r:id="rId34" xr:uid="{C5EC6A1B-8122-2E44-A4B5-CA75F748C928}"/>
  </hyperlinks>
  <pageMargins left="0.7" right="0.7" top="0.75" bottom="0.75" header="0.3" footer="0.3"/>
  <pageSetup orientation="portrait" horizontalDpi="0" verticalDpi="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2D367F-E18A-604D-908C-9D9267BCCAA4}">
  <dimension ref="A1:L41"/>
  <sheetViews>
    <sheetView zoomScale="130" zoomScaleNormal="130" workbookViewId="0">
      <pane xSplit="2" ySplit="2" topLeftCell="C14" activePane="bottomRight" state="frozen"/>
      <selection pane="topRight" activeCell="C1" sqref="C1"/>
      <selection pane="bottomLeft" activeCell="A3" sqref="A3"/>
      <selection pane="bottomRight" activeCell="B42" sqref="B42"/>
    </sheetView>
  </sheetViews>
  <sheetFormatPr baseColWidth="10" defaultColWidth="11" defaultRowHeight="16"/>
  <cols>
    <col min="1" max="1" width="5.33203125" style="50" bestFit="1" customWidth="1"/>
    <col min="2" max="2" width="22.6640625" style="50" customWidth="1"/>
    <col min="3" max="3" width="16.5" style="50" customWidth="1"/>
    <col min="4" max="4" width="38.6640625" style="50" customWidth="1"/>
    <col min="5" max="6" width="13" style="50" customWidth="1"/>
    <col min="7" max="16384" width="11" style="50"/>
  </cols>
  <sheetData>
    <row r="1" spans="1:12">
      <c r="A1" s="280" t="s">
        <v>1165</v>
      </c>
    </row>
    <row r="2" spans="1:12">
      <c r="B2" s="50" t="s">
        <v>3977</v>
      </c>
      <c r="C2" s="50" t="s">
        <v>3967</v>
      </c>
      <c r="D2" s="50" t="s">
        <v>9612</v>
      </c>
      <c r="E2" s="50" t="s">
        <v>3526</v>
      </c>
      <c r="F2" s="50" t="s">
        <v>9758</v>
      </c>
      <c r="G2" s="50" t="s">
        <v>9623</v>
      </c>
      <c r="H2" s="50" t="s">
        <v>3968</v>
      </c>
      <c r="I2" s="50" t="s">
        <v>1158</v>
      </c>
      <c r="J2" s="50" t="s">
        <v>10479</v>
      </c>
    </row>
    <row r="3" spans="1:12">
      <c r="B3" s="50" t="s">
        <v>9628</v>
      </c>
      <c r="G3" s="284">
        <v>1017000</v>
      </c>
      <c r="J3" s="50" t="s">
        <v>10478</v>
      </c>
    </row>
    <row r="4" spans="1:12">
      <c r="B4" s="50" t="s">
        <v>9627</v>
      </c>
      <c r="G4" s="284">
        <v>518200</v>
      </c>
      <c r="J4" s="50" t="s">
        <v>10478</v>
      </c>
    </row>
    <row r="5" spans="1:12">
      <c r="B5" s="50" t="s">
        <v>10481</v>
      </c>
      <c r="G5" s="284"/>
      <c r="J5" s="50" t="s">
        <v>10478</v>
      </c>
    </row>
    <row r="6" spans="1:12">
      <c r="B6" s="50" t="s">
        <v>9624</v>
      </c>
      <c r="G6" s="284">
        <v>21560</v>
      </c>
    </row>
    <row r="8" spans="1:12">
      <c r="B8" s="281" t="s">
        <v>969</v>
      </c>
      <c r="G8" s="388">
        <f>SUM(G9:G31)</f>
        <v>103143.06599999999</v>
      </c>
    </row>
    <row r="9" spans="1:12">
      <c r="B9" s="50" t="s">
        <v>9647</v>
      </c>
      <c r="C9" s="50" t="s">
        <v>9605</v>
      </c>
      <c r="D9" s="50" t="s">
        <v>9757</v>
      </c>
      <c r="E9" s="50" t="s">
        <v>9760</v>
      </c>
      <c r="F9" s="50" t="s">
        <v>9760</v>
      </c>
      <c r="G9" s="284">
        <v>21420</v>
      </c>
      <c r="H9" s="50" t="s">
        <v>1146</v>
      </c>
      <c r="I9" s="284">
        <v>5.0999999999999996</v>
      </c>
      <c r="J9" s="50" t="s">
        <v>10478</v>
      </c>
      <c r="K9" s="388">
        <f>G17+G18+G21+G23+G24</f>
        <v>10405</v>
      </c>
      <c r="L9" s="388">
        <f>+K9+G15</f>
        <v>15804</v>
      </c>
    </row>
    <row r="10" spans="1:12">
      <c r="B10" s="50" t="s">
        <v>9640</v>
      </c>
      <c r="C10" s="50" t="s">
        <v>9641</v>
      </c>
      <c r="D10" s="50" t="s">
        <v>9756</v>
      </c>
      <c r="E10" s="50" t="s">
        <v>9760</v>
      </c>
      <c r="F10" s="50" t="s">
        <v>9760</v>
      </c>
      <c r="G10" s="284">
        <v>16770</v>
      </c>
      <c r="H10" s="50" t="s">
        <v>9649</v>
      </c>
      <c r="I10" s="284">
        <v>38.799999999999997</v>
      </c>
      <c r="J10" s="50" t="s">
        <v>10478</v>
      </c>
    </row>
    <row r="11" spans="1:12">
      <c r="B11" s="50" t="s">
        <v>9603</v>
      </c>
      <c r="C11" s="50" t="s">
        <v>9626</v>
      </c>
      <c r="D11" s="50" t="s">
        <v>9755</v>
      </c>
      <c r="E11" s="50" t="s">
        <v>9759</v>
      </c>
      <c r="F11" s="50" t="s">
        <v>9759</v>
      </c>
      <c r="G11" s="284">
        <v>16230</v>
      </c>
      <c r="H11" s="50" t="s">
        <v>1</v>
      </c>
      <c r="I11" s="284">
        <v>0</v>
      </c>
      <c r="J11" s="50" t="s">
        <v>10478</v>
      </c>
    </row>
    <row r="12" spans="1:12">
      <c r="B12" s="50" t="s">
        <v>9631</v>
      </c>
      <c r="C12" s="50" t="s">
        <v>9637</v>
      </c>
      <c r="D12" s="50" t="s">
        <v>9653</v>
      </c>
      <c r="E12" s="50" t="s">
        <v>9763</v>
      </c>
      <c r="G12" s="284">
        <v>8039</v>
      </c>
      <c r="H12" s="50" t="s">
        <v>9735</v>
      </c>
      <c r="I12" s="284">
        <v>45</v>
      </c>
      <c r="J12" s="50" t="s">
        <v>10478</v>
      </c>
      <c r="K12" s="50" t="s">
        <v>9736</v>
      </c>
    </row>
    <row r="13" spans="1:12">
      <c r="B13" s="50" t="s">
        <v>7657</v>
      </c>
      <c r="C13" s="50" t="s">
        <v>9619</v>
      </c>
      <c r="E13" s="50" t="s">
        <v>9759</v>
      </c>
      <c r="G13" s="284">
        <v>7417</v>
      </c>
      <c r="H13" s="50" t="s">
        <v>1146</v>
      </c>
      <c r="I13" s="284">
        <v>100</v>
      </c>
      <c r="J13" s="50" t="s">
        <v>10478</v>
      </c>
    </row>
    <row r="14" spans="1:12">
      <c r="B14" s="50" t="s">
        <v>957</v>
      </c>
      <c r="C14" s="50" t="s">
        <v>9644</v>
      </c>
      <c r="G14" s="284">
        <v>5424</v>
      </c>
      <c r="H14" s="50" t="s">
        <v>9650</v>
      </c>
      <c r="I14" s="284">
        <v>236</v>
      </c>
      <c r="J14" s="50" t="s">
        <v>10478</v>
      </c>
      <c r="K14" s="50" t="s">
        <v>9617</v>
      </c>
    </row>
    <row r="15" spans="1:12">
      <c r="B15" s="50" t="s">
        <v>1069</v>
      </c>
      <c r="C15" s="50" t="s">
        <v>9606</v>
      </c>
      <c r="D15" s="50" t="s">
        <v>9614</v>
      </c>
      <c r="E15" s="50" t="s">
        <v>9760</v>
      </c>
      <c r="F15" s="50" t="s">
        <v>9760</v>
      </c>
      <c r="G15" s="284">
        <v>5399</v>
      </c>
      <c r="H15" s="50" t="s">
        <v>1146</v>
      </c>
      <c r="I15" s="284">
        <v>57.8</v>
      </c>
      <c r="J15" s="50" t="s">
        <v>10480</v>
      </c>
      <c r="K15" s="50" t="s">
        <v>9615</v>
      </c>
    </row>
    <row r="16" spans="1:12">
      <c r="B16" s="50" t="s">
        <v>1929</v>
      </c>
      <c r="C16" s="50" t="s">
        <v>9643</v>
      </c>
      <c r="G16" s="284">
        <v>3285</v>
      </c>
      <c r="H16" s="50" t="s">
        <v>8281</v>
      </c>
      <c r="I16" s="397" t="s">
        <v>8281</v>
      </c>
      <c r="J16" s="50" t="s">
        <v>10478</v>
      </c>
      <c r="K16" s="50" t="s">
        <v>9621</v>
      </c>
    </row>
    <row r="17" spans="2:11">
      <c r="B17" s="281" t="s">
        <v>9611</v>
      </c>
      <c r="C17" s="281" t="s">
        <v>9602</v>
      </c>
      <c r="D17" s="281" t="s">
        <v>9652</v>
      </c>
      <c r="E17" s="281" t="s">
        <v>9760</v>
      </c>
      <c r="F17" s="281" t="s">
        <v>9760</v>
      </c>
      <c r="G17" s="388">
        <v>3211</v>
      </c>
      <c r="H17" s="281" t="s">
        <v>9651</v>
      </c>
      <c r="I17" s="284">
        <v>173.8</v>
      </c>
      <c r="J17" s="50" t="s">
        <v>10478</v>
      </c>
      <c r="K17" s="50" t="s">
        <v>9620</v>
      </c>
    </row>
    <row r="18" spans="2:11">
      <c r="B18" s="50" t="s">
        <v>9642</v>
      </c>
      <c r="G18" s="388">
        <v>3144</v>
      </c>
      <c r="J18" s="50" t="s">
        <v>10478</v>
      </c>
      <c r="K18" s="50" t="s">
        <v>9616</v>
      </c>
    </row>
    <row r="19" spans="2:11">
      <c r="B19" s="50" t="s">
        <v>9633</v>
      </c>
      <c r="C19" s="50" t="s">
        <v>9634</v>
      </c>
      <c r="G19" s="284">
        <v>2697</v>
      </c>
      <c r="J19" s="50" t="s">
        <v>10478</v>
      </c>
    </row>
    <row r="20" spans="2:11">
      <c r="B20" s="50" t="s">
        <v>9638</v>
      </c>
      <c r="C20" s="50" t="s">
        <v>9639</v>
      </c>
      <c r="G20" s="284">
        <v>2595</v>
      </c>
    </row>
    <row r="21" spans="2:11">
      <c r="B21" s="50" t="s">
        <v>9625</v>
      </c>
      <c r="G21" s="388">
        <v>1597</v>
      </c>
    </row>
    <row r="22" spans="2:11">
      <c r="B22" s="50" t="s">
        <v>9629</v>
      </c>
      <c r="G22" s="284">
        <v>1423</v>
      </c>
    </row>
    <row r="23" spans="2:11">
      <c r="B23" s="50" t="s">
        <v>9645</v>
      </c>
      <c r="C23" s="50" t="s">
        <v>9646</v>
      </c>
      <c r="G23" s="388">
        <v>1300</v>
      </c>
    </row>
    <row r="24" spans="2:11">
      <c r="B24" s="50" t="s">
        <v>9630</v>
      </c>
      <c r="G24" s="388">
        <v>1153</v>
      </c>
    </row>
    <row r="25" spans="2:11">
      <c r="B25" s="50" t="s">
        <v>1914</v>
      </c>
      <c r="C25" s="50" t="s">
        <v>9632</v>
      </c>
      <c r="G25" s="284">
        <v>542.59699999999998</v>
      </c>
    </row>
    <row r="26" spans="2:11">
      <c r="B26" s="50" t="s">
        <v>9618</v>
      </c>
      <c r="G26" s="284">
        <v>495.87799999999999</v>
      </c>
    </row>
    <row r="27" spans="2:11">
      <c r="B27" s="50" t="s">
        <v>9610</v>
      </c>
      <c r="C27" s="50" t="s">
        <v>9613</v>
      </c>
      <c r="G27" s="284">
        <v>457.90699999999998</v>
      </c>
    </row>
    <row r="28" spans="2:11">
      <c r="B28" s="50" t="s">
        <v>9635</v>
      </c>
      <c r="C28" s="50" t="s">
        <v>9636</v>
      </c>
      <c r="G28" s="284">
        <v>256.911</v>
      </c>
    </row>
    <row r="29" spans="2:11">
      <c r="B29" s="50" t="s">
        <v>1563</v>
      </c>
      <c r="G29" s="284">
        <v>198.125</v>
      </c>
    </row>
    <row r="30" spans="2:11">
      <c r="B30" s="50" t="s">
        <v>9607</v>
      </c>
      <c r="G30" s="284">
        <v>59.152000000000001</v>
      </c>
    </row>
    <row r="31" spans="2:11">
      <c r="B31" s="50" t="s">
        <v>9604</v>
      </c>
      <c r="G31" s="284">
        <v>28.495999999999999</v>
      </c>
    </row>
    <row r="32" spans="2:11">
      <c r="B32" s="50" t="s">
        <v>9648</v>
      </c>
    </row>
    <row r="33" spans="2:10">
      <c r="B33" s="50" t="s">
        <v>9761</v>
      </c>
    </row>
    <row r="34" spans="2:10">
      <c r="B34" s="50" t="s">
        <v>9762</v>
      </c>
    </row>
    <row r="35" spans="2:10">
      <c r="B35" s="50" t="s">
        <v>10482</v>
      </c>
      <c r="J35" s="50" t="s">
        <v>10480</v>
      </c>
    </row>
    <row r="36" spans="2:10">
      <c r="B36" s="50" t="s">
        <v>10483</v>
      </c>
    </row>
    <row r="38" spans="2:10">
      <c r="B38" s="282" t="s">
        <v>9737</v>
      </c>
    </row>
    <row r="39" spans="2:10">
      <c r="B39" s="50" t="s">
        <v>10742</v>
      </c>
    </row>
    <row r="40" spans="2:10">
      <c r="B40" s="50" t="s">
        <v>15185</v>
      </c>
    </row>
    <row r="41" spans="2:10">
      <c r="B41" s="50" t="s">
        <v>9772</v>
      </c>
    </row>
  </sheetData>
  <hyperlinks>
    <hyperlink ref="A1" location="Main!A1" display="Main" xr:uid="{245D757F-C08E-A34C-AAA2-46D14CAD9FAD}"/>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48A97B-AD0E-8944-9066-F7E05DF655B8}">
  <dimension ref="A1:C3"/>
  <sheetViews>
    <sheetView workbookViewId="0">
      <selection activeCell="H5" sqref="H5"/>
    </sheetView>
  </sheetViews>
  <sheetFormatPr baseColWidth="10" defaultColWidth="10.83203125" defaultRowHeight="14"/>
  <cols>
    <col min="1" max="1" width="5.33203125" style="365" bestFit="1" customWidth="1"/>
    <col min="2" max="16384" width="10.83203125" style="365"/>
  </cols>
  <sheetData>
    <row r="1" spans="1:3">
      <c r="A1" s="277" t="s">
        <v>1165</v>
      </c>
      <c r="B1" s="277"/>
      <c r="C1" s="277"/>
    </row>
    <row r="2" spans="1:3">
      <c r="A2" s="277"/>
      <c r="B2" s="277" t="s">
        <v>8925</v>
      </c>
      <c r="C2" s="277"/>
    </row>
    <row r="3" spans="1:3">
      <c r="A3" s="277"/>
      <c r="B3" s="277" t="s">
        <v>8927</v>
      </c>
      <c r="C3" s="277"/>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AB8389-6FDD-4286-B13B-BDBEDABD986C}">
  <dimension ref="A1:D6"/>
  <sheetViews>
    <sheetView zoomScale="150" zoomScaleNormal="150" workbookViewId="0">
      <pane xSplit="2" ySplit="2" topLeftCell="C3" activePane="bottomRight" state="frozen"/>
      <selection pane="topRight" activeCell="C1" sqref="C1"/>
      <selection pane="bottomLeft" activeCell="A3" sqref="A3"/>
      <selection pane="bottomRight" activeCell="B7" sqref="B7"/>
    </sheetView>
  </sheetViews>
  <sheetFormatPr baseColWidth="10" defaultColWidth="9" defaultRowHeight="13"/>
  <cols>
    <col min="1" max="1" width="4.33203125" style="263" bestFit="1" customWidth="1"/>
    <col min="2" max="2" width="12.33203125" style="263" customWidth="1"/>
    <col min="3" max="16384" width="9" style="263"/>
  </cols>
  <sheetData>
    <row r="1" spans="1:4">
      <c r="A1" s="25" t="s">
        <v>1165</v>
      </c>
    </row>
    <row r="2" spans="1:4">
      <c r="B2" s="263" t="s">
        <v>3977</v>
      </c>
      <c r="C2" s="263" t="s">
        <v>5733</v>
      </c>
      <c r="D2" s="263" t="s">
        <v>6213</v>
      </c>
    </row>
    <row r="3" spans="1:4">
      <c r="B3" s="263" t="s">
        <v>7927</v>
      </c>
      <c r="C3" s="263" t="s">
        <v>0</v>
      </c>
    </row>
    <row r="4" spans="1:4">
      <c r="B4" s="263" t="s">
        <v>7928</v>
      </c>
    </row>
    <row r="5" spans="1:4">
      <c r="B5" s="277" t="s">
        <v>8040</v>
      </c>
    </row>
    <row r="6" spans="1:4">
      <c r="B6" s="277" t="s">
        <v>8210</v>
      </c>
      <c r="D6" s="263" t="s">
        <v>8209</v>
      </c>
    </row>
  </sheetData>
  <hyperlinks>
    <hyperlink ref="A1" location="Main!A1" display="Main" xr:uid="{CF1468A6-F945-48BC-B871-EF73699D337F}"/>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FAC585-C617-4E2F-9673-50156E3B392B}">
  <dimension ref="A1:O33"/>
  <sheetViews>
    <sheetView zoomScale="140" zoomScaleNormal="140" workbookViewId="0">
      <pane xSplit="2" ySplit="2" topLeftCell="C3" activePane="bottomRight" state="frozen"/>
      <selection pane="topRight" activeCell="C1" sqref="C1"/>
      <selection pane="bottomLeft" activeCell="A3" sqref="A3"/>
      <selection pane="bottomRight" activeCell="C5" sqref="C5"/>
    </sheetView>
  </sheetViews>
  <sheetFormatPr baseColWidth="10" defaultColWidth="9" defaultRowHeight="13"/>
  <cols>
    <col min="1" max="1" width="4.6640625" style="107" bestFit="1" customWidth="1"/>
    <col min="2" max="2" width="15.83203125" style="107" bestFit="1" customWidth="1"/>
    <col min="3" max="5" width="9" style="107"/>
    <col min="6" max="6" width="9" style="146"/>
    <col min="7" max="16384" width="9" style="107"/>
  </cols>
  <sheetData>
    <row r="1" spans="1:15">
      <c r="A1" s="25" t="s">
        <v>1165</v>
      </c>
      <c r="B1" s="131"/>
      <c r="C1" s="132"/>
      <c r="D1" s="132"/>
      <c r="E1" s="108"/>
      <c r="F1" s="132"/>
      <c r="G1" s="133"/>
      <c r="H1" s="108"/>
      <c r="I1" s="108"/>
      <c r="J1" s="108"/>
      <c r="K1" s="108"/>
      <c r="L1" s="108"/>
      <c r="M1" s="108"/>
      <c r="N1" s="108"/>
      <c r="O1" s="109"/>
    </row>
    <row r="2" spans="1:15">
      <c r="A2" s="25"/>
      <c r="B2" s="109" t="s">
        <v>3977</v>
      </c>
      <c r="C2" s="147" t="s">
        <v>5667</v>
      </c>
      <c r="D2" s="147" t="s">
        <v>1800</v>
      </c>
      <c r="E2" s="108" t="s">
        <v>4953</v>
      </c>
      <c r="F2" s="132" t="s">
        <v>6319</v>
      </c>
      <c r="G2" s="133" t="s">
        <v>1150</v>
      </c>
      <c r="H2" s="108" t="s">
        <v>5666</v>
      </c>
      <c r="I2" s="108"/>
      <c r="J2" s="108"/>
      <c r="K2" s="108"/>
      <c r="L2" s="108"/>
      <c r="M2" s="108"/>
      <c r="N2" s="108"/>
      <c r="O2" s="109"/>
    </row>
    <row r="3" spans="1:15">
      <c r="B3" s="107" t="s">
        <v>6235</v>
      </c>
      <c r="E3" s="25" t="s">
        <v>6236</v>
      </c>
      <c r="F3" s="146">
        <v>58300</v>
      </c>
    </row>
    <row r="4" spans="1:15">
      <c r="B4" s="107" t="s">
        <v>6237</v>
      </c>
      <c r="C4" s="107" t="s">
        <v>6239</v>
      </c>
      <c r="E4" s="25" t="s">
        <v>6238</v>
      </c>
      <c r="F4" s="146">
        <v>37800</v>
      </c>
    </row>
    <row r="5" spans="1:15">
      <c r="B5" s="107" t="s">
        <v>6229</v>
      </c>
      <c r="C5" s="107" t="s">
        <v>3937</v>
      </c>
      <c r="E5" s="25" t="s">
        <v>6230</v>
      </c>
      <c r="F5" s="146">
        <v>27600</v>
      </c>
    </row>
    <row r="6" spans="1:15">
      <c r="B6" s="107" t="s">
        <v>6320</v>
      </c>
      <c r="C6" s="107" t="s">
        <v>4151</v>
      </c>
      <c r="E6" s="25" t="s">
        <v>6321</v>
      </c>
      <c r="F6" s="146">
        <v>26300</v>
      </c>
    </row>
    <row r="7" spans="1:15">
      <c r="B7" s="107" t="s">
        <v>6231</v>
      </c>
      <c r="E7" s="25" t="s">
        <v>6232</v>
      </c>
      <c r="F7" s="146">
        <v>26100</v>
      </c>
    </row>
    <row r="8" spans="1:15">
      <c r="B8" s="108" t="s">
        <v>3983</v>
      </c>
      <c r="D8" s="41"/>
      <c r="E8" s="41" t="s">
        <v>3982</v>
      </c>
      <c r="F8" s="132">
        <v>16700</v>
      </c>
      <c r="G8" s="109" t="s">
        <v>6316</v>
      </c>
      <c r="H8" s="108"/>
      <c r="I8" s="108"/>
      <c r="J8" s="108"/>
      <c r="K8" s="108"/>
      <c r="L8" s="108"/>
      <c r="M8" s="108"/>
      <c r="N8" s="108"/>
      <c r="O8" s="109"/>
    </row>
    <row r="9" spans="1:15">
      <c r="B9" s="107" t="s">
        <v>6019</v>
      </c>
      <c r="E9" s="25" t="s">
        <v>6018</v>
      </c>
      <c r="F9" s="146">
        <v>14900</v>
      </c>
      <c r="G9" s="107" t="s">
        <v>6020</v>
      </c>
    </row>
    <row r="10" spans="1:15">
      <c r="B10" s="107" t="s">
        <v>4078</v>
      </c>
      <c r="C10" s="107" t="s">
        <v>0</v>
      </c>
      <c r="E10" s="148" t="s">
        <v>4170</v>
      </c>
      <c r="F10" s="146">
        <v>15300</v>
      </c>
    </row>
    <row r="11" spans="1:15">
      <c r="B11" s="107" t="s">
        <v>6227</v>
      </c>
      <c r="E11" s="25" t="s">
        <v>6228</v>
      </c>
      <c r="F11" s="146">
        <v>12600</v>
      </c>
    </row>
    <row r="12" spans="1:15">
      <c r="B12" s="108" t="s">
        <v>3979</v>
      </c>
      <c r="D12" s="149"/>
      <c r="E12" s="149" t="s">
        <v>3978</v>
      </c>
      <c r="F12" s="132">
        <v>6700</v>
      </c>
      <c r="G12" s="133"/>
      <c r="H12" s="108"/>
      <c r="I12" s="108"/>
      <c r="J12" s="108"/>
      <c r="K12" s="108"/>
      <c r="L12" s="108"/>
      <c r="M12" s="108"/>
      <c r="N12" s="108"/>
      <c r="O12" s="109"/>
    </row>
    <row r="13" spans="1:15">
      <c r="B13" s="107" t="s">
        <v>6314</v>
      </c>
      <c r="E13" s="25" t="s">
        <v>6315</v>
      </c>
      <c r="F13" s="146">
        <v>5100</v>
      </c>
    </row>
    <row r="14" spans="1:15">
      <c r="B14" s="107" t="s">
        <v>6233</v>
      </c>
      <c r="E14" s="25" t="s">
        <v>6234</v>
      </c>
      <c r="F14" s="146">
        <v>5000</v>
      </c>
    </row>
    <row r="15" spans="1:15">
      <c r="B15" s="107" t="s">
        <v>6307</v>
      </c>
      <c r="E15" s="25" t="s">
        <v>6323</v>
      </c>
      <c r="F15" s="146">
        <v>4600</v>
      </c>
    </row>
    <row r="16" spans="1:15">
      <c r="B16" s="161" t="s">
        <v>6455</v>
      </c>
      <c r="E16" s="25" t="s">
        <v>6456</v>
      </c>
      <c r="F16" s="146">
        <v>2100</v>
      </c>
    </row>
    <row r="17" spans="1:15" ht="15">
      <c r="B17" s="107" t="s">
        <v>6308</v>
      </c>
      <c r="E17" s="25" t="s">
        <v>6324</v>
      </c>
      <c r="F17" s="146">
        <v>1900</v>
      </c>
      <c r="H17" s="44" t="s">
        <v>6460</v>
      </c>
    </row>
    <row r="18" spans="1:15">
      <c r="B18" s="107" t="s">
        <v>6318</v>
      </c>
      <c r="E18" s="25" t="s">
        <v>6317</v>
      </c>
      <c r="F18" s="146">
        <v>1200</v>
      </c>
    </row>
    <row r="19" spans="1:15">
      <c r="A19" s="108"/>
      <c r="B19" s="109" t="s">
        <v>6009</v>
      </c>
      <c r="D19" s="109" t="s">
        <v>3331</v>
      </c>
      <c r="E19" s="105" t="s">
        <v>6008</v>
      </c>
      <c r="F19" s="132">
        <v>967</v>
      </c>
      <c r="G19" s="133"/>
      <c r="H19" s="108"/>
      <c r="I19" s="108"/>
      <c r="J19" s="108"/>
      <c r="K19" s="108"/>
      <c r="L19" s="108"/>
      <c r="M19" s="108"/>
      <c r="N19" s="108"/>
      <c r="O19" s="109"/>
    </row>
    <row r="20" spans="1:15" ht="15">
      <c r="A20" s="108"/>
      <c r="B20" s="160" t="s">
        <v>6485</v>
      </c>
      <c r="D20" s="109"/>
      <c r="E20" s="162" t="s">
        <v>6484</v>
      </c>
      <c r="F20" s="132">
        <v>512</v>
      </c>
      <c r="G20" s="133"/>
      <c r="H20" s="108"/>
      <c r="I20" s="108"/>
      <c r="J20" s="108"/>
      <c r="K20" s="108"/>
      <c r="L20" s="108"/>
      <c r="M20" s="108"/>
      <c r="N20" s="108"/>
      <c r="O20" s="109"/>
    </row>
    <row r="21" spans="1:15">
      <c r="B21" s="107" t="s">
        <v>6013</v>
      </c>
      <c r="E21" s="25" t="s">
        <v>6014</v>
      </c>
      <c r="F21" s="146">
        <v>391</v>
      </c>
      <c r="H21" s="25" t="s">
        <v>6015</v>
      </c>
    </row>
    <row r="22" spans="1:15">
      <c r="B22" s="107" t="s">
        <v>6012</v>
      </c>
      <c r="C22" s="107" t="s">
        <v>3846</v>
      </c>
      <c r="E22" s="107" t="s">
        <v>6011</v>
      </c>
      <c r="F22" s="150" t="s">
        <v>1</v>
      </c>
    </row>
    <row r="23" spans="1:15">
      <c r="B23" s="107" t="s">
        <v>6241</v>
      </c>
      <c r="E23" s="25" t="s">
        <v>6240</v>
      </c>
    </row>
    <row r="24" spans="1:15">
      <c r="B24" s="107" t="s">
        <v>6306</v>
      </c>
      <c r="E24" s="25" t="s">
        <v>6305</v>
      </c>
    </row>
    <row r="25" spans="1:15">
      <c r="B25" s="108" t="s">
        <v>3987</v>
      </c>
      <c r="C25" s="108" t="s">
        <v>3986</v>
      </c>
      <c r="D25" s="108"/>
      <c r="E25" s="41" t="s">
        <v>3985</v>
      </c>
      <c r="F25" s="132"/>
      <c r="G25" s="133"/>
      <c r="H25" s="108"/>
      <c r="I25" s="108"/>
      <c r="J25" s="108"/>
      <c r="K25" s="108"/>
      <c r="L25" s="108"/>
      <c r="M25" s="108"/>
      <c r="N25" s="108"/>
      <c r="O25" s="109"/>
    </row>
    <row r="26" spans="1:15">
      <c r="B26" s="108" t="s">
        <v>3984</v>
      </c>
      <c r="C26" s="131"/>
      <c r="D26" s="131"/>
      <c r="E26" s="105" t="s">
        <v>6322</v>
      </c>
      <c r="F26" s="132"/>
      <c r="G26" s="133"/>
      <c r="H26" s="108"/>
      <c r="I26" s="108"/>
      <c r="J26" s="108"/>
      <c r="K26" s="108"/>
      <c r="L26" s="108"/>
      <c r="M26" s="108"/>
      <c r="N26" s="108"/>
      <c r="O26" s="109"/>
    </row>
    <row r="27" spans="1:15" ht="15">
      <c r="B27" s="107" t="s">
        <v>6309</v>
      </c>
      <c r="E27" s="25" t="s">
        <v>6325</v>
      </c>
      <c r="H27" s="44" t="s">
        <v>6433</v>
      </c>
    </row>
    <row r="28" spans="1:15">
      <c r="B28" s="107" t="s">
        <v>6312</v>
      </c>
      <c r="E28" s="25" t="s">
        <v>6313</v>
      </c>
    </row>
    <row r="29" spans="1:15">
      <c r="B29" s="108" t="s">
        <v>3981</v>
      </c>
      <c r="D29" s="41"/>
      <c r="E29" s="41" t="s">
        <v>3980</v>
      </c>
      <c r="F29" s="132"/>
      <c r="G29" s="133"/>
      <c r="H29" s="108"/>
      <c r="I29" s="108"/>
      <c r="J29" s="108"/>
      <c r="K29" s="108"/>
      <c r="L29" s="108"/>
      <c r="M29" s="108"/>
      <c r="N29" s="108"/>
      <c r="O29" s="109"/>
    </row>
    <row r="30" spans="1:15">
      <c r="B30" s="161" t="s">
        <v>6450</v>
      </c>
      <c r="E30" s="25" t="s">
        <v>6451</v>
      </c>
    </row>
    <row r="31" spans="1:15">
      <c r="B31" s="263" t="s">
        <v>7881</v>
      </c>
      <c r="E31" s="107" t="s">
        <v>7882</v>
      </c>
    </row>
    <row r="32" spans="1:15">
      <c r="B32" s="263" t="s">
        <v>7884</v>
      </c>
      <c r="E32" s="107" t="s">
        <v>7883</v>
      </c>
    </row>
    <row r="33" spans="2:2">
      <c r="B33" s="263" t="s">
        <v>7941</v>
      </c>
    </row>
  </sheetData>
  <hyperlinks>
    <hyperlink ref="E8" r:id="rId1" xr:uid="{10858B8D-B9B6-E747-90C5-F7D1854E7AA1}"/>
    <hyperlink ref="E25" r:id="rId2" xr:uid="{8DDB9069-F31A-4B44-BEE7-10A7487A4BC2}"/>
    <hyperlink ref="E29" r:id="rId3" xr:uid="{D0E2D237-FDAD-9440-B97E-AF3649197E9B}"/>
    <hyperlink ref="E12" r:id="rId4" xr:uid="{E7F216B1-B7DC-264F-AD7D-8F3045ABB9DF}"/>
    <hyperlink ref="A1" location="Main!A1" display="Main" xr:uid="{7A291161-CD29-417E-9B19-EDA1188D5DE8}"/>
    <hyperlink ref="E19" r:id="rId5" xr:uid="{23FB39DA-0E2B-46B8-AE5A-51D7515EDC06}"/>
    <hyperlink ref="E21" r:id="rId6" xr:uid="{A473BF36-F337-46E8-8C61-C652EA351AF9}"/>
    <hyperlink ref="H21" r:id="rId7" xr:uid="{35776FAE-9B23-4A0D-8AAB-E2A6A9D1B53F}"/>
    <hyperlink ref="E9" r:id="rId8" xr:uid="{2A9AA674-32C6-47DB-9B4D-B5D0CB96A051}"/>
    <hyperlink ref="E10" r:id="rId9" xr:uid="{D76F1574-5DEC-9C48-9696-2F8D04A8718B}"/>
    <hyperlink ref="E5" r:id="rId10" xr:uid="{87101C34-B40E-814B-BE9A-F73857734154}"/>
    <hyperlink ref="E7" r:id="rId11" xr:uid="{81A72A6A-041B-F745-AD5B-DBA2AEC5B664}"/>
    <hyperlink ref="E14" r:id="rId12" xr:uid="{14A08947-C1AF-B545-91C2-B852C7C4229C}"/>
    <hyperlink ref="E3" r:id="rId13" xr:uid="{7487E7B5-F8AF-5E4F-9945-0F4956733488}"/>
    <hyperlink ref="E4" r:id="rId14" xr:uid="{D27474A5-8128-C847-B62D-032306558394}"/>
    <hyperlink ref="E23" r:id="rId15" xr:uid="{FF80EFD0-733C-214A-9D62-D0D16A9C5EA8}"/>
    <hyperlink ref="E24" r:id="rId16" xr:uid="{466DBC55-63FC-3A47-8915-E5ECDFA03B7B}"/>
    <hyperlink ref="E28" r:id="rId17" xr:uid="{E835EBC6-BE22-B449-9864-FF17BAE324BB}"/>
    <hyperlink ref="E18" r:id="rId18" xr:uid="{570E5923-D6B4-854A-A66C-1D100F53C8EC}"/>
    <hyperlink ref="E13" r:id="rId19" xr:uid="{7F4E4257-CACC-F844-8BBF-9499501CC0E8}"/>
    <hyperlink ref="E11" r:id="rId20" xr:uid="{1411F4FD-AA88-5F45-BF58-50B7A3F16E34}"/>
    <hyperlink ref="E6" r:id="rId21" xr:uid="{BD65F4A6-50D8-F146-879A-76AAD2A94D5C}"/>
    <hyperlink ref="E26" r:id="rId22" xr:uid="{602D70C2-D493-7548-9F2B-7C85112320A6}"/>
    <hyperlink ref="E15" r:id="rId23" xr:uid="{5AB7200C-B154-B842-9518-6A37E8C099AB}"/>
    <hyperlink ref="E17" r:id="rId24" xr:uid="{F3120436-EE4C-8540-9CD4-1B2917C86785}"/>
    <hyperlink ref="E27" r:id="rId25" xr:uid="{1FD998A5-E52F-C84A-969E-B24C594731BA}"/>
    <hyperlink ref="H27" r:id="rId26" xr:uid="{18FF6B95-647B-004A-B737-31152C6DE11A}"/>
    <hyperlink ref="E30" r:id="rId27" xr:uid="{EB8796F3-4E5B-D04D-9F51-40C198FE902F}"/>
    <hyperlink ref="H17" r:id="rId28" xr:uid="{A5A38515-6805-B346-8830-F33140CCE006}"/>
    <hyperlink ref="E20" r:id="rId29" xr:uid="{626796AF-B095-DE40-8370-A7C8B1AD2E70}"/>
  </hyperlinks>
  <pageMargins left="0.7" right="0.7" top="0.75" bottom="0.75" header="0.3" footer="0.3"/>
  <pageSetup orientation="portrait" r:id="rId3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6EC1C8-C1FD-3448-80F3-7D6985BD9AD1}">
  <dimension ref="A1:Q134"/>
  <sheetViews>
    <sheetView zoomScale="140" zoomScaleNormal="140" workbookViewId="0">
      <pane xSplit="2" ySplit="2" topLeftCell="C3" activePane="bottomRight" state="frozen"/>
      <selection pane="topRight" activeCell="C1" sqref="C1"/>
      <selection pane="bottomLeft" activeCell="A3" sqref="A3"/>
      <selection pane="bottomRight"/>
    </sheetView>
  </sheetViews>
  <sheetFormatPr baseColWidth="10" defaultColWidth="10.83203125" defaultRowHeight="13"/>
  <cols>
    <col min="1" max="1" width="4.83203125" style="45" bestFit="1" customWidth="1"/>
    <col min="2" max="2" width="18.33203125" style="45" customWidth="1"/>
    <col min="3" max="3" width="19" style="45" customWidth="1"/>
    <col min="4" max="9" width="10.83203125" style="45"/>
    <col min="10" max="12" width="10.83203125" style="202"/>
    <col min="13" max="16384" width="10.83203125" style="45"/>
  </cols>
  <sheetData>
    <row r="1" spans="1:17">
      <c r="A1" s="25" t="s">
        <v>1165</v>
      </c>
      <c r="N1" s="45">
        <f>COUNTIF(N3:N42,"White")</f>
        <v>30</v>
      </c>
    </row>
    <row r="2" spans="1:17">
      <c r="A2" s="25"/>
      <c r="B2" s="209" t="s">
        <v>3977</v>
      </c>
      <c r="C2" s="209" t="s">
        <v>6130</v>
      </c>
      <c r="D2" s="210" t="s">
        <v>5668</v>
      </c>
      <c r="E2" s="199" t="s">
        <v>4630</v>
      </c>
      <c r="F2" s="236" t="s">
        <v>7353</v>
      </c>
      <c r="G2" s="199" t="s">
        <v>1150</v>
      </c>
      <c r="H2" s="199" t="s">
        <v>5887</v>
      </c>
      <c r="I2" s="199" t="s">
        <v>5668</v>
      </c>
      <c r="J2" s="203" t="s">
        <v>7074</v>
      </c>
      <c r="K2" s="203" t="s">
        <v>7075</v>
      </c>
      <c r="L2" s="203" t="s">
        <v>7082</v>
      </c>
      <c r="M2" s="230" t="s">
        <v>7346</v>
      </c>
      <c r="N2" s="230" t="s">
        <v>7347</v>
      </c>
      <c r="O2" s="236" t="s">
        <v>7351</v>
      </c>
      <c r="P2" s="236" t="s">
        <v>5887</v>
      </c>
      <c r="Q2" s="236" t="s">
        <v>5668</v>
      </c>
    </row>
    <row r="3" spans="1:17">
      <c r="A3" s="25"/>
      <c r="B3" s="175" t="s">
        <v>7080</v>
      </c>
      <c r="C3" s="90" t="s">
        <v>5301</v>
      </c>
      <c r="D3" s="40">
        <v>702026</v>
      </c>
      <c r="E3" s="236" t="s">
        <v>7352</v>
      </c>
      <c r="F3" s="236" t="s">
        <v>7354</v>
      </c>
      <c r="G3" s="199"/>
      <c r="H3" s="236" t="s">
        <v>7355</v>
      </c>
      <c r="I3" s="45">
        <v>69038</v>
      </c>
      <c r="J3" s="202">
        <v>1947</v>
      </c>
      <c r="K3" s="250" t="s">
        <v>7140</v>
      </c>
      <c r="L3" s="202">
        <f t="shared" ref="L3:L15" si="0">2023-J3</f>
        <v>76</v>
      </c>
      <c r="M3" s="236" t="s">
        <v>7448</v>
      </c>
      <c r="N3" s="230" t="s">
        <v>7348</v>
      </c>
      <c r="O3" s="25" t="s">
        <v>7350</v>
      </c>
    </row>
    <row r="4" spans="1:17">
      <c r="B4" s="47" t="s">
        <v>4478</v>
      </c>
      <c r="C4" s="90" t="s">
        <v>5922</v>
      </c>
      <c r="D4" s="40">
        <v>692997</v>
      </c>
      <c r="F4" s="236" t="s">
        <v>7356</v>
      </c>
      <c r="H4" s="236" t="s">
        <v>7355</v>
      </c>
      <c r="I4" s="45">
        <v>69038</v>
      </c>
      <c r="J4" s="202">
        <v>1964</v>
      </c>
      <c r="K4" s="250" t="s">
        <v>7140</v>
      </c>
      <c r="L4" s="202">
        <f t="shared" si="0"/>
        <v>59</v>
      </c>
      <c r="M4" s="236" t="s">
        <v>7448</v>
      </c>
      <c r="N4" s="230" t="s">
        <v>7348</v>
      </c>
    </row>
    <row r="5" spans="1:17">
      <c r="B5" s="205" t="s">
        <v>7171</v>
      </c>
      <c r="C5" s="90"/>
      <c r="D5" s="40">
        <v>473125</v>
      </c>
      <c r="F5" s="236" t="s">
        <v>4151</v>
      </c>
      <c r="M5" s="236" t="s">
        <v>7448</v>
      </c>
      <c r="N5" s="230" t="s">
        <v>7348</v>
      </c>
    </row>
    <row r="6" spans="1:17">
      <c r="B6" s="40" t="s">
        <v>4102</v>
      </c>
      <c r="C6" s="175" t="s">
        <v>7081</v>
      </c>
      <c r="D6" s="45">
        <v>426529</v>
      </c>
      <c r="E6" s="41" t="s">
        <v>4101</v>
      </c>
      <c r="F6" s="236" t="s">
        <v>0</v>
      </c>
      <c r="J6" s="202">
        <v>1985</v>
      </c>
      <c r="K6" s="250" t="s">
        <v>7140</v>
      </c>
      <c r="L6" s="202">
        <f t="shared" si="0"/>
        <v>38</v>
      </c>
      <c r="M6" s="236" t="s">
        <v>7448</v>
      </c>
      <c r="N6" s="230" t="s">
        <v>7348</v>
      </c>
    </row>
    <row r="7" spans="1:17">
      <c r="A7" s="25"/>
      <c r="B7" s="40" t="s">
        <v>4132</v>
      </c>
      <c r="C7" s="90" t="s">
        <v>5310</v>
      </c>
      <c r="D7" s="199">
        <v>317756</v>
      </c>
      <c r="E7" s="199"/>
      <c r="F7" s="236" t="s">
        <v>782</v>
      </c>
      <c r="G7" s="199"/>
      <c r="H7" s="236" t="s">
        <v>7355</v>
      </c>
      <c r="I7" s="45">
        <v>69038</v>
      </c>
      <c r="J7" s="202">
        <v>1960</v>
      </c>
      <c r="K7" s="250" t="s">
        <v>7140</v>
      </c>
      <c r="L7" s="202">
        <f t="shared" si="0"/>
        <v>63</v>
      </c>
      <c r="M7" s="236" t="s">
        <v>7448</v>
      </c>
      <c r="N7" s="230" t="s">
        <v>7349</v>
      </c>
    </row>
    <row r="8" spans="1:17">
      <c r="B8" s="40" t="s">
        <v>3960</v>
      </c>
      <c r="C8" s="40" t="s">
        <v>4148</v>
      </c>
      <c r="D8" s="40">
        <v>262714</v>
      </c>
      <c r="F8" s="236" t="s">
        <v>3846</v>
      </c>
      <c r="J8" s="202">
        <v>1968</v>
      </c>
      <c r="K8" s="250" t="s">
        <v>7140</v>
      </c>
      <c r="L8" s="202">
        <f t="shared" si="0"/>
        <v>55</v>
      </c>
      <c r="M8" s="236" t="s">
        <v>7448</v>
      </c>
      <c r="N8" s="230" t="s">
        <v>7348</v>
      </c>
    </row>
    <row r="9" spans="1:17">
      <c r="B9" s="47" t="s">
        <v>4495</v>
      </c>
      <c r="C9" s="175" t="s">
        <v>7083</v>
      </c>
      <c r="D9" s="40">
        <v>255632</v>
      </c>
      <c r="F9" s="236" t="s">
        <v>3846</v>
      </c>
      <c r="J9" s="202">
        <v>1987</v>
      </c>
      <c r="K9" s="250" t="s">
        <v>7140</v>
      </c>
      <c r="L9" s="202">
        <f t="shared" si="0"/>
        <v>36</v>
      </c>
      <c r="M9" s="236" t="s">
        <v>7448</v>
      </c>
      <c r="N9" s="230" t="s">
        <v>7348</v>
      </c>
    </row>
    <row r="10" spans="1:17">
      <c r="B10" s="40" t="s">
        <v>3309</v>
      </c>
      <c r="C10" s="47" t="s">
        <v>4477</v>
      </c>
      <c r="D10" s="40">
        <v>235603</v>
      </c>
      <c r="F10" s="236" t="s">
        <v>313</v>
      </c>
      <c r="J10" s="202">
        <v>1976</v>
      </c>
      <c r="K10" s="250" t="s">
        <v>7140</v>
      </c>
      <c r="L10" s="202">
        <f t="shared" si="0"/>
        <v>47</v>
      </c>
      <c r="M10" s="236" t="s">
        <v>7448</v>
      </c>
      <c r="N10" s="230" t="s">
        <v>7349</v>
      </c>
    </row>
    <row r="11" spans="1:17">
      <c r="B11" s="40" t="s">
        <v>4135</v>
      </c>
      <c r="C11" s="390" t="s">
        <v>9665</v>
      </c>
      <c r="D11" s="40">
        <v>234531</v>
      </c>
      <c r="F11" s="236" t="s">
        <v>1</v>
      </c>
      <c r="J11" s="202">
        <v>1987</v>
      </c>
      <c r="K11" s="250" t="s">
        <v>7140</v>
      </c>
      <c r="L11" s="202">
        <f t="shared" si="0"/>
        <v>36</v>
      </c>
      <c r="M11" s="236" t="s">
        <v>7448</v>
      </c>
      <c r="N11" s="230" t="s">
        <v>7348</v>
      </c>
    </row>
    <row r="12" spans="1:17">
      <c r="B12" s="47" t="s">
        <v>4496</v>
      </c>
      <c r="C12" s="40"/>
      <c r="D12" s="40">
        <v>222313</v>
      </c>
      <c r="F12" s="236" t="s">
        <v>3846</v>
      </c>
      <c r="J12" s="202">
        <v>1983</v>
      </c>
      <c r="K12" s="250" t="s">
        <v>7140</v>
      </c>
      <c r="L12" s="202">
        <f>2023-J12</f>
        <v>40</v>
      </c>
      <c r="M12" s="236" t="s">
        <v>7448</v>
      </c>
      <c r="N12" s="230" t="s">
        <v>7348</v>
      </c>
    </row>
    <row r="13" spans="1:17">
      <c r="B13" s="232" t="s">
        <v>7344</v>
      </c>
      <c r="C13" s="40"/>
      <c r="D13" s="40">
        <v>217498</v>
      </c>
      <c r="F13" s="236" t="s">
        <v>4151</v>
      </c>
      <c r="K13" s="250" t="s">
        <v>7140</v>
      </c>
      <c r="M13" s="230" t="s">
        <v>7345</v>
      </c>
      <c r="N13" s="230" t="s">
        <v>7349</v>
      </c>
    </row>
    <row r="14" spans="1:17">
      <c r="B14" s="205" t="s">
        <v>7148</v>
      </c>
      <c r="C14" s="40"/>
      <c r="D14" s="40">
        <v>211018</v>
      </c>
      <c r="F14" s="236" t="s">
        <v>7356</v>
      </c>
      <c r="K14" s="250" t="s">
        <v>7140</v>
      </c>
      <c r="M14" s="236" t="s">
        <v>7448</v>
      </c>
      <c r="N14" s="230" t="s">
        <v>7348</v>
      </c>
    </row>
    <row r="15" spans="1:17">
      <c r="B15" s="47" t="s">
        <v>4476</v>
      </c>
      <c r="C15" s="175" t="s">
        <v>3846</v>
      </c>
      <c r="D15" s="40">
        <v>196079</v>
      </c>
      <c r="F15" s="236" t="s">
        <v>3846</v>
      </c>
      <c r="J15" s="202">
        <v>1982</v>
      </c>
      <c r="K15" s="250" t="s">
        <v>7140</v>
      </c>
      <c r="L15" s="202">
        <f t="shared" si="0"/>
        <v>41</v>
      </c>
      <c r="M15" s="236" t="s">
        <v>7448</v>
      </c>
      <c r="N15" s="230" t="s">
        <v>7349</v>
      </c>
    </row>
    <row r="16" spans="1:17" s="199" customFormat="1">
      <c r="B16" s="175" t="s">
        <v>4162</v>
      </c>
      <c r="C16" s="175" t="s">
        <v>4161</v>
      </c>
      <c r="D16" s="175">
        <v>190212</v>
      </c>
      <c r="E16" s="186" t="s">
        <v>7084</v>
      </c>
      <c r="F16" s="236" t="s">
        <v>7354</v>
      </c>
      <c r="J16" s="203"/>
      <c r="K16" s="250" t="s">
        <v>7140</v>
      </c>
      <c r="L16" s="203"/>
      <c r="M16" s="236" t="s">
        <v>7448</v>
      </c>
      <c r="N16" s="230" t="s">
        <v>7349</v>
      </c>
    </row>
    <row r="17" spans="2:14" s="199" customFormat="1">
      <c r="B17" s="205" t="s">
        <v>7165</v>
      </c>
      <c r="C17" s="175"/>
      <c r="D17" s="175">
        <v>167886</v>
      </c>
      <c r="E17" s="186"/>
      <c r="F17" s="186"/>
      <c r="J17" s="203"/>
      <c r="K17" s="250" t="s">
        <v>7140</v>
      </c>
      <c r="L17" s="203"/>
      <c r="M17" s="236" t="s">
        <v>7448</v>
      </c>
      <c r="N17" s="230" t="s">
        <v>7348</v>
      </c>
    </row>
    <row r="18" spans="2:14">
      <c r="B18" s="47" t="s">
        <v>4504</v>
      </c>
      <c r="C18" s="175" t="s">
        <v>4109</v>
      </c>
      <c r="D18" s="40">
        <v>157591</v>
      </c>
      <c r="J18" s="202">
        <v>1976</v>
      </c>
      <c r="L18" s="202">
        <f t="shared" ref="L18:L25" si="1">2023-J18</f>
        <v>47</v>
      </c>
      <c r="M18" s="236" t="s">
        <v>7448</v>
      </c>
      <c r="N18" s="230" t="s">
        <v>7348</v>
      </c>
    </row>
    <row r="19" spans="2:14">
      <c r="B19" s="47" t="s">
        <v>4475</v>
      </c>
      <c r="C19" s="40"/>
      <c r="D19" s="40">
        <v>155108</v>
      </c>
      <c r="J19" s="202">
        <v>1983</v>
      </c>
      <c r="L19" s="202">
        <f t="shared" si="1"/>
        <v>40</v>
      </c>
      <c r="M19" s="236" t="s">
        <v>7448</v>
      </c>
      <c r="N19" s="230" t="s">
        <v>7348</v>
      </c>
    </row>
    <row r="20" spans="2:14">
      <c r="B20" s="205" t="s">
        <v>7156</v>
      </c>
      <c r="C20" s="40"/>
      <c r="D20" s="40">
        <v>147441</v>
      </c>
      <c r="M20" s="236" t="s">
        <v>7448</v>
      </c>
      <c r="N20" s="230" t="s">
        <v>7348</v>
      </c>
    </row>
    <row r="21" spans="2:14">
      <c r="B21" s="47" t="s">
        <v>4501</v>
      </c>
      <c r="C21" s="40"/>
      <c r="D21" s="40">
        <v>132955</v>
      </c>
      <c r="J21" s="202">
        <v>1936</v>
      </c>
      <c r="L21" s="202">
        <f t="shared" si="1"/>
        <v>87</v>
      </c>
      <c r="M21" s="236" t="s">
        <v>7448</v>
      </c>
      <c r="N21" s="230" t="s">
        <v>7348</v>
      </c>
    </row>
    <row r="22" spans="2:14">
      <c r="B22" s="205" t="s">
        <v>7149</v>
      </c>
      <c r="C22" s="40"/>
      <c r="D22" s="40">
        <v>129917</v>
      </c>
      <c r="M22" s="236" t="s">
        <v>7448</v>
      </c>
      <c r="N22" s="230" t="s">
        <v>7349</v>
      </c>
    </row>
    <row r="23" spans="2:14">
      <c r="B23" s="47" t="s">
        <v>4471</v>
      </c>
      <c r="C23" s="47" t="s">
        <v>4472</v>
      </c>
      <c r="D23" s="40">
        <v>119862</v>
      </c>
      <c r="J23" s="202">
        <v>1977</v>
      </c>
      <c r="L23" s="202">
        <f t="shared" si="1"/>
        <v>46</v>
      </c>
      <c r="M23" s="236" t="s">
        <v>7448</v>
      </c>
      <c r="N23" s="230" t="s">
        <v>7348</v>
      </c>
    </row>
    <row r="24" spans="2:14">
      <c r="B24" s="40" t="s">
        <v>3653</v>
      </c>
      <c r="C24" s="40" t="s">
        <v>4105</v>
      </c>
      <c r="D24" s="40">
        <v>117540</v>
      </c>
      <c r="F24" s="236" t="s">
        <v>935</v>
      </c>
      <c r="J24" s="202">
        <v>1976</v>
      </c>
      <c r="L24" s="202">
        <f t="shared" si="1"/>
        <v>47</v>
      </c>
      <c r="M24" s="236" t="s">
        <v>7448</v>
      </c>
      <c r="N24" s="230" t="s">
        <v>7348</v>
      </c>
    </row>
    <row r="25" spans="2:14">
      <c r="B25" s="47" t="s">
        <v>4484</v>
      </c>
      <c r="C25" s="175" t="s">
        <v>7069</v>
      </c>
      <c r="D25" s="40">
        <v>107284</v>
      </c>
      <c r="H25" s="199" t="s">
        <v>7072</v>
      </c>
      <c r="I25" s="45">
        <v>55931</v>
      </c>
      <c r="J25" s="202">
        <v>1962</v>
      </c>
      <c r="L25" s="202">
        <f t="shared" si="1"/>
        <v>61</v>
      </c>
      <c r="M25" s="236" t="s">
        <v>7448</v>
      </c>
      <c r="N25" s="230" t="s">
        <v>7348</v>
      </c>
    </row>
    <row r="26" spans="2:14">
      <c r="B26" s="40" t="s">
        <v>4095</v>
      </c>
      <c r="C26" s="40" t="s">
        <v>4094</v>
      </c>
      <c r="D26" s="40">
        <v>103571</v>
      </c>
      <c r="M26" s="236" t="s">
        <v>7448</v>
      </c>
      <c r="N26" s="230" t="s">
        <v>7349</v>
      </c>
    </row>
    <row r="27" spans="2:14">
      <c r="B27" s="40" t="s">
        <v>4114</v>
      </c>
      <c r="C27" s="40" t="s">
        <v>4113</v>
      </c>
      <c r="D27" s="40">
        <v>98374</v>
      </c>
      <c r="M27" s="230" t="s">
        <v>7345</v>
      </c>
      <c r="N27" s="230" t="s">
        <v>7349</v>
      </c>
    </row>
    <row r="28" spans="2:14">
      <c r="B28" s="205" t="s">
        <v>7154</v>
      </c>
      <c r="C28" s="40"/>
      <c r="D28" s="40">
        <v>95181</v>
      </c>
      <c r="N28" s="230" t="s">
        <v>7349</v>
      </c>
    </row>
    <row r="29" spans="2:14">
      <c r="B29" s="205" t="s">
        <v>7153</v>
      </c>
      <c r="C29" s="40"/>
      <c r="D29" s="40">
        <v>86363</v>
      </c>
      <c r="M29" s="236" t="s">
        <v>7448</v>
      </c>
      <c r="N29" s="230" t="s">
        <v>7348</v>
      </c>
    </row>
    <row r="30" spans="2:14">
      <c r="B30" s="175" t="s">
        <v>5363</v>
      </c>
      <c r="C30" s="199" t="s">
        <v>3846</v>
      </c>
      <c r="D30" s="40">
        <f>674+1377+76608+1550+319+389+424+218+386</f>
        <v>81945</v>
      </c>
      <c r="M30" s="236" t="s">
        <v>7448</v>
      </c>
      <c r="N30" s="230" t="s">
        <v>7348</v>
      </c>
    </row>
    <row r="31" spans="2:14">
      <c r="B31" s="205" t="s">
        <v>7170</v>
      </c>
      <c r="C31" s="199"/>
      <c r="D31" s="40">
        <v>81847</v>
      </c>
      <c r="M31" s="236" t="s">
        <v>7448</v>
      </c>
      <c r="N31" s="230" t="s">
        <v>7348</v>
      </c>
    </row>
    <row r="32" spans="2:14">
      <c r="B32" s="205" t="s">
        <v>7161</v>
      </c>
      <c r="C32" s="199"/>
      <c r="D32" s="40">
        <v>75058</v>
      </c>
      <c r="N32" s="230" t="s">
        <v>7349</v>
      </c>
    </row>
    <row r="33" spans="2:14">
      <c r="B33" s="47" t="s">
        <v>4485</v>
      </c>
      <c r="C33" s="175" t="s">
        <v>7070</v>
      </c>
      <c r="D33" s="40">
        <v>73827</v>
      </c>
      <c r="H33" s="199" t="s">
        <v>7072</v>
      </c>
      <c r="I33" s="45">
        <v>55931</v>
      </c>
      <c r="J33" s="202">
        <v>1956</v>
      </c>
      <c r="L33" s="202">
        <f>2023-J33</f>
        <v>67</v>
      </c>
      <c r="M33" s="236" t="s">
        <v>7448</v>
      </c>
      <c r="N33" s="230" t="s">
        <v>7348</v>
      </c>
    </row>
    <row r="34" spans="2:14">
      <c r="B34" s="205" t="s">
        <v>7152</v>
      </c>
      <c r="C34" s="175"/>
      <c r="D34" s="40">
        <v>73782</v>
      </c>
      <c r="H34" s="199"/>
      <c r="M34" s="236" t="s">
        <v>7448</v>
      </c>
      <c r="N34" s="230" t="s">
        <v>7348</v>
      </c>
    </row>
    <row r="35" spans="2:14">
      <c r="B35" s="47" t="s">
        <v>4606</v>
      </c>
      <c r="C35" s="47" t="s">
        <v>4607</v>
      </c>
      <c r="D35" s="45">
        <v>72983</v>
      </c>
      <c r="G35" s="25" t="s">
        <v>4608</v>
      </c>
      <c r="H35" s="25" t="s">
        <v>4639</v>
      </c>
      <c r="M35" s="236" t="s">
        <v>7448</v>
      </c>
      <c r="N35" s="230" t="s">
        <v>7348</v>
      </c>
    </row>
    <row r="36" spans="2:14">
      <c r="B36" s="205" t="s">
        <v>7163</v>
      </c>
      <c r="C36" s="47"/>
      <c r="D36" s="45">
        <v>72503</v>
      </c>
      <c r="G36" s="25"/>
      <c r="H36" s="25"/>
      <c r="M36" s="236" t="s">
        <v>7448</v>
      </c>
      <c r="N36" s="230" t="s">
        <v>7348</v>
      </c>
    </row>
    <row r="37" spans="2:14">
      <c r="B37" s="205" t="s">
        <v>7155</v>
      </c>
      <c r="C37" s="47"/>
      <c r="D37" s="45">
        <v>71761</v>
      </c>
      <c r="G37" s="25"/>
      <c r="H37" s="25"/>
      <c r="M37" s="236" t="s">
        <v>7448</v>
      </c>
      <c r="N37" s="230" t="s">
        <v>7348</v>
      </c>
    </row>
    <row r="38" spans="2:14">
      <c r="B38" s="205" t="s">
        <v>7172</v>
      </c>
      <c r="C38" s="47"/>
      <c r="D38" s="45">
        <v>71469</v>
      </c>
      <c r="G38" s="25"/>
      <c r="H38" s="25"/>
      <c r="M38" s="236" t="s">
        <v>7448</v>
      </c>
      <c r="N38" s="230" t="s">
        <v>7348</v>
      </c>
    </row>
    <row r="39" spans="2:14">
      <c r="B39" s="205" t="s">
        <v>7162</v>
      </c>
      <c r="C39" s="47"/>
      <c r="D39" s="45">
        <v>66608</v>
      </c>
      <c r="G39" s="25"/>
      <c r="H39" s="25"/>
      <c r="M39" s="236" t="s">
        <v>7448</v>
      </c>
      <c r="N39" s="230" t="s">
        <v>7348</v>
      </c>
    </row>
    <row r="40" spans="2:14">
      <c r="B40" s="205" t="s">
        <v>7150</v>
      </c>
      <c r="C40" s="47"/>
      <c r="D40" s="45">
        <v>62262</v>
      </c>
      <c r="G40" s="25"/>
      <c r="H40" s="25"/>
      <c r="M40" s="236" t="s">
        <v>7448</v>
      </c>
      <c r="N40" s="230" t="s">
        <v>7348</v>
      </c>
    </row>
    <row r="41" spans="2:14">
      <c r="B41" s="205" t="s">
        <v>7151</v>
      </c>
      <c r="C41" s="47"/>
      <c r="D41" s="45">
        <v>61790</v>
      </c>
      <c r="G41" s="25"/>
      <c r="H41" s="25"/>
      <c r="M41" s="236" t="s">
        <v>7448</v>
      </c>
      <c r="N41" s="230" t="s">
        <v>7348</v>
      </c>
    </row>
    <row r="42" spans="2:14">
      <c r="B42" s="205" t="s">
        <v>4468</v>
      </c>
      <c r="C42" s="205" t="s">
        <v>0</v>
      </c>
      <c r="D42" s="40">
        <v>60529</v>
      </c>
      <c r="M42" s="236" t="s">
        <v>7448</v>
      </c>
      <c r="N42" s="230" t="s">
        <v>7348</v>
      </c>
    </row>
    <row r="43" spans="2:14">
      <c r="B43" s="47" t="s">
        <v>4473</v>
      </c>
      <c r="C43" s="47" t="s">
        <v>4474</v>
      </c>
      <c r="D43" s="40">
        <v>58730</v>
      </c>
      <c r="M43" s="236" t="s">
        <v>7448</v>
      </c>
      <c r="N43" s="45">
        <f>COUNTIF(N3:N42,"Asian")</f>
        <v>10</v>
      </c>
    </row>
    <row r="44" spans="2:14">
      <c r="B44" s="205" t="s">
        <v>7167</v>
      </c>
      <c r="C44" s="47"/>
      <c r="D44" s="40">
        <v>51501</v>
      </c>
    </row>
    <row r="45" spans="2:14">
      <c r="B45" s="90" t="s">
        <v>5304</v>
      </c>
      <c r="C45" s="90" t="s">
        <v>5303</v>
      </c>
      <c r="D45" s="40">
        <f>9980+34759+5187+868</f>
        <v>50794</v>
      </c>
      <c r="M45" s="236" t="s">
        <v>7448</v>
      </c>
    </row>
    <row r="46" spans="2:14">
      <c r="B46" s="205" t="s">
        <v>7159</v>
      </c>
      <c r="C46" s="90"/>
      <c r="D46" s="40">
        <v>48747</v>
      </c>
    </row>
    <row r="47" spans="2:14">
      <c r="B47" s="205" t="s">
        <v>7157</v>
      </c>
      <c r="C47" s="90"/>
      <c r="D47" s="40">
        <v>47203</v>
      </c>
      <c r="M47" s="236" t="s">
        <v>7448</v>
      </c>
    </row>
    <row r="48" spans="2:14">
      <c r="B48" s="205" t="s">
        <v>7168</v>
      </c>
      <c r="C48" s="90"/>
      <c r="D48" s="40">
        <v>47115</v>
      </c>
    </row>
    <row r="49" spans="2:13">
      <c r="B49" s="205" t="s">
        <v>7166</v>
      </c>
      <c r="C49" s="90"/>
      <c r="D49" s="40">
        <v>45997</v>
      </c>
      <c r="M49" s="236" t="s">
        <v>7448</v>
      </c>
    </row>
    <row r="50" spans="2:13">
      <c r="B50" s="47" t="s">
        <v>4498</v>
      </c>
      <c r="C50" s="40"/>
      <c r="D50" s="40">
        <v>42720</v>
      </c>
      <c r="M50" s="236" t="s">
        <v>7448</v>
      </c>
    </row>
    <row r="51" spans="2:13">
      <c r="B51" s="205" t="s">
        <v>7164</v>
      </c>
      <c r="C51" s="40"/>
      <c r="D51" s="40">
        <v>39933</v>
      </c>
    </row>
    <row r="52" spans="2:13">
      <c r="B52" s="245" t="s">
        <v>4966</v>
      </c>
      <c r="C52" s="40"/>
      <c r="D52" s="40">
        <v>34494</v>
      </c>
      <c r="F52" s="236" t="s">
        <v>3846</v>
      </c>
      <c r="H52" s="236" t="s">
        <v>5193</v>
      </c>
      <c r="I52" s="45">
        <v>7059</v>
      </c>
    </row>
    <row r="53" spans="2:13">
      <c r="B53" s="90" t="s">
        <v>5302</v>
      </c>
      <c r="C53" s="90" t="s">
        <v>5303</v>
      </c>
      <c r="D53" s="40">
        <v>31800</v>
      </c>
      <c r="M53" s="236" t="s">
        <v>7448</v>
      </c>
    </row>
    <row r="54" spans="2:13">
      <c r="B54" s="205" t="s">
        <v>7160</v>
      </c>
      <c r="C54" s="90"/>
      <c r="D54" s="40">
        <v>31622</v>
      </c>
      <c r="M54" s="236" t="s">
        <v>7448</v>
      </c>
    </row>
    <row r="55" spans="2:13">
      <c r="B55" s="205" t="s">
        <v>7142</v>
      </c>
      <c r="C55" s="175"/>
      <c r="D55" s="40">
        <v>26925</v>
      </c>
    </row>
    <row r="56" spans="2:13">
      <c r="B56" s="205" t="s">
        <v>7144</v>
      </c>
      <c r="C56" s="175"/>
      <c r="D56" s="40">
        <v>26850</v>
      </c>
    </row>
    <row r="57" spans="2:13">
      <c r="B57" s="47" t="s">
        <v>4503</v>
      </c>
      <c r="C57" s="90" t="s">
        <v>5923</v>
      </c>
      <c r="D57" s="40">
        <v>26207</v>
      </c>
    </row>
    <row r="58" spans="2:13">
      <c r="B58" s="205" t="s">
        <v>4719</v>
      </c>
      <c r="C58" s="90"/>
      <c r="D58" s="40">
        <v>20087</v>
      </c>
    </row>
    <row r="59" spans="2:13">
      <c r="B59" s="47" t="s">
        <v>4481</v>
      </c>
      <c r="C59" s="175" t="s">
        <v>4109</v>
      </c>
      <c r="D59" s="40">
        <v>16620</v>
      </c>
      <c r="J59" s="202">
        <v>1976</v>
      </c>
      <c r="L59" s="202">
        <v>47</v>
      </c>
    </row>
    <row r="60" spans="2:13">
      <c r="B60" s="205" t="s">
        <v>7173</v>
      </c>
      <c r="C60" s="175"/>
      <c r="D60" s="40">
        <v>16054</v>
      </c>
    </row>
    <row r="61" spans="2:13">
      <c r="B61" s="40" t="s">
        <v>4272</v>
      </c>
      <c r="C61" s="40" t="s">
        <v>4273</v>
      </c>
      <c r="D61" s="40">
        <v>14426</v>
      </c>
      <c r="J61" s="202">
        <v>1984</v>
      </c>
      <c r="L61" s="202">
        <v>39</v>
      </c>
    </row>
    <row r="62" spans="2:13">
      <c r="B62" s="205" t="s">
        <v>7130</v>
      </c>
      <c r="C62" s="90"/>
      <c r="D62" s="40">
        <f>4400+1269+1103+6196</f>
        <v>12968</v>
      </c>
    </row>
    <row r="63" spans="2:13">
      <c r="B63" s="205" t="s">
        <v>7145</v>
      </c>
      <c r="C63" s="205" t="s">
        <v>7146</v>
      </c>
      <c r="D63" s="205">
        <v>11601</v>
      </c>
    </row>
    <row r="64" spans="2:13">
      <c r="B64" s="205" t="s">
        <v>4493</v>
      </c>
      <c r="C64" s="90"/>
      <c r="D64" s="40">
        <f>5861+1341+425</f>
        <v>7627</v>
      </c>
    </row>
    <row r="65" spans="1:12">
      <c r="B65" s="48" t="s">
        <v>4480</v>
      </c>
      <c r="C65" s="220" t="s">
        <v>7321</v>
      </c>
      <c r="D65" s="45">
        <v>9864</v>
      </c>
      <c r="J65" s="202">
        <v>1959</v>
      </c>
      <c r="L65" s="202">
        <v>64</v>
      </c>
    </row>
    <row r="66" spans="1:12">
      <c r="B66" s="206" t="s">
        <v>7169</v>
      </c>
      <c r="D66" s="45">
        <v>9509</v>
      </c>
    </row>
    <row r="67" spans="1:12">
      <c r="B67" s="40" t="s">
        <v>3650</v>
      </c>
      <c r="C67" s="40" t="s">
        <v>4130</v>
      </c>
      <c r="D67" s="40">
        <v>9350</v>
      </c>
    </row>
    <row r="68" spans="1:12">
      <c r="B68" s="205" t="s">
        <v>7174</v>
      </c>
      <c r="C68" s="40"/>
      <c r="D68" s="40">
        <v>8963</v>
      </c>
    </row>
    <row r="69" spans="1:12">
      <c r="B69" s="43" t="s">
        <v>4499</v>
      </c>
      <c r="C69" s="43" t="s">
        <v>5652</v>
      </c>
      <c r="D69" s="43">
        <f>333+1326+1429+1757+501+653+935+512</f>
        <v>7446</v>
      </c>
    </row>
    <row r="70" spans="1:12">
      <c r="B70" s="205" t="s">
        <v>7147</v>
      </c>
      <c r="C70" s="90"/>
      <c r="D70" s="90">
        <v>5786</v>
      </c>
    </row>
    <row r="71" spans="1:12">
      <c r="B71" s="205" t="s">
        <v>7143</v>
      </c>
      <c r="C71" s="90"/>
      <c r="D71" s="40">
        <v>5373</v>
      </c>
    </row>
    <row r="72" spans="1:12">
      <c r="B72" s="205" t="s">
        <v>7158</v>
      </c>
      <c r="C72" s="90"/>
      <c r="D72" s="40">
        <v>5085</v>
      </c>
    </row>
    <row r="73" spans="1:12">
      <c r="B73" s="47" t="s">
        <v>4502</v>
      </c>
      <c r="C73" s="175" t="s">
        <v>7037</v>
      </c>
      <c r="D73" s="40">
        <v>3028</v>
      </c>
    </row>
    <row r="74" spans="1:12">
      <c r="B74" s="47" t="s">
        <v>4483</v>
      </c>
      <c r="C74" s="40"/>
      <c r="D74" s="40">
        <v>1823</v>
      </c>
    </row>
    <row r="75" spans="1:12">
      <c r="B75" s="40" t="s">
        <v>4158</v>
      </c>
      <c r="C75" s="40" t="s">
        <v>4157</v>
      </c>
      <c r="D75" s="40">
        <v>1177</v>
      </c>
    </row>
    <row r="76" spans="1:12">
      <c r="B76" s="40" t="s">
        <v>4120</v>
      </c>
      <c r="C76" s="40" t="s">
        <v>4117</v>
      </c>
      <c r="D76" s="40">
        <v>306</v>
      </c>
    </row>
    <row r="77" spans="1:12">
      <c r="B77" s="40" t="s">
        <v>4154</v>
      </c>
      <c r="C77" s="40" t="s">
        <v>4153</v>
      </c>
      <c r="D77" s="40">
        <f>8+6+1+3</f>
        <v>18</v>
      </c>
      <c r="J77" s="202">
        <v>1977</v>
      </c>
      <c r="K77" s="208" t="s">
        <v>7140</v>
      </c>
      <c r="L77" s="202">
        <f>2023-J77</f>
        <v>46</v>
      </c>
    </row>
    <row r="78" spans="1:12">
      <c r="A78" s="218"/>
      <c r="B78" s="391" t="s">
        <v>9663</v>
      </c>
      <c r="C78" s="391" t="s">
        <v>9664</v>
      </c>
      <c r="D78" s="199"/>
      <c r="E78" s="199"/>
      <c r="F78" s="199"/>
      <c r="G78" s="199"/>
    </row>
    <row r="79" spans="1:12">
      <c r="A79" s="25"/>
      <c r="B79" s="199"/>
      <c r="C79" s="199"/>
      <c r="D79" s="199"/>
      <c r="E79" s="199"/>
      <c r="F79" s="199"/>
      <c r="G79" s="199"/>
    </row>
    <row r="80" spans="1:12">
      <c r="B80" s="40" t="s">
        <v>7338</v>
      </c>
      <c r="C80" s="40"/>
      <c r="D80" s="40"/>
    </row>
    <row r="81" spans="2:12">
      <c r="B81" s="175" t="s">
        <v>4435</v>
      </c>
      <c r="C81" s="40"/>
      <c r="D81" s="40"/>
    </row>
    <row r="82" spans="2:12">
      <c r="B82" s="205" t="s">
        <v>7139</v>
      </c>
      <c r="C82" s="205" t="s">
        <v>7141</v>
      </c>
      <c r="D82" s="40"/>
      <c r="J82" s="202">
        <v>1946</v>
      </c>
      <c r="K82" s="208" t="s">
        <v>7140</v>
      </c>
      <c r="L82" s="202">
        <f>2023-J82</f>
        <v>77</v>
      </c>
    </row>
    <row r="83" spans="2:12">
      <c r="B83" s="205" t="s">
        <v>7339</v>
      </c>
      <c r="C83" s="205" t="s">
        <v>7340</v>
      </c>
      <c r="D83" s="40"/>
      <c r="K83" s="208"/>
    </row>
    <row r="84" spans="2:12">
      <c r="B84" s="40" t="s">
        <v>4152</v>
      </c>
      <c r="C84" s="40" t="s">
        <v>4151</v>
      </c>
      <c r="D84" s="40"/>
    </row>
    <row r="85" spans="2:12">
      <c r="B85" s="40" t="s">
        <v>4146</v>
      </c>
      <c r="C85" s="40" t="s">
        <v>4145</v>
      </c>
      <c r="D85" s="40"/>
    </row>
    <row r="86" spans="2:12">
      <c r="B86" s="205" t="s">
        <v>7128</v>
      </c>
      <c r="C86" s="205" t="s">
        <v>7131</v>
      </c>
      <c r="D86" s="40"/>
    </row>
    <row r="87" spans="2:12">
      <c r="B87" s="40" t="s">
        <v>4143</v>
      </c>
      <c r="C87" s="40" t="s">
        <v>4142</v>
      </c>
      <c r="D87" s="40"/>
    </row>
    <row r="88" spans="2:12">
      <c r="B88" s="40" t="s">
        <v>4138</v>
      </c>
      <c r="C88" s="40" t="s">
        <v>4137</v>
      </c>
      <c r="D88" s="40"/>
    </row>
    <row r="89" spans="2:12">
      <c r="B89" s="47" t="s">
        <v>4497</v>
      </c>
      <c r="C89" s="40"/>
      <c r="D89" s="40"/>
    </row>
    <row r="90" spans="2:12">
      <c r="B90" s="47" t="s">
        <v>7341</v>
      </c>
      <c r="C90" s="40" t="s">
        <v>7340</v>
      </c>
      <c r="D90" s="40"/>
    </row>
    <row r="91" spans="2:12">
      <c r="B91" s="47" t="s">
        <v>4479</v>
      </c>
      <c r="C91" s="40"/>
      <c r="D91" s="41"/>
      <c r="J91" s="202">
        <v>1948</v>
      </c>
      <c r="L91" s="202">
        <f t="shared" ref="L91:L92" si="2">2023-J91</f>
        <v>75</v>
      </c>
    </row>
    <row r="92" spans="2:12">
      <c r="B92" s="47" t="s">
        <v>4490</v>
      </c>
      <c r="C92" s="47" t="s">
        <v>4500</v>
      </c>
      <c r="D92" s="40"/>
      <c r="J92" s="202">
        <v>1971</v>
      </c>
      <c r="L92" s="202">
        <f t="shared" si="2"/>
        <v>52</v>
      </c>
    </row>
    <row r="93" spans="2:12">
      <c r="B93" s="40" t="s">
        <v>4118</v>
      </c>
      <c r="C93" s="40" t="s">
        <v>4117</v>
      </c>
      <c r="D93" s="40"/>
    </row>
    <row r="94" spans="2:12">
      <c r="B94" s="47" t="s">
        <v>4486</v>
      </c>
      <c r="C94" s="40"/>
      <c r="D94" s="40"/>
    </row>
    <row r="95" spans="2:12">
      <c r="B95" s="47" t="s">
        <v>7336</v>
      </c>
      <c r="C95" s="40" t="s">
        <v>7337</v>
      </c>
      <c r="D95" s="40"/>
    </row>
    <row r="96" spans="2:12">
      <c r="B96" s="175" t="s">
        <v>4111</v>
      </c>
      <c r="C96" s="40" t="s">
        <v>4110</v>
      </c>
      <c r="D96" s="40"/>
    </row>
    <row r="97" spans="1:12">
      <c r="B97" s="175" t="s">
        <v>7077</v>
      </c>
      <c r="C97" s="40"/>
      <c r="D97" s="40"/>
      <c r="J97" s="202">
        <v>1966</v>
      </c>
      <c r="K97" s="202">
        <v>1972</v>
      </c>
      <c r="L97" s="202">
        <f>2023-J97</f>
        <v>57</v>
      </c>
    </row>
    <row r="98" spans="1:12">
      <c r="B98" s="206" t="s">
        <v>7194</v>
      </c>
    </row>
    <row r="102" spans="1:12">
      <c r="B102" s="142" t="s">
        <v>7129</v>
      </c>
    </row>
    <row r="103" spans="1:12">
      <c r="A103" s="25"/>
      <c r="B103" s="199" t="s">
        <v>7073</v>
      </c>
      <c r="C103" s="199" t="s">
        <v>7322</v>
      </c>
      <c r="D103" s="199">
        <f>8115+72</f>
        <v>8187</v>
      </c>
      <c r="E103" s="199"/>
      <c r="F103" s="199"/>
      <c r="G103" s="199"/>
      <c r="J103" s="202">
        <v>1702</v>
      </c>
      <c r="K103" s="202">
        <v>1761</v>
      </c>
      <c r="L103" s="202">
        <f t="shared" ref="L103:L117" si="3">2023-J103</f>
        <v>321</v>
      </c>
    </row>
    <row r="104" spans="1:12">
      <c r="A104" s="25"/>
      <c r="B104" s="199" t="s">
        <v>7332</v>
      </c>
      <c r="C104" s="199"/>
      <c r="D104" s="199"/>
      <c r="E104" s="199"/>
      <c r="F104" s="199"/>
      <c r="G104" s="199"/>
      <c r="J104" s="202">
        <v>1815</v>
      </c>
      <c r="K104" s="202">
        <v>1864</v>
      </c>
      <c r="L104" s="202">
        <v>208</v>
      </c>
    </row>
    <row r="105" spans="1:12">
      <c r="B105" s="175" t="s">
        <v>7110</v>
      </c>
      <c r="C105" s="175" t="s">
        <v>7111</v>
      </c>
      <c r="D105" s="40"/>
      <c r="J105" s="202">
        <v>1596</v>
      </c>
      <c r="K105" s="202">
        <v>1650</v>
      </c>
      <c r="L105" s="202">
        <f t="shared" si="3"/>
        <v>427</v>
      </c>
    </row>
    <row r="106" spans="1:12">
      <c r="B106" s="175" t="s">
        <v>7333</v>
      </c>
      <c r="C106" s="175" t="s">
        <v>7334</v>
      </c>
      <c r="D106" s="40"/>
      <c r="J106" s="202">
        <v>1848</v>
      </c>
      <c r="K106" s="202">
        <v>1925</v>
      </c>
      <c r="L106" s="202">
        <v>175</v>
      </c>
    </row>
    <row r="107" spans="1:12">
      <c r="B107" s="175" t="s">
        <v>7323</v>
      </c>
      <c r="C107" s="175" t="s">
        <v>7324</v>
      </c>
      <c r="D107" s="40"/>
    </row>
    <row r="108" spans="1:12">
      <c r="B108" s="175" t="s">
        <v>7238</v>
      </c>
      <c r="C108" s="175"/>
      <c r="D108" s="40"/>
      <c r="J108" s="202">
        <v>1906</v>
      </c>
      <c r="K108" s="202">
        <v>1978</v>
      </c>
      <c r="L108" s="202">
        <v>117</v>
      </c>
    </row>
    <row r="109" spans="1:12">
      <c r="B109" s="175" t="s">
        <v>7325</v>
      </c>
      <c r="C109" s="175" t="s">
        <v>7326</v>
      </c>
      <c r="D109" s="40"/>
    </row>
    <row r="110" spans="1:12">
      <c r="B110" s="175" t="s">
        <v>6990</v>
      </c>
      <c r="C110" s="175" t="s">
        <v>6991</v>
      </c>
      <c r="D110" s="40">
        <v>39379</v>
      </c>
    </row>
    <row r="111" spans="1:12">
      <c r="B111" s="175" t="s">
        <v>7102</v>
      </c>
      <c r="C111" s="175" t="s">
        <v>7109</v>
      </c>
      <c r="D111" s="40"/>
      <c r="J111" s="202">
        <v>1588</v>
      </c>
      <c r="K111" s="202">
        <v>1679</v>
      </c>
      <c r="L111" s="202">
        <f t="shared" si="3"/>
        <v>435</v>
      </c>
    </row>
    <row r="112" spans="1:12">
      <c r="B112" s="378" t="s">
        <v>9596</v>
      </c>
      <c r="C112" s="378" t="s">
        <v>9597</v>
      </c>
      <c r="D112" s="40"/>
      <c r="J112" s="202">
        <v>1711</v>
      </c>
      <c r="K112" s="202">
        <v>1776</v>
      </c>
      <c r="L112" s="202">
        <f t="shared" si="3"/>
        <v>312</v>
      </c>
    </row>
    <row r="113" spans="2:12">
      <c r="B113" s="175" t="s">
        <v>7107</v>
      </c>
      <c r="C113" s="175" t="s">
        <v>7108</v>
      </c>
      <c r="D113" s="41"/>
      <c r="J113" s="202">
        <v>1646</v>
      </c>
      <c r="K113" s="202">
        <v>1716</v>
      </c>
      <c r="L113" s="202">
        <f t="shared" si="3"/>
        <v>377</v>
      </c>
    </row>
    <row r="114" spans="2:12">
      <c r="B114" s="40" t="s">
        <v>4128</v>
      </c>
      <c r="C114" s="40" t="s">
        <v>4127</v>
      </c>
      <c r="D114" s="40"/>
      <c r="J114" s="202">
        <v>1856</v>
      </c>
      <c r="K114" s="202">
        <v>1922</v>
      </c>
      <c r="L114" s="202">
        <f t="shared" si="3"/>
        <v>167</v>
      </c>
    </row>
    <row r="115" spans="2:12">
      <c r="B115" s="40" t="s">
        <v>4124</v>
      </c>
      <c r="C115" s="175" t="s">
        <v>7019</v>
      </c>
      <c r="D115" s="40"/>
      <c r="J115" s="202">
        <v>1927</v>
      </c>
      <c r="K115" s="202">
        <v>2011</v>
      </c>
      <c r="L115" s="202">
        <f t="shared" si="3"/>
        <v>96</v>
      </c>
    </row>
    <row r="116" spans="2:12">
      <c r="B116" s="40" t="s">
        <v>7329</v>
      </c>
      <c r="C116" s="175" t="s">
        <v>7330</v>
      </c>
      <c r="D116" s="40"/>
    </row>
    <row r="117" spans="2:12">
      <c r="B117" s="47" t="s">
        <v>4482</v>
      </c>
      <c r="C117" s="378" t="s">
        <v>9598</v>
      </c>
      <c r="D117" s="40">
        <v>10460</v>
      </c>
      <c r="J117" s="202">
        <v>1927</v>
      </c>
      <c r="K117" s="202">
        <v>2016</v>
      </c>
      <c r="L117" s="202">
        <f t="shared" si="3"/>
        <v>96</v>
      </c>
    </row>
    <row r="118" spans="2:12">
      <c r="B118" s="175" t="s">
        <v>7098</v>
      </c>
      <c r="C118" s="175" t="s">
        <v>7099</v>
      </c>
      <c r="D118" s="40">
        <v>30483</v>
      </c>
      <c r="J118" s="202">
        <v>1927</v>
      </c>
      <c r="K118" s="202">
        <v>1992</v>
      </c>
      <c r="L118" s="202">
        <f>2023-J118</f>
        <v>96</v>
      </c>
    </row>
    <row r="119" spans="2:12">
      <c r="B119" s="175" t="s">
        <v>7076</v>
      </c>
      <c r="C119" s="175" t="s">
        <v>7079</v>
      </c>
      <c r="D119" s="40">
        <f>2683+9186+1491+8052+14071</f>
        <v>35483</v>
      </c>
      <c r="J119" s="202">
        <v>1933</v>
      </c>
      <c r="K119" s="202">
        <v>2019</v>
      </c>
      <c r="L119" s="202">
        <f>2023-J119</f>
        <v>90</v>
      </c>
    </row>
    <row r="120" spans="2:12">
      <c r="B120" s="175" t="s">
        <v>6992</v>
      </c>
      <c r="C120" s="175" t="s">
        <v>6993</v>
      </c>
      <c r="D120" s="40"/>
    </row>
    <row r="121" spans="2:12">
      <c r="B121" s="90" t="s">
        <v>5308</v>
      </c>
      <c r="C121" s="90" t="s">
        <v>5309</v>
      </c>
      <c r="D121" s="40">
        <v>19640</v>
      </c>
      <c r="J121" s="202">
        <v>1928</v>
      </c>
      <c r="K121" s="202">
        <v>2016</v>
      </c>
      <c r="L121" s="202">
        <v>95</v>
      </c>
    </row>
    <row r="122" spans="2:12">
      <c r="B122" s="175" t="s">
        <v>7105</v>
      </c>
      <c r="C122" s="175" t="s">
        <v>7106</v>
      </c>
      <c r="D122" s="40"/>
      <c r="J122" s="202">
        <v>1623</v>
      </c>
      <c r="K122" s="202">
        <v>1662</v>
      </c>
      <c r="L122" s="202">
        <f>2023-J122</f>
        <v>400</v>
      </c>
    </row>
    <row r="123" spans="2:12">
      <c r="B123" s="175" t="s">
        <v>7331</v>
      </c>
      <c r="C123" s="175" t="s">
        <v>7330</v>
      </c>
      <c r="D123" s="40"/>
    </row>
    <row r="124" spans="2:12">
      <c r="B124" s="175" t="s">
        <v>7021</v>
      </c>
      <c r="C124" s="175" t="s">
        <v>7022</v>
      </c>
      <c r="D124" s="40"/>
    </row>
    <row r="125" spans="2:12">
      <c r="B125" s="175" t="s">
        <v>7078</v>
      </c>
      <c r="C125" s="175" t="s">
        <v>7079</v>
      </c>
      <c r="D125" s="40"/>
      <c r="J125" s="202">
        <v>1917</v>
      </c>
      <c r="K125" s="202">
        <v>2002</v>
      </c>
      <c r="L125" s="202">
        <f>2023-J125</f>
        <v>106</v>
      </c>
    </row>
    <row r="126" spans="2:12">
      <c r="B126" s="90" t="s">
        <v>5299</v>
      </c>
      <c r="C126" s="90" t="s">
        <v>5300</v>
      </c>
      <c r="D126" s="40"/>
    </row>
    <row r="127" spans="2:12">
      <c r="B127" s="90" t="s">
        <v>7327</v>
      </c>
      <c r="C127" s="90" t="s">
        <v>7328</v>
      </c>
      <c r="D127" s="40"/>
    </row>
    <row r="128" spans="2:12">
      <c r="B128" s="40" t="s">
        <v>4107</v>
      </c>
      <c r="C128" s="175" t="s">
        <v>7020</v>
      </c>
      <c r="D128" s="40"/>
      <c r="J128" s="202">
        <v>1916</v>
      </c>
      <c r="K128" s="202">
        <v>2011</v>
      </c>
      <c r="L128" s="202">
        <f>2023-J128</f>
        <v>107</v>
      </c>
    </row>
    <row r="129" spans="2:12">
      <c r="B129" s="175" t="s">
        <v>7100</v>
      </c>
      <c r="C129" s="175" t="s">
        <v>7101</v>
      </c>
      <c r="D129" s="40"/>
    </row>
    <row r="130" spans="2:12">
      <c r="B130" s="175" t="s">
        <v>7097</v>
      </c>
      <c r="C130" s="205" t="s">
        <v>7125</v>
      </c>
      <c r="D130" s="40">
        <v>453078</v>
      </c>
      <c r="E130" s="206" t="s">
        <v>1</v>
      </c>
      <c r="F130" s="206"/>
      <c r="J130" s="202">
        <v>1916</v>
      </c>
      <c r="K130" s="202">
        <v>2001</v>
      </c>
      <c r="L130" s="202">
        <f>2023-J130</f>
        <v>107</v>
      </c>
    </row>
    <row r="131" spans="2:12">
      <c r="B131" s="205" t="s">
        <v>7195</v>
      </c>
      <c r="C131" s="205" t="s">
        <v>7196</v>
      </c>
      <c r="D131" s="40"/>
    </row>
    <row r="132" spans="2:12">
      <c r="B132" s="205" t="s">
        <v>7335</v>
      </c>
      <c r="C132" s="205"/>
      <c r="D132" s="40"/>
      <c r="J132" s="202">
        <v>1902</v>
      </c>
      <c r="K132" s="202">
        <v>1983</v>
      </c>
      <c r="L132" s="202">
        <v>121</v>
      </c>
    </row>
    <row r="133" spans="2:12">
      <c r="B133" s="40" t="s">
        <v>4098</v>
      </c>
      <c r="C133" s="40" t="s">
        <v>4097</v>
      </c>
      <c r="D133" s="40">
        <v>61508</v>
      </c>
      <c r="J133" s="202">
        <v>1912</v>
      </c>
      <c r="K133" s="202">
        <v>1954</v>
      </c>
      <c r="L133" s="202">
        <f>2023-J133</f>
        <v>111</v>
      </c>
    </row>
    <row r="134" spans="2:12">
      <c r="B134" s="175" t="s">
        <v>7103</v>
      </c>
      <c r="C134" s="175" t="s">
        <v>7104</v>
      </c>
      <c r="D134" s="40"/>
      <c r="J134" s="202">
        <v>1452</v>
      </c>
      <c r="K134" s="202">
        <v>1519</v>
      </c>
      <c r="L134" s="202">
        <f>2023-J134</f>
        <v>571</v>
      </c>
    </row>
  </sheetData>
  <hyperlinks>
    <hyperlink ref="E6" r:id="rId1" xr:uid="{43DFA887-5858-C14F-8AB7-CD661C1F7CD2}"/>
    <hyperlink ref="A1" location="Main!A1" display="Main" xr:uid="{B4B41973-D82C-1E45-B700-0D0062119D88}"/>
    <hyperlink ref="G35" r:id="rId2" xr:uid="{8E13FED3-604C-4E63-A77C-A82ED008C851}"/>
    <hyperlink ref="H35" r:id="rId3" xr:uid="{16AF0BA2-A843-4836-9388-6FC95A75CBC0}"/>
    <hyperlink ref="E16" r:id="rId4" xr:uid="{D2DC3123-7B8D-B74D-BCC7-1ABF5887C39D}"/>
    <hyperlink ref="O3" r:id="rId5" xr:uid="{F32ABD35-3408-45AF-8708-B407930B4090}"/>
  </hyperlinks>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086FBF-54A7-D645-B852-D7C36F7A3282}">
  <dimension ref="A1:AQ1488"/>
  <sheetViews>
    <sheetView tabSelected="1" zoomScale="130" zoomScaleNormal="130" workbookViewId="0">
      <pane xSplit="2" ySplit="2" topLeftCell="C283" activePane="bottomRight" state="frozen"/>
      <selection pane="topRight" activeCell="C1" sqref="C1"/>
      <selection pane="bottomLeft" activeCell="A3" sqref="A3"/>
      <selection pane="bottomRight" activeCell="E293" sqref="E293"/>
    </sheetView>
  </sheetViews>
  <sheetFormatPr baseColWidth="10" defaultColWidth="9.1640625" defaultRowHeight="13"/>
  <cols>
    <col min="1" max="1" width="4.33203125" style="72" bestFit="1" customWidth="1"/>
    <col min="2" max="2" width="25.1640625" style="72" customWidth="1"/>
    <col min="3" max="3" width="10.83203125" style="73" customWidth="1"/>
    <col min="4" max="4" width="10.33203125" style="74" customWidth="1"/>
    <col min="5" max="5" width="11" style="72" customWidth="1"/>
    <col min="6" max="7" width="9.1640625" style="74"/>
    <col min="8" max="8" width="11.33203125" style="75" customWidth="1"/>
    <col min="9" max="9" width="23.5" style="72" customWidth="1"/>
    <col min="10" max="10" width="20.6640625" style="72" customWidth="1"/>
    <col min="11" max="11" width="10.1640625" style="72" bestFit="1" customWidth="1"/>
    <col min="12" max="12" width="11.5" style="72" customWidth="1"/>
    <col min="13" max="13" width="11.6640625" style="72" customWidth="1"/>
    <col min="14" max="14" width="14.83203125" style="72" customWidth="1"/>
    <col min="15" max="15" width="9.1640625" style="72"/>
    <col min="16" max="27" width="9.1640625" style="76"/>
    <col min="28" max="30" width="16" style="72" customWidth="1"/>
    <col min="31" max="31" width="21.83203125" style="72" customWidth="1"/>
    <col min="32" max="32" width="9.1640625" style="63"/>
    <col min="33" max="34" width="9.1640625" style="58"/>
    <col min="35" max="37" width="10.33203125" style="72" customWidth="1"/>
    <col min="38" max="16384" width="9.1640625" style="72"/>
  </cols>
  <sheetData>
    <row r="1" spans="1:43">
      <c r="A1" s="25" t="s">
        <v>1165</v>
      </c>
      <c r="D1" s="74">
        <f>SUM(D3:D375)</f>
        <v>11566245.5</v>
      </c>
    </row>
    <row r="2" spans="1:43">
      <c r="B2" s="72" t="s">
        <v>3977</v>
      </c>
      <c r="C2" s="73" t="s">
        <v>3976</v>
      </c>
      <c r="D2" s="74" t="s">
        <v>3975</v>
      </c>
      <c r="E2" s="72" t="s">
        <v>3974</v>
      </c>
      <c r="F2" s="74" t="s">
        <v>1157</v>
      </c>
      <c r="G2" s="94" t="s">
        <v>1158</v>
      </c>
      <c r="H2" s="75" t="s">
        <v>1156</v>
      </c>
      <c r="I2" s="72" t="s">
        <v>3973</v>
      </c>
      <c r="J2" s="72" t="s">
        <v>3972</v>
      </c>
      <c r="K2" s="72" t="s">
        <v>3971</v>
      </c>
      <c r="L2" s="72" t="s">
        <v>3970</v>
      </c>
      <c r="M2" s="75" t="s">
        <v>1153</v>
      </c>
      <c r="N2" s="72" t="s">
        <v>1150</v>
      </c>
      <c r="O2" s="72" t="s">
        <v>3968</v>
      </c>
      <c r="P2" s="76" t="s">
        <v>3969</v>
      </c>
      <c r="Q2" s="76" t="s">
        <v>1157</v>
      </c>
      <c r="R2" s="76" t="s">
        <v>3968</v>
      </c>
      <c r="S2" s="76" t="s">
        <v>3969</v>
      </c>
      <c r="T2" s="76" t="s">
        <v>1157</v>
      </c>
      <c r="U2" s="76" t="s">
        <v>3968</v>
      </c>
      <c r="V2" s="76" t="s">
        <v>3969</v>
      </c>
      <c r="W2" s="76" t="s">
        <v>1157</v>
      </c>
      <c r="X2" s="76" t="s">
        <v>3968</v>
      </c>
      <c r="Y2" s="76" t="s">
        <v>3969</v>
      </c>
      <c r="Z2" s="76" t="s">
        <v>1157</v>
      </c>
      <c r="AA2" s="76" t="s">
        <v>3968</v>
      </c>
      <c r="AB2" s="165" t="s">
        <v>6595</v>
      </c>
      <c r="AC2" s="165" t="s">
        <v>6596</v>
      </c>
      <c r="AD2" s="165" t="s">
        <v>6597</v>
      </c>
      <c r="AE2" s="72" t="s">
        <v>3967</v>
      </c>
      <c r="AF2" s="63" t="s">
        <v>5011</v>
      </c>
      <c r="AG2" s="58" t="s">
        <v>5012</v>
      </c>
      <c r="AH2" s="58" t="s">
        <v>8888</v>
      </c>
      <c r="AI2" s="274" t="s">
        <v>8889</v>
      </c>
      <c r="AJ2" s="454" t="s">
        <v>14125</v>
      </c>
      <c r="AK2" s="454" t="s">
        <v>14126</v>
      </c>
    </row>
    <row r="3" spans="1:43">
      <c r="B3" s="72" t="s">
        <v>3937</v>
      </c>
      <c r="C3" s="73" t="s">
        <v>3966</v>
      </c>
      <c r="D3" s="74">
        <v>3030000</v>
      </c>
      <c r="E3" s="216" t="s">
        <v>3792</v>
      </c>
      <c r="F3" s="74" t="s">
        <v>1</v>
      </c>
      <c r="G3" s="74" t="s">
        <v>1</v>
      </c>
      <c r="H3" s="77">
        <v>31484</v>
      </c>
      <c r="I3" s="72" t="s">
        <v>4256</v>
      </c>
      <c r="J3" s="72" t="s">
        <v>3965</v>
      </c>
      <c r="K3" s="72" t="s">
        <v>2045</v>
      </c>
      <c r="L3" s="72" t="s">
        <v>2056</v>
      </c>
      <c r="M3" s="72">
        <v>1975</v>
      </c>
      <c r="O3" s="72" t="s">
        <v>1</v>
      </c>
      <c r="P3" s="76" t="s">
        <v>1</v>
      </c>
      <c r="Q3" s="76" t="s">
        <v>1</v>
      </c>
      <c r="R3" s="76" t="s">
        <v>1</v>
      </c>
      <c r="S3" s="76" t="s">
        <v>1</v>
      </c>
      <c r="T3" s="76" t="s">
        <v>1</v>
      </c>
      <c r="U3" s="76" t="s">
        <v>1</v>
      </c>
      <c r="V3" s="76" t="s">
        <v>1</v>
      </c>
      <c r="W3" s="76" t="s">
        <v>1</v>
      </c>
      <c r="X3" s="76" t="s">
        <v>1</v>
      </c>
      <c r="Y3" s="76" t="s">
        <v>1</v>
      </c>
      <c r="Z3" s="76" t="s">
        <v>1</v>
      </c>
      <c r="AA3" s="76" t="s">
        <v>1</v>
      </c>
      <c r="AB3" s="165" t="s">
        <v>6598</v>
      </c>
      <c r="AC3" s="165" t="s">
        <v>6600</v>
      </c>
      <c r="AD3" s="165" t="s">
        <v>6617</v>
      </c>
      <c r="AE3" s="25" t="s">
        <v>3964</v>
      </c>
      <c r="AF3" s="64">
        <v>721.3</v>
      </c>
      <c r="AG3" s="62">
        <v>0.18541666666666667</v>
      </c>
      <c r="AH3" s="64">
        <v>1000</v>
      </c>
      <c r="AI3" s="337">
        <v>0.16527777777777777</v>
      </c>
      <c r="AJ3" s="64">
        <v>885.6</v>
      </c>
      <c r="AK3" s="337">
        <v>0.13680555555555557</v>
      </c>
      <c r="AL3" s="364">
        <f>+AH3/AF3-1</f>
        <v>0.3863856924996536</v>
      </c>
      <c r="AP3" s="25" t="s">
        <v>3963</v>
      </c>
      <c r="AQ3" s="72">
        <v>14000</v>
      </c>
    </row>
    <row r="4" spans="1:43" s="12" customFormat="1">
      <c r="A4" s="72"/>
      <c r="B4" s="72" t="s">
        <v>1088</v>
      </c>
      <c r="C4" s="73" t="s">
        <v>3949</v>
      </c>
      <c r="D4" s="74">
        <v>2060000</v>
      </c>
      <c r="E4" s="72" t="s">
        <v>1</v>
      </c>
      <c r="F4" s="74" t="s">
        <v>1</v>
      </c>
      <c r="G4" s="74" t="s">
        <v>1</v>
      </c>
      <c r="H4" s="77">
        <v>36182</v>
      </c>
      <c r="I4" s="216" t="s">
        <v>7261</v>
      </c>
      <c r="J4" s="72"/>
      <c r="K4" s="72" t="s">
        <v>2045</v>
      </c>
      <c r="L4" s="72" t="s">
        <v>2100</v>
      </c>
      <c r="M4" s="72">
        <v>1993</v>
      </c>
      <c r="N4" s="72"/>
      <c r="O4" s="72" t="s">
        <v>1</v>
      </c>
      <c r="P4" s="76" t="s">
        <v>1</v>
      </c>
      <c r="Q4" s="76" t="s">
        <v>1</v>
      </c>
      <c r="R4" s="76" t="s">
        <v>1</v>
      </c>
      <c r="S4" s="76" t="s">
        <v>1</v>
      </c>
      <c r="T4" s="76" t="s">
        <v>1</v>
      </c>
      <c r="U4" s="76" t="s">
        <v>1</v>
      </c>
      <c r="V4" s="76" t="s">
        <v>1</v>
      </c>
      <c r="W4" s="76" t="s">
        <v>1</v>
      </c>
      <c r="X4" s="76" t="s">
        <v>1</v>
      </c>
      <c r="Y4" s="76" t="s">
        <v>1</v>
      </c>
      <c r="Z4" s="76" t="s">
        <v>1</v>
      </c>
      <c r="AA4" s="76" t="s">
        <v>1</v>
      </c>
      <c r="AB4" s="165" t="s">
        <v>6598</v>
      </c>
      <c r="AC4" s="165" t="s">
        <v>6601</v>
      </c>
      <c r="AD4" s="165" t="s">
        <v>6616</v>
      </c>
      <c r="AE4" s="25" t="s">
        <v>3948</v>
      </c>
      <c r="AF4" s="64">
        <v>26.76</v>
      </c>
      <c r="AG4" s="62">
        <v>0.15833333333333333</v>
      </c>
      <c r="AH4" s="64">
        <v>30.16</v>
      </c>
      <c r="AI4" s="62">
        <v>0.15069444444444444</v>
      </c>
      <c r="AJ4" s="64">
        <v>37.630000000000003</v>
      </c>
      <c r="AK4" s="337">
        <v>0.1361111111111111</v>
      </c>
      <c r="AL4" s="364">
        <f>+AH4/AF4-1</f>
        <v>0.12705530642750373</v>
      </c>
      <c r="AP4" s="25" t="s">
        <v>3950</v>
      </c>
      <c r="AQ4" s="72">
        <v>50</v>
      </c>
    </row>
    <row r="5" spans="1:43">
      <c r="B5" s="72" t="s">
        <v>3846</v>
      </c>
      <c r="C5" s="73" t="s">
        <v>3962</v>
      </c>
      <c r="D5" s="74">
        <v>1980000</v>
      </c>
      <c r="E5" s="72" t="s">
        <v>1</v>
      </c>
      <c r="F5" s="74" t="s">
        <v>1</v>
      </c>
      <c r="G5" s="74" t="s">
        <v>1</v>
      </c>
      <c r="H5" s="77">
        <v>38218</v>
      </c>
      <c r="I5" s="72" t="s">
        <v>3961</v>
      </c>
      <c r="J5" s="72" t="s">
        <v>4249</v>
      </c>
      <c r="K5" s="72" t="s">
        <v>2308</v>
      </c>
      <c r="L5" s="72" t="s">
        <v>2765</v>
      </c>
      <c r="M5" s="72">
        <v>1998</v>
      </c>
      <c r="O5" s="72" t="s">
        <v>1</v>
      </c>
      <c r="P5" s="76" t="s">
        <v>1</v>
      </c>
      <c r="Q5" s="76" t="s">
        <v>1</v>
      </c>
      <c r="R5" s="76" t="s">
        <v>1</v>
      </c>
      <c r="S5" s="76" t="s">
        <v>1</v>
      </c>
      <c r="T5" s="76" t="s">
        <v>1</v>
      </c>
      <c r="U5" s="76" t="s">
        <v>1</v>
      </c>
      <c r="V5" s="76" t="s">
        <v>1</v>
      </c>
      <c r="W5" s="76" t="s">
        <v>1</v>
      </c>
      <c r="X5" s="76" t="s">
        <v>1</v>
      </c>
      <c r="Y5" s="76" t="s">
        <v>1</v>
      </c>
      <c r="Z5" s="76" t="s">
        <v>1</v>
      </c>
      <c r="AA5" s="76" t="s">
        <v>1</v>
      </c>
      <c r="AB5" s="165" t="s">
        <v>6598</v>
      </c>
      <c r="AC5" s="165" t="s">
        <v>6601</v>
      </c>
      <c r="AD5" s="165" t="s">
        <v>6609</v>
      </c>
      <c r="AE5" s="25" t="s">
        <v>3959</v>
      </c>
      <c r="AF5" s="64">
        <v>77620</v>
      </c>
      <c r="AG5" s="62">
        <v>0.44027777777777777</v>
      </c>
      <c r="AH5" s="64">
        <v>78150</v>
      </c>
      <c r="AI5" s="62">
        <v>0.44930555555555557</v>
      </c>
      <c r="AJ5" s="64">
        <v>76490</v>
      </c>
      <c r="AK5" s="337">
        <v>0.43611111111111112</v>
      </c>
      <c r="AL5" s="364">
        <f t="shared" ref="AL5:AL73" si="0">+AH5/AF5-1</f>
        <v>6.8281370780727269E-3</v>
      </c>
      <c r="AP5" s="25" t="s">
        <v>3958</v>
      </c>
      <c r="AQ5" s="72">
        <v>600</v>
      </c>
    </row>
    <row r="6" spans="1:43">
      <c r="B6" s="72" t="s">
        <v>3952</v>
      </c>
      <c r="C6" s="73" t="s">
        <v>3951</v>
      </c>
      <c r="D6" s="74">
        <v>1870000</v>
      </c>
      <c r="E6" s="72" t="s">
        <v>1</v>
      </c>
      <c r="F6" s="74" t="s">
        <v>1</v>
      </c>
      <c r="G6" s="74" t="s">
        <v>1</v>
      </c>
      <c r="H6" s="77">
        <v>35565</v>
      </c>
      <c r="I6" s="72" t="s">
        <v>4310</v>
      </c>
      <c r="K6" s="72" t="s">
        <v>2045</v>
      </c>
      <c r="L6" s="72" t="s">
        <v>2056</v>
      </c>
      <c r="M6" s="72">
        <v>2006</v>
      </c>
      <c r="O6" s="72" t="s">
        <v>1</v>
      </c>
      <c r="P6" s="76" t="s">
        <v>1</v>
      </c>
      <c r="Q6" s="76" t="s">
        <v>1</v>
      </c>
      <c r="R6" s="76" t="s">
        <v>1</v>
      </c>
      <c r="S6" s="76" t="s">
        <v>1</v>
      </c>
      <c r="T6" s="76" t="s">
        <v>1</v>
      </c>
      <c r="U6" s="76" t="s">
        <v>1</v>
      </c>
      <c r="V6" s="76" t="s">
        <v>1</v>
      </c>
      <c r="W6" s="76" t="s">
        <v>1</v>
      </c>
      <c r="X6" s="76" t="s">
        <v>1</v>
      </c>
      <c r="Y6" s="76" t="s">
        <v>1</v>
      </c>
      <c r="Z6" s="76" t="s">
        <v>1</v>
      </c>
      <c r="AA6" s="76" t="s">
        <v>1</v>
      </c>
      <c r="AB6" s="165" t="s">
        <v>6598</v>
      </c>
      <c r="AC6" s="165" t="s">
        <v>6600</v>
      </c>
      <c r="AD6" s="72" t="s">
        <v>2900</v>
      </c>
      <c r="AE6" s="25" t="s">
        <v>4335</v>
      </c>
      <c r="AF6" s="64">
        <v>61.21</v>
      </c>
      <c r="AG6" s="62">
        <v>0.4777777777777778</v>
      </c>
      <c r="AH6" s="64">
        <v>66.47</v>
      </c>
      <c r="AI6" s="62">
        <v>0.44444444444444442</v>
      </c>
      <c r="AJ6" s="64">
        <v>64.67</v>
      </c>
      <c r="AK6" s="337">
        <v>0.4375</v>
      </c>
      <c r="AL6" s="364">
        <f t="shared" si="0"/>
        <v>8.5933670968795894E-2</v>
      </c>
      <c r="AP6" s="72" t="s">
        <v>3953</v>
      </c>
      <c r="AQ6" s="72">
        <v>250</v>
      </c>
    </row>
    <row r="7" spans="1:43">
      <c r="B7" s="72" t="s">
        <v>782</v>
      </c>
      <c r="C7" s="215" t="s">
        <v>7257</v>
      </c>
      <c r="D7" s="74">
        <v>1260000</v>
      </c>
      <c r="E7" s="72" t="s">
        <v>1</v>
      </c>
      <c r="F7" s="74" t="s">
        <v>1</v>
      </c>
      <c r="G7" s="74" t="s">
        <v>1</v>
      </c>
      <c r="H7" s="77">
        <v>41047</v>
      </c>
      <c r="I7" s="72" t="s">
        <v>4257</v>
      </c>
      <c r="J7" s="72" t="s">
        <v>3947</v>
      </c>
      <c r="K7" s="72" t="s">
        <v>2308</v>
      </c>
      <c r="L7" s="72" t="s">
        <v>2698</v>
      </c>
      <c r="M7" s="72">
        <v>2004</v>
      </c>
      <c r="O7" s="72" t="s">
        <v>1</v>
      </c>
      <c r="P7" s="76" t="s">
        <v>1</v>
      </c>
      <c r="Q7" s="76" t="s">
        <v>1</v>
      </c>
      <c r="R7" s="76" t="s">
        <v>1</v>
      </c>
      <c r="S7" s="76" t="s">
        <v>1</v>
      </c>
      <c r="T7" s="76" t="s">
        <v>1</v>
      </c>
      <c r="U7" s="76" t="s">
        <v>1</v>
      </c>
      <c r="V7" s="76" t="s">
        <v>1</v>
      </c>
      <c r="W7" s="76" t="s">
        <v>1</v>
      </c>
      <c r="X7" s="76" t="s">
        <v>1</v>
      </c>
      <c r="Y7" s="76" t="s">
        <v>1</v>
      </c>
      <c r="Z7" s="76" t="s">
        <v>1</v>
      </c>
      <c r="AA7" s="76" t="s">
        <v>1</v>
      </c>
      <c r="AB7" s="165" t="s">
        <v>6598</v>
      </c>
      <c r="AC7" s="165" t="s">
        <v>6601</v>
      </c>
      <c r="AD7" s="165" t="s">
        <v>6615</v>
      </c>
      <c r="AE7" s="25" t="s">
        <v>3946</v>
      </c>
      <c r="AF7" s="64">
        <v>15730</v>
      </c>
      <c r="AG7" s="62">
        <v>0.44166666666666665</v>
      </c>
      <c r="AH7" s="64">
        <v>14780</v>
      </c>
      <c r="AI7" s="62">
        <v>0.44305555555555554</v>
      </c>
      <c r="AJ7" s="64">
        <v>14240</v>
      </c>
      <c r="AK7" s="337">
        <v>0.4375</v>
      </c>
      <c r="AL7" s="364">
        <f>+AH7/AF7-1</f>
        <v>-6.0394151303242216E-2</v>
      </c>
    </row>
    <row r="8" spans="1:43">
      <c r="B8" s="72" t="s">
        <v>3957</v>
      </c>
      <c r="C8" s="73" t="s">
        <v>3956</v>
      </c>
      <c r="D8" s="74">
        <v>456120</v>
      </c>
      <c r="E8" s="72" t="s">
        <v>1</v>
      </c>
      <c r="F8" s="74" t="s">
        <v>1</v>
      </c>
      <c r="G8" s="74" t="s">
        <v>1</v>
      </c>
      <c r="H8" s="77">
        <v>40358</v>
      </c>
      <c r="I8" s="72" t="s">
        <v>3929</v>
      </c>
      <c r="K8" s="72" t="s">
        <v>2308</v>
      </c>
      <c r="L8" s="72" t="s">
        <v>3898</v>
      </c>
      <c r="M8" s="72">
        <v>2003</v>
      </c>
      <c r="O8" s="72" t="s">
        <v>1</v>
      </c>
      <c r="P8" s="76" t="s">
        <v>1</v>
      </c>
      <c r="Q8" s="76" t="s">
        <v>1</v>
      </c>
      <c r="R8" s="76" t="s">
        <v>1</v>
      </c>
      <c r="S8" s="76" t="s">
        <v>1</v>
      </c>
      <c r="T8" s="76" t="s">
        <v>1</v>
      </c>
      <c r="U8" s="76" t="s">
        <v>1</v>
      </c>
      <c r="V8" s="76" t="s">
        <v>1</v>
      </c>
      <c r="W8" s="76" t="s">
        <v>1</v>
      </c>
      <c r="X8" s="76" t="s">
        <v>1</v>
      </c>
      <c r="Y8" s="76" t="s">
        <v>1</v>
      </c>
      <c r="Z8" s="76" t="s">
        <v>1</v>
      </c>
      <c r="AA8" s="76" t="s">
        <v>1</v>
      </c>
      <c r="AB8" s="165" t="s">
        <v>6598</v>
      </c>
      <c r="AC8" s="165" t="s">
        <v>6602</v>
      </c>
      <c r="AD8" s="72" t="s">
        <v>3955</v>
      </c>
      <c r="AE8" s="25" t="s">
        <v>3954</v>
      </c>
      <c r="AF8" s="64">
        <v>20.48</v>
      </c>
      <c r="AG8" s="62">
        <v>0.15694444444444444</v>
      </c>
      <c r="AH8" s="64">
        <v>20.52</v>
      </c>
      <c r="AI8" s="62">
        <v>0.16111111111111112</v>
      </c>
      <c r="AJ8" s="64">
        <v>18.989999999999998</v>
      </c>
      <c r="AK8" s="337">
        <v>0.15416666666666667</v>
      </c>
      <c r="AL8" s="364">
        <f t="shared" si="0"/>
        <v>1.953125E-3</v>
      </c>
    </row>
    <row r="9" spans="1:43">
      <c r="B9" s="392" t="s">
        <v>4277</v>
      </c>
      <c r="C9" s="393" t="s">
        <v>1691</v>
      </c>
      <c r="D9" s="74">
        <v>268000</v>
      </c>
      <c r="H9" s="77"/>
      <c r="I9" s="392" t="s">
        <v>9754</v>
      </c>
      <c r="K9" s="392" t="s">
        <v>2308</v>
      </c>
      <c r="L9" s="392" t="s">
        <v>2698</v>
      </c>
      <c r="AB9" s="165"/>
      <c r="AC9" s="165"/>
      <c r="AD9" s="165"/>
      <c r="AE9" s="25" t="s">
        <v>14127</v>
      </c>
      <c r="AF9" s="64"/>
      <c r="AG9" s="62"/>
      <c r="AH9" s="64"/>
      <c r="AI9" s="62"/>
      <c r="AJ9" s="64">
        <v>2179</v>
      </c>
      <c r="AK9" s="337">
        <v>0.13680555555555557</v>
      </c>
      <c r="AL9" s="364"/>
    </row>
    <row r="10" spans="1:43">
      <c r="B10" s="12" t="s">
        <v>0</v>
      </c>
      <c r="C10" s="29" t="s">
        <v>1691</v>
      </c>
      <c r="D10" s="15">
        <v>150000</v>
      </c>
      <c r="E10" s="12" t="s">
        <v>1</v>
      </c>
      <c r="F10" s="15">
        <v>300</v>
      </c>
      <c r="G10" s="15">
        <f>F10+10000</f>
        <v>10300</v>
      </c>
      <c r="H10" s="14">
        <v>45044</v>
      </c>
      <c r="I10" s="12" t="s">
        <v>3940</v>
      </c>
      <c r="J10" s="12" t="s">
        <v>4461</v>
      </c>
      <c r="K10" s="12" t="s">
        <v>2569</v>
      </c>
      <c r="L10" s="12" t="s">
        <v>3169</v>
      </c>
      <c r="M10" s="12">
        <v>2015</v>
      </c>
      <c r="N10" s="12"/>
      <c r="O10" s="12" t="s">
        <v>3939</v>
      </c>
      <c r="P10" s="24" t="s">
        <v>1</v>
      </c>
      <c r="Q10" s="24" t="s">
        <v>3938</v>
      </c>
      <c r="R10" s="24" t="s">
        <v>3937</v>
      </c>
      <c r="S10" s="24" t="s">
        <v>4</v>
      </c>
      <c r="T10" s="24" t="s">
        <v>1</v>
      </c>
      <c r="U10" s="24" t="s">
        <v>3936</v>
      </c>
      <c r="V10" s="24" t="s">
        <v>1</v>
      </c>
      <c r="W10" s="24" t="s">
        <v>1</v>
      </c>
      <c r="X10" s="24" t="s">
        <v>1</v>
      </c>
      <c r="Y10" s="24" t="s">
        <v>1</v>
      </c>
      <c r="Z10" s="24" t="s">
        <v>1</v>
      </c>
      <c r="AA10" s="24" t="s">
        <v>1</v>
      </c>
      <c r="AB10" s="12" t="s">
        <v>6598</v>
      </c>
      <c r="AC10" s="12" t="s">
        <v>6601</v>
      </c>
      <c r="AD10" s="12" t="s">
        <v>2362</v>
      </c>
      <c r="AE10" s="25" t="s">
        <v>3935</v>
      </c>
      <c r="AF10" s="64">
        <v>1406</v>
      </c>
      <c r="AG10" s="62">
        <v>0.18194444444444444</v>
      </c>
      <c r="AH10" s="64">
        <v>1557</v>
      </c>
      <c r="AI10" s="62">
        <v>0.21458333333333332</v>
      </c>
      <c r="AJ10" s="64"/>
      <c r="AK10" s="337"/>
      <c r="AL10" s="364">
        <f t="shared" si="0"/>
        <v>0.10739687055476521</v>
      </c>
      <c r="AP10" s="25"/>
    </row>
    <row r="11" spans="1:43">
      <c r="B11" s="72" t="s">
        <v>3934</v>
      </c>
      <c r="C11" s="73" t="s">
        <v>3933</v>
      </c>
      <c r="D11" s="74">
        <v>100000</v>
      </c>
      <c r="E11" s="72" t="s">
        <v>3792</v>
      </c>
      <c r="F11" s="74">
        <v>444</v>
      </c>
      <c r="G11" s="74" t="s">
        <v>1</v>
      </c>
      <c r="H11" s="77">
        <v>41894</v>
      </c>
      <c r="I11" s="216" t="s">
        <v>7267</v>
      </c>
      <c r="J11" s="72" t="s">
        <v>4355</v>
      </c>
      <c r="K11" s="72" t="s">
        <v>2045</v>
      </c>
      <c r="L11" s="72" t="s">
        <v>2056</v>
      </c>
      <c r="M11" s="72">
        <v>2003</v>
      </c>
      <c r="O11" s="72" t="s">
        <v>4367</v>
      </c>
      <c r="P11" s="76" t="s">
        <v>2486</v>
      </c>
      <c r="Q11" s="76" t="s">
        <v>4365</v>
      </c>
      <c r="R11" s="76" t="s">
        <v>4366</v>
      </c>
      <c r="S11" s="76" t="s">
        <v>504</v>
      </c>
      <c r="T11" s="76">
        <v>56</v>
      </c>
      <c r="U11" s="76" t="s">
        <v>4363</v>
      </c>
      <c r="V11" s="76" t="s">
        <v>9</v>
      </c>
      <c r="W11" s="76">
        <v>50</v>
      </c>
      <c r="X11" s="76" t="s">
        <v>4361</v>
      </c>
      <c r="Y11" s="76" t="s">
        <v>8</v>
      </c>
      <c r="Z11" s="76" t="s">
        <v>4362</v>
      </c>
      <c r="AA11" s="76" t="s">
        <v>4359</v>
      </c>
      <c r="AB11" s="165" t="s">
        <v>6598</v>
      </c>
      <c r="AC11" s="165" t="s">
        <v>6603</v>
      </c>
      <c r="AD11" s="165" t="s">
        <v>6613</v>
      </c>
      <c r="AE11" s="25" t="s">
        <v>4336</v>
      </c>
      <c r="AF11" s="338">
        <v>0.39068900000000001</v>
      </c>
      <c r="AG11" s="62">
        <v>0.1173611111111111</v>
      </c>
      <c r="AH11" s="339">
        <v>0.53688899999999995</v>
      </c>
      <c r="AI11" s="62">
        <v>0.1173611111111111</v>
      </c>
      <c r="AJ11" s="339">
        <v>0.49349700000000002</v>
      </c>
      <c r="AK11" s="62">
        <v>8.1250000000000003E-2</v>
      </c>
      <c r="AL11" s="364">
        <f>+AH11/AF11-1</f>
        <v>0.37421068932066159</v>
      </c>
    </row>
    <row r="12" spans="1:43">
      <c r="B12" s="72" t="s">
        <v>1006</v>
      </c>
      <c r="C12" s="73" t="s">
        <v>1691</v>
      </c>
      <c r="D12" s="74">
        <v>42500</v>
      </c>
      <c r="E12" s="264" t="s">
        <v>7885</v>
      </c>
      <c r="F12" s="74">
        <v>684.6</v>
      </c>
      <c r="G12" s="74">
        <f>F12+Q12+T12+W12+Z12</f>
        <v>3934.6</v>
      </c>
      <c r="H12" s="77">
        <v>45183</v>
      </c>
      <c r="I12" s="72" t="s">
        <v>3932</v>
      </c>
      <c r="J12" s="216" t="s">
        <v>7262</v>
      </c>
      <c r="K12" s="72" t="s">
        <v>2045</v>
      </c>
      <c r="L12" s="72" t="s">
        <v>3931</v>
      </c>
      <c r="M12" s="72">
        <v>2013</v>
      </c>
      <c r="O12" s="264" t="s">
        <v>7901</v>
      </c>
      <c r="P12" s="267" t="s">
        <v>2486</v>
      </c>
      <c r="Q12" s="217">
        <v>1600</v>
      </c>
      <c r="R12" s="216" t="s">
        <v>7263</v>
      </c>
      <c r="S12" s="267" t="s">
        <v>504</v>
      </c>
      <c r="T12" s="76">
        <v>1000</v>
      </c>
      <c r="U12" s="217" t="s">
        <v>7264</v>
      </c>
      <c r="V12" s="217" t="s">
        <v>53</v>
      </c>
      <c r="W12" s="217">
        <v>400</v>
      </c>
      <c r="X12" s="217" t="s">
        <v>7265</v>
      </c>
      <c r="Y12" s="217" t="s">
        <v>9</v>
      </c>
      <c r="Z12" s="217">
        <v>250</v>
      </c>
      <c r="AA12" s="217" t="s">
        <v>7266</v>
      </c>
      <c r="AB12" s="165" t="s">
        <v>6598</v>
      </c>
      <c r="AC12" s="165" t="s">
        <v>6601</v>
      </c>
      <c r="AD12" s="72" t="s">
        <v>2362</v>
      </c>
      <c r="AE12" s="25" t="s">
        <v>4337</v>
      </c>
      <c r="AF12" s="338">
        <v>2.931</v>
      </c>
      <c r="AG12" s="62">
        <v>0.47291666666666665</v>
      </c>
      <c r="AH12" s="339">
        <v>3.343</v>
      </c>
      <c r="AI12" s="62">
        <v>0.49375000000000002</v>
      </c>
      <c r="AJ12" s="339">
        <v>3.7080000000000002</v>
      </c>
      <c r="AK12" s="62">
        <v>0.48055555555555557</v>
      </c>
      <c r="AL12" s="364">
        <f t="shared" si="0"/>
        <v>0.14056635960423058</v>
      </c>
    </row>
    <row r="13" spans="1:43">
      <c r="B13" s="72" t="s">
        <v>3945</v>
      </c>
      <c r="C13" s="73" t="s">
        <v>3944</v>
      </c>
      <c r="D13" s="74">
        <v>34560</v>
      </c>
      <c r="E13" s="72" t="s">
        <v>3792</v>
      </c>
      <c r="F13" s="74">
        <v>109</v>
      </c>
      <c r="G13" s="74" t="s">
        <v>1</v>
      </c>
      <c r="H13" s="77">
        <v>38569</v>
      </c>
      <c r="I13" s="72" t="s">
        <v>3943</v>
      </c>
      <c r="J13" s="72" t="s">
        <v>3942</v>
      </c>
      <c r="K13" s="72" t="s">
        <v>2045</v>
      </c>
      <c r="L13" s="72" t="s">
        <v>2765</v>
      </c>
      <c r="M13" s="72">
        <v>1999</v>
      </c>
      <c r="O13" s="72" t="s">
        <v>1</v>
      </c>
      <c r="P13" s="72" t="s">
        <v>1</v>
      </c>
      <c r="Q13" s="72" t="s">
        <v>1</v>
      </c>
      <c r="R13" s="72" t="s">
        <v>1</v>
      </c>
      <c r="S13" s="72" t="s">
        <v>1</v>
      </c>
      <c r="T13" s="72" t="s">
        <v>1</v>
      </c>
      <c r="U13" s="72" t="s">
        <v>1</v>
      </c>
      <c r="V13" s="72" t="s">
        <v>1</v>
      </c>
      <c r="W13" s="72" t="s">
        <v>1</v>
      </c>
      <c r="X13" s="72" t="s">
        <v>1</v>
      </c>
      <c r="Y13" s="72" t="s">
        <v>1</v>
      </c>
      <c r="Z13" s="72" t="s">
        <v>1</v>
      </c>
      <c r="AA13" s="72" t="s">
        <v>1</v>
      </c>
      <c r="AB13" s="165" t="s">
        <v>6599</v>
      </c>
      <c r="AD13" s="165" t="s">
        <v>6614</v>
      </c>
      <c r="AE13" s="25" t="s">
        <v>3941</v>
      </c>
      <c r="AF13" s="64">
        <v>4827</v>
      </c>
      <c r="AG13" s="62">
        <v>0.21319444444444444</v>
      </c>
      <c r="AH13" s="64">
        <v>4065</v>
      </c>
      <c r="AI13" s="62">
        <v>0.18263888888888888</v>
      </c>
      <c r="AJ13" s="64">
        <v>4103</v>
      </c>
      <c r="AK13" s="62">
        <v>0.19166666666666668</v>
      </c>
      <c r="AL13" s="364">
        <f>+AH13/AF13-1</f>
        <v>-0.15786202610316968</v>
      </c>
    </row>
    <row r="14" spans="1:43">
      <c r="B14" s="72" t="s">
        <v>1125</v>
      </c>
      <c r="C14" s="73" t="s">
        <v>1691</v>
      </c>
      <c r="D14" s="74">
        <v>30000</v>
      </c>
      <c r="E14" s="72" t="s">
        <v>7</v>
      </c>
      <c r="F14" s="74">
        <v>2500</v>
      </c>
      <c r="G14" s="74">
        <f>+F14+Q14</f>
        <v>5500</v>
      </c>
      <c r="H14" s="77">
        <v>44363</v>
      </c>
      <c r="I14" s="72" t="s">
        <v>3929</v>
      </c>
      <c r="J14" s="72" t="s">
        <v>3928</v>
      </c>
      <c r="K14" s="72" t="s">
        <v>2308</v>
      </c>
      <c r="L14" s="72" t="s">
        <v>3898</v>
      </c>
      <c r="M14" s="72">
        <v>2009</v>
      </c>
      <c r="N14" s="72" t="s">
        <v>3927</v>
      </c>
      <c r="O14" s="72" t="s">
        <v>3926</v>
      </c>
      <c r="P14" s="76" t="s">
        <v>5</v>
      </c>
      <c r="Q14" s="76">
        <v>3000</v>
      </c>
      <c r="R14" s="76" t="s">
        <v>3925</v>
      </c>
      <c r="S14" s="76" t="s">
        <v>1</v>
      </c>
      <c r="T14" s="76" t="s">
        <v>1</v>
      </c>
      <c r="U14" s="76" t="s">
        <v>1</v>
      </c>
      <c r="V14" s="76" t="s">
        <v>1</v>
      </c>
      <c r="W14" s="76" t="s">
        <v>1</v>
      </c>
      <c r="X14" s="76" t="s">
        <v>1</v>
      </c>
      <c r="Y14" s="76" t="s">
        <v>1</v>
      </c>
      <c r="Z14" s="76" t="s">
        <v>1</v>
      </c>
      <c r="AA14" s="76" t="s">
        <v>1</v>
      </c>
      <c r="AB14" s="165" t="s">
        <v>6598</v>
      </c>
      <c r="AC14" s="165" t="s">
        <v>6601</v>
      </c>
      <c r="AD14" s="165" t="s">
        <v>6609</v>
      </c>
      <c r="AE14" s="25" t="s">
        <v>4339</v>
      </c>
      <c r="AF14" s="338">
        <v>0.19157099999999999</v>
      </c>
      <c r="AG14" s="62">
        <v>4.1666666666666664E-2</v>
      </c>
      <c r="AH14" s="338">
        <v>0.25578899999999999</v>
      </c>
      <c r="AI14" s="62">
        <v>9.0972222222222218E-2</v>
      </c>
      <c r="AJ14" s="338">
        <v>0.31522600000000001</v>
      </c>
      <c r="AK14" s="62">
        <v>4.583333333333333E-2</v>
      </c>
      <c r="AL14" s="364">
        <f t="shared" si="0"/>
        <v>0.33521775216499372</v>
      </c>
    </row>
    <row r="15" spans="1:43">
      <c r="B15" s="72" t="s">
        <v>964</v>
      </c>
      <c r="C15" s="73" t="s">
        <v>1691</v>
      </c>
      <c r="D15" s="74">
        <v>25000</v>
      </c>
      <c r="E15" s="264" t="s">
        <v>2225</v>
      </c>
      <c r="F15" s="74">
        <v>1250</v>
      </c>
      <c r="G15" s="74">
        <f>F15+T15+W15+Z15</f>
        <v>2254</v>
      </c>
      <c r="H15" s="77">
        <v>45194</v>
      </c>
      <c r="I15" s="72" t="s">
        <v>3850</v>
      </c>
      <c r="J15" s="72" t="s">
        <v>3849</v>
      </c>
      <c r="K15" s="72" t="s">
        <v>2569</v>
      </c>
      <c r="L15" s="72" t="s">
        <v>3169</v>
      </c>
      <c r="M15" s="72">
        <v>2021</v>
      </c>
      <c r="N15" s="72" t="s">
        <v>3848</v>
      </c>
      <c r="O15" s="264" t="s">
        <v>856</v>
      </c>
      <c r="P15" s="72" t="s">
        <v>18</v>
      </c>
      <c r="Q15" s="76">
        <v>450</v>
      </c>
      <c r="R15" s="72" t="s">
        <v>3847</v>
      </c>
      <c r="S15" s="76" t="s">
        <v>1089</v>
      </c>
      <c r="T15" s="76">
        <v>300</v>
      </c>
      <c r="U15" s="76" t="s">
        <v>3846</v>
      </c>
      <c r="V15" s="76" t="s">
        <v>7</v>
      </c>
      <c r="W15" s="76">
        <v>580</v>
      </c>
      <c r="X15" s="76" t="s">
        <v>967</v>
      </c>
      <c r="Y15" s="76" t="s">
        <v>5</v>
      </c>
      <c r="Z15" s="76">
        <v>124</v>
      </c>
      <c r="AA15" s="76" t="s">
        <v>3845</v>
      </c>
      <c r="AB15" s="165" t="s">
        <v>6598</v>
      </c>
      <c r="AC15" s="165" t="s">
        <v>6601</v>
      </c>
      <c r="AD15" s="72" t="s">
        <v>2362</v>
      </c>
      <c r="AE15" s="25" t="s">
        <v>4344</v>
      </c>
      <c r="AF15" s="338">
        <v>3.4249999999999998</v>
      </c>
      <c r="AG15" s="62">
        <v>0.1173611111111111</v>
      </c>
      <c r="AH15" s="338">
        <v>1.883</v>
      </c>
      <c r="AI15" s="62">
        <v>0.10347222222222222</v>
      </c>
      <c r="AJ15" s="338">
        <v>12.05</v>
      </c>
      <c r="AK15" s="62">
        <v>0.11597222222222223</v>
      </c>
      <c r="AL15" s="364">
        <f t="shared" si="0"/>
        <v>-0.4502189781021898</v>
      </c>
    </row>
    <row r="16" spans="1:43">
      <c r="B16" s="72" t="s">
        <v>3930</v>
      </c>
      <c r="C16" s="73" t="s">
        <v>1691</v>
      </c>
      <c r="D16" s="74">
        <v>21000</v>
      </c>
      <c r="E16" s="264" t="s">
        <v>1</v>
      </c>
      <c r="F16" s="74">
        <v>750</v>
      </c>
      <c r="G16" s="74">
        <f>+F16+Q16</f>
        <v>2750</v>
      </c>
      <c r="H16" s="77">
        <v>44301</v>
      </c>
      <c r="I16" s="72" t="s">
        <v>3929</v>
      </c>
      <c r="K16" s="72" t="s">
        <v>2308</v>
      </c>
      <c r="L16" s="72" t="s">
        <v>3898</v>
      </c>
      <c r="M16" s="72">
        <v>2013</v>
      </c>
      <c r="O16" s="264" t="s">
        <v>7902</v>
      </c>
      <c r="P16" s="267" t="s">
        <v>1</v>
      </c>
      <c r="Q16" s="76">
        <v>2000</v>
      </c>
      <c r="R16" s="267" t="s">
        <v>7903</v>
      </c>
      <c r="AB16" s="165" t="s">
        <v>6598</v>
      </c>
      <c r="AC16" s="165" t="s">
        <v>6601</v>
      </c>
      <c r="AD16" s="72" t="s">
        <v>2362</v>
      </c>
      <c r="AE16" s="25" t="s">
        <v>4338</v>
      </c>
      <c r="AF16" s="338">
        <v>0.137154</v>
      </c>
      <c r="AG16" s="62">
        <v>6.0416666666666667E-2</v>
      </c>
      <c r="AH16" s="338">
        <v>8.1332000000000002E-2</v>
      </c>
      <c r="AI16" s="62">
        <v>0.1</v>
      </c>
      <c r="AJ16" s="62"/>
      <c r="AK16" s="62"/>
      <c r="AL16" s="364">
        <f t="shared" si="0"/>
        <v>-0.40700234772591393</v>
      </c>
    </row>
    <row r="17" spans="2:39">
      <c r="B17" s="72" t="s">
        <v>3924</v>
      </c>
      <c r="C17" s="73" t="s">
        <v>3923</v>
      </c>
      <c r="D17" s="74">
        <v>20000</v>
      </c>
      <c r="E17" s="72" t="s">
        <v>3792</v>
      </c>
      <c r="F17" s="74" t="s">
        <v>1</v>
      </c>
      <c r="G17" s="211" t="s">
        <v>1</v>
      </c>
      <c r="H17" s="77">
        <v>39591</v>
      </c>
      <c r="I17" s="72" t="s">
        <v>3922</v>
      </c>
      <c r="J17" s="72" t="s">
        <v>3921</v>
      </c>
      <c r="K17" s="72" t="s">
        <v>2308</v>
      </c>
      <c r="L17" s="72" t="s">
        <v>2524</v>
      </c>
      <c r="M17" s="72">
        <v>1999</v>
      </c>
      <c r="N17" s="72" t="s">
        <v>3491</v>
      </c>
      <c r="O17" s="72" t="s">
        <v>3792</v>
      </c>
      <c r="P17" s="76" t="s">
        <v>1</v>
      </c>
      <c r="Q17" s="76" t="s">
        <v>1</v>
      </c>
      <c r="R17" s="76" t="s">
        <v>1</v>
      </c>
      <c r="S17" s="76" t="s">
        <v>1</v>
      </c>
      <c r="T17" s="76" t="s">
        <v>1</v>
      </c>
      <c r="U17" s="76" t="s">
        <v>1</v>
      </c>
      <c r="V17" s="76" t="s">
        <v>1</v>
      </c>
      <c r="W17" s="76" t="s">
        <v>1</v>
      </c>
      <c r="X17" s="76" t="s">
        <v>1</v>
      </c>
      <c r="Y17" s="76" t="s">
        <v>1</v>
      </c>
      <c r="Z17" s="76" t="s">
        <v>1</v>
      </c>
      <c r="AA17" s="76" t="s">
        <v>1</v>
      </c>
      <c r="AB17" s="165" t="s">
        <v>6599</v>
      </c>
      <c r="AD17" s="165" t="s">
        <v>6612</v>
      </c>
      <c r="AE17" s="25" t="s">
        <v>4340</v>
      </c>
      <c r="AF17" s="338">
        <v>1.0269999999999999</v>
      </c>
      <c r="AG17" s="62">
        <v>0.56805555555555554</v>
      </c>
      <c r="AH17" s="338">
        <v>0.96721199999999996</v>
      </c>
      <c r="AI17" s="62">
        <v>0.50555555555555554</v>
      </c>
      <c r="AJ17" s="62"/>
      <c r="AK17" s="62"/>
      <c r="AL17" s="364">
        <f t="shared" si="0"/>
        <v>-5.8216163583252101E-2</v>
      </c>
    </row>
    <row r="18" spans="2:39">
      <c r="B18" s="72" t="s">
        <v>3920</v>
      </c>
      <c r="C18" s="73" t="s">
        <v>3919</v>
      </c>
      <c r="D18" s="74">
        <v>12570</v>
      </c>
      <c r="E18" s="72" t="s">
        <v>1</v>
      </c>
      <c r="F18" s="75" t="s">
        <v>1</v>
      </c>
      <c r="G18" s="211" t="s">
        <v>1</v>
      </c>
      <c r="H18" s="75" t="s">
        <v>1</v>
      </c>
      <c r="I18" s="72" t="s">
        <v>3918</v>
      </c>
      <c r="K18" s="72" t="s">
        <v>2045</v>
      </c>
      <c r="L18" s="72" t="s">
        <v>2319</v>
      </c>
      <c r="M18" s="72">
        <v>1986</v>
      </c>
      <c r="N18" s="72" t="s">
        <v>3917</v>
      </c>
      <c r="O18" s="72" t="s">
        <v>1</v>
      </c>
      <c r="P18" s="72" t="s">
        <v>1</v>
      </c>
      <c r="Q18" s="72" t="s">
        <v>1</v>
      </c>
      <c r="R18" s="72" t="s">
        <v>1</v>
      </c>
      <c r="S18" s="72" t="s">
        <v>1</v>
      </c>
      <c r="T18" s="72" t="s">
        <v>1</v>
      </c>
      <c r="U18" s="72" t="s">
        <v>1</v>
      </c>
      <c r="V18" s="72" t="s">
        <v>1</v>
      </c>
      <c r="W18" s="72" t="s">
        <v>1</v>
      </c>
      <c r="X18" s="72" t="s">
        <v>1</v>
      </c>
      <c r="Y18" s="72" t="s">
        <v>1</v>
      </c>
      <c r="Z18" s="72" t="s">
        <v>1</v>
      </c>
      <c r="AA18" s="72" t="s">
        <v>1</v>
      </c>
      <c r="AB18" s="165" t="s">
        <v>6598</v>
      </c>
      <c r="AC18" s="165" t="s">
        <v>6604</v>
      </c>
      <c r="AD18" s="165" t="s">
        <v>6611</v>
      </c>
      <c r="AE18" s="25" t="s">
        <v>3916</v>
      </c>
      <c r="AF18" s="338">
        <v>0.49878899999999998</v>
      </c>
      <c r="AG18" s="62">
        <v>7.0833333333333331E-2</v>
      </c>
      <c r="AH18" s="338">
        <v>0.66881199999999996</v>
      </c>
      <c r="AI18" s="62">
        <v>0.05</v>
      </c>
      <c r="AJ18" s="62"/>
      <c r="AK18" s="62"/>
      <c r="AL18" s="364">
        <f t="shared" si="0"/>
        <v>0.34087159099338593</v>
      </c>
    </row>
    <row r="19" spans="2:39">
      <c r="B19" s="72" t="s">
        <v>3915</v>
      </c>
      <c r="C19" s="73" t="s">
        <v>3914</v>
      </c>
      <c r="D19" s="74">
        <v>11000</v>
      </c>
      <c r="E19" s="72" t="s">
        <v>3792</v>
      </c>
      <c r="F19" s="74">
        <v>740</v>
      </c>
      <c r="G19" s="211" t="s">
        <v>1</v>
      </c>
      <c r="H19" s="77">
        <v>44560</v>
      </c>
      <c r="I19" s="72" t="s">
        <v>2044</v>
      </c>
      <c r="J19" s="72" t="s">
        <v>3913</v>
      </c>
      <c r="K19" s="72" t="s">
        <v>2045</v>
      </c>
      <c r="L19" s="72" t="s">
        <v>2044</v>
      </c>
      <c r="M19" s="78">
        <v>41913</v>
      </c>
      <c r="N19" s="72" t="s">
        <v>3491</v>
      </c>
      <c r="O19" s="72" t="s">
        <v>3792</v>
      </c>
      <c r="P19" s="76" t="s">
        <v>3912</v>
      </c>
      <c r="Q19" s="76">
        <v>1000</v>
      </c>
      <c r="R19" s="76" t="s">
        <v>1149</v>
      </c>
      <c r="S19" s="76" t="s">
        <v>3911</v>
      </c>
      <c r="T19" s="76">
        <v>320</v>
      </c>
      <c r="U19" s="76" t="s">
        <v>3910</v>
      </c>
      <c r="V19" s="76" t="s">
        <v>18</v>
      </c>
      <c r="W19" s="76">
        <v>600</v>
      </c>
      <c r="X19" s="76" t="s">
        <v>3909</v>
      </c>
      <c r="Y19" s="76" t="s">
        <v>7</v>
      </c>
      <c r="Z19" s="76">
        <v>410</v>
      </c>
      <c r="AA19" s="76" t="s">
        <v>3908</v>
      </c>
      <c r="AB19" s="165" t="s">
        <v>6599</v>
      </c>
      <c r="AD19" s="72" t="s">
        <v>3907</v>
      </c>
      <c r="AE19" s="25" t="s">
        <v>4341</v>
      </c>
      <c r="AF19" s="338">
        <v>0.55719300000000005</v>
      </c>
      <c r="AG19" s="62">
        <v>0.80763888888888891</v>
      </c>
      <c r="AH19" s="338">
        <v>0.25423400000000002</v>
      </c>
      <c r="AI19" s="62">
        <v>0.30625000000000002</v>
      </c>
      <c r="AJ19" s="62"/>
      <c r="AK19" s="62"/>
      <c r="AL19" s="364">
        <f t="shared" si="0"/>
        <v>-0.54372362897595627</v>
      </c>
    </row>
    <row r="20" spans="2:39">
      <c r="B20" s="264" t="s">
        <v>4881</v>
      </c>
      <c r="C20" s="73" t="s">
        <v>1691</v>
      </c>
      <c r="D20" s="74">
        <v>9000</v>
      </c>
      <c r="E20" s="264" t="s">
        <v>9</v>
      </c>
      <c r="F20" s="74">
        <v>118</v>
      </c>
      <c r="G20" s="74">
        <f>F20+T20+W20+Z20</f>
        <v>283</v>
      </c>
      <c r="H20" s="77">
        <v>45265</v>
      </c>
      <c r="I20" s="72" t="s">
        <v>4889</v>
      </c>
      <c r="J20" s="72" t="s">
        <v>4878</v>
      </c>
      <c r="K20" s="72" t="s">
        <v>2045</v>
      </c>
      <c r="L20" s="72" t="s">
        <v>2056</v>
      </c>
      <c r="M20" s="72">
        <v>2016</v>
      </c>
      <c r="O20" s="264" t="s">
        <v>7913</v>
      </c>
      <c r="P20" s="72" t="s">
        <v>8</v>
      </c>
      <c r="Q20" s="76">
        <v>83</v>
      </c>
      <c r="R20" s="72" t="s">
        <v>4880</v>
      </c>
      <c r="S20" s="76" t="s">
        <v>18</v>
      </c>
      <c r="T20" s="76">
        <v>100</v>
      </c>
      <c r="U20" s="76" t="s">
        <v>4886</v>
      </c>
      <c r="V20" s="76" t="s">
        <v>7</v>
      </c>
      <c r="W20" s="76">
        <v>40</v>
      </c>
      <c r="X20" s="76" t="s">
        <v>4887</v>
      </c>
      <c r="Y20" s="76" t="s">
        <v>5</v>
      </c>
      <c r="Z20" s="76">
        <v>25</v>
      </c>
      <c r="AA20" s="76" t="s">
        <v>4888</v>
      </c>
      <c r="AB20" s="165" t="s">
        <v>6598</v>
      </c>
      <c r="AC20" s="165" t="s">
        <v>6606</v>
      </c>
      <c r="AD20" s="165" t="s">
        <v>6606</v>
      </c>
      <c r="AE20" s="25" t="s">
        <v>2113</v>
      </c>
      <c r="AF20" s="338">
        <v>1.9585000000000002E-2</v>
      </c>
      <c r="AG20" s="62">
        <v>9.375E-2</v>
      </c>
      <c r="AH20" s="338">
        <v>5.9923999999999998E-2</v>
      </c>
      <c r="AI20" s="62">
        <v>6.0416666666666667E-2</v>
      </c>
      <c r="AJ20" s="62"/>
      <c r="AK20" s="62"/>
      <c r="AL20" s="364">
        <f t="shared" si="0"/>
        <v>2.0596885371457745</v>
      </c>
    </row>
    <row r="21" spans="2:39">
      <c r="B21" s="72" t="s">
        <v>161</v>
      </c>
      <c r="C21" s="73" t="s">
        <v>1691</v>
      </c>
      <c r="D21" s="74">
        <v>8500</v>
      </c>
      <c r="E21" s="72" t="s">
        <v>8</v>
      </c>
      <c r="F21" s="74">
        <v>100</v>
      </c>
      <c r="G21" s="74">
        <f>F21+Q21+T21+W21+Z21</f>
        <v>1031</v>
      </c>
      <c r="H21" s="77">
        <v>45223</v>
      </c>
      <c r="I21" s="72" t="s">
        <v>3774</v>
      </c>
      <c r="J21" s="72" t="s">
        <v>3906</v>
      </c>
      <c r="K21" s="72" t="s">
        <v>2308</v>
      </c>
      <c r="L21" s="72" t="s">
        <v>3898</v>
      </c>
      <c r="M21" s="72">
        <v>2016</v>
      </c>
      <c r="O21" s="72" t="s">
        <v>1</v>
      </c>
      <c r="P21" s="76" t="s">
        <v>18</v>
      </c>
      <c r="Q21" s="76">
        <v>100</v>
      </c>
      <c r="R21" s="76" t="s">
        <v>3905</v>
      </c>
      <c r="S21" s="76" t="s">
        <v>18</v>
      </c>
      <c r="T21" s="76">
        <v>267</v>
      </c>
      <c r="U21" s="76" t="s">
        <v>3904</v>
      </c>
      <c r="V21" s="76" t="s">
        <v>7</v>
      </c>
      <c r="W21" s="76">
        <v>462</v>
      </c>
      <c r="X21" s="76" t="s">
        <v>3903</v>
      </c>
      <c r="Y21" s="76" t="s">
        <v>5</v>
      </c>
      <c r="Z21" s="76">
        <v>102</v>
      </c>
      <c r="AA21" s="76" t="s">
        <v>3902</v>
      </c>
      <c r="AB21" s="165" t="s">
        <v>6598</v>
      </c>
      <c r="AC21" s="165" t="s">
        <v>6601</v>
      </c>
      <c r="AD21" s="165" t="s">
        <v>6610</v>
      </c>
      <c r="AE21" s="25" t="s">
        <v>3901</v>
      </c>
      <c r="AF21" s="338">
        <v>2.2433000000000002E-2</v>
      </c>
      <c r="AG21" s="62">
        <v>0.51597222222222217</v>
      </c>
      <c r="AH21" s="338">
        <v>4.2285999999999997E-2</v>
      </c>
      <c r="AI21" s="62">
        <v>0.48819444444444443</v>
      </c>
      <c r="AJ21" s="62"/>
      <c r="AK21" s="62"/>
      <c r="AL21" s="364">
        <f t="shared" si="0"/>
        <v>0.88499086167699348</v>
      </c>
    </row>
    <row r="22" spans="2:39">
      <c r="B22" s="72" t="s">
        <v>253</v>
      </c>
      <c r="C22" s="73" t="s">
        <v>1691</v>
      </c>
      <c r="D22" s="74">
        <v>8000</v>
      </c>
      <c r="E22" s="72" t="s">
        <v>8</v>
      </c>
      <c r="F22" s="74">
        <v>600</v>
      </c>
      <c r="G22" s="74">
        <f>F22+Q22+T22+W22+Z22</f>
        <v>2133</v>
      </c>
      <c r="H22" s="27">
        <v>44502</v>
      </c>
      <c r="I22" s="72" t="s">
        <v>3900</v>
      </c>
      <c r="J22" s="72" t="s">
        <v>3899</v>
      </c>
      <c r="K22" s="72" t="s">
        <v>2045</v>
      </c>
      <c r="L22" s="72" t="s">
        <v>3898</v>
      </c>
      <c r="M22" s="72">
        <v>2016</v>
      </c>
      <c r="N22" s="72" t="s">
        <v>3897</v>
      </c>
      <c r="O22" s="72" t="s">
        <v>3896</v>
      </c>
      <c r="P22" s="76" t="s">
        <v>3895</v>
      </c>
      <c r="Q22" s="76">
        <v>500</v>
      </c>
      <c r="R22" s="76" t="s">
        <v>3894</v>
      </c>
      <c r="S22" s="76" t="s">
        <v>3893</v>
      </c>
      <c r="T22" s="76">
        <v>940</v>
      </c>
      <c r="U22" s="76" t="s">
        <v>3892</v>
      </c>
      <c r="V22" s="76" t="s">
        <v>5</v>
      </c>
      <c r="W22" s="76">
        <v>92</v>
      </c>
      <c r="X22" s="76" t="s">
        <v>3891</v>
      </c>
      <c r="Y22" s="76" t="s">
        <v>5</v>
      </c>
      <c r="Z22" s="76">
        <v>1</v>
      </c>
      <c r="AA22" s="76" t="s">
        <v>866</v>
      </c>
      <c r="AB22" s="165" t="s">
        <v>6598</v>
      </c>
      <c r="AC22" s="165" t="s">
        <v>6601</v>
      </c>
      <c r="AD22" s="165" t="s">
        <v>6609</v>
      </c>
      <c r="AE22" s="25" t="s">
        <v>3890</v>
      </c>
      <c r="AF22" s="338">
        <v>2.6478000000000002E-2</v>
      </c>
      <c r="AG22" s="62">
        <v>5.5555555555555552E-2</v>
      </c>
      <c r="AH22" s="338">
        <v>3.0182E-2</v>
      </c>
      <c r="AI22" s="62">
        <v>7.1527777777777773E-2</v>
      </c>
      <c r="AJ22" s="62"/>
      <c r="AK22" s="62"/>
      <c r="AL22" s="364">
        <f t="shared" si="0"/>
        <v>0.13988971976735409</v>
      </c>
    </row>
    <row r="23" spans="2:39" s="12" customFormat="1">
      <c r="B23" s="12" t="s">
        <v>3889</v>
      </c>
      <c r="C23" s="29" t="s">
        <v>1691</v>
      </c>
      <c r="D23" s="15">
        <v>7000</v>
      </c>
      <c r="E23" s="12" t="s">
        <v>9</v>
      </c>
      <c r="F23" s="15">
        <v>325</v>
      </c>
      <c r="G23" s="15">
        <f>F23+Q23+T23+W23+Z23</f>
        <v>602.5</v>
      </c>
      <c r="H23" s="14">
        <v>44299</v>
      </c>
      <c r="I23" s="12" t="s">
        <v>3144</v>
      </c>
      <c r="J23" s="12" t="s">
        <v>3888</v>
      </c>
      <c r="K23" s="12" t="s">
        <v>2569</v>
      </c>
      <c r="L23" s="12" t="s">
        <v>2056</v>
      </c>
      <c r="M23" s="249">
        <v>42522</v>
      </c>
      <c r="N23" s="12" t="s">
        <v>3887</v>
      </c>
      <c r="O23" s="12" t="s">
        <v>3886</v>
      </c>
      <c r="P23" s="24" t="s">
        <v>3885</v>
      </c>
      <c r="Q23" s="24">
        <v>155</v>
      </c>
      <c r="R23" s="24" t="s">
        <v>3884</v>
      </c>
      <c r="S23" s="24" t="s">
        <v>18</v>
      </c>
      <c r="T23" s="24">
        <v>100</v>
      </c>
      <c r="U23" s="24" t="s">
        <v>3883</v>
      </c>
      <c r="V23" s="24" t="s">
        <v>7</v>
      </c>
      <c r="W23" s="24">
        <v>18</v>
      </c>
      <c r="X23" s="24" t="s">
        <v>3882</v>
      </c>
      <c r="Y23" s="24" t="s">
        <v>5</v>
      </c>
      <c r="Z23" s="24">
        <v>4.5</v>
      </c>
      <c r="AA23" s="24" t="s">
        <v>3881</v>
      </c>
      <c r="AB23" s="12" t="s">
        <v>6598</v>
      </c>
      <c r="AC23" s="12" t="s">
        <v>6601</v>
      </c>
      <c r="AD23" s="12" t="s">
        <v>2362</v>
      </c>
      <c r="AE23" s="37" t="s">
        <v>4342</v>
      </c>
      <c r="AF23" s="506">
        <v>0.38327699999999998</v>
      </c>
      <c r="AG23" s="71">
        <v>0.11875000000000001</v>
      </c>
      <c r="AH23" s="506">
        <v>0.30865799999999999</v>
      </c>
      <c r="AI23" s="71">
        <v>7.9166666666666663E-2</v>
      </c>
      <c r="AJ23" s="71"/>
      <c r="AK23" s="71"/>
      <c r="AL23" s="369">
        <f t="shared" si="0"/>
        <v>-0.19468687137501073</v>
      </c>
    </row>
    <row r="24" spans="2:39">
      <c r="B24" s="72" t="s">
        <v>3880</v>
      </c>
      <c r="C24" s="73" t="s">
        <v>1691</v>
      </c>
      <c r="D24" s="74">
        <v>7000</v>
      </c>
      <c r="E24" s="72" t="s">
        <v>9</v>
      </c>
      <c r="F24" s="74">
        <v>250</v>
      </c>
      <c r="G24" s="74">
        <f>F24+Q24+T24+W24+Z24</f>
        <v>577</v>
      </c>
      <c r="H24" s="77">
        <v>44350</v>
      </c>
      <c r="I24" s="72" t="s">
        <v>3879</v>
      </c>
      <c r="J24" s="72" t="s">
        <v>3878</v>
      </c>
      <c r="K24" s="72" t="s">
        <v>2045</v>
      </c>
      <c r="L24" s="72" t="s">
        <v>2123</v>
      </c>
      <c r="M24" s="72">
        <v>2015</v>
      </c>
      <c r="N24" s="72" t="s">
        <v>3877</v>
      </c>
      <c r="O24" s="72" t="s">
        <v>3876</v>
      </c>
      <c r="P24" s="76" t="s">
        <v>8</v>
      </c>
      <c r="Q24" s="76">
        <v>200</v>
      </c>
      <c r="R24" s="76" t="s">
        <v>3875</v>
      </c>
      <c r="S24" s="76" t="s">
        <v>18</v>
      </c>
      <c r="T24" s="76">
        <v>65</v>
      </c>
      <c r="U24" s="76" t="s">
        <v>3874</v>
      </c>
      <c r="V24" s="76" t="s">
        <v>7</v>
      </c>
      <c r="W24" s="76">
        <v>40</v>
      </c>
      <c r="X24" s="76" t="s">
        <v>3873</v>
      </c>
      <c r="Y24" s="76" t="s">
        <v>5</v>
      </c>
      <c r="Z24" s="76">
        <v>22</v>
      </c>
      <c r="AA24" s="76" t="s">
        <v>3872</v>
      </c>
      <c r="AB24" s="165" t="s">
        <v>6598</v>
      </c>
      <c r="AC24" s="165" t="s">
        <v>6601</v>
      </c>
      <c r="AD24" s="165" t="s">
        <v>2362</v>
      </c>
      <c r="AE24" s="25" t="s">
        <v>3871</v>
      </c>
      <c r="AF24" s="338">
        <v>1.0680000000000001</v>
      </c>
      <c r="AG24" s="62">
        <v>0.16180555555555556</v>
      </c>
      <c r="AH24" s="338">
        <v>1.1220000000000001</v>
      </c>
      <c r="AI24" s="62">
        <v>0.14097222222222222</v>
      </c>
      <c r="AJ24" s="62"/>
      <c r="AK24" s="62"/>
      <c r="AL24" s="364">
        <f t="shared" si="0"/>
        <v>5.0561797752809001E-2</v>
      </c>
    </row>
    <row r="25" spans="2:39">
      <c r="B25" s="72" t="s">
        <v>705</v>
      </c>
      <c r="C25" s="73" t="s">
        <v>1691</v>
      </c>
      <c r="D25" s="74">
        <v>5500</v>
      </c>
      <c r="E25" s="72" t="s">
        <v>4</v>
      </c>
      <c r="F25" s="74">
        <v>120</v>
      </c>
      <c r="G25" s="74">
        <f>+F25</f>
        <v>120</v>
      </c>
      <c r="H25" s="77">
        <v>45090</v>
      </c>
      <c r="I25" s="72" t="s">
        <v>2546</v>
      </c>
      <c r="J25" s="72" t="s">
        <v>3412</v>
      </c>
      <c r="K25" s="72" t="s">
        <v>2569</v>
      </c>
      <c r="L25" s="72" t="s">
        <v>3169</v>
      </c>
      <c r="M25" s="85" t="s">
        <v>3411</v>
      </c>
      <c r="N25" s="72" t="s">
        <v>3410</v>
      </c>
      <c r="O25" s="72" t="s">
        <v>3409</v>
      </c>
      <c r="P25" s="76" t="s">
        <v>1</v>
      </c>
      <c r="Q25" s="76" t="s">
        <v>1</v>
      </c>
      <c r="R25" s="76" t="s">
        <v>1</v>
      </c>
      <c r="S25" s="76" t="s">
        <v>1</v>
      </c>
      <c r="T25" s="76" t="s">
        <v>1</v>
      </c>
      <c r="U25" s="76" t="s">
        <v>1</v>
      </c>
      <c r="V25" s="76" t="s">
        <v>1</v>
      </c>
      <c r="W25" s="76" t="s">
        <v>1</v>
      </c>
      <c r="X25" s="76" t="s">
        <v>1</v>
      </c>
      <c r="Y25" s="76" t="s">
        <v>1</v>
      </c>
      <c r="Z25" s="76" t="s">
        <v>1</v>
      </c>
      <c r="AA25" s="76" t="s">
        <v>1</v>
      </c>
      <c r="AB25" s="72" t="s">
        <v>2145</v>
      </c>
      <c r="AE25" s="25" t="s">
        <v>5082</v>
      </c>
      <c r="AF25" s="344">
        <v>0.36059000000000002</v>
      </c>
      <c r="AG25" s="68">
        <v>7.6388888888888886E-3</v>
      </c>
      <c r="AH25" s="344">
        <v>1.141</v>
      </c>
      <c r="AI25" s="337">
        <v>0.11736111111111111</v>
      </c>
      <c r="AJ25" s="337"/>
      <c r="AK25" s="337"/>
      <c r="AL25" s="364">
        <f>+AH25/AF25-1</f>
        <v>2.1642585762223021</v>
      </c>
    </row>
    <row r="26" spans="2:39">
      <c r="B26" s="494" t="s">
        <v>15357</v>
      </c>
      <c r="C26" s="495" t="s">
        <v>1691</v>
      </c>
      <c r="D26" s="74">
        <v>5000</v>
      </c>
      <c r="E26" s="494" t="s">
        <v>5</v>
      </c>
      <c r="F26" s="74">
        <v>1000</v>
      </c>
      <c r="G26" s="74">
        <v>1000</v>
      </c>
      <c r="H26" s="77"/>
      <c r="J26" s="494" t="s">
        <v>15359</v>
      </c>
      <c r="K26" s="494" t="s">
        <v>15358</v>
      </c>
      <c r="L26" s="494" t="s">
        <v>15358</v>
      </c>
      <c r="M26" s="72">
        <v>2024</v>
      </c>
      <c r="AB26" s="165"/>
      <c r="AC26" s="497" t="s">
        <v>6601</v>
      </c>
      <c r="AD26" s="497" t="s">
        <v>2362</v>
      </c>
      <c r="AE26" s="25"/>
      <c r="AF26" s="338"/>
      <c r="AG26" s="62"/>
      <c r="AH26" s="338"/>
      <c r="AI26" s="62"/>
      <c r="AJ26" s="62"/>
      <c r="AK26" s="62"/>
      <c r="AL26" s="364"/>
    </row>
    <row r="27" spans="2:39">
      <c r="B27" s="72" t="s">
        <v>3732</v>
      </c>
      <c r="C27" s="73" t="s">
        <v>1691</v>
      </c>
      <c r="D27" s="74">
        <v>4500</v>
      </c>
      <c r="E27" s="264" t="s">
        <v>8</v>
      </c>
      <c r="F27" s="74">
        <v>235</v>
      </c>
      <c r="G27" s="74">
        <f>F27+Q27+T27+W27+Z27</f>
        <v>394</v>
      </c>
      <c r="H27" s="77">
        <v>45161</v>
      </c>
      <c r="I27" s="264" t="s">
        <v>7911</v>
      </c>
      <c r="J27" s="72" t="s">
        <v>3731</v>
      </c>
      <c r="K27" s="72" t="s">
        <v>2569</v>
      </c>
      <c r="L27" s="72" t="s">
        <v>2056</v>
      </c>
      <c r="M27" s="72">
        <v>2016</v>
      </c>
      <c r="N27" s="25" t="s">
        <v>3730</v>
      </c>
      <c r="O27" s="264" t="s">
        <v>7910</v>
      </c>
      <c r="P27" s="267" t="s">
        <v>18</v>
      </c>
      <c r="Q27" s="76">
        <v>100</v>
      </c>
      <c r="R27" s="72" t="s">
        <v>3729</v>
      </c>
      <c r="S27" s="76" t="s">
        <v>7</v>
      </c>
      <c r="T27" s="76">
        <v>40</v>
      </c>
      <c r="U27" s="76" t="s">
        <v>3728</v>
      </c>
      <c r="V27" s="76" t="s">
        <v>5</v>
      </c>
      <c r="W27" s="76">
        <v>15</v>
      </c>
      <c r="X27" s="76" t="s">
        <v>3727</v>
      </c>
      <c r="Y27" s="76" t="s">
        <v>4</v>
      </c>
      <c r="Z27" s="76">
        <v>4</v>
      </c>
      <c r="AA27" s="76" t="s">
        <v>3726</v>
      </c>
      <c r="AB27" s="165" t="s">
        <v>6598</v>
      </c>
      <c r="AC27" s="165" t="s">
        <v>6606</v>
      </c>
      <c r="AD27" s="165" t="s">
        <v>6606</v>
      </c>
      <c r="AE27" s="25" t="s">
        <v>4351</v>
      </c>
      <c r="AF27" s="64">
        <v>20.74</v>
      </c>
      <c r="AG27" s="62">
        <v>0.17500000000000002</v>
      </c>
      <c r="AH27" s="64">
        <v>18.48</v>
      </c>
      <c r="AI27" s="62">
        <v>0.21180555555555555</v>
      </c>
      <c r="AJ27" s="62"/>
      <c r="AK27" s="62"/>
      <c r="AL27" s="364">
        <f t="shared" si="0"/>
        <v>-0.10896817743490828</v>
      </c>
    </row>
    <row r="28" spans="2:39" s="12" customFormat="1">
      <c r="B28" s="12" t="s">
        <v>1043</v>
      </c>
      <c r="C28" s="29" t="s">
        <v>1691</v>
      </c>
      <c r="D28" s="15">
        <v>4300</v>
      </c>
      <c r="E28" s="12" t="s">
        <v>9</v>
      </c>
      <c r="F28" s="15">
        <v>260</v>
      </c>
      <c r="G28" s="15">
        <f>+F28+Q28+T28+W28+Z28</f>
        <v>618.20000000000005</v>
      </c>
      <c r="H28" s="14">
        <v>44699</v>
      </c>
      <c r="I28" s="12" t="s">
        <v>3624</v>
      </c>
      <c r="J28" s="12" t="s">
        <v>3623</v>
      </c>
      <c r="K28" s="12" t="s">
        <v>2045</v>
      </c>
      <c r="L28" s="12" t="s">
        <v>2230</v>
      </c>
      <c r="M28" s="12">
        <v>2019</v>
      </c>
      <c r="P28" s="24" t="s">
        <v>8</v>
      </c>
      <c r="Q28" s="510">
        <v>203.2</v>
      </c>
      <c r="R28" s="24" t="s">
        <v>15549</v>
      </c>
      <c r="S28" s="24" t="s">
        <v>18</v>
      </c>
      <c r="T28" s="24">
        <v>100</v>
      </c>
      <c r="U28" s="12" t="s">
        <v>3622</v>
      </c>
      <c r="V28" s="24" t="s">
        <v>7</v>
      </c>
      <c r="W28" s="24">
        <v>40</v>
      </c>
      <c r="X28" s="24" t="s">
        <v>3621</v>
      </c>
      <c r="Y28" s="24" t="s">
        <v>5</v>
      </c>
      <c r="Z28" s="24">
        <v>15</v>
      </c>
      <c r="AA28" s="24" t="s">
        <v>3620</v>
      </c>
      <c r="AB28" s="12" t="s">
        <v>6598</v>
      </c>
      <c r="AC28" s="12" t="s">
        <v>6601</v>
      </c>
      <c r="AD28" s="12" t="s">
        <v>6608</v>
      </c>
      <c r="AE28" s="37" t="s">
        <v>5042</v>
      </c>
      <c r="AF28" s="359">
        <v>3.1140999999999999E-2</v>
      </c>
      <c r="AG28" s="70">
        <v>7.6388888888888886E-3</v>
      </c>
      <c r="AH28" s="359">
        <v>4.3047000000000002E-2</v>
      </c>
      <c r="AI28" s="70">
        <v>1.1805555555555555E-2</v>
      </c>
      <c r="AJ28" s="70"/>
      <c r="AK28" s="70"/>
      <c r="AL28" s="369">
        <f>+AH28/AF28-1</f>
        <v>0.38232555152371495</v>
      </c>
    </row>
    <row r="29" spans="2:39">
      <c r="B29" s="72" t="s">
        <v>245</v>
      </c>
      <c r="C29" s="73" t="s">
        <v>1691</v>
      </c>
      <c r="D29" s="74">
        <v>4200</v>
      </c>
      <c r="E29" s="72" t="s">
        <v>18</v>
      </c>
      <c r="F29" s="74">
        <v>820</v>
      </c>
      <c r="G29" s="74">
        <f>F29+Q29+T29</f>
        <v>940</v>
      </c>
      <c r="H29" s="27">
        <v>43223</v>
      </c>
      <c r="I29" s="72" t="s">
        <v>3856</v>
      </c>
      <c r="J29" s="72" t="s">
        <v>3855</v>
      </c>
      <c r="K29" s="72" t="s">
        <v>2045</v>
      </c>
      <c r="L29" s="72" t="s">
        <v>2349</v>
      </c>
      <c r="M29" s="72">
        <v>2012</v>
      </c>
      <c r="O29" s="72" t="s">
        <v>3854</v>
      </c>
      <c r="P29" s="76" t="s">
        <v>3853</v>
      </c>
      <c r="Q29" s="76">
        <v>100</v>
      </c>
      <c r="R29" s="76" t="s">
        <v>3852</v>
      </c>
      <c r="S29" s="76" t="s">
        <v>5</v>
      </c>
      <c r="T29" s="76">
        <v>20</v>
      </c>
      <c r="U29" s="76" t="s">
        <v>246</v>
      </c>
      <c r="V29" s="76" t="s">
        <v>1</v>
      </c>
      <c r="W29" s="76" t="s">
        <v>1</v>
      </c>
      <c r="X29" s="76" t="s">
        <v>1</v>
      </c>
      <c r="Y29" s="76" t="s">
        <v>1</v>
      </c>
      <c r="Z29" s="76" t="s">
        <v>1</v>
      </c>
      <c r="AA29" s="76" t="s">
        <v>1</v>
      </c>
      <c r="AB29" s="165" t="s">
        <v>6599</v>
      </c>
      <c r="AD29" s="165" t="s">
        <v>3599</v>
      </c>
      <c r="AE29" s="25" t="s">
        <v>3851</v>
      </c>
      <c r="AF29" s="338">
        <v>6.6556000000000004E-2</v>
      </c>
      <c r="AG29" s="62">
        <v>0.2590277777777778</v>
      </c>
      <c r="AH29" s="339">
        <v>7.1416999999999994E-2</v>
      </c>
      <c r="AI29" s="62">
        <v>0.27986111111111112</v>
      </c>
      <c r="AJ29" s="62"/>
      <c r="AK29" s="62"/>
      <c r="AL29" s="364">
        <f t="shared" si="0"/>
        <v>7.3036240158663279E-2</v>
      </c>
    </row>
    <row r="30" spans="2:39">
      <c r="B30" s="72" t="s">
        <v>1133</v>
      </c>
      <c r="C30" s="73" t="s">
        <v>1691</v>
      </c>
      <c r="D30" s="74">
        <v>4000</v>
      </c>
      <c r="E30" s="72" t="s">
        <v>5</v>
      </c>
      <c r="F30" s="74">
        <v>1300</v>
      </c>
      <c r="G30" s="74">
        <f>F30+Q30</f>
        <v>1525</v>
      </c>
      <c r="H30" s="77">
        <v>45106</v>
      </c>
      <c r="I30" s="72" t="s">
        <v>3835</v>
      </c>
      <c r="J30" s="72" t="s">
        <v>3834</v>
      </c>
      <c r="K30" s="72" t="s">
        <v>2308</v>
      </c>
      <c r="L30" s="72" t="s">
        <v>2467</v>
      </c>
      <c r="M30" s="72">
        <v>2022</v>
      </c>
      <c r="N30" s="72" t="s">
        <v>3833</v>
      </c>
      <c r="O30" s="72" t="s">
        <v>3832</v>
      </c>
      <c r="P30" s="76" t="s">
        <v>5</v>
      </c>
      <c r="Q30" s="76">
        <v>225</v>
      </c>
      <c r="R30" s="72" t="s">
        <v>1134</v>
      </c>
      <c r="S30" s="76" t="s">
        <v>1</v>
      </c>
      <c r="T30" s="76" t="s">
        <v>1</v>
      </c>
      <c r="U30" s="76" t="s">
        <v>1</v>
      </c>
      <c r="V30" s="76" t="s">
        <v>1</v>
      </c>
      <c r="W30" s="76" t="s">
        <v>1</v>
      </c>
      <c r="X30" s="76" t="s">
        <v>1</v>
      </c>
      <c r="Y30" s="76" t="s">
        <v>1</v>
      </c>
      <c r="Z30" s="76" t="s">
        <v>1</v>
      </c>
      <c r="AA30" s="76" t="s">
        <v>1</v>
      </c>
      <c r="AB30" s="165" t="s">
        <v>6598</v>
      </c>
      <c r="AC30" s="165" t="s">
        <v>6601</v>
      </c>
      <c r="AD30" s="165" t="s">
        <v>6608</v>
      </c>
      <c r="AE30" s="25" t="s">
        <v>4345</v>
      </c>
      <c r="AF30" s="338">
        <v>1.9219999999999999</v>
      </c>
      <c r="AG30" s="62">
        <v>0.27152777777777776</v>
      </c>
      <c r="AH30" s="339">
        <v>3.698</v>
      </c>
      <c r="AI30" s="337">
        <v>0.21666666666666667</v>
      </c>
      <c r="AJ30" s="337"/>
      <c r="AK30" s="337"/>
      <c r="AL30" s="364">
        <f t="shared" si="0"/>
        <v>0.92403746097814787</v>
      </c>
      <c r="AM30" s="72">
        <f>+AH30/AH10</f>
        <v>2.3750802825947335E-3</v>
      </c>
    </row>
    <row r="31" spans="2:39">
      <c r="B31" s="72" t="s">
        <v>74</v>
      </c>
      <c r="C31" s="73" t="s">
        <v>1691</v>
      </c>
      <c r="D31" s="74">
        <v>3800</v>
      </c>
      <c r="E31" s="72" t="s">
        <v>53</v>
      </c>
      <c r="F31" s="74">
        <v>250</v>
      </c>
      <c r="G31" s="74">
        <f>F31+Q31</f>
        <v>522</v>
      </c>
      <c r="H31" s="27">
        <v>44510</v>
      </c>
      <c r="I31" s="72" t="s">
        <v>3831</v>
      </c>
      <c r="J31" s="72" t="s">
        <v>3830</v>
      </c>
      <c r="K31" s="72" t="s">
        <v>2100</v>
      </c>
      <c r="L31" s="72" t="s">
        <v>3829</v>
      </c>
      <c r="M31" s="72">
        <v>2016</v>
      </c>
      <c r="O31" s="72" t="s">
        <v>3828</v>
      </c>
      <c r="P31" s="76" t="s">
        <v>9</v>
      </c>
      <c r="Q31" s="76">
        <v>272</v>
      </c>
      <c r="R31" s="76" t="s">
        <v>1</v>
      </c>
      <c r="S31" s="76" t="s">
        <v>8</v>
      </c>
      <c r="T31" s="76">
        <v>81</v>
      </c>
      <c r="U31" s="76" t="s">
        <v>3827</v>
      </c>
      <c r="V31" s="76" t="s">
        <v>18</v>
      </c>
      <c r="W31" s="76">
        <v>60</v>
      </c>
      <c r="X31" s="76" t="s">
        <v>3826</v>
      </c>
      <c r="Y31" s="76" t="s">
        <v>7</v>
      </c>
      <c r="Z31" s="76">
        <v>25</v>
      </c>
      <c r="AA31" s="76" t="s">
        <v>3825</v>
      </c>
      <c r="AB31" s="165" t="s">
        <v>6598</v>
      </c>
      <c r="AC31" s="165" t="s">
        <v>6601</v>
      </c>
      <c r="AD31" s="165" t="s">
        <v>6607</v>
      </c>
      <c r="AE31" s="25" t="s">
        <v>3824</v>
      </c>
      <c r="AF31" s="338">
        <v>6.4711000000000005E-2</v>
      </c>
      <c r="AG31" s="62">
        <v>5.0694444444444452E-2</v>
      </c>
      <c r="AH31" s="338">
        <v>5.8518000000000001E-2</v>
      </c>
      <c r="AI31" s="62">
        <v>2.7083333333333334E-2</v>
      </c>
      <c r="AJ31" s="62"/>
      <c r="AK31" s="62"/>
      <c r="AL31" s="364">
        <f t="shared" si="0"/>
        <v>-9.5702430807745209E-2</v>
      </c>
    </row>
    <row r="32" spans="2:39">
      <c r="B32" s="72" t="s">
        <v>3795</v>
      </c>
      <c r="C32" s="73" t="s">
        <v>3794</v>
      </c>
      <c r="D32" s="74">
        <v>3680</v>
      </c>
      <c r="E32" s="72" t="s">
        <v>3792</v>
      </c>
      <c r="F32" s="74">
        <v>651</v>
      </c>
      <c r="G32" s="266" t="s">
        <v>1</v>
      </c>
      <c r="H32" s="77">
        <v>44174</v>
      </c>
      <c r="I32" s="72" t="s">
        <v>2045</v>
      </c>
      <c r="J32" s="72" t="s">
        <v>3793</v>
      </c>
      <c r="K32" s="72" t="s">
        <v>2045</v>
      </c>
      <c r="L32" s="72" t="s">
        <v>2230</v>
      </c>
      <c r="M32" s="72">
        <v>2009</v>
      </c>
      <c r="O32" s="72" t="s">
        <v>3792</v>
      </c>
      <c r="P32" s="76" t="s">
        <v>53</v>
      </c>
      <c r="Q32" s="76">
        <v>106</v>
      </c>
      <c r="R32" s="76" t="s">
        <v>3791</v>
      </c>
      <c r="T32" s="76" t="s">
        <v>1</v>
      </c>
      <c r="U32" s="76" t="s">
        <v>1</v>
      </c>
      <c r="V32" s="76" t="s">
        <v>1</v>
      </c>
      <c r="W32" s="76" t="s">
        <v>1</v>
      </c>
      <c r="X32" s="76" t="s">
        <v>1</v>
      </c>
      <c r="Y32" s="76" t="s">
        <v>1</v>
      </c>
      <c r="Z32" s="76" t="s">
        <v>1</v>
      </c>
      <c r="AA32" s="76" t="s">
        <v>1</v>
      </c>
      <c r="AB32" s="165" t="s">
        <v>6598</v>
      </c>
      <c r="AC32" s="165" t="s">
        <v>6601</v>
      </c>
      <c r="AD32" s="165" t="s">
        <v>6618</v>
      </c>
      <c r="AE32" s="25" t="s">
        <v>4346</v>
      </c>
      <c r="AF32" s="338">
        <v>0.17391100000000001</v>
      </c>
      <c r="AG32" s="62">
        <v>6.458333333333334E-2</v>
      </c>
      <c r="AH32" s="339">
        <v>0.61713200000000001</v>
      </c>
      <c r="AI32" s="337">
        <v>1.7361111111111112E-2</v>
      </c>
      <c r="AJ32" s="337"/>
      <c r="AK32" s="337"/>
      <c r="AL32" s="364">
        <f t="shared" si="0"/>
        <v>2.5485506954706718</v>
      </c>
    </row>
    <row r="33" spans="1:38">
      <c r="B33" s="72" t="s">
        <v>211</v>
      </c>
      <c r="C33" s="73" t="s">
        <v>1691</v>
      </c>
      <c r="D33" s="74">
        <v>3500</v>
      </c>
      <c r="E33" s="72" t="s">
        <v>8</v>
      </c>
      <c r="F33" s="74">
        <v>700</v>
      </c>
      <c r="G33" s="74">
        <f>F33+Q33+T33</f>
        <v>1070</v>
      </c>
      <c r="H33" s="77">
        <v>44218</v>
      </c>
      <c r="I33" s="72" t="s">
        <v>3790</v>
      </c>
      <c r="J33" s="72" t="s">
        <v>3789</v>
      </c>
      <c r="K33" s="72" t="s">
        <v>2045</v>
      </c>
      <c r="L33" s="72" t="s">
        <v>2056</v>
      </c>
      <c r="M33" s="72">
        <v>2014</v>
      </c>
      <c r="N33" s="72" t="s">
        <v>3788</v>
      </c>
      <c r="O33" s="72" t="s">
        <v>3787</v>
      </c>
      <c r="P33" s="76" t="s">
        <v>18</v>
      </c>
      <c r="Q33" s="76">
        <v>230</v>
      </c>
      <c r="R33" s="76" t="s">
        <v>3786</v>
      </c>
      <c r="S33" s="76" t="s">
        <v>18</v>
      </c>
      <c r="T33" s="76">
        <v>140</v>
      </c>
      <c r="U33" s="76" t="s">
        <v>3785</v>
      </c>
      <c r="V33" s="76" t="s">
        <v>7</v>
      </c>
      <c r="W33" s="76" t="s">
        <v>1</v>
      </c>
      <c r="X33" s="76" t="s">
        <v>3784</v>
      </c>
      <c r="Y33" s="76" t="s">
        <v>5</v>
      </c>
      <c r="Z33" s="76" t="s">
        <v>1</v>
      </c>
      <c r="AA33" s="76" t="s">
        <v>3783</v>
      </c>
      <c r="AB33" s="165" t="s">
        <v>6599</v>
      </c>
      <c r="AD33" s="165" t="s">
        <v>6614</v>
      </c>
      <c r="AE33" s="25" t="s">
        <v>3782</v>
      </c>
      <c r="AF33" s="338">
        <v>0.41541</v>
      </c>
      <c r="AG33" s="62">
        <v>0.21111111111111111</v>
      </c>
      <c r="AH33" s="340" t="s">
        <v>1</v>
      </c>
      <c r="AI33" s="340" t="s">
        <v>1</v>
      </c>
      <c r="AJ33" s="340"/>
      <c r="AK33" s="340"/>
      <c r="AL33" s="364"/>
    </row>
    <row r="34" spans="1:38">
      <c r="B34" s="72" t="s">
        <v>2116</v>
      </c>
      <c r="C34" s="73" t="s">
        <v>1691</v>
      </c>
      <c r="D34" s="74">
        <v>3400</v>
      </c>
      <c r="E34" s="72" t="s">
        <v>8</v>
      </c>
      <c r="F34" s="74">
        <v>175</v>
      </c>
      <c r="G34" s="74">
        <f>F34+Q34+T34+W34</f>
        <v>351.5</v>
      </c>
      <c r="H34" s="27">
        <v>44511</v>
      </c>
      <c r="I34" s="72" t="s">
        <v>4877</v>
      </c>
      <c r="J34" s="72" t="s">
        <v>4868</v>
      </c>
      <c r="K34" s="72" t="s">
        <v>2045</v>
      </c>
      <c r="L34" s="72" t="s">
        <v>2115</v>
      </c>
      <c r="M34" s="72">
        <v>2017</v>
      </c>
      <c r="O34" s="72" t="s">
        <v>4870</v>
      </c>
      <c r="P34" s="76" t="s">
        <v>18</v>
      </c>
      <c r="Q34" s="76">
        <v>125</v>
      </c>
      <c r="R34" s="76" t="s">
        <v>4873</v>
      </c>
      <c r="S34" s="76" t="s">
        <v>7</v>
      </c>
      <c r="T34" s="76">
        <v>40</v>
      </c>
      <c r="U34" s="76" t="s">
        <v>4872</v>
      </c>
      <c r="V34" s="76" t="s">
        <v>5</v>
      </c>
      <c r="W34" s="76">
        <v>11.5</v>
      </c>
      <c r="X34" s="76" t="s">
        <v>4874</v>
      </c>
      <c r="Y34" s="76" t="s">
        <v>4</v>
      </c>
      <c r="Z34" s="76" t="s">
        <v>1</v>
      </c>
      <c r="AA34" s="76" t="s">
        <v>4876</v>
      </c>
      <c r="AB34" s="165" t="s">
        <v>6598</v>
      </c>
      <c r="AC34" s="165" t="s">
        <v>6601</v>
      </c>
      <c r="AD34" s="165" t="s">
        <v>6609</v>
      </c>
      <c r="AE34" s="25" t="s">
        <v>2114</v>
      </c>
      <c r="AF34" s="338">
        <v>6.0814E-2</v>
      </c>
      <c r="AG34" s="62">
        <v>5.6250000000000001E-2</v>
      </c>
      <c r="AH34" s="338">
        <v>5.9340999999999998E-2</v>
      </c>
      <c r="AI34" s="62">
        <v>2.1527777777777778E-2</v>
      </c>
      <c r="AJ34" s="62"/>
      <c r="AK34" s="62"/>
      <c r="AL34" s="364">
        <f t="shared" si="0"/>
        <v>-2.4221396388989458E-2</v>
      </c>
    </row>
    <row r="35" spans="1:38">
      <c r="B35" s="72" t="s">
        <v>154</v>
      </c>
      <c r="C35" s="73" t="s">
        <v>1691</v>
      </c>
      <c r="D35" s="74">
        <v>3500</v>
      </c>
      <c r="E35" s="72" t="s">
        <v>53</v>
      </c>
      <c r="F35" s="74">
        <v>200</v>
      </c>
      <c r="G35" s="74">
        <f>F35+Q35+T35+W35</f>
        <v>801</v>
      </c>
      <c r="H35" s="77">
        <v>44907</v>
      </c>
      <c r="I35" s="72" t="s">
        <v>3803</v>
      </c>
      <c r="J35" s="72" t="s">
        <v>3802</v>
      </c>
      <c r="K35" s="72" t="s">
        <v>2045</v>
      </c>
      <c r="L35" s="72" t="s">
        <v>2850</v>
      </c>
      <c r="M35" s="72">
        <v>2013</v>
      </c>
      <c r="O35" s="72" t="s">
        <v>3801</v>
      </c>
      <c r="P35" s="76" t="s">
        <v>9</v>
      </c>
      <c r="Q35" s="76">
        <v>400</v>
      </c>
      <c r="R35" s="76" t="s">
        <v>3800</v>
      </c>
      <c r="S35" s="76" t="s">
        <v>8</v>
      </c>
      <c r="T35" s="76">
        <v>100</v>
      </c>
      <c r="U35" s="76" t="s">
        <v>3799</v>
      </c>
      <c r="V35" s="76" t="s">
        <v>18</v>
      </c>
      <c r="W35" s="76">
        <v>101</v>
      </c>
      <c r="X35" s="76" t="s">
        <v>3798</v>
      </c>
      <c r="Y35" s="76" t="s">
        <v>7</v>
      </c>
      <c r="Z35" s="76">
        <v>28</v>
      </c>
      <c r="AA35" s="76" t="s">
        <v>3797</v>
      </c>
      <c r="AB35" s="165" t="s">
        <v>6622</v>
      </c>
      <c r="AD35" s="165" t="s">
        <v>2145</v>
      </c>
      <c r="AE35" s="25" t="s">
        <v>3796</v>
      </c>
      <c r="AF35" s="338">
        <v>0.65510400000000002</v>
      </c>
      <c r="AG35" s="62">
        <v>6.1111111111111116E-2</v>
      </c>
      <c r="AH35" s="338">
        <v>0.482935</v>
      </c>
      <c r="AI35" s="62">
        <v>7.9166666666666663E-2</v>
      </c>
      <c r="AJ35" s="62"/>
      <c r="AK35" s="62"/>
      <c r="AL35" s="364">
        <f t="shared" si="0"/>
        <v>-0.26281170623290351</v>
      </c>
    </row>
    <row r="36" spans="1:38">
      <c r="B36" s="72" t="s">
        <v>232</v>
      </c>
      <c r="C36" s="73" t="s">
        <v>1691</v>
      </c>
      <c r="D36" s="74">
        <v>3300</v>
      </c>
      <c r="E36" s="72" t="s">
        <v>8</v>
      </c>
      <c r="F36" s="74">
        <v>750</v>
      </c>
      <c r="G36" s="74">
        <f>F36+Q36+T36+W36</f>
        <v>1332</v>
      </c>
      <c r="H36" s="27">
        <v>43593</v>
      </c>
      <c r="I36" s="72" t="s">
        <v>3812</v>
      </c>
      <c r="J36" s="72" t="s">
        <v>3811</v>
      </c>
      <c r="K36" s="72" t="s">
        <v>2045</v>
      </c>
      <c r="L36" s="72" t="s">
        <v>2044</v>
      </c>
      <c r="M36" s="72">
        <v>2011</v>
      </c>
      <c r="N36" s="72" t="s">
        <v>3810</v>
      </c>
      <c r="O36" s="72" t="s">
        <v>3809</v>
      </c>
      <c r="P36" s="76" t="s">
        <v>18</v>
      </c>
      <c r="Q36" s="76">
        <v>460</v>
      </c>
      <c r="R36" s="76" t="s">
        <v>3808</v>
      </c>
      <c r="S36" s="76" t="s">
        <v>18</v>
      </c>
      <c r="T36" s="76">
        <v>100</v>
      </c>
      <c r="U36" s="76" t="s">
        <v>3807</v>
      </c>
      <c r="V36" s="76" t="s">
        <v>7</v>
      </c>
      <c r="W36" s="76">
        <v>22</v>
      </c>
      <c r="X36" s="76" t="s">
        <v>3806</v>
      </c>
      <c r="Y36" s="76" t="s">
        <v>5</v>
      </c>
      <c r="Z36" s="76" t="s">
        <v>1</v>
      </c>
      <c r="AA36" s="76" t="s">
        <v>3805</v>
      </c>
      <c r="AB36" s="165" t="s">
        <v>6599</v>
      </c>
      <c r="AD36" s="165" t="s">
        <v>6614</v>
      </c>
      <c r="AE36" s="25" t="s">
        <v>3804</v>
      </c>
      <c r="AF36" s="338">
        <v>5.3029E-2</v>
      </c>
      <c r="AG36" s="62">
        <v>5.7638888888888885E-2</v>
      </c>
      <c r="AH36" s="339">
        <v>4.9887000000000001E-2</v>
      </c>
      <c r="AI36" s="337">
        <v>5.2777777777777778E-2</v>
      </c>
      <c r="AJ36" s="337"/>
      <c r="AK36" s="337"/>
      <c r="AL36" s="364">
        <f t="shared" si="0"/>
        <v>-5.9250598728997295E-2</v>
      </c>
    </row>
    <row r="37" spans="1:38">
      <c r="B37" s="12" t="s">
        <v>1004</v>
      </c>
      <c r="C37" s="29" t="s">
        <v>1691</v>
      </c>
      <c r="D37" s="15">
        <v>3000</v>
      </c>
      <c r="E37" s="12" t="s">
        <v>5</v>
      </c>
      <c r="F37" s="15">
        <v>26</v>
      </c>
      <c r="G37" s="74">
        <f>+F37+Q37</f>
        <v>29.1</v>
      </c>
      <c r="H37" s="14">
        <v>45013</v>
      </c>
      <c r="I37" s="12" t="s">
        <v>3312</v>
      </c>
      <c r="J37" s="12" t="s">
        <v>3356</v>
      </c>
      <c r="K37" s="32" t="s">
        <v>2308</v>
      </c>
      <c r="L37" s="32" t="s">
        <v>2765</v>
      </c>
      <c r="M37" s="12">
        <v>2022</v>
      </c>
      <c r="N37" s="12" t="s">
        <v>15546</v>
      </c>
      <c r="O37" s="12" t="s">
        <v>3355</v>
      </c>
      <c r="P37" s="24" t="s">
        <v>4</v>
      </c>
      <c r="Q37" s="24">
        <v>3.1</v>
      </c>
      <c r="R37" s="24" t="s">
        <v>3354</v>
      </c>
      <c r="S37" s="24" t="s">
        <v>1</v>
      </c>
      <c r="T37" s="24" t="s">
        <v>1</v>
      </c>
      <c r="U37" s="24" t="s">
        <v>1</v>
      </c>
      <c r="V37" s="24" t="s">
        <v>1</v>
      </c>
      <c r="W37" s="24" t="s">
        <v>1</v>
      </c>
      <c r="X37" s="24" t="s">
        <v>1</v>
      </c>
      <c r="Y37" s="24" t="s">
        <v>1</v>
      </c>
      <c r="Z37" s="24" t="s">
        <v>1</v>
      </c>
      <c r="AA37" s="24" t="s">
        <v>1</v>
      </c>
      <c r="AB37" s="12" t="s">
        <v>6598</v>
      </c>
      <c r="AC37" s="12" t="s">
        <v>6601</v>
      </c>
      <c r="AD37" s="12" t="s">
        <v>2362</v>
      </c>
      <c r="AE37" s="25" t="s">
        <v>5093</v>
      </c>
      <c r="AF37" s="63">
        <v>21.07</v>
      </c>
      <c r="AG37" s="68">
        <v>0.33333333333333331</v>
      </c>
      <c r="AH37" s="63">
        <v>44.94</v>
      </c>
      <c r="AI37" s="68">
        <v>0.27152777777777776</v>
      </c>
      <c r="AJ37" s="68"/>
      <c r="AK37" s="68"/>
      <c r="AL37" s="364">
        <f>+AH37/AF37-1</f>
        <v>1.132890365448505</v>
      </c>
    </row>
    <row r="38" spans="1:38">
      <c r="B38" s="72" t="s">
        <v>3781</v>
      </c>
      <c r="C38" s="73" t="s">
        <v>1691</v>
      </c>
      <c r="D38" s="74">
        <v>3000</v>
      </c>
      <c r="E38" s="72" t="s">
        <v>1</v>
      </c>
      <c r="F38" s="74" t="s">
        <v>1</v>
      </c>
      <c r="G38" s="94" t="s">
        <v>1</v>
      </c>
      <c r="H38" s="74" t="s">
        <v>1</v>
      </c>
      <c r="I38" s="72" t="s">
        <v>3780</v>
      </c>
      <c r="J38" s="72" t="s">
        <v>3779</v>
      </c>
      <c r="K38" s="72" t="s">
        <v>2045</v>
      </c>
      <c r="L38" s="72" t="s">
        <v>2071</v>
      </c>
      <c r="M38" s="72">
        <v>2017</v>
      </c>
      <c r="N38" s="72" t="s">
        <v>5013</v>
      </c>
      <c r="O38" s="72" t="s">
        <v>1</v>
      </c>
      <c r="P38" s="72" t="s">
        <v>1</v>
      </c>
      <c r="Q38" s="72" t="s">
        <v>1</v>
      </c>
      <c r="R38" s="72" t="s">
        <v>1</v>
      </c>
      <c r="S38" s="72" t="s">
        <v>1</v>
      </c>
      <c r="T38" s="72" t="s">
        <v>1</v>
      </c>
      <c r="U38" s="72" t="s">
        <v>1</v>
      </c>
      <c r="V38" s="72" t="s">
        <v>1</v>
      </c>
      <c r="W38" s="72" t="s">
        <v>1</v>
      </c>
      <c r="X38" s="72" t="s">
        <v>1</v>
      </c>
      <c r="Y38" s="72" t="s">
        <v>1</v>
      </c>
      <c r="Z38" s="72" t="s">
        <v>1</v>
      </c>
      <c r="AA38" s="72" t="s">
        <v>1</v>
      </c>
      <c r="AB38" s="165" t="s">
        <v>6598</v>
      </c>
      <c r="AC38" s="165" t="s">
        <v>6601</v>
      </c>
      <c r="AD38" s="165" t="s">
        <v>6608</v>
      </c>
      <c r="AE38" s="25" t="s">
        <v>3778</v>
      </c>
      <c r="AF38" s="338">
        <v>1.9136E-2</v>
      </c>
      <c r="AG38" s="62">
        <v>5.6250000000000001E-2</v>
      </c>
      <c r="AH38" s="339">
        <v>0.12296799999999999</v>
      </c>
      <c r="AI38" s="337">
        <v>4.1666666666666664E-2</v>
      </c>
      <c r="AJ38" s="337"/>
      <c r="AK38" s="337"/>
      <c r="AL38" s="364">
        <f t="shared" si="0"/>
        <v>5.4260033444816047</v>
      </c>
    </row>
    <row r="39" spans="1:38">
      <c r="B39" s="507" t="s">
        <v>15547</v>
      </c>
      <c r="C39" s="508" t="s">
        <v>1691</v>
      </c>
      <c r="D39" s="74">
        <v>3000</v>
      </c>
      <c r="E39" s="507" t="s">
        <v>7</v>
      </c>
      <c r="F39" s="74">
        <v>500</v>
      </c>
      <c r="G39" s="74">
        <f>+F39+Q39</f>
        <v>600</v>
      </c>
      <c r="H39" s="77">
        <v>45567</v>
      </c>
      <c r="I39" s="507" t="s">
        <v>15548</v>
      </c>
      <c r="K39" s="507" t="s">
        <v>2045</v>
      </c>
      <c r="L39" s="507" t="s">
        <v>2237</v>
      </c>
      <c r="M39" s="72">
        <v>2023</v>
      </c>
      <c r="O39" s="264"/>
      <c r="P39" s="509" t="s">
        <v>5</v>
      </c>
      <c r="Q39" s="76">
        <v>100</v>
      </c>
      <c r="R39" s="72"/>
      <c r="AB39" s="165"/>
      <c r="AC39" s="165"/>
      <c r="AD39" s="165"/>
      <c r="AE39" s="25"/>
      <c r="AF39" s="338"/>
      <c r="AG39" s="62"/>
      <c r="AH39" s="338"/>
      <c r="AI39" s="62"/>
      <c r="AJ39" s="62"/>
      <c r="AK39" s="62"/>
      <c r="AL39" s="364"/>
    </row>
    <row r="40" spans="1:38" s="12" customFormat="1">
      <c r="A40" s="72"/>
      <c r="B40" s="72" t="s">
        <v>197</v>
      </c>
      <c r="C40" s="73" t="s">
        <v>1691</v>
      </c>
      <c r="D40" s="74">
        <v>2500</v>
      </c>
      <c r="E40" s="72" t="s">
        <v>18</v>
      </c>
      <c r="F40" s="74">
        <v>500</v>
      </c>
      <c r="G40" s="74">
        <f>F40+Q40+T40+W40</f>
        <v>698</v>
      </c>
      <c r="H40" s="27">
        <v>44274</v>
      </c>
      <c r="I40" s="72" t="s">
        <v>3774</v>
      </c>
      <c r="J40" s="72"/>
      <c r="K40" s="72" t="s">
        <v>2045</v>
      </c>
      <c r="L40" s="72" t="s">
        <v>2203</v>
      </c>
      <c r="M40" s="72">
        <v>2016</v>
      </c>
      <c r="N40" s="72"/>
      <c r="O40" s="72" t="s">
        <v>3773</v>
      </c>
      <c r="P40" s="76" t="s">
        <v>7</v>
      </c>
      <c r="Q40" s="76">
        <v>120</v>
      </c>
      <c r="R40" s="76" t="s">
        <v>3772</v>
      </c>
      <c r="S40" s="76" t="s">
        <v>7</v>
      </c>
      <c r="T40" s="76">
        <v>32</v>
      </c>
      <c r="U40" s="76" t="s">
        <v>1078</v>
      </c>
      <c r="V40" s="76" t="s">
        <v>7</v>
      </c>
      <c r="W40" s="76">
        <v>46</v>
      </c>
      <c r="X40" s="76" t="s">
        <v>3771</v>
      </c>
      <c r="Y40" s="76" t="s">
        <v>5</v>
      </c>
      <c r="Z40" s="76" t="s">
        <v>1</v>
      </c>
      <c r="AA40" s="76" t="s">
        <v>3770</v>
      </c>
      <c r="AB40" s="165" t="s">
        <v>6599</v>
      </c>
      <c r="AC40" s="72"/>
      <c r="AD40" s="165" t="s">
        <v>6614</v>
      </c>
      <c r="AE40" s="25" t="s">
        <v>3769</v>
      </c>
      <c r="AF40" s="338">
        <v>3.5132999999999998E-2</v>
      </c>
      <c r="AG40" s="62">
        <v>6.1805555555555558E-2</v>
      </c>
      <c r="AH40" s="338">
        <v>1.6292000000000001E-2</v>
      </c>
      <c r="AI40" s="62">
        <v>5.6944444444444443E-2</v>
      </c>
      <c r="AJ40" s="62"/>
      <c r="AK40" s="62"/>
      <c r="AL40" s="364">
        <f t="shared" si="0"/>
        <v>-0.53627643526029645</v>
      </c>
    </row>
    <row r="41" spans="1:38">
      <c r="B41" s="72" t="s">
        <v>3</v>
      </c>
      <c r="C41" s="73" t="s">
        <v>1691</v>
      </c>
      <c r="D41" s="74">
        <v>2500</v>
      </c>
      <c r="E41" s="264" t="s">
        <v>53</v>
      </c>
      <c r="F41" s="74">
        <v>200</v>
      </c>
      <c r="G41" s="74">
        <f>F41+Q41+T41+W41+Z41</f>
        <v>595</v>
      </c>
      <c r="H41" s="77">
        <v>45230</v>
      </c>
      <c r="I41" s="72" t="s">
        <v>3759</v>
      </c>
      <c r="J41" s="72" t="s">
        <v>3758</v>
      </c>
      <c r="K41" s="72" t="s">
        <v>2184</v>
      </c>
      <c r="L41" s="72" t="s">
        <v>3757</v>
      </c>
      <c r="M41" s="72">
        <v>2015</v>
      </c>
      <c r="O41" s="264" t="s">
        <v>7918</v>
      </c>
      <c r="P41" s="267" t="s">
        <v>9</v>
      </c>
      <c r="Q41" s="76">
        <v>90</v>
      </c>
      <c r="R41" s="72" t="s">
        <v>3756</v>
      </c>
      <c r="S41" s="76" t="s">
        <v>8</v>
      </c>
      <c r="T41" s="76">
        <v>210</v>
      </c>
      <c r="U41" s="76" t="s">
        <v>3755</v>
      </c>
      <c r="V41" s="76" t="s">
        <v>18</v>
      </c>
      <c r="W41" s="76">
        <v>70</v>
      </c>
      <c r="X41" s="76" t="s">
        <v>3754</v>
      </c>
      <c r="Y41" s="76" t="s">
        <v>7</v>
      </c>
      <c r="Z41" s="76">
        <v>25</v>
      </c>
      <c r="AA41" s="76" t="s">
        <v>3753</v>
      </c>
      <c r="AB41" s="165" t="s">
        <v>6598</v>
      </c>
      <c r="AC41" s="165" t="s">
        <v>6601</v>
      </c>
      <c r="AD41" s="165" t="s">
        <v>6620</v>
      </c>
      <c r="AE41" s="25" t="s">
        <v>3752</v>
      </c>
      <c r="AF41" s="338">
        <v>2.2540000000000001E-2</v>
      </c>
      <c r="AG41" s="62">
        <v>3.888888888888889E-2</v>
      </c>
      <c r="AH41" s="338">
        <v>3.8671999999999998E-2</v>
      </c>
      <c r="AI41" s="62">
        <v>5.0694444444444445E-2</v>
      </c>
      <c r="AJ41" s="62"/>
      <c r="AK41" s="62"/>
      <c r="AL41" s="364">
        <f t="shared" si="0"/>
        <v>0.71570541259982234</v>
      </c>
    </row>
    <row r="42" spans="1:38">
      <c r="B42" s="72" t="s">
        <v>3751</v>
      </c>
      <c r="C42" s="73" t="s">
        <v>1691</v>
      </c>
      <c r="D42" s="74">
        <v>2100</v>
      </c>
      <c r="E42" s="72" t="s">
        <v>9</v>
      </c>
      <c r="F42" s="74">
        <v>400</v>
      </c>
      <c r="G42" s="74">
        <f>F42+Q42+T42+W42+Z42</f>
        <v>664.9</v>
      </c>
      <c r="H42" s="77">
        <v>44608</v>
      </c>
      <c r="I42" s="72" t="s">
        <v>3750</v>
      </c>
      <c r="J42" s="72" t="s">
        <v>3749</v>
      </c>
      <c r="K42" s="72" t="s">
        <v>2045</v>
      </c>
      <c r="L42" s="72" t="s">
        <v>2524</v>
      </c>
      <c r="M42" s="72">
        <v>2008</v>
      </c>
      <c r="O42" s="72" t="s">
        <v>3748</v>
      </c>
      <c r="P42" s="76" t="s">
        <v>8</v>
      </c>
      <c r="Q42" s="76">
        <v>140</v>
      </c>
      <c r="R42" s="76" t="s">
        <v>3747</v>
      </c>
      <c r="S42" s="76" t="s">
        <v>18</v>
      </c>
      <c r="T42" s="76">
        <v>110</v>
      </c>
      <c r="U42" s="76" t="s">
        <v>3746</v>
      </c>
      <c r="V42" s="76" t="s">
        <v>7</v>
      </c>
      <c r="W42" s="76">
        <v>9.4</v>
      </c>
      <c r="X42" s="76" t="s">
        <v>3745</v>
      </c>
      <c r="Y42" s="76" t="s">
        <v>5</v>
      </c>
      <c r="Z42" s="76">
        <v>5.5</v>
      </c>
      <c r="AA42" s="76" t="s">
        <v>3744</v>
      </c>
      <c r="AB42" s="165" t="s">
        <v>6598</v>
      </c>
      <c r="AC42" s="165" t="s">
        <v>6601</v>
      </c>
      <c r="AD42" s="165" t="s">
        <v>6608</v>
      </c>
      <c r="AE42" s="25" t="s">
        <v>4348</v>
      </c>
      <c r="AF42" s="338">
        <v>6.0018000000000002E-2</v>
      </c>
      <c r="AG42" s="62">
        <v>6.25E-2</v>
      </c>
      <c r="AH42" s="338">
        <v>6.1126E-2</v>
      </c>
      <c r="AI42" s="62">
        <v>4.5138888888888888E-2</v>
      </c>
      <c r="AJ42" s="62"/>
      <c r="AK42" s="62"/>
      <c r="AL42" s="364">
        <f t="shared" si="0"/>
        <v>1.8461128328168153E-2</v>
      </c>
    </row>
    <row r="43" spans="1:38">
      <c r="B43" s="72" t="s">
        <v>952</v>
      </c>
      <c r="C43" s="73" t="s">
        <v>1691</v>
      </c>
      <c r="D43" s="74">
        <v>2000</v>
      </c>
      <c r="E43" s="72" t="s">
        <v>18</v>
      </c>
      <c r="F43" s="74">
        <v>270</v>
      </c>
      <c r="G43" s="74">
        <f>F43+Q43+T43</f>
        <v>440</v>
      </c>
      <c r="H43" s="77">
        <v>45048</v>
      </c>
      <c r="I43" s="72" t="s">
        <v>3738</v>
      </c>
      <c r="J43" s="72" t="s">
        <v>3737</v>
      </c>
      <c r="K43" s="72" t="s">
        <v>2569</v>
      </c>
      <c r="L43" s="72" t="s">
        <v>3169</v>
      </c>
      <c r="M43" s="72">
        <v>2019</v>
      </c>
      <c r="N43" s="72" t="s">
        <v>3736</v>
      </c>
      <c r="O43" s="72" t="s">
        <v>3735</v>
      </c>
      <c r="P43" s="76" t="s">
        <v>7</v>
      </c>
      <c r="Q43" s="76">
        <v>130</v>
      </c>
      <c r="R43" s="76" t="s">
        <v>3734</v>
      </c>
      <c r="S43" s="76" t="s">
        <v>5</v>
      </c>
      <c r="T43" s="76">
        <v>40</v>
      </c>
      <c r="U43" s="76" t="s">
        <v>3733</v>
      </c>
      <c r="V43" s="76" t="s">
        <v>1</v>
      </c>
      <c r="W43" s="76" t="s">
        <v>1</v>
      </c>
      <c r="X43" s="76" t="s">
        <v>1</v>
      </c>
      <c r="Y43" s="76" t="s">
        <v>1</v>
      </c>
      <c r="Z43" s="76" t="s">
        <v>1</v>
      </c>
      <c r="AA43" s="76" t="s">
        <v>1</v>
      </c>
      <c r="AB43" s="165" t="s">
        <v>6624</v>
      </c>
      <c r="AD43" s="165" t="s">
        <v>2904</v>
      </c>
      <c r="AE43" s="25" t="s">
        <v>4350</v>
      </c>
      <c r="AF43" s="338">
        <v>0.75510100000000002</v>
      </c>
      <c r="AG43" s="62">
        <v>7.3611111111111113E-2</v>
      </c>
      <c r="AH43" s="339">
        <v>0.40391100000000002</v>
      </c>
      <c r="AI43" s="337">
        <v>0.14930555555555555</v>
      </c>
      <c r="AJ43" s="337"/>
      <c r="AK43" s="337"/>
      <c r="AL43" s="364">
        <f t="shared" si="0"/>
        <v>-0.46509010052959798</v>
      </c>
    </row>
    <row r="44" spans="1:38">
      <c r="B44" s="72" t="s">
        <v>39</v>
      </c>
      <c r="C44" s="73" t="s">
        <v>1691</v>
      </c>
      <c r="D44" s="74">
        <v>2000</v>
      </c>
      <c r="E44" s="72" t="s">
        <v>9</v>
      </c>
      <c r="F44" s="74">
        <v>230</v>
      </c>
      <c r="G44" s="74">
        <f>F44+Q44+T44+W44+Z44</f>
        <v>567</v>
      </c>
      <c r="H44" s="77">
        <v>44984</v>
      </c>
      <c r="I44" s="72" t="s">
        <v>3715</v>
      </c>
      <c r="J44" s="72" t="s">
        <v>3716</v>
      </c>
      <c r="K44" s="72" t="s">
        <v>2100</v>
      </c>
      <c r="L44" s="72" t="s">
        <v>3715</v>
      </c>
      <c r="M44" s="72">
        <v>2014</v>
      </c>
      <c r="N44" s="72" t="s">
        <v>3714</v>
      </c>
      <c r="O44" s="72" t="s">
        <v>3713</v>
      </c>
      <c r="P44" s="76" t="s">
        <v>8</v>
      </c>
      <c r="Q44" s="76">
        <v>170</v>
      </c>
      <c r="R44" s="76" t="s">
        <v>3712</v>
      </c>
      <c r="S44" s="76" t="s">
        <v>18</v>
      </c>
      <c r="T44" s="76">
        <v>100</v>
      </c>
      <c r="U44" s="76" t="s">
        <v>3711</v>
      </c>
      <c r="V44" s="76" t="s">
        <v>7</v>
      </c>
      <c r="W44" s="76">
        <v>42</v>
      </c>
      <c r="X44" s="76" t="s">
        <v>3710</v>
      </c>
      <c r="Y44" s="76" t="s">
        <v>5</v>
      </c>
      <c r="Z44" s="76">
        <v>25</v>
      </c>
      <c r="AA44" s="76" t="s">
        <v>3709</v>
      </c>
      <c r="AB44" s="165" t="s">
        <v>6598</v>
      </c>
      <c r="AC44" s="165" t="s">
        <v>6601</v>
      </c>
      <c r="AD44" s="165" t="s">
        <v>6618</v>
      </c>
      <c r="AE44" s="25" t="s">
        <v>3708</v>
      </c>
      <c r="AF44" s="338">
        <v>9.7415000000000002E-2</v>
      </c>
      <c r="AG44" s="62">
        <v>0.1111111111111111</v>
      </c>
      <c r="AH44" s="339">
        <v>7.8823000000000004E-2</v>
      </c>
      <c r="AI44" s="337">
        <v>7.7777777777777779E-2</v>
      </c>
      <c r="AJ44" s="337"/>
      <c r="AK44" s="337"/>
      <c r="AL44" s="364">
        <f t="shared" si="0"/>
        <v>-0.1908535646461017</v>
      </c>
    </row>
    <row r="45" spans="1:38" s="176" customFormat="1">
      <c r="A45" s="72"/>
      <c r="B45" s="274" t="s">
        <v>883</v>
      </c>
      <c r="C45" s="275" t="s">
        <v>1691</v>
      </c>
      <c r="D45" s="324">
        <v>2100</v>
      </c>
      <c r="E45" s="274" t="s">
        <v>18</v>
      </c>
      <c r="F45" s="324">
        <v>200</v>
      </c>
      <c r="G45" s="324">
        <f>F45+Q45+T45</f>
        <v>305</v>
      </c>
      <c r="H45" s="27">
        <v>44377</v>
      </c>
      <c r="I45" s="274" t="s">
        <v>2694</v>
      </c>
      <c r="J45" s="274" t="s">
        <v>3743</v>
      </c>
      <c r="K45" s="12" t="s">
        <v>2045</v>
      </c>
      <c r="L45" s="12" t="s">
        <v>3742</v>
      </c>
      <c r="M45" s="12">
        <v>2016</v>
      </c>
      <c r="N45" s="12"/>
      <c r="O45" s="12" t="s">
        <v>3741</v>
      </c>
      <c r="P45" s="24" t="s">
        <v>7</v>
      </c>
      <c r="Q45" s="24">
        <v>75</v>
      </c>
      <c r="R45" s="24" t="s">
        <v>3740</v>
      </c>
      <c r="S45" s="24" t="s">
        <v>5</v>
      </c>
      <c r="T45" s="24">
        <v>30</v>
      </c>
      <c r="U45" s="24" t="s">
        <v>3739</v>
      </c>
      <c r="V45" s="24" t="s">
        <v>1</v>
      </c>
      <c r="W45" s="24" t="s">
        <v>1</v>
      </c>
      <c r="X45" s="24" t="s">
        <v>1</v>
      </c>
      <c r="Y45" s="24" t="s">
        <v>1</v>
      </c>
      <c r="Z45" s="24" t="s">
        <v>1</v>
      </c>
      <c r="AA45" s="24" t="s">
        <v>1</v>
      </c>
      <c r="AB45" s="12" t="s">
        <v>6598</v>
      </c>
      <c r="AC45" s="12" t="s">
        <v>6601</v>
      </c>
      <c r="AD45" s="12" t="s">
        <v>2362</v>
      </c>
      <c r="AE45" s="25" t="s">
        <v>4349</v>
      </c>
      <c r="AF45" s="338">
        <v>5.4670999999999997E-2</v>
      </c>
      <c r="AG45" s="62">
        <v>9.4444444444444442E-2</v>
      </c>
      <c r="AH45" s="339">
        <v>6.5806000000000003E-2</v>
      </c>
      <c r="AI45" s="341">
        <v>3.2638888888888891E-2</v>
      </c>
      <c r="AJ45" s="341"/>
      <c r="AK45" s="341"/>
      <c r="AL45" s="364">
        <f t="shared" si="0"/>
        <v>0.20367287958881319</v>
      </c>
    </row>
    <row r="46" spans="1:38">
      <c r="B46" s="12" t="s">
        <v>3213</v>
      </c>
      <c r="C46" s="29" t="s">
        <v>1691</v>
      </c>
      <c r="D46" s="15">
        <v>2000</v>
      </c>
      <c r="E46" s="12" t="s">
        <v>1</v>
      </c>
      <c r="F46" s="15">
        <v>18.5</v>
      </c>
      <c r="G46" s="74">
        <f>+F46</f>
        <v>18.5</v>
      </c>
      <c r="H46" s="14">
        <v>45063</v>
      </c>
      <c r="I46" s="12" t="s">
        <v>3212</v>
      </c>
      <c r="J46" s="12" t="s">
        <v>3211</v>
      </c>
      <c r="K46" s="12" t="s">
        <v>2569</v>
      </c>
      <c r="L46" s="72" t="s">
        <v>2524</v>
      </c>
      <c r="M46" s="83">
        <v>44652</v>
      </c>
      <c r="N46" s="264" t="s">
        <v>7937</v>
      </c>
      <c r="O46" s="34" t="s">
        <v>5428</v>
      </c>
      <c r="P46" s="76" t="s">
        <v>4</v>
      </c>
      <c r="Q46" s="76" t="s">
        <v>1</v>
      </c>
      <c r="R46" s="76" t="s">
        <v>3210</v>
      </c>
      <c r="S46" s="76" t="s">
        <v>4</v>
      </c>
      <c r="T46" s="76">
        <v>2</v>
      </c>
      <c r="U46" s="76" t="s">
        <v>3209</v>
      </c>
      <c r="V46" s="76" t="s">
        <v>1</v>
      </c>
      <c r="W46" s="76" t="s">
        <v>1</v>
      </c>
      <c r="X46" s="76" t="s">
        <v>1</v>
      </c>
      <c r="Y46" s="76" t="s">
        <v>1</v>
      </c>
      <c r="Z46" s="76" t="s">
        <v>1</v>
      </c>
      <c r="AA46" s="76" t="s">
        <v>1</v>
      </c>
      <c r="AB46" s="72" t="s">
        <v>2055</v>
      </c>
      <c r="AE46" s="25" t="s">
        <v>5132</v>
      </c>
      <c r="AF46" s="63">
        <v>8.4960000000000004</v>
      </c>
      <c r="AG46" s="68">
        <v>0.23750000000000002</v>
      </c>
      <c r="AH46" s="63">
        <v>17.39</v>
      </c>
      <c r="AI46" s="68">
        <v>0.21944444444444444</v>
      </c>
      <c r="AJ46" s="68"/>
      <c r="AK46" s="68"/>
      <c r="AL46" s="364">
        <f t="shared" si="0"/>
        <v>1.0468455743879472</v>
      </c>
    </row>
    <row r="47" spans="1:38">
      <c r="B47" s="72" t="s">
        <v>2129</v>
      </c>
      <c r="C47" s="73" t="s">
        <v>1691</v>
      </c>
      <c r="D47" s="74">
        <v>2000</v>
      </c>
      <c r="E47" s="72" t="s">
        <v>7</v>
      </c>
      <c r="F47" s="74">
        <f>147*1.2</f>
        <v>176.4</v>
      </c>
      <c r="G47" s="74">
        <f>F47+Q47+T47+W47</f>
        <v>219.4</v>
      </c>
      <c r="H47" s="77">
        <v>44578</v>
      </c>
      <c r="I47" s="72" t="s">
        <v>4387</v>
      </c>
      <c r="J47" s="72" t="s">
        <v>4384</v>
      </c>
      <c r="K47" s="72" t="s">
        <v>4386</v>
      </c>
      <c r="L47" s="72" t="s">
        <v>2115</v>
      </c>
      <c r="M47" s="72">
        <v>2017</v>
      </c>
      <c r="O47" s="381" t="s">
        <v>4388</v>
      </c>
      <c r="P47" s="76" t="s">
        <v>5</v>
      </c>
      <c r="Q47" s="76">
        <v>20</v>
      </c>
      <c r="R47" s="76" t="s">
        <v>4394</v>
      </c>
      <c r="S47" s="76" t="s">
        <v>5</v>
      </c>
      <c r="T47" s="76">
        <v>20</v>
      </c>
      <c r="U47" s="76" t="s">
        <v>4396</v>
      </c>
      <c r="V47" s="76" t="s">
        <v>4</v>
      </c>
      <c r="W47" s="76">
        <v>3</v>
      </c>
      <c r="X47" s="76" t="s">
        <v>4397</v>
      </c>
      <c r="Y47" s="76" t="s">
        <v>1</v>
      </c>
      <c r="Z47" s="76" t="s">
        <v>1</v>
      </c>
      <c r="AA47" s="76" t="s">
        <v>1</v>
      </c>
      <c r="AB47" s="165" t="s">
        <v>6623</v>
      </c>
      <c r="AD47" s="165" t="s">
        <v>2094</v>
      </c>
      <c r="AE47" s="25" t="s">
        <v>2128</v>
      </c>
      <c r="AF47" s="346">
        <v>4.0629999999999999E-2</v>
      </c>
      <c r="AG47" s="62">
        <v>0.11875000000000001</v>
      </c>
      <c r="AH47" s="346">
        <v>2.5971999999999999E-2</v>
      </c>
      <c r="AI47" s="62">
        <v>5.0694444444444445E-2</v>
      </c>
      <c r="AJ47" s="62"/>
      <c r="AK47" s="62"/>
      <c r="AL47" s="364">
        <f t="shared" si="0"/>
        <v>-0.36076790548855531</v>
      </c>
    </row>
    <row r="48" spans="1:38">
      <c r="B48" s="72" t="s">
        <v>2134</v>
      </c>
      <c r="C48" s="73" t="s">
        <v>1691</v>
      </c>
      <c r="D48" s="74">
        <v>2000</v>
      </c>
      <c r="E48" s="72" t="s">
        <v>8</v>
      </c>
      <c r="F48" s="74">
        <v>220</v>
      </c>
      <c r="G48" s="74">
        <f>F48+Q48+T48</f>
        <v>520</v>
      </c>
      <c r="H48" s="27">
        <v>44287</v>
      </c>
      <c r="I48" s="72" t="s">
        <v>4318</v>
      </c>
      <c r="J48" s="72" t="s">
        <v>2133</v>
      </c>
      <c r="K48" s="72" t="s">
        <v>2100</v>
      </c>
      <c r="L48" s="72" t="s">
        <v>2115</v>
      </c>
      <c r="M48" s="72">
        <v>2016</v>
      </c>
      <c r="O48" s="72" t="s">
        <v>2132</v>
      </c>
      <c r="P48" s="76" t="s">
        <v>8</v>
      </c>
      <c r="Q48" s="76">
        <v>200</v>
      </c>
      <c r="R48" s="76" t="s">
        <v>4325</v>
      </c>
      <c r="S48" s="76" t="s">
        <v>18</v>
      </c>
      <c r="T48" s="76">
        <v>100</v>
      </c>
      <c r="U48" s="76" t="s">
        <v>4332</v>
      </c>
      <c r="V48" s="76" t="s">
        <v>5</v>
      </c>
      <c r="W48" s="76" t="s">
        <v>1</v>
      </c>
      <c r="X48" s="76" t="s">
        <v>4333</v>
      </c>
      <c r="Y48" s="76" t="s">
        <v>4</v>
      </c>
      <c r="Z48" s="76" t="s">
        <v>1</v>
      </c>
      <c r="AA48" s="76" t="s">
        <v>4334</v>
      </c>
      <c r="AB48" s="165" t="s">
        <v>6598</v>
      </c>
      <c r="AC48" s="165" t="s">
        <v>6601</v>
      </c>
      <c r="AD48" s="165" t="s">
        <v>6621</v>
      </c>
      <c r="AE48" s="25" t="s">
        <v>2131</v>
      </c>
      <c r="AF48" s="346">
        <v>1.7038000000000001E-2</v>
      </c>
      <c r="AG48" s="62">
        <v>0.13749999999999998</v>
      </c>
      <c r="AH48" s="346">
        <v>0.11534899999999999</v>
      </c>
      <c r="AI48" s="352" t="s">
        <v>8905</v>
      </c>
      <c r="AJ48" s="352"/>
      <c r="AK48" s="352"/>
      <c r="AL48" s="364">
        <f t="shared" si="0"/>
        <v>5.7701021246625182</v>
      </c>
    </row>
    <row r="49" spans="1:38">
      <c r="B49" s="72" t="s">
        <v>3725</v>
      </c>
      <c r="C49" s="73" t="s">
        <v>1691</v>
      </c>
      <c r="D49" s="74">
        <v>2000</v>
      </c>
      <c r="E49" s="72" t="s">
        <v>7</v>
      </c>
      <c r="F49" s="74">
        <v>138</v>
      </c>
      <c r="G49" s="74">
        <f>F49</f>
        <v>138</v>
      </c>
      <c r="H49" s="77">
        <v>44872</v>
      </c>
      <c r="I49" s="72" t="s">
        <v>3724</v>
      </c>
      <c r="K49" s="72" t="s">
        <v>2045</v>
      </c>
      <c r="L49" s="72" t="s">
        <v>3281</v>
      </c>
      <c r="M49" s="72">
        <v>2014</v>
      </c>
      <c r="N49" s="72" t="s">
        <v>3723</v>
      </c>
      <c r="O49" s="72" t="s">
        <v>1</v>
      </c>
      <c r="P49" s="76" t="s">
        <v>5</v>
      </c>
      <c r="Q49" s="76" t="s">
        <v>1</v>
      </c>
      <c r="R49" s="76" t="s">
        <v>3722</v>
      </c>
      <c r="AB49" s="165" t="s">
        <v>6599</v>
      </c>
      <c r="AD49" s="165" t="s">
        <v>6614</v>
      </c>
      <c r="AE49" s="72" t="s">
        <v>8943</v>
      </c>
      <c r="AF49" s="346" t="s">
        <v>7140</v>
      </c>
      <c r="AG49" s="349" t="s">
        <v>7140</v>
      </c>
      <c r="AH49" s="344">
        <v>9.5416000000000001E-2</v>
      </c>
      <c r="AI49" s="337">
        <v>0.36875000000000002</v>
      </c>
      <c r="AJ49" s="337"/>
      <c r="AK49" s="337"/>
      <c r="AL49" s="364"/>
    </row>
    <row r="50" spans="1:38" s="176" customFormat="1">
      <c r="A50" s="72"/>
      <c r="B50" s="72" t="s">
        <v>2092</v>
      </c>
      <c r="C50" s="73" t="s">
        <v>1691</v>
      </c>
      <c r="D50" s="74">
        <v>2000</v>
      </c>
      <c r="E50" s="72" t="s">
        <v>8</v>
      </c>
      <c r="F50" s="74">
        <v>50</v>
      </c>
      <c r="G50" s="74">
        <f>F50+Q50+T50+W50+Z50</f>
        <v>120.69999999999999</v>
      </c>
      <c r="H50" s="77">
        <v>44307</v>
      </c>
      <c r="I50" s="91" t="s">
        <v>5404</v>
      </c>
      <c r="J50" s="91" t="s">
        <v>5401</v>
      </c>
      <c r="K50" s="72" t="s">
        <v>2045</v>
      </c>
      <c r="L50" s="72" t="s">
        <v>2056</v>
      </c>
      <c r="M50" s="72">
        <v>2013</v>
      </c>
      <c r="N50" s="72"/>
      <c r="O50" s="91" t="s">
        <v>5403</v>
      </c>
      <c r="P50" s="93" t="s">
        <v>18</v>
      </c>
      <c r="Q50" s="76">
        <v>37</v>
      </c>
      <c r="R50" s="93" t="s">
        <v>5408</v>
      </c>
      <c r="S50" s="93" t="s">
        <v>7</v>
      </c>
      <c r="T50" s="76">
        <v>13.5</v>
      </c>
      <c r="U50" s="93" t="s">
        <v>5413</v>
      </c>
      <c r="V50" s="93" t="s">
        <v>5</v>
      </c>
      <c r="W50" s="76">
        <v>18.100000000000001</v>
      </c>
      <c r="X50" s="93" t="s">
        <v>5412</v>
      </c>
      <c r="Y50" s="93" t="s">
        <v>4</v>
      </c>
      <c r="Z50" s="76">
        <v>2.1</v>
      </c>
      <c r="AA50" s="93" t="s">
        <v>1130</v>
      </c>
      <c r="AB50" s="165" t="s">
        <v>6598</v>
      </c>
      <c r="AC50" s="165" t="s">
        <v>6601</v>
      </c>
      <c r="AD50" s="165" t="s">
        <v>2362</v>
      </c>
      <c r="AE50" s="25" t="s">
        <v>2091</v>
      </c>
      <c r="AF50" s="346" t="s">
        <v>7140</v>
      </c>
      <c r="AG50" s="349" t="s">
        <v>7140</v>
      </c>
      <c r="AH50" s="339">
        <v>9.3572000000000002E-2</v>
      </c>
      <c r="AI50" s="352" t="s">
        <v>8906</v>
      </c>
      <c r="AJ50" s="352"/>
      <c r="AK50" s="352"/>
      <c r="AL50" s="364"/>
    </row>
    <row r="51" spans="1:38">
      <c r="B51" s="72" t="s">
        <v>3721</v>
      </c>
      <c r="C51" s="73" t="s">
        <v>1691</v>
      </c>
      <c r="D51" s="74">
        <v>2000</v>
      </c>
      <c r="E51" s="72" t="s">
        <v>18</v>
      </c>
      <c r="F51" s="74">
        <v>50</v>
      </c>
      <c r="G51" s="74">
        <f>F51+Q51+T51</f>
        <v>225</v>
      </c>
      <c r="H51" s="27">
        <v>44380</v>
      </c>
      <c r="J51" s="72" t="s">
        <v>3720</v>
      </c>
      <c r="K51" s="72" t="s">
        <v>2308</v>
      </c>
      <c r="L51" s="72" t="s">
        <v>2290</v>
      </c>
      <c r="M51" s="72">
        <v>2014</v>
      </c>
      <c r="O51" s="72" t="s">
        <v>3719</v>
      </c>
      <c r="P51" s="76" t="s">
        <v>7</v>
      </c>
      <c r="Q51" s="76">
        <v>150</v>
      </c>
      <c r="R51" s="76" t="s">
        <v>3718</v>
      </c>
      <c r="S51" s="76" t="s">
        <v>5</v>
      </c>
      <c r="T51" s="76">
        <f>150/6</f>
        <v>25</v>
      </c>
      <c r="U51" s="76" t="s">
        <v>3717</v>
      </c>
      <c r="V51" s="76" t="s">
        <v>1</v>
      </c>
      <c r="W51" s="76" t="s">
        <v>1</v>
      </c>
      <c r="X51" s="76" t="s">
        <v>1</v>
      </c>
      <c r="Y51" s="76" t="s">
        <v>1</v>
      </c>
      <c r="Z51" s="76" t="s">
        <v>1</v>
      </c>
      <c r="AA51" s="76" t="s">
        <v>1</v>
      </c>
      <c r="AB51" s="165" t="s">
        <v>6599</v>
      </c>
      <c r="AD51" s="165" t="s">
        <v>3487</v>
      </c>
      <c r="AE51" s="25" t="s">
        <v>5034</v>
      </c>
      <c r="AF51" s="347">
        <v>0</v>
      </c>
      <c r="AG51" s="350">
        <v>0.11805555555555557</v>
      </c>
      <c r="AH51" s="347">
        <v>0</v>
      </c>
      <c r="AI51" s="350">
        <v>3.6805555555555557E-2</v>
      </c>
      <c r="AJ51" s="350"/>
      <c r="AK51" s="350"/>
      <c r="AL51" s="364"/>
    </row>
    <row r="52" spans="1:38">
      <c r="B52" s="72" t="s">
        <v>208</v>
      </c>
      <c r="C52" s="73" t="s">
        <v>1691</v>
      </c>
      <c r="D52" s="79">
        <v>2000</v>
      </c>
      <c r="E52" s="72" t="s">
        <v>8</v>
      </c>
      <c r="F52" s="74">
        <v>676</v>
      </c>
      <c r="G52" s="74">
        <f>F52+Q52+T52</f>
        <v>1076</v>
      </c>
      <c r="H52" s="27">
        <v>44299</v>
      </c>
      <c r="I52" s="72" t="s">
        <v>3864</v>
      </c>
      <c r="J52" s="72" t="s">
        <v>3863</v>
      </c>
      <c r="K52" s="72" t="s">
        <v>2045</v>
      </c>
      <c r="L52" s="72" t="s">
        <v>2850</v>
      </c>
      <c r="M52" s="72">
        <v>2017</v>
      </c>
      <c r="N52" s="204" t="s">
        <v>7119</v>
      </c>
      <c r="O52" s="72" t="s">
        <v>3862</v>
      </c>
      <c r="P52" s="76" t="s">
        <v>3861</v>
      </c>
      <c r="Q52" s="76">
        <v>250</v>
      </c>
      <c r="R52" s="76" t="s">
        <v>3860</v>
      </c>
      <c r="S52" s="76" t="s">
        <v>7</v>
      </c>
      <c r="T52" s="76">
        <v>150</v>
      </c>
      <c r="U52" s="76" t="s">
        <v>3859</v>
      </c>
      <c r="V52" s="76" t="s">
        <v>5</v>
      </c>
      <c r="W52" s="76">
        <v>56</v>
      </c>
      <c r="X52" s="76" t="s">
        <v>3858</v>
      </c>
      <c r="Y52" s="76" t="s">
        <v>4</v>
      </c>
      <c r="Z52" s="76">
        <v>2</v>
      </c>
      <c r="AA52" s="76" t="s">
        <v>1107</v>
      </c>
      <c r="AB52" s="165" t="s">
        <v>6598</v>
      </c>
      <c r="AC52" s="165" t="s">
        <v>6601</v>
      </c>
      <c r="AD52" s="165" t="s">
        <v>6608</v>
      </c>
      <c r="AE52" s="25" t="s">
        <v>3857</v>
      </c>
      <c r="AF52" s="346">
        <v>1.1689E-2</v>
      </c>
      <c r="AG52" s="351">
        <v>0.14444444444444446</v>
      </c>
      <c r="AH52" s="346">
        <v>4.5151999999999998E-2</v>
      </c>
      <c r="AI52" s="352" t="s">
        <v>8907</v>
      </c>
      <c r="AJ52" s="352"/>
      <c r="AK52" s="352"/>
      <c r="AL52" s="364">
        <f t="shared" si="0"/>
        <v>2.8627769698006671</v>
      </c>
    </row>
    <row r="53" spans="1:38">
      <c r="B53" s="72" t="s">
        <v>3707</v>
      </c>
      <c r="C53" s="73" t="s">
        <v>1691</v>
      </c>
      <c r="D53" s="74">
        <v>1900</v>
      </c>
      <c r="E53" s="72" t="s">
        <v>9</v>
      </c>
      <c r="F53" s="74">
        <v>220</v>
      </c>
      <c r="G53" s="74">
        <f>F53+Q53+T53+W53+Z53</f>
        <v>396.8</v>
      </c>
      <c r="H53" s="77">
        <v>44357</v>
      </c>
      <c r="I53" s="72" t="s">
        <v>3706</v>
      </c>
      <c r="J53" s="72" t="s">
        <v>3705</v>
      </c>
      <c r="K53" s="72" t="s">
        <v>2045</v>
      </c>
      <c r="L53" s="72" t="s">
        <v>2126</v>
      </c>
      <c r="M53" s="72">
        <v>2016</v>
      </c>
      <c r="O53" s="381" t="s">
        <v>3704</v>
      </c>
      <c r="P53" s="76" t="s">
        <v>8</v>
      </c>
      <c r="Q53" s="76">
        <v>125</v>
      </c>
      <c r="R53" s="76" t="s">
        <v>3703</v>
      </c>
      <c r="S53" s="76" t="s">
        <v>18</v>
      </c>
      <c r="T53" s="76">
        <v>28</v>
      </c>
      <c r="U53" s="76" t="s">
        <v>3702</v>
      </c>
      <c r="V53" s="76" t="s">
        <v>7</v>
      </c>
      <c r="W53" s="76">
        <v>18</v>
      </c>
      <c r="X53" s="76" t="s">
        <v>3701</v>
      </c>
      <c r="Y53" s="76" t="s">
        <v>5</v>
      </c>
      <c r="Z53" s="76">
        <v>5.8</v>
      </c>
      <c r="AA53" s="76" t="s">
        <v>1</v>
      </c>
      <c r="AB53" s="165" t="s">
        <v>6598</v>
      </c>
      <c r="AC53" s="165" t="s">
        <v>6601</v>
      </c>
      <c r="AD53" s="165" t="s">
        <v>6616</v>
      </c>
      <c r="AE53" s="25" t="s">
        <v>3700</v>
      </c>
      <c r="AF53" s="346">
        <v>6.0490000000000004</v>
      </c>
      <c r="AG53" s="351">
        <v>0.11319444444444444</v>
      </c>
      <c r="AH53" s="346">
        <v>5.0869999999999997</v>
      </c>
      <c r="AI53" s="351">
        <v>0.10902777777777778</v>
      </c>
      <c r="AJ53" s="351"/>
      <c r="AK53" s="351"/>
      <c r="AL53" s="364">
        <f t="shared" si="0"/>
        <v>-0.15903455116548204</v>
      </c>
    </row>
    <row r="54" spans="1:38">
      <c r="B54" s="72" t="s">
        <v>47</v>
      </c>
      <c r="C54" s="73" t="s">
        <v>1691</v>
      </c>
      <c r="D54" s="79">
        <v>1500</v>
      </c>
      <c r="E54" s="72" t="s">
        <v>53</v>
      </c>
      <c r="F54" s="74">
        <v>100</v>
      </c>
      <c r="H54" s="27">
        <v>44515</v>
      </c>
      <c r="J54" s="72" t="s">
        <v>3844</v>
      </c>
      <c r="K54" s="72" t="s">
        <v>2045</v>
      </c>
      <c r="L54" s="72" t="s">
        <v>2071</v>
      </c>
      <c r="M54" s="72">
        <v>2012</v>
      </c>
      <c r="N54" s="204" t="s">
        <v>7120</v>
      </c>
      <c r="O54" s="381" t="s">
        <v>3843</v>
      </c>
      <c r="P54" s="76" t="s">
        <v>9</v>
      </c>
      <c r="Q54" s="76" t="s">
        <v>3842</v>
      </c>
      <c r="R54" s="76" t="s">
        <v>3841</v>
      </c>
      <c r="S54" s="76" t="s">
        <v>8</v>
      </c>
      <c r="T54" s="76" t="s">
        <v>3840</v>
      </c>
      <c r="U54" s="76" t="s">
        <v>3839</v>
      </c>
      <c r="V54" s="76" t="s">
        <v>18</v>
      </c>
      <c r="W54" s="76">
        <v>60</v>
      </c>
      <c r="X54" s="76" t="s">
        <v>3838</v>
      </c>
      <c r="Y54" s="76" t="s">
        <v>18</v>
      </c>
      <c r="Z54" s="76">
        <v>50</v>
      </c>
      <c r="AA54" s="76" t="s">
        <v>3837</v>
      </c>
      <c r="AB54" s="165" t="s">
        <v>6598</v>
      </c>
      <c r="AC54" s="165" t="s">
        <v>6601</v>
      </c>
      <c r="AD54" s="165" t="s">
        <v>6609</v>
      </c>
      <c r="AE54" s="25" t="s">
        <v>3836</v>
      </c>
      <c r="AF54" s="346">
        <v>0.24010600000000001</v>
      </c>
      <c r="AG54" s="351">
        <v>0.30833333333333335</v>
      </c>
      <c r="AH54" s="346">
        <v>0.297954</v>
      </c>
      <c r="AI54" s="351">
        <v>0.37013888888888891</v>
      </c>
      <c r="AJ54" s="351"/>
      <c r="AK54" s="351"/>
      <c r="AL54" s="364">
        <f t="shared" si="0"/>
        <v>0.24092692394192561</v>
      </c>
    </row>
    <row r="55" spans="1:38">
      <c r="B55" s="72" t="s">
        <v>80</v>
      </c>
      <c r="C55" s="73" t="s">
        <v>1691</v>
      </c>
      <c r="D55" s="74">
        <v>1500</v>
      </c>
      <c r="E55" s="264" t="s">
        <v>8</v>
      </c>
      <c r="F55" s="74">
        <v>333.33333333333331</v>
      </c>
      <c r="G55" s="74">
        <f>F55+T55+W55+Z55+Q55</f>
        <v>781.90476190476193</v>
      </c>
      <c r="H55" s="77">
        <v>45197</v>
      </c>
      <c r="I55" s="72" t="s">
        <v>2372</v>
      </c>
      <c r="J55" s="72" t="s">
        <v>3675</v>
      </c>
      <c r="K55" s="72" t="s">
        <v>2045</v>
      </c>
      <c r="L55" s="72" t="s">
        <v>2100</v>
      </c>
      <c r="M55" s="72">
        <v>2018</v>
      </c>
      <c r="O55" s="381" t="s">
        <v>7932</v>
      </c>
      <c r="P55" s="267" t="s">
        <v>18</v>
      </c>
      <c r="Q55" s="76">
        <v>257</v>
      </c>
      <c r="R55" s="72" t="s">
        <v>3674</v>
      </c>
      <c r="S55" s="76" t="s">
        <v>7</v>
      </c>
      <c r="T55" s="76">
        <v>100</v>
      </c>
      <c r="U55" s="76" t="s">
        <v>3673</v>
      </c>
      <c r="V55" s="76" t="s">
        <v>5</v>
      </c>
      <c r="W55" s="76">
        <v>43</v>
      </c>
      <c r="X55" s="76" t="s">
        <v>3672</v>
      </c>
      <c r="Y55" s="76" t="s">
        <v>4</v>
      </c>
      <c r="Z55" s="80">
        <f>340/7</f>
        <v>48.571428571428569</v>
      </c>
      <c r="AA55" s="76" t="s">
        <v>3671</v>
      </c>
      <c r="AB55" s="264" t="s">
        <v>6599</v>
      </c>
      <c r="AD55" s="264" t="s">
        <v>3487</v>
      </c>
      <c r="AE55" s="25" t="s">
        <v>3670</v>
      </c>
      <c r="AF55" s="346">
        <v>1.1807E-2</v>
      </c>
      <c r="AG55" s="351">
        <v>0.10486111111111111</v>
      </c>
      <c r="AH55" s="346">
        <v>5.0000000000000001E-3</v>
      </c>
      <c r="AI55" s="351">
        <v>5.1388888888888887E-2</v>
      </c>
      <c r="AJ55" s="351"/>
      <c r="AK55" s="351"/>
      <c r="AL55" s="364">
        <f t="shared" si="0"/>
        <v>-0.57652240196493598</v>
      </c>
    </row>
    <row r="56" spans="1:38">
      <c r="B56" s="72" t="s">
        <v>763</v>
      </c>
      <c r="C56" s="73" t="s">
        <v>1691</v>
      </c>
      <c r="D56" s="74">
        <v>1500</v>
      </c>
      <c r="E56" s="72" t="s">
        <v>5</v>
      </c>
      <c r="F56" s="74">
        <v>125</v>
      </c>
      <c r="G56" s="74">
        <f>F56+Q56+T56</f>
        <v>132</v>
      </c>
      <c r="H56" s="77">
        <v>44852</v>
      </c>
      <c r="I56" s="72" t="s">
        <v>2556</v>
      </c>
      <c r="J56" s="72" t="s">
        <v>3699</v>
      </c>
      <c r="K56" s="72" t="s">
        <v>2308</v>
      </c>
      <c r="L56" s="72" t="s">
        <v>2698</v>
      </c>
      <c r="M56" s="72">
        <v>2021</v>
      </c>
      <c r="N56" s="264" t="s">
        <v>7926</v>
      </c>
      <c r="O56" s="381" t="s">
        <v>3698</v>
      </c>
      <c r="P56" s="76" t="s">
        <v>4</v>
      </c>
      <c r="Q56" s="76">
        <v>6</v>
      </c>
      <c r="R56" s="76" t="s">
        <v>3697</v>
      </c>
      <c r="S56" s="76" t="s">
        <v>278</v>
      </c>
      <c r="T56" s="76">
        <v>1</v>
      </c>
      <c r="U56" s="76" t="s">
        <v>3696</v>
      </c>
      <c r="V56" s="76" t="s">
        <v>1</v>
      </c>
      <c r="W56" s="76" t="s">
        <v>1</v>
      </c>
      <c r="X56" s="76" t="s">
        <v>1</v>
      </c>
      <c r="Y56" s="76" t="s">
        <v>1</v>
      </c>
      <c r="Z56" s="76" t="s">
        <v>1</v>
      </c>
      <c r="AA56" s="76" t="s">
        <v>1</v>
      </c>
      <c r="AB56" s="165" t="s">
        <v>6624</v>
      </c>
      <c r="AD56" s="165" t="s">
        <v>3695</v>
      </c>
      <c r="AE56" s="25" t="s">
        <v>5031</v>
      </c>
      <c r="AF56" s="347">
        <v>3.9180000000000001</v>
      </c>
      <c r="AG56" s="350">
        <v>0.1673611111111111</v>
      </c>
      <c r="AH56" s="347">
        <v>2.1739999999999999</v>
      </c>
      <c r="AI56" s="350">
        <v>0.20833333333333334</v>
      </c>
      <c r="AJ56" s="350"/>
      <c r="AK56" s="350"/>
      <c r="AL56" s="364">
        <f t="shared" si="0"/>
        <v>-0.44512506380806538</v>
      </c>
    </row>
    <row r="57" spans="1:38">
      <c r="B57" s="72" t="s">
        <v>57</v>
      </c>
      <c r="C57" s="73" t="s">
        <v>1691</v>
      </c>
      <c r="D57" s="74">
        <v>1500</v>
      </c>
      <c r="E57" s="72" t="s">
        <v>8</v>
      </c>
      <c r="F57" s="74">
        <v>250</v>
      </c>
      <c r="G57" s="74">
        <f>F57+Q57</f>
        <v>350</v>
      </c>
      <c r="H57" s="77">
        <v>45069</v>
      </c>
      <c r="I57" s="72" t="s">
        <v>3694</v>
      </c>
      <c r="J57" s="72" t="s">
        <v>3693</v>
      </c>
      <c r="K57" s="72" t="s">
        <v>2045</v>
      </c>
      <c r="L57" s="72" t="s">
        <v>2237</v>
      </c>
      <c r="M57" s="72">
        <v>2016</v>
      </c>
      <c r="N57" s="72" t="s">
        <v>3692</v>
      </c>
      <c r="O57" s="381" t="s">
        <v>3691</v>
      </c>
      <c r="P57" s="76" t="s">
        <v>18</v>
      </c>
      <c r="Q57" s="76">
        <v>100</v>
      </c>
      <c r="R57" s="76" t="s">
        <v>3690</v>
      </c>
      <c r="S57" s="76" t="s">
        <v>7</v>
      </c>
      <c r="T57" s="76" t="s">
        <v>1</v>
      </c>
      <c r="U57" s="76" t="s">
        <v>3689</v>
      </c>
      <c r="V57" s="76" t="s">
        <v>5</v>
      </c>
      <c r="W57" s="76">
        <v>29.5</v>
      </c>
      <c r="X57" s="76" t="s">
        <v>3688</v>
      </c>
      <c r="Y57" s="76" t="s">
        <v>1</v>
      </c>
      <c r="Z57" s="76" t="s">
        <v>1</v>
      </c>
      <c r="AA57" s="76" t="s">
        <v>1</v>
      </c>
      <c r="AB57" s="264" t="s">
        <v>6623</v>
      </c>
      <c r="AD57" s="264" t="s">
        <v>2094</v>
      </c>
      <c r="AE57" s="25" t="s">
        <v>3687</v>
      </c>
      <c r="AF57" s="346">
        <v>0.60908600000000002</v>
      </c>
      <c r="AG57" s="351">
        <v>0.31597222222222221</v>
      </c>
      <c r="AH57" s="346">
        <v>0.37791599999999997</v>
      </c>
      <c r="AI57" s="351">
        <v>0.24722222222222223</v>
      </c>
      <c r="AJ57" s="351"/>
      <c r="AK57" s="351"/>
      <c r="AL57" s="364">
        <f t="shared" si="0"/>
        <v>-0.37953589476691307</v>
      </c>
    </row>
    <row r="58" spans="1:38">
      <c r="B58" s="12" t="s">
        <v>957</v>
      </c>
      <c r="C58" s="29" t="s">
        <v>1691</v>
      </c>
      <c r="D58" s="15">
        <v>1400</v>
      </c>
      <c r="E58" s="12" t="s">
        <v>1040</v>
      </c>
      <c r="F58" s="15">
        <v>141</v>
      </c>
      <c r="G58" s="15">
        <f>F58+Q58+T58+W58+Z58</f>
        <v>236.5</v>
      </c>
      <c r="H58" s="14">
        <v>45106</v>
      </c>
      <c r="I58" s="12" t="s">
        <v>2303</v>
      </c>
      <c r="J58" s="12" t="s">
        <v>3686</v>
      </c>
      <c r="K58" s="72" t="s">
        <v>2308</v>
      </c>
      <c r="L58" s="72" t="s">
        <v>2302</v>
      </c>
      <c r="M58" s="78">
        <v>43101</v>
      </c>
      <c r="N58" s="72" t="s">
        <v>4270</v>
      </c>
      <c r="O58" s="381" t="s">
        <v>7919</v>
      </c>
      <c r="P58" s="76" t="s">
        <v>18</v>
      </c>
      <c r="Q58" s="76">
        <v>50</v>
      </c>
      <c r="R58" s="76" t="s">
        <v>3685</v>
      </c>
      <c r="S58" s="76" t="s">
        <v>7</v>
      </c>
      <c r="T58" s="76">
        <v>35</v>
      </c>
      <c r="U58" s="76" t="s">
        <v>3684</v>
      </c>
      <c r="V58" s="76" t="s">
        <v>5</v>
      </c>
      <c r="W58" s="76">
        <v>8.5</v>
      </c>
      <c r="X58" s="76" t="s">
        <v>3683</v>
      </c>
      <c r="Y58" s="76" t="s">
        <v>4</v>
      </c>
      <c r="Z58" s="76">
        <v>2</v>
      </c>
      <c r="AA58" s="76" t="s">
        <v>3682</v>
      </c>
      <c r="AB58" s="264" t="s">
        <v>6598</v>
      </c>
      <c r="AC58" s="264" t="s">
        <v>6606</v>
      </c>
      <c r="AD58" s="264" t="s">
        <v>6606</v>
      </c>
      <c r="AE58" s="25" t="s">
        <v>5032</v>
      </c>
      <c r="AF58" s="347">
        <v>5.6790000000000003</v>
      </c>
      <c r="AG58" s="350">
        <v>0.16666666666666666</v>
      </c>
      <c r="AH58" s="347">
        <v>8.5350000000000001</v>
      </c>
      <c r="AI58" s="350">
        <v>0.15416666666666667</v>
      </c>
      <c r="AJ58" s="350"/>
      <c r="AK58" s="350"/>
      <c r="AL58" s="364">
        <f t="shared" si="0"/>
        <v>0.50290544109878499</v>
      </c>
    </row>
    <row r="59" spans="1:38">
      <c r="B59" s="72" t="s">
        <v>2127</v>
      </c>
      <c r="C59" s="73" t="s">
        <v>1691</v>
      </c>
      <c r="D59" s="74">
        <v>1300</v>
      </c>
      <c r="E59" s="72" t="s">
        <v>18</v>
      </c>
      <c r="F59" s="74">
        <v>200</v>
      </c>
      <c r="G59" s="74">
        <f>F59+Q59+T59</f>
        <v>253.3</v>
      </c>
      <c r="H59" s="77">
        <v>44557</v>
      </c>
      <c r="I59" s="72" t="s">
        <v>4451</v>
      </c>
      <c r="J59" s="72" t="s">
        <v>4450</v>
      </c>
      <c r="K59" s="72" t="s">
        <v>2045</v>
      </c>
      <c r="L59" s="72" t="s">
        <v>2126</v>
      </c>
      <c r="M59" s="72">
        <v>2016</v>
      </c>
      <c r="O59" s="381" t="s">
        <v>4452</v>
      </c>
      <c r="P59" s="76" t="s">
        <v>7</v>
      </c>
      <c r="Q59" s="76">
        <v>40</v>
      </c>
      <c r="R59" s="76" t="s">
        <v>4457</v>
      </c>
      <c r="S59" s="76" t="s">
        <v>5</v>
      </c>
      <c r="T59" s="76">
        <v>13.3</v>
      </c>
      <c r="U59" s="76" t="s">
        <v>1</v>
      </c>
      <c r="V59" s="76" t="s">
        <v>1</v>
      </c>
      <c r="W59" s="76" t="s">
        <v>1</v>
      </c>
      <c r="X59" s="76" t="s">
        <v>1</v>
      </c>
      <c r="Y59" s="76" t="s">
        <v>1</v>
      </c>
      <c r="Z59" s="76" t="s">
        <v>1</v>
      </c>
      <c r="AA59" s="76" t="s">
        <v>1</v>
      </c>
      <c r="AB59" s="264" t="s">
        <v>6598</v>
      </c>
      <c r="AC59" s="264" t="s">
        <v>7920</v>
      </c>
      <c r="AD59" s="264" t="s">
        <v>7921</v>
      </c>
      <c r="AE59" s="25" t="s">
        <v>2125</v>
      </c>
      <c r="AF59" s="346">
        <v>4.1040000000000001</v>
      </c>
      <c r="AG59" s="351">
        <v>0.13541666666666666</v>
      </c>
      <c r="AH59" s="346">
        <v>4.5380000000000003</v>
      </c>
      <c r="AI59" s="351">
        <v>0.14374999999999999</v>
      </c>
      <c r="AJ59" s="351"/>
      <c r="AK59" s="351"/>
      <c r="AL59" s="364">
        <f t="shared" si="0"/>
        <v>0.10575048732943482</v>
      </c>
    </row>
    <row r="60" spans="1:38">
      <c r="B60" s="72" t="s">
        <v>3529</v>
      </c>
      <c r="C60" s="73" t="s">
        <v>1691</v>
      </c>
      <c r="D60" s="74">
        <v>1300</v>
      </c>
      <c r="E60" s="264" t="s">
        <v>18</v>
      </c>
      <c r="F60" s="74">
        <v>53</v>
      </c>
      <c r="G60" s="74">
        <f>F60+Q60+T60+W60</f>
        <v>171.5</v>
      </c>
      <c r="H60" s="77">
        <v>45251</v>
      </c>
      <c r="I60" s="72" t="s">
        <v>3528</v>
      </c>
      <c r="J60" s="72" t="s">
        <v>3527</v>
      </c>
      <c r="K60" s="72" t="s">
        <v>2569</v>
      </c>
      <c r="L60" s="72" t="s">
        <v>3169</v>
      </c>
      <c r="M60" s="72">
        <v>2017</v>
      </c>
      <c r="N60" s="25" t="s">
        <v>3526</v>
      </c>
      <c r="O60" s="381" t="s">
        <v>7938</v>
      </c>
      <c r="P60" s="72" t="s">
        <v>7</v>
      </c>
      <c r="Q60" s="76">
        <v>64</v>
      </c>
      <c r="R60" s="34" t="s">
        <v>3525</v>
      </c>
      <c r="S60" s="76" t="s">
        <v>7</v>
      </c>
      <c r="T60" s="76">
        <v>20</v>
      </c>
      <c r="U60" s="76" t="s">
        <v>3524</v>
      </c>
      <c r="V60" s="76" t="s">
        <v>5</v>
      </c>
      <c r="W60" s="76">
        <v>34.5</v>
      </c>
      <c r="X60" s="76" t="s">
        <v>3523</v>
      </c>
      <c r="Y60" s="76" t="s">
        <v>4</v>
      </c>
      <c r="Z60" s="76" t="s">
        <v>1</v>
      </c>
      <c r="AA60" s="76" t="s">
        <v>3523</v>
      </c>
      <c r="AB60" s="264" t="s">
        <v>6755</v>
      </c>
      <c r="AD60" s="264" t="s">
        <v>2851</v>
      </c>
      <c r="AE60" s="25" t="s">
        <v>5056</v>
      </c>
      <c r="AF60" s="347">
        <v>0.31137399999999998</v>
      </c>
      <c r="AG60" s="350">
        <v>5.7638888888888885E-2</v>
      </c>
      <c r="AH60" s="347">
        <v>0.249309</v>
      </c>
      <c r="AI60" s="350">
        <v>9.583333333333334E-2</v>
      </c>
      <c r="AJ60" s="350"/>
      <c r="AK60" s="350"/>
      <c r="AL60" s="364">
        <f t="shared" si="0"/>
        <v>-0.1993262122078272</v>
      </c>
    </row>
    <row r="61" spans="1:38" s="274" customFormat="1">
      <c r="B61" s="274" t="s">
        <v>9421</v>
      </c>
      <c r="C61" s="275" t="s">
        <v>1691</v>
      </c>
      <c r="D61" s="324">
        <v>1250</v>
      </c>
      <c r="E61" s="274" t="s">
        <v>7</v>
      </c>
      <c r="F61" s="324">
        <v>106</v>
      </c>
      <c r="G61" s="324">
        <f>+F61+Q61+T61</f>
        <v>228.5</v>
      </c>
      <c r="H61" s="325">
        <v>45364</v>
      </c>
      <c r="I61" s="274" t="s">
        <v>9427</v>
      </c>
      <c r="J61" s="274" t="s">
        <v>9422</v>
      </c>
      <c r="K61" s="274" t="s">
        <v>2045</v>
      </c>
      <c r="L61" s="274" t="s">
        <v>2389</v>
      </c>
      <c r="M61" s="326">
        <v>44723</v>
      </c>
      <c r="O61" s="381" t="s">
        <v>9428</v>
      </c>
      <c r="P61" s="274" t="s">
        <v>5</v>
      </c>
      <c r="Q61" s="274">
        <v>102.5</v>
      </c>
      <c r="R61" s="274" t="s">
        <v>9426</v>
      </c>
      <c r="S61" s="274" t="s">
        <v>4</v>
      </c>
      <c r="T61" s="332">
        <v>20</v>
      </c>
      <c r="U61" s="274" t="s">
        <v>9423</v>
      </c>
      <c r="V61" s="274" t="s">
        <v>1</v>
      </c>
      <c r="W61" s="274" t="s">
        <v>1</v>
      </c>
      <c r="X61" s="274" t="s">
        <v>1</v>
      </c>
      <c r="Y61" s="274" t="s">
        <v>1</v>
      </c>
      <c r="Z61" s="274" t="s">
        <v>1</v>
      </c>
      <c r="AA61" s="274" t="s">
        <v>1</v>
      </c>
    </row>
    <row r="62" spans="1:38" s="12" customFormat="1">
      <c r="A62" s="72"/>
      <c r="B62" s="274" t="s">
        <v>3661</v>
      </c>
      <c r="C62" s="275" t="s">
        <v>1691</v>
      </c>
      <c r="D62" s="324">
        <v>1200</v>
      </c>
      <c r="E62" s="274" t="s">
        <v>1040</v>
      </c>
      <c r="F62" s="324">
        <v>50</v>
      </c>
      <c r="G62" s="324">
        <f>F62+Q62+T62</f>
        <v>230</v>
      </c>
      <c r="H62" s="325">
        <v>45147</v>
      </c>
      <c r="I62" s="274" t="s">
        <v>3660</v>
      </c>
      <c r="J62" s="274" t="s">
        <v>3659</v>
      </c>
      <c r="K62" s="72" t="s">
        <v>2569</v>
      </c>
      <c r="L62" s="72" t="s">
        <v>2056</v>
      </c>
      <c r="M62" s="72">
        <v>2017</v>
      </c>
      <c r="N62" s="72" t="s">
        <v>3658</v>
      </c>
      <c r="O62" s="381" t="s">
        <v>7933</v>
      </c>
      <c r="P62" s="264" t="s">
        <v>18</v>
      </c>
      <c r="Q62" s="76">
        <v>135</v>
      </c>
      <c r="R62" s="72" t="s">
        <v>3657</v>
      </c>
      <c r="S62" s="76" t="s">
        <v>7</v>
      </c>
      <c r="T62" s="76">
        <v>45</v>
      </c>
      <c r="U62" s="76" t="s">
        <v>3656</v>
      </c>
      <c r="V62" s="76" t="s">
        <v>5</v>
      </c>
      <c r="W62" s="76">
        <v>5</v>
      </c>
      <c r="X62" s="76" t="s">
        <v>3655</v>
      </c>
      <c r="Y62" s="76" t="s">
        <v>1</v>
      </c>
      <c r="Z62" s="76" t="s">
        <v>1</v>
      </c>
      <c r="AA62" s="76" t="s">
        <v>1</v>
      </c>
      <c r="AB62" s="264" t="s">
        <v>6598</v>
      </c>
      <c r="AC62" s="264" t="s">
        <v>6601</v>
      </c>
      <c r="AD62" s="264" t="s">
        <v>2362</v>
      </c>
      <c r="AE62" s="25" t="s">
        <v>5036</v>
      </c>
      <c r="AF62" s="347">
        <v>1.5369999999999999</v>
      </c>
      <c r="AG62" s="350">
        <v>0.31875000000000003</v>
      </c>
      <c r="AH62" s="347">
        <v>1.7150000000000001</v>
      </c>
      <c r="AI62" s="350">
        <v>0.29444444444444445</v>
      </c>
      <c r="AJ62" s="350"/>
      <c r="AK62" s="350"/>
      <c r="AL62" s="364">
        <f t="shared" si="0"/>
        <v>0.11581001951854275</v>
      </c>
    </row>
    <row r="63" spans="1:38" s="274" customFormat="1">
      <c r="B63" s="274" t="s">
        <v>8304</v>
      </c>
      <c r="C63" s="275" t="s">
        <v>1691</v>
      </c>
      <c r="D63" s="324">
        <v>1200</v>
      </c>
      <c r="E63" s="274" t="s">
        <v>9</v>
      </c>
      <c r="F63" s="274">
        <v>65</v>
      </c>
      <c r="G63" s="274">
        <f>+F63+Q63+T63+W63+Z63</f>
        <v>183</v>
      </c>
      <c r="H63" s="326">
        <v>45125</v>
      </c>
      <c r="I63" s="274" t="s">
        <v>8891</v>
      </c>
      <c r="J63" s="274" t="s">
        <v>8893</v>
      </c>
      <c r="K63" s="274" t="s">
        <v>2045</v>
      </c>
      <c r="L63" s="274" t="s">
        <v>2332</v>
      </c>
      <c r="M63" s="274">
        <v>2014</v>
      </c>
      <c r="O63" s="381" t="s">
        <v>8894</v>
      </c>
      <c r="P63" s="274" t="s">
        <v>8</v>
      </c>
      <c r="Q63" s="274">
        <v>60</v>
      </c>
      <c r="R63" s="274" t="s">
        <v>8897</v>
      </c>
      <c r="S63" s="274" t="s">
        <v>18</v>
      </c>
      <c r="T63" s="332">
        <v>25</v>
      </c>
      <c r="U63" s="274" t="s">
        <v>8898</v>
      </c>
      <c r="V63" s="274" t="s">
        <v>7</v>
      </c>
      <c r="W63" s="274">
        <v>25</v>
      </c>
      <c r="X63" s="274" t="s">
        <v>8900</v>
      </c>
      <c r="Y63" s="274" t="s">
        <v>5</v>
      </c>
      <c r="Z63" s="274">
        <v>8</v>
      </c>
      <c r="AA63" s="274" t="s">
        <v>8901</v>
      </c>
      <c r="AB63" s="274" t="s">
        <v>6623</v>
      </c>
      <c r="AC63" s="274" t="s">
        <v>2094</v>
      </c>
      <c r="AD63" s="274" t="s">
        <v>2094</v>
      </c>
      <c r="AE63" s="25" t="s">
        <v>8892</v>
      </c>
      <c r="AF63" s="348" t="s">
        <v>7140</v>
      </c>
      <c r="AG63" s="331" t="s">
        <v>7140</v>
      </c>
      <c r="AH63" s="345">
        <v>1.1212E-2</v>
      </c>
      <c r="AI63" s="341">
        <v>6.6666666666666666E-2</v>
      </c>
      <c r="AJ63" s="341"/>
      <c r="AK63" s="341"/>
      <c r="AL63" s="364"/>
    </row>
    <row r="64" spans="1:38">
      <c r="B64" s="72" t="s">
        <v>606</v>
      </c>
      <c r="C64" s="73" t="s">
        <v>1691</v>
      </c>
      <c r="D64" s="74">
        <v>1000</v>
      </c>
      <c r="E64" s="264" t="s">
        <v>7929</v>
      </c>
      <c r="F64" s="74">
        <v>59</v>
      </c>
      <c r="G64" s="74">
        <f>F64+Q64+T64+W64+Z64</f>
        <v>306</v>
      </c>
      <c r="H64" s="77">
        <v>45124</v>
      </c>
      <c r="I64" s="72" t="s">
        <v>3681</v>
      </c>
      <c r="J64" s="72" t="s">
        <v>3680</v>
      </c>
      <c r="K64" s="72" t="s">
        <v>2308</v>
      </c>
      <c r="L64" s="72" t="s">
        <v>2062</v>
      </c>
      <c r="M64" s="72">
        <v>2016</v>
      </c>
      <c r="O64" s="381" t="s">
        <v>7930</v>
      </c>
      <c r="P64" s="267" t="s">
        <v>9</v>
      </c>
      <c r="Q64" s="76">
        <v>132</v>
      </c>
      <c r="R64" s="72" t="s">
        <v>3679</v>
      </c>
      <c r="S64" s="76" t="s">
        <v>8</v>
      </c>
      <c r="T64" s="76">
        <v>42</v>
      </c>
      <c r="U64" s="76" t="s">
        <v>3678</v>
      </c>
      <c r="V64" s="76" t="s">
        <v>18</v>
      </c>
      <c r="W64" s="76">
        <v>48</v>
      </c>
      <c r="X64" s="76" t="s">
        <v>3677</v>
      </c>
      <c r="Y64" s="76" t="s">
        <v>7</v>
      </c>
      <c r="Z64" s="76">
        <v>25</v>
      </c>
      <c r="AA64" s="76" t="s">
        <v>3676</v>
      </c>
      <c r="AB64" s="264" t="s">
        <v>6598</v>
      </c>
      <c r="AC64" s="264" t="s">
        <v>6606</v>
      </c>
      <c r="AD64" s="264" t="s">
        <v>6606</v>
      </c>
      <c r="AE64" s="25" t="s">
        <v>5033</v>
      </c>
      <c r="AF64" s="347">
        <v>2.2080000000000002</v>
      </c>
      <c r="AG64" s="350">
        <v>7.2222222222222229E-2</v>
      </c>
      <c r="AH64" s="347">
        <v>1.919</v>
      </c>
      <c r="AI64" s="350">
        <v>6.0416666666666667E-2</v>
      </c>
      <c r="AJ64" s="350"/>
      <c r="AK64" s="350"/>
      <c r="AL64" s="364">
        <f t="shared" si="0"/>
        <v>-0.1308876811594204</v>
      </c>
    </row>
    <row r="65" spans="1:38">
      <c r="B65" s="72" t="s">
        <v>2130</v>
      </c>
      <c r="C65" s="73" t="s">
        <v>1691</v>
      </c>
      <c r="D65" s="74">
        <f>7700/7</f>
        <v>1100</v>
      </c>
      <c r="E65" s="72" t="s">
        <v>7</v>
      </c>
      <c r="F65" s="74">
        <f>1300/7</f>
        <v>185.71428571428572</v>
      </c>
      <c r="G65" s="74">
        <f>F65</f>
        <v>185.71428571428572</v>
      </c>
      <c r="H65" s="77">
        <v>44648</v>
      </c>
      <c r="I65" s="72" t="s">
        <v>4375</v>
      </c>
      <c r="J65" s="72" t="s">
        <v>4376</v>
      </c>
      <c r="K65" s="72" t="s">
        <v>2045</v>
      </c>
      <c r="L65" s="72" t="s">
        <v>2115</v>
      </c>
      <c r="M65" s="72">
        <v>2014</v>
      </c>
      <c r="N65" s="72" t="s">
        <v>4381</v>
      </c>
      <c r="O65" s="72" t="s">
        <v>4377</v>
      </c>
      <c r="P65" s="76" t="s">
        <v>5</v>
      </c>
      <c r="Q65" s="76" t="s">
        <v>1</v>
      </c>
      <c r="R65" s="76" t="s">
        <v>4380</v>
      </c>
      <c r="S65" s="76" t="s">
        <v>1</v>
      </c>
      <c r="T65" s="76" t="s">
        <v>1</v>
      </c>
      <c r="U65" s="76" t="s">
        <v>1</v>
      </c>
      <c r="V65" s="76" t="s">
        <v>1</v>
      </c>
      <c r="W65" s="76" t="s">
        <v>1</v>
      </c>
      <c r="X65" s="76" t="s">
        <v>1</v>
      </c>
      <c r="Y65" s="76" t="s">
        <v>1</v>
      </c>
      <c r="Z65" s="76" t="s">
        <v>1</v>
      </c>
      <c r="AA65" s="76" t="s">
        <v>1</v>
      </c>
      <c r="AB65" s="264" t="s">
        <v>6599</v>
      </c>
      <c r="AD65" s="264" t="s">
        <v>7922</v>
      </c>
      <c r="AE65" s="25" t="s">
        <v>4374</v>
      </c>
      <c r="AF65" s="346">
        <v>7.4970000000000002E-3</v>
      </c>
      <c r="AG65" s="351">
        <v>0.2388888888888889</v>
      </c>
      <c r="AH65" s="346">
        <v>5.0000000000000001E-3</v>
      </c>
      <c r="AI65" s="351">
        <v>0.5756944444444444</v>
      </c>
      <c r="AJ65" s="351"/>
      <c r="AK65" s="351"/>
      <c r="AL65" s="364">
        <f t="shared" si="0"/>
        <v>-0.33306655995731627</v>
      </c>
    </row>
    <row r="66" spans="1:38">
      <c r="B66" s="72" t="s">
        <v>3669</v>
      </c>
      <c r="C66" s="73" t="s">
        <v>1691</v>
      </c>
      <c r="D66" s="74">
        <v>1100</v>
      </c>
      <c r="E66" s="72" t="s">
        <v>18</v>
      </c>
      <c r="F66" s="74">
        <v>130</v>
      </c>
      <c r="G66" s="74">
        <f>F66+Q66+T66+W66</f>
        <v>191.5</v>
      </c>
      <c r="H66" s="27">
        <v>44323</v>
      </c>
      <c r="I66" s="72" t="s">
        <v>3668</v>
      </c>
      <c r="J66" s="72" t="s">
        <v>3667</v>
      </c>
      <c r="K66" s="72" t="s">
        <v>2045</v>
      </c>
      <c r="L66" s="72" t="s">
        <v>2630</v>
      </c>
      <c r="M66" s="72">
        <v>2016</v>
      </c>
      <c r="O66" s="72" t="s">
        <v>3666</v>
      </c>
      <c r="P66" s="76" t="s">
        <v>7</v>
      </c>
      <c r="Q66" s="76">
        <v>44</v>
      </c>
      <c r="R66" s="76" t="s">
        <v>3665</v>
      </c>
      <c r="S66" s="76" t="s">
        <v>5</v>
      </c>
      <c r="T66" s="76">
        <v>15</v>
      </c>
      <c r="U66" s="76" t="s">
        <v>3664</v>
      </c>
      <c r="V66" s="76" t="s">
        <v>4</v>
      </c>
      <c r="W66" s="76">
        <v>2.5</v>
      </c>
      <c r="X66" s="76" t="s">
        <v>3663</v>
      </c>
      <c r="Y66" s="76" t="s">
        <v>278</v>
      </c>
      <c r="Z66" s="76" t="s">
        <v>1</v>
      </c>
      <c r="AA66" s="76" t="s">
        <v>3662</v>
      </c>
      <c r="AB66" s="264" t="s">
        <v>6624</v>
      </c>
      <c r="AD66" s="264" t="s">
        <v>2904</v>
      </c>
      <c r="AE66" s="25" t="s">
        <v>5035</v>
      </c>
      <c r="AF66" s="347">
        <v>0.26639200000000002</v>
      </c>
      <c r="AG66" s="350">
        <v>7.9166666666666663E-2</v>
      </c>
      <c r="AH66" s="347">
        <v>0.23053999999999999</v>
      </c>
      <c r="AI66" s="350">
        <v>4.3055555555555555E-2</v>
      </c>
      <c r="AJ66" s="350"/>
      <c r="AK66" s="350"/>
      <c r="AL66" s="364">
        <f t="shared" si="0"/>
        <v>-0.13458362112976374</v>
      </c>
    </row>
    <row r="67" spans="1:38">
      <c r="B67" s="12" t="s">
        <v>403</v>
      </c>
      <c r="C67" s="29" t="s">
        <v>1691</v>
      </c>
      <c r="D67" s="15">
        <v>1000</v>
      </c>
      <c r="E67" s="12" t="s">
        <v>18</v>
      </c>
      <c r="F67" s="15">
        <v>90</v>
      </c>
      <c r="G67" s="15">
        <f>F67+Q67+T67+W67+Z67</f>
        <v>156.6</v>
      </c>
      <c r="H67" s="14">
        <v>45090</v>
      </c>
      <c r="I67" s="12" t="s">
        <v>2303</v>
      </c>
      <c r="J67" s="12" t="s">
        <v>3592</v>
      </c>
      <c r="K67" s="12" t="s">
        <v>2045</v>
      </c>
      <c r="L67" s="72" t="s">
        <v>2302</v>
      </c>
      <c r="M67" s="72">
        <v>2017</v>
      </c>
      <c r="O67" s="72" t="s">
        <v>3591</v>
      </c>
      <c r="P67" s="76" t="s">
        <v>7</v>
      </c>
      <c r="Q67" s="76">
        <v>50</v>
      </c>
      <c r="R67" s="76" t="s">
        <v>3590</v>
      </c>
      <c r="S67" s="76" t="s">
        <v>5</v>
      </c>
      <c r="T67" s="76">
        <v>12.5</v>
      </c>
      <c r="U67" s="76" t="s">
        <v>3589</v>
      </c>
      <c r="V67" s="76" t="s">
        <v>4</v>
      </c>
      <c r="W67" s="76">
        <v>3.1</v>
      </c>
      <c r="X67" s="76" t="s">
        <v>3588</v>
      </c>
      <c r="Y67" s="76" t="s">
        <v>278</v>
      </c>
      <c r="Z67" s="76">
        <v>1</v>
      </c>
      <c r="AA67" s="76" t="s">
        <v>3587</v>
      </c>
      <c r="AB67" s="264" t="s">
        <v>6623</v>
      </c>
      <c r="AD67" s="264" t="s">
        <v>2094</v>
      </c>
      <c r="AE67" s="25" t="s">
        <v>5047</v>
      </c>
      <c r="AF67" s="347">
        <v>3.3330000000000002</v>
      </c>
      <c r="AG67" s="350">
        <v>0.1361111111111111</v>
      </c>
      <c r="AH67" s="347">
        <v>2.1160000000000001</v>
      </c>
      <c r="AI67" s="350">
        <v>0.12083333333333333</v>
      </c>
      <c r="AJ67" s="350"/>
      <c r="AK67" s="350"/>
      <c r="AL67" s="364">
        <f t="shared" si="0"/>
        <v>-0.36513651365136512</v>
      </c>
    </row>
    <row r="68" spans="1:38">
      <c r="B68" s="12" t="s">
        <v>936</v>
      </c>
      <c r="C68" s="29" t="s">
        <v>1691</v>
      </c>
      <c r="D68" s="15">
        <v>1000</v>
      </c>
      <c r="E68" s="12" t="s">
        <v>4</v>
      </c>
      <c r="F68" s="15">
        <v>75</v>
      </c>
      <c r="G68" s="15">
        <f>F68+Q68</f>
        <v>175</v>
      </c>
      <c r="H68" s="14">
        <v>45239</v>
      </c>
      <c r="I68" s="12" t="s">
        <v>3777</v>
      </c>
      <c r="J68" s="12" t="s">
        <v>3776</v>
      </c>
      <c r="K68" s="72" t="s">
        <v>2308</v>
      </c>
      <c r="L68" s="72" t="s">
        <v>2698</v>
      </c>
      <c r="M68" s="72">
        <v>2019</v>
      </c>
      <c r="N68" s="264" t="s">
        <v>7914</v>
      </c>
      <c r="O68" s="264" t="s">
        <v>7917</v>
      </c>
      <c r="P68" s="267" t="s">
        <v>5</v>
      </c>
      <c r="Q68" s="76">
        <v>100</v>
      </c>
      <c r="R68" s="72" t="s">
        <v>3775</v>
      </c>
      <c r="S68" s="76" t="s">
        <v>1</v>
      </c>
      <c r="T68" s="76" t="s">
        <v>1</v>
      </c>
      <c r="U68" s="76" t="s">
        <v>1</v>
      </c>
      <c r="V68" s="76" t="s">
        <v>1</v>
      </c>
      <c r="W68" s="76" t="s">
        <v>1</v>
      </c>
      <c r="X68" s="76" t="s">
        <v>1</v>
      </c>
      <c r="Y68" s="76" t="s">
        <v>1</v>
      </c>
      <c r="Z68" s="76" t="s">
        <v>1</v>
      </c>
      <c r="AA68" s="76" t="s">
        <v>1</v>
      </c>
      <c r="AB68" s="165" t="s">
        <v>6623</v>
      </c>
      <c r="AD68" s="165" t="s">
        <v>2094</v>
      </c>
      <c r="AE68" s="25" t="s">
        <v>4347</v>
      </c>
      <c r="AF68" s="346">
        <v>2.9129999999999998</v>
      </c>
      <c r="AG68" s="351">
        <v>8.1944444444444445E-2</v>
      </c>
      <c r="AH68" s="346">
        <v>2.36</v>
      </c>
      <c r="AI68" s="351">
        <v>9.6527777777777782E-2</v>
      </c>
      <c r="AJ68" s="351"/>
      <c r="AK68" s="351"/>
      <c r="AL68" s="364">
        <f t="shared" si="0"/>
        <v>-0.18983865430827329</v>
      </c>
    </row>
    <row r="69" spans="1:38">
      <c r="B69" s="12" t="s">
        <v>3646</v>
      </c>
      <c r="C69" s="29" t="s">
        <v>1691</v>
      </c>
      <c r="D69" s="15">
        <v>1000</v>
      </c>
      <c r="E69" s="12" t="s">
        <v>3645</v>
      </c>
      <c r="F69" s="15">
        <v>0</v>
      </c>
      <c r="G69" s="15">
        <v>0</v>
      </c>
      <c r="H69" s="13" t="s">
        <v>1</v>
      </c>
      <c r="I69" s="12" t="s">
        <v>3644</v>
      </c>
      <c r="J69" s="12" t="s">
        <v>3643</v>
      </c>
      <c r="K69" s="72" t="s">
        <v>2308</v>
      </c>
      <c r="L69" s="72" t="s">
        <v>2698</v>
      </c>
      <c r="M69" s="78">
        <v>44754</v>
      </c>
      <c r="N69" s="72" t="s">
        <v>3642</v>
      </c>
      <c r="O69" s="72" t="s">
        <v>1</v>
      </c>
      <c r="P69" s="76" t="s">
        <v>1</v>
      </c>
      <c r="Q69" s="76" t="s">
        <v>1</v>
      </c>
      <c r="R69" s="76" t="s">
        <v>1</v>
      </c>
      <c r="S69" s="76" t="s">
        <v>1</v>
      </c>
      <c r="T69" s="76" t="s">
        <v>1</v>
      </c>
      <c r="U69" s="76" t="s">
        <v>1</v>
      </c>
      <c r="V69" s="76" t="s">
        <v>1</v>
      </c>
      <c r="W69" s="76" t="s">
        <v>1</v>
      </c>
      <c r="X69" s="76" t="s">
        <v>1</v>
      </c>
      <c r="Y69" s="76" t="s">
        <v>1</v>
      </c>
      <c r="Z69" s="76" t="s">
        <v>1</v>
      </c>
      <c r="AA69" s="76" t="s">
        <v>1</v>
      </c>
      <c r="AB69" s="264" t="s">
        <v>6598</v>
      </c>
      <c r="AC69" s="264" t="s">
        <v>6601</v>
      </c>
      <c r="AD69" s="264" t="s">
        <v>2772</v>
      </c>
      <c r="AE69" s="25" t="s">
        <v>5038</v>
      </c>
      <c r="AF69" s="63">
        <v>25.69</v>
      </c>
      <c r="AG69" s="68">
        <v>0.28194444444444444</v>
      </c>
      <c r="AH69" s="63">
        <v>16.23</v>
      </c>
      <c r="AI69" s="68">
        <v>0.3298611111111111</v>
      </c>
      <c r="AJ69" s="68"/>
      <c r="AK69" s="68"/>
      <c r="AL69" s="364">
        <f t="shared" si="0"/>
        <v>-0.36823666796418841</v>
      </c>
    </row>
    <row r="70" spans="1:38" s="464" customFormat="1">
      <c r="B70" s="464" t="s">
        <v>949</v>
      </c>
      <c r="C70" s="465" t="s">
        <v>1691</v>
      </c>
      <c r="D70" s="466">
        <v>1000</v>
      </c>
      <c r="E70" s="464" t="s">
        <v>7</v>
      </c>
      <c r="F70" s="466">
        <v>350</v>
      </c>
      <c r="G70" s="466">
        <f>F70+Q70</f>
        <v>415</v>
      </c>
      <c r="H70" s="467">
        <v>44999</v>
      </c>
      <c r="I70" s="464" t="s">
        <v>1</v>
      </c>
      <c r="J70" s="464" t="s">
        <v>3650</v>
      </c>
      <c r="K70" s="498" t="s">
        <v>2045</v>
      </c>
      <c r="L70" s="498" t="s">
        <v>2733</v>
      </c>
      <c r="M70" s="464">
        <v>2022</v>
      </c>
      <c r="N70" s="464" t="s">
        <v>3649</v>
      </c>
      <c r="O70" s="464" t="s">
        <v>3648</v>
      </c>
      <c r="P70" s="468" t="s">
        <v>5</v>
      </c>
      <c r="Q70" s="468">
        <v>65</v>
      </c>
      <c r="R70" s="468" t="s">
        <v>3647</v>
      </c>
      <c r="S70" s="468" t="s">
        <v>1</v>
      </c>
      <c r="T70" s="468" t="s">
        <v>1</v>
      </c>
      <c r="U70" s="468" t="s">
        <v>1</v>
      </c>
      <c r="V70" s="468" t="s">
        <v>1</v>
      </c>
      <c r="W70" s="468" t="s">
        <v>1</v>
      </c>
      <c r="X70" s="468" t="s">
        <v>1</v>
      </c>
      <c r="Y70" s="468" t="s">
        <v>1</v>
      </c>
      <c r="Z70" s="468" t="s">
        <v>1</v>
      </c>
      <c r="AA70" s="468" t="s">
        <v>1</v>
      </c>
      <c r="AB70" s="464" t="s">
        <v>6598</v>
      </c>
      <c r="AC70" s="464" t="s">
        <v>6601</v>
      </c>
      <c r="AD70" s="464" t="s">
        <v>2362</v>
      </c>
      <c r="AE70" s="383" t="s">
        <v>5037</v>
      </c>
      <c r="AF70" s="499">
        <v>0.10972999999999999</v>
      </c>
      <c r="AG70" s="500">
        <v>4.8611111111111112E-2</v>
      </c>
      <c r="AH70" s="501">
        <v>7.3380000000000001E-2</v>
      </c>
      <c r="AI70" s="500">
        <v>0.17152777777777778</v>
      </c>
      <c r="AJ70" s="500"/>
      <c r="AK70" s="500"/>
      <c r="AL70" s="471">
        <f t="shared" si="0"/>
        <v>-0.3312676569762143</v>
      </c>
    </row>
    <row r="71" spans="1:38">
      <c r="B71" s="72" t="s">
        <v>832</v>
      </c>
      <c r="C71" s="73" t="s">
        <v>1691</v>
      </c>
      <c r="D71" s="74">
        <v>1000</v>
      </c>
      <c r="E71" s="72" t="s">
        <v>18</v>
      </c>
      <c r="F71" s="74">
        <v>99</v>
      </c>
      <c r="G71" s="74">
        <f>F71+Q71+T71+W71</f>
        <v>259</v>
      </c>
      <c r="H71" s="77">
        <v>44796</v>
      </c>
      <c r="I71" s="72" t="s">
        <v>2850</v>
      </c>
      <c r="J71" s="72" t="s">
        <v>3598</v>
      </c>
      <c r="K71" s="72" t="s">
        <v>2569</v>
      </c>
      <c r="L71" s="72" t="s">
        <v>2056</v>
      </c>
      <c r="M71" s="72">
        <v>2019</v>
      </c>
      <c r="N71" s="72" t="s">
        <v>3597</v>
      </c>
      <c r="O71" s="72" t="s">
        <v>3596</v>
      </c>
      <c r="P71" s="76" t="s">
        <v>1116</v>
      </c>
      <c r="Q71" s="76">
        <v>100</v>
      </c>
      <c r="R71" s="76" t="s">
        <v>3595</v>
      </c>
      <c r="S71" s="76" t="s">
        <v>7</v>
      </c>
      <c r="T71" s="76">
        <v>40</v>
      </c>
      <c r="U71" s="76" t="s">
        <v>3594</v>
      </c>
      <c r="V71" s="76" t="s">
        <v>5</v>
      </c>
      <c r="W71" s="76">
        <v>20</v>
      </c>
      <c r="X71" s="76" t="s">
        <v>3593</v>
      </c>
      <c r="Y71" s="76" t="s">
        <v>1</v>
      </c>
      <c r="Z71" s="76" t="s">
        <v>1</v>
      </c>
      <c r="AA71" s="76" t="s">
        <v>1</v>
      </c>
      <c r="AB71" s="264" t="s">
        <v>6598</v>
      </c>
      <c r="AC71" s="264" t="s">
        <v>6601</v>
      </c>
      <c r="AD71" s="264" t="s">
        <v>2362</v>
      </c>
      <c r="AE71" s="25" t="s">
        <v>5045</v>
      </c>
      <c r="AF71" s="353">
        <v>9.9955000000000002E-2</v>
      </c>
      <c r="AG71" s="68">
        <v>5.5555555555555552E-2</v>
      </c>
      <c r="AH71" s="344">
        <v>0.17279600000000001</v>
      </c>
      <c r="AI71" s="337">
        <v>0.13750000000000001</v>
      </c>
      <c r="AJ71" s="337"/>
      <c r="AK71" s="337"/>
      <c r="AL71" s="364">
        <f t="shared" si="0"/>
        <v>0.72873793206943116</v>
      </c>
    </row>
    <row r="72" spans="1:38">
      <c r="B72" s="72" t="s">
        <v>1063</v>
      </c>
      <c r="C72" s="73" t="s">
        <v>1691</v>
      </c>
      <c r="D72" s="74">
        <v>1000</v>
      </c>
      <c r="E72" s="72" t="s">
        <v>7</v>
      </c>
      <c r="F72" s="74">
        <v>100</v>
      </c>
      <c r="G72" s="74">
        <f>F72+Q72</f>
        <v>165</v>
      </c>
      <c r="H72" s="77">
        <v>45106</v>
      </c>
      <c r="J72" s="72" t="s">
        <v>3579</v>
      </c>
      <c r="K72" s="72" t="s">
        <v>2045</v>
      </c>
      <c r="L72" s="72" t="s">
        <v>2698</v>
      </c>
      <c r="M72" s="72">
        <v>2022</v>
      </c>
      <c r="O72" s="72" t="s">
        <v>3578</v>
      </c>
      <c r="P72" s="76" t="s">
        <v>5</v>
      </c>
      <c r="Q72" s="76">
        <v>65</v>
      </c>
      <c r="R72" s="264" t="s">
        <v>7935</v>
      </c>
      <c r="S72" s="76" t="s">
        <v>1</v>
      </c>
      <c r="T72" s="76" t="s">
        <v>1</v>
      </c>
      <c r="U72" s="76" t="s">
        <v>1</v>
      </c>
      <c r="V72" s="76" t="s">
        <v>1</v>
      </c>
      <c r="W72" s="76" t="s">
        <v>1</v>
      </c>
      <c r="X72" s="76" t="s">
        <v>1</v>
      </c>
      <c r="Y72" s="76" t="s">
        <v>1</v>
      </c>
      <c r="Z72" s="76" t="s">
        <v>1</v>
      </c>
      <c r="AA72" s="76" t="s">
        <v>1</v>
      </c>
      <c r="AB72" s="264" t="s">
        <v>6598</v>
      </c>
      <c r="AC72" s="264" t="s">
        <v>6601</v>
      </c>
      <c r="AD72" s="264" t="s">
        <v>2362</v>
      </c>
      <c r="AE72" s="25" t="s">
        <v>5049</v>
      </c>
      <c r="AF72" s="353">
        <v>9.4228999999999993E-2</v>
      </c>
      <c r="AG72" s="68">
        <v>0.14305555555555557</v>
      </c>
      <c r="AH72" s="353">
        <v>3.2011999999999999E-2</v>
      </c>
      <c r="AI72" s="68">
        <v>0.18680555555555556</v>
      </c>
      <c r="AJ72" s="68"/>
      <c r="AK72" s="68"/>
      <c r="AL72" s="364">
        <f t="shared" si="0"/>
        <v>-0.660274437805771</v>
      </c>
    </row>
    <row r="73" spans="1:38">
      <c r="B73" s="72" t="s">
        <v>520</v>
      </c>
      <c r="C73" s="73" t="s">
        <v>1691</v>
      </c>
      <c r="D73" s="74">
        <v>1000</v>
      </c>
      <c r="E73" s="72" t="s">
        <v>8</v>
      </c>
      <c r="F73" s="74">
        <v>100</v>
      </c>
      <c r="G73" s="74">
        <f>F73+Q73+T73+W73+Z73</f>
        <v>200</v>
      </c>
      <c r="H73" s="77">
        <v>44419</v>
      </c>
      <c r="I73" s="72" t="s">
        <v>3619</v>
      </c>
      <c r="J73" s="72" t="s">
        <v>3618</v>
      </c>
      <c r="K73" s="72" t="s">
        <v>2045</v>
      </c>
      <c r="L73" s="72" t="s">
        <v>2255</v>
      </c>
      <c r="M73" s="72">
        <v>2016</v>
      </c>
      <c r="O73" s="72" t="s">
        <v>3617</v>
      </c>
      <c r="P73" s="76" t="s">
        <v>18</v>
      </c>
      <c r="Q73" s="76">
        <v>60</v>
      </c>
      <c r="R73" s="76" t="s">
        <v>3616</v>
      </c>
      <c r="S73" s="76" t="s">
        <v>7</v>
      </c>
      <c r="T73" s="76">
        <v>30</v>
      </c>
      <c r="U73" s="76" t="s">
        <v>3615</v>
      </c>
      <c r="V73" s="76" t="s">
        <v>5</v>
      </c>
      <c r="W73" s="76">
        <v>7</v>
      </c>
      <c r="X73" s="76" t="s">
        <v>3614</v>
      </c>
      <c r="Y73" s="76" t="s">
        <v>4</v>
      </c>
      <c r="Z73" s="76">
        <v>3</v>
      </c>
      <c r="AA73" s="76" t="s">
        <v>3613</v>
      </c>
      <c r="AB73" s="264" t="s">
        <v>6598</v>
      </c>
      <c r="AC73" s="264" t="s">
        <v>6601</v>
      </c>
      <c r="AD73" s="264" t="s">
        <v>2362</v>
      </c>
      <c r="AE73" s="25" t="s">
        <v>5043</v>
      </c>
      <c r="AF73" s="353">
        <v>8.3721000000000004E-2</v>
      </c>
      <c r="AG73" s="68">
        <v>0.17083333333333331</v>
      </c>
      <c r="AH73" s="353">
        <v>6.1211000000000002E-2</v>
      </c>
      <c r="AI73" s="68">
        <v>0.17986111111111111</v>
      </c>
      <c r="AJ73" s="68"/>
      <c r="AK73" s="68"/>
      <c r="AL73" s="364">
        <f t="shared" si="0"/>
        <v>-0.26886922038676075</v>
      </c>
    </row>
    <row r="74" spans="1:38">
      <c r="B74" s="72" t="s">
        <v>877</v>
      </c>
      <c r="C74" s="73" t="s">
        <v>1691</v>
      </c>
      <c r="D74" s="74">
        <v>1000</v>
      </c>
      <c r="E74" s="72" t="s">
        <v>18</v>
      </c>
      <c r="F74" s="74">
        <v>85</v>
      </c>
      <c r="G74" s="74">
        <f>F74+Q74+T74+W74</f>
        <v>135.30000000000001</v>
      </c>
      <c r="H74" s="77">
        <v>44417</v>
      </c>
      <c r="I74" s="72" t="s">
        <v>3586</v>
      </c>
      <c r="J74" s="72" t="s">
        <v>3585</v>
      </c>
      <c r="K74" s="72" t="s">
        <v>2045</v>
      </c>
      <c r="L74" s="72" t="s">
        <v>2056</v>
      </c>
      <c r="M74" s="72">
        <v>2019</v>
      </c>
      <c r="N74" s="72" t="s">
        <v>3584</v>
      </c>
      <c r="O74" s="72" t="s">
        <v>3583</v>
      </c>
      <c r="P74" s="76" t="s">
        <v>7</v>
      </c>
      <c r="Q74" s="76">
        <v>35</v>
      </c>
      <c r="R74" s="76" t="s">
        <v>3582</v>
      </c>
      <c r="S74" s="76" t="s">
        <v>5</v>
      </c>
      <c r="T74" s="76">
        <v>12</v>
      </c>
      <c r="U74" s="76" t="s">
        <v>3581</v>
      </c>
      <c r="V74" s="76" t="s">
        <v>4</v>
      </c>
      <c r="W74" s="76">
        <v>3.3</v>
      </c>
      <c r="X74" s="76" t="s">
        <v>3580</v>
      </c>
      <c r="Y74" s="76" t="s">
        <v>1</v>
      </c>
      <c r="Z74" s="76" t="s">
        <v>1</v>
      </c>
      <c r="AA74" s="76" t="s">
        <v>1</v>
      </c>
      <c r="AB74" s="264" t="s">
        <v>6598</v>
      </c>
      <c r="AC74" s="264" t="s">
        <v>6601</v>
      </c>
      <c r="AD74" s="264" t="s">
        <v>6618</v>
      </c>
      <c r="AE74" s="25" t="s">
        <v>5048</v>
      </c>
      <c r="AF74" s="353">
        <v>2.9928E-2</v>
      </c>
      <c r="AG74" s="68">
        <v>9.5833333333333326E-2</v>
      </c>
      <c r="AH74" s="353">
        <v>3.1308999999999997E-2</v>
      </c>
      <c r="AI74" s="68">
        <v>3.4722222222222224E-2</v>
      </c>
      <c r="AJ74" s="68"/>
      <c r="AK74" s="68"/>
      <c r="AL74" s="364">
        <f t="shared" ref="AL74:AL135" si="1">+AH74/AF74-1</f>
        <v>4.6144079123229043E-2</v>
      </c>
    </row>
    <row r="75" spans="1:38">
      <c r="B75" s="72" t="s">
        <v>1005</v>
      </c>
      <c r="C75" s="73" t="s">
        <v>1691</v>
      </c>
      <c r="D75" s="74">
        <v>1000</v>
      </c>
      <c r="E75" s="72" t="s">
        <v>18</v>
      </c>
      <c r="F75" s="74">
        <v>100</v>
      </c>
      <c r="G75" s="74">
        <f>F75+Q75+T75+W75</f>
        <v>160</v>
      </c>
      <c r="H75" s="77">
        <v>44754</v>
      </c>
      <c r="I75" s="72" t="s">
        <v>3612</v>
      </c>
      <c r="J75" s="72" t="s">
        <v>3611</v>
      </c>
      <c r="K75" s="72" t="s">
        <v>2569</v>
      </c>
      <c r="L75" s="72" t="s">
        <v>2056</v>
      </c>
      <c r="M75" s="72">
        <v>2019</v>
      </c>
      <c r="N75" s="72" t="s">
        <v>3610</v>
      </c>
      <c r="O75" s="72" t="s">
        <v>3609</v>
      </c>
      <c r="P75" s="76" t="s">
        <v>7</v>
      </c>
      <c r="Q75" s="76">
        <v>35</v>
      </c>
      <c r="R75" s="76" t="s">
        <v>3608</v>
      </c>
      <c r="S75" s="76" t="s">
        <v>5</v>
      </c>
      <c r="T75" s="76">
        <v>20</v>
      </c>
      <c r="U75" s="76" t="s">
        <v>3607</v>
      </c>
      <c r="V75" s="76" t="s">
        <v>4</v>
      </c>
      <c r="W75" s="76">
        <v>5</v>
      </c>
      <c r="X75" s="76" t="s">
        <v>3606</v>
      </c>
      <c r="Y75" s="76" t="s">
        <v>1</v>
      </c>
      <c r="Z75" s="76" t="s">
        <v>1</v>
      </c>
      <c r="AA75" s="76" t="s">
        <v>1</v>
      </c>
      <c r="AB75" s="264" t="s">
        <v>6598</v>
      </c>
      <c r="AC75" s="264" t="s">
        <v>6601</v>
      </c>
      <c r="AD75" s="264" t="s">
        <v>2362</v>
      </c>
      <c r="AE75" s="25" t="s">
        <v>5044</v>
      </c>
      <c r="AF75" s="353">
        <v>2.9766999999999998E-2</v>
      </c>
      <c r="AG75" s="68">
        <v>0.32569444444444445</v>
      </c>
      <c r="AH75" s="353">
        <v>4.2673000000000003E-2</v>
      </c>
      <c r="AI75" s="68">
        <v>0.25486111111111109</v>
      </c>
      <c r="AJ75" s="68"/>
      <c r="AK75" s="68"/>
      <c r="AL75" s="364">
        <f t="shared" si="1"/>
        <v>0.43356737326569705</v>
      </c>
    </row>
    <row r="76" spans="1:38">
      <c r="B76" s="72" t="s">
        <v>3641</v>
      </c>
      <c r="C76" s="73" t="s">
        <v>1691</v>
      </c>
      <c r="D76" s="74">
        <v>1000</v>
      </c>
      <c r="E76" s="72" t="s">
        <v>7</v>
      </c>
      <c r="F76" s="74">
        <v>300</v>
      </c>
      <c r="G76" s="74">
        <f>F76</f>
        <v>300</v>
      </c>
      <c r="H76" s="77">
        <v>44453</v>
      </c>
      <c r="I76" s="72" t="s">
        <v>3640</v>
      </c>
      <c r="J76" s="72" t="s">
        <v>3639</v>
      </c>
      <c r="K76" s="72" t="s">
        <v>2308</v>
      </c>
      <c r="L76" s="72" t="s">
        <v>3491</v>
      </c>
      <c r="M76" s="78">
        <v>43817</v>
      </c>
      <c r="N76" s="72" t="s">
        <v>3491</v>
      </c>
      <c r="O76" s="72" t="s">
        <v>3638</v>
      </c>
      <c r="P76" s="76" t="s">
        <v>1</v>
      </c>
      <c r="Q76" s="76" t="s">
        <v>1</v>
      </c>
      <c r="R76" s="76" t="s">
        <v>1</v>
      </c>
      <c r="S76" s="76" t="s">
        <v>1</v>
      </c>
      <c r="T76" s="76" t="s">
        <v>1</v>
      </c>
      <c r="U76" s="76" t="s">
        <v>1</v>
      </c>
      <c r="V76" s="76" t="s">
        <v>1</v>
      </c>
      <c r="W76" s="76" t="s">
        <v>1</v>
      </c>
      <c r="X76" s="76" t="s">
        <v>1</v>
      </c>
      <c r="Y76" s="76" t="s">
        <v>1</v>
      </c>
      <c r="Z76" s="76" t="s">
        <v>1</v>
      </c>
      <c r="AA76" s="76" t="s">
        <v>1</v>
      </c>
      <c r="AB76" s="264" t="s">
        <v>6599</v>
      </c>
      <c r="AD76" s="264" t="s">
        <v>3599</v>
      </c>
      <c r="AE76" s="25" t="s">
        <v>5039</v>
      </c>
      <c r="AF76" s="353">
        <v>3.4018E-2</v>
      </c>
      <c r="AG76" s="68">
        <v>0.75416666666666676</v>
      </c>
      <c r="AH76" s="353">
        <v>5.1958999999999998E-2</v>
      </c>
      <c r="AI76" s="68">
        <v>0.65277777777777779</v>
      </c>
      <c r="AJ76" s="68"/>
      <c r="AK76" s="68"/>
      <c r="AL76" s="364">
        <f t="shared" si="1"/>
        <v>0.52739726027397249</v>
      </c>
    </row>
    <row r="77" spans="1:38">
      <c r="B77" s="72" t="s">
        <v>5040</v>
      </c>
      <c r="C77" s="73" t="s">
        <v>1691</v>
      </c>
      <c r="D77" s="74">
        <v>1000</v>
      </c>
      <c r="E77" s="72" t="s">
        <v>18</v>
      </c>
      <c r="F77" s="74">
        <v>235</v>
      </c>
      <c r="G77" s="74">
        <f>F77+Q77+T77+W77+Z77</f>
        <v>352</v>
      </c>
      <c r="H77" s="77">
        <v>44384</v>
      </c>
      <c r="I77" s="72" t="s">
        <v>3630</v>
      </c>
      <c r="J77" s="72" t="s">
        <v>3629</v>
      </c>
      <c r="K77" s="72" t="s">
        <v>2045</v>
      </c>
      <c r="L77" s="72" t="s">
        <v>2044</v>
      </c>
      <c r="M77" s="72">
        <v>2015</v>
      </c>
      <c r="O77" s="72" t="s">
        <v>3628</v>
      </c>
      <c r="P77" s="76" t="s">
        <v>7</v>
      </c>
      <c r="Q77" s="76">
        <v>43</v>
      </c>
      <c r="R77" s="76" t="s">
        <v>3627</v>
      </c>
      <c r="S77" s="76" t="s">
        <v>5</v>
      </c>
      <c r="T77" s="76">
        <v>31</v>
      </c>
      <c r="U77" s="76" t="s">
        <v>493</v>
      </c>
      <c r="V77" s="76" t="s">
        <v>5</v>
      </c>
      <c r="W77" s="76">
        <v>15</v>
      </c>
      <c r="X77" s="76" t="s">
        <v>3626</v>
      </c>
      <c r="Y77" s="76" t="s">
        <v>5</v>
      </c>
      <c r="Z77" s="76">
        <v>28</v>
      </c>
      <c r="AA77" s="76" t="s">
        <v>3625</v>
      </c>
      <c r="AB77" s="264" t="s">
        <v>6755</v>
      </c>
      <c r="AD77" s="264" t="s">
        <v>2851</v>
      </c>
      <c r="AE77" s="25" t="s">
        <v>5041</v>
      </c>
      <c r="AF77" s="338">
        <v>0</v>
      </c>
      <c r="AG77" s="62">
        <v>2.9861111111111113E-2</v>
      </c>
      <c r="AH77" s="338">
        <v>0</v>
      </c>
      <c r="AI77" s="62">
        <v>4.027777777777778E-2</v>
      </c>
      <c r="AJ77" s="62"/>
      <c r="AK77" s="62"/>
      <c r="AL77" s="364"/>
    </row>
    <row r="78" spans="1:38" s="176" customFormat="1">
      <c r="A78" s="72"/>
      <c r="B78" s="12" t="s">
        <v>3605</v>
      </c>
      <c r="C78" s="29" t="s">
        <v>1691</v>
      </c>
      <c r="D78" s="15">
        <v>1000</v>
      </c>
      <c r="E78" s="12" t="s">
        <v>7</v>
      </c>
      <c r="F78" s="15">
        <v>100</v>
      </c>
      <c r="G78" s="74">
        <f>F78+Q78</f>
        <v>130</v>
      </c>
      <c r="H78" s="14">
        <v>44565</v>
      </c>
      <c r="I78" s="12" t="s">
        <v>3604</v>
      </c>
      <c r="J78" s="12" t="s">
        <v>3603</v>
      </c>
      <c r="K78" s="12" t="s">
        <v>2308</v>
      </c>
      <c r="L78" s="12" t="s">
        <v>3602</v>
      </c>
      <c r="M78" s="78">
        <v>43466</v>
      </c>
      <c r="N78" s="72" t="s">
        <v>3491</v>
      </c>
      <c r="O78" s="34" t="s">
        <v>3601</v>
      </c>
      <c r="P78" s="76" t="s">
        <v>5</v>
      </c>
      <c r="Q78" s="76">
        <v>30</v>
      </c>
      <c r="R78" s="76" t="s">
        <v>3600</v>
      </c>
      <c r="S78" s="76" t="s">
        <v>1</v>
      </c>
      <c r="T78" s="76" t="s">
        <v>1</v>
      </c>
      <c r="U78" s="76" t="s">
        <v>1</v>
      </c>
      <c r="V78" s="76" t="s">
        <v>1</v>
      </c>
      <c r="W78" s="76" t="s">
        <v>1</v>
      </c>
      <c r="X78" s="76" t="s">
        <v>1</v>
      </c>
      <c r="Y78" s="76" t="s">
        <v>1</v>
      </c>
      <c r="Z78" s="76" t="s">
        <v>1</v>
      </c>
      <c r="AA78" s="76" t="s">
        <v>1</v>
      </c>
      <c r="AB78" s="264" t="s">
        <v>6599</v>
      </c>
      <c r="AC78" s="72"/>
      <c r="AD78" s="264" t="s">
        <v>3599</v>
      </c>
      <c r="AE78" s="72" t="s">
        <v>8944</v>
      </c>
      <c r="AF78" s="348" t="s">
        <v>7140</v>
      </c>
      <c r="AG78" s="331" t="s">
        <v>7140</v>
      </c>
      <c r="AH78" s="338">
        <v>0</v>
      </c>
      <c r="AI78" s="337">
        <v>0.15555555555555556</v>
      </c>
      <c r="AJ78" s="337"/>
      <c r="AK78" s="337"/>
      <c r="AL78" s="364"/>
    </row>
    <row r="79" spans="1:38">
      <c r="B79" s="72" t="s">
        <v>64</v>
      </c>
      <c r="C79" s="73" t="s">
        <v>1691</v>
      </c>
      <c r="D79" s="74">
        <v>1000</v>
      </c>
      <c r="E79" s="72" t="s">
        <v>7</v>
      </c>
      <c r="F79" s="74">
        <f>1600/7</f>
        <v>228.57142857142858</v>
      </c>
      <c r="G79" s="74">
        <f>F79+Q79+T79</f>
        <v>350</v>
      </c>
      <c r="H79" s="77">
        <v>44550</v>
      </c>
      <c r="I79" s="72" t="s">
        <v>3637</v>
      </c>
      <c r="J79" s="72" t="s">
        <v>3636</v>
      </c>
      <c r="K79" s="72" t="s">
        <v>2100</v>
      </c>
      <c r="L79" s="72" t="s">
        <v>3635</v>
      </c>
      <c r="M79" s="72">
        <v>2018</v>
      </c>
      <c r="O79" s="72" t="s">
        <v>3634</v>
      </c>
      <c r="P79" s="76" t="s">
        <v>5</v>
      </c>
      <c r="Q79" s="81">
        <f>500/7</f>
        <v>71.428571428571431</v>
      </c>
      <c r="R79" s="76" t="s">
        <v>3633</v>
      </c>
      <c r="S79" s="76" t="s">
        <v>5</v>
      </c>
      <c r="T79" s="76">
        <v>50</v>
      </c>
      <c r="U79" s="76" t="s">
        <v>3632</v>
      </c>
      <c r="V79" s="76" t="s">
        <v>1</v>
      </c>
      <c r="W79" s="76" t="s">
        <v>1</v>
      </c>
      <c r="X79" s="76" t="s">
        <v>1</v>
      </c>
      <c r="Y79" s="76" t="s">
        <v>1</v>
      </c>
      <c r="Z79" s="76" t="s">
        <v>1</v>
      </c>
      <c r="AA79" s="76" t="s">
        <v>1</v>
      </c>
      <c r="AB79" s="264" t="s">
        <v>6599</v>
      </c>
      <c r="AD79" s="264" t="s">
        <v>3487</v>
      </c>
      <c r="AE79" s="25" t="s">
        <v>3631</v>
      </c>
      <c r="AF79" s="338">
        <v>1.5021E-2</v>
      </c>
      <c r="AG79" s="62">
        <v>0.25694444444444448</v>
      </c>
      <c r="AH79" s="338">
        <v>1.0156E-2</v>
      </c>
      <c r="AI79" s="62">
        <v>0.29583333333333334</v>
      </c>
      <c r="AJ79" s="62"/>
      <c r="AK79" s="62"/>
      <c r="AL79" s="364">
        <f t="shared" si="1"/>
        <v>-0.32387990147127355</v>
      </c>
    </row>
    <row r="80" spans="1:38" s="12" customFormat="1">
      <c r="B80" s="12" t="s">
        <v>2076</v>
      </c>
      <c r="C80" s="29" t="s">
        <v>1691</v>
      </c>
      <c r="D80" s="15">
        <v>900</v>
      </c>
      <c r="E80" s="12" t="s">
        <v>7</v>
      </c>
      <c r="F80" s="15">
        <v>100</v>
      </c>
      <c r="G80" s="15">
        <f>F80</f>
        <v>100</v>
      </c>
      <c r="H80" s="14">
        <v>44937</v>
      </c>
      <c r="I80" s="12" t="s">
        <v>5890</v>
      </c>
      <c r="J80" s="12" t="s">
        <v>5891</v>
      </c>
      <c r="K80" s="12" t="s">
        <v>2045</v>
      </c>
      <c r="L80" s="12" t="s">
        <v>2075</v>
      </c>
      <c r="M80" s="12">
        <v>2009</v>
      </c>
      <c r="O80" s="12" t="s">
        <v>5892</v>
      </c>
      <c r="P80" s="24" t="s">
        <v>5</v>
      </c>
      <c r="Q80" s="24" t="s">
        <v>1</v>
      </c>
      <c r="R80" s="24" t="s">
        <v>5893</v>
      </c>
      <c r="S80" s="24" t="s">
        <v>4</v>
      </c>
      <c r="T80" s="24" t="s">
        <v>1</v>
      </c>
      <c r="U80" s="24" t="s">
        <v>643</v>
      </c>
      <c r="V80" s="24" t="s">
        <v>5894</v>
      </c>
      <c r="W80" s="24" t="s">
        <v>1</v>
      </c>
      <c r="X80" s="24" t="s">
        <v>643</v>
      </c>
      <c r="Y80" s="24" t="s">
        <v>1</v>
      </c>
      <c r="Z80" s="24" t="s">
        <v>1</v>
      </c>
      <c r="AA80" s="24" t="s">
        <v>1</v>
      </c>
      <c r="AB80" s="12" t="s">
        <v>2074</v>
      </c>
      <c r="AE80" s="37" t="s">
        <v>2073</v>
      </c>
      <c r="AF80" s="366" t="s">
        <v>7140</v>
      </c>
      <c r="AG80" s="367" t="s">
        <v>7140</v>
      </c>
      <c r="AH80" s="368">
        <v>234.7</v>
      </c>
      <c r="AI80" s="360">
        <v>0.37638888888888888</v>
      </c>
      <c r="AJ80" s="360"/>
      <c r="AK80" s="360"/>
      <c r="AL80" s="369"/>
    </row>
    <row r="81" spans="1:38">
      <c r="B81" s="72" t="s">
        <v>599</v>
      </c>
      <c r="C81" s="73" t="s">
        <v>1691</v>
      </c>
      <c r="D81" s="74">
        <v>800</v>
      </c>
      <c r="E81" s="72" t="s">
        <v>18</v>
      </c>
      <c r="F81" s="74">
        <v>125</v>
      </c>
      <c r="G81" s="74">
        <f>F81+Q81+T81+W81+Z81</f>
        <v>239</v>
      </c>
      <c r="H81" s="77">
        <v>44663</v>
      </c>
      <c r="I81" s="72" t="s">
        <v>3577</v>
      </c>
      <c r="J81" s="72" t="s">
        <v>3576</v>
      </c>
      <c r="K81" s="72" t="s">
        <v>2045</v>
      </c>
      <c r="L81" s="72" t="s">
        <v>3575</v>
      </c>
      <c r="M81" s="72">
        <v>2017</v>
      </c>
      <c r="O81" s="72" t="s">
        <v>3574</v>
      </c>
      <c r="P81" s="76" t="s">
        <v>7</v>
      </c>
      <c r="Q81" s="76">
        <v>54</v>
      </c>
      <c r="R81" s="76" t="s">
        <v>3573</v>
      </c>
      <c r="S81" s="76" t="s">
        <v>5</v>
      </c>
      <c r="T81" s="76">
        <v>26</v>
      </c>
      <c r="U81" s="76" t="s">
        <v>3572</v>
      </c>
      <c r="V81" s="76" t="s">
        <v>5</v>
      </c>
      <c r="W81" s="76">
        <v>8</v>
      </c>
      <c r="X81" s="76" t="s">
        <v>3571</v>
      </c>
      <c r="Y81" s="76" t="s">
        <v>5</v>
      </c>
      <c r="Z81" s="76">
        <v>26</v>
      </c>
      <c r="AA81" s="76" t="s">
        <v>3570</v>
      </c>
      <c r="AB81" s="264" t="s">
        <v>6598</v>
      </c>
      <c r="AC81" s="264" t="s">
        <v>6601</v>
      </c>
      <c r="AD81" s="264" t="s">
        <v>2362</v>
      </c>
      <c r="AE81" s="25" t="s">
        <v>5050</v>
      </c>
      <c r="AF81" s="353">
        <v>3.8109999999999998E-2</v>
      </c>
      <c r="AG81" s="68">
        <v>6.8749999999999992E-2</v>
      </c>
      <c r="AH81" s="353">
        <v>3.5663E-2</v>
      </c>
      <c r="AI81" s="68">
        <v>6.0416666666666667E-2</v>
      </c>
      <c r="AJ81" s="68"/>
      <c r="AK81" s="68"/>
      <c r="AL81" s="364">
        <f t="shared" si="1"/>
        <v>-6.4208869063237972E-2</v>
      </c>
    </row>
    <row r="82" spans="1:38">
      <c r="B82" s="72" t="s">
        <v>258</v>
      </c>
      <c r="C82" s="73" t="s">
        <v>1691</v>
      </c>
      <c r="D82" s="74">
        <v>800</v>
      </c>
      <c r="E82" s="72" t="s">
        <v>8</v>
      </c>
      <c r="F82" s="74">
        <v>111</v>
      </c>
      <c r="G82" s="74">
        <f>F82+Q82+T82+W82+Z82</f>
        <v>199.5</v>
      </c>
      <c r="H82" s="77">
        <v>44782</v>
      </c>
      <c r="I82" s="72" t="s">
        <v>3569</v>
      </c>
      <c r="J82" s="72" t="s">
        <v>3568</v>
      </c>
      <c r="K82" s="72" t="s">
        <v>2045</v>
      </c>
      <c r="L82" s="72" t="s">
        <v>2169</v>
      </c>
      <c r="M82" s="72">
        <v>2017</v>
      </c>
      <c r="O82" s="72" t="s">
        <v>3567</v>
      </c>
      <c r="P82" s="76" t="s">
        <v>18</v>
      </c>
      <c r="Q82" s="76">
        <v>55</v>
      </c>
      <c r="R82" s="76" t="s">
        <v>3566</v>
      </c>
      <c r="S82" s="76" t="s">
        <v>7</v>
      </c>
      <c r="T82" s="76">
        <v>16</v>
      </c>
      <c r="U82" s="76" t="s">
        <v>3565</v>
      </c>
      <c r="V82" s="76" t="s">
        <v>5</v>
      </c>
      <c r="W82" s="76">
        <v>14</v>
      </c>
      <c r="X82" s="76" t="s">
        <v>3564</v>
      </c>
      <c r="Y82" s="76" t="s">
        <v>4</v>
      </c>
      <c r="Z82" s="76">
        <v>3.5</v>
      </c>
      <c r="AA82" s="76" t="s">
        <v>3563</v>
      </c>
      <c r="AB82" s="264" t="s">
        <v>6598</v>
      </c>
      <c r="AC82" s="264" t="s">
        <v>6601</v>
      </c>
      <c r="AD82" s="264" t="s">
        <v>2362</v>
      </c>
      <c r="AE82" s="25" t="s">
        <v>3562</v>
      </c>
      <c r="AF82" s="338">
        <v>9.5690999999999998E-2</v>
      </c>
      <c r="AG82" s="62">
        <v>8.4722222222222213E-2</v>
      </c>
      <c r="AH82" s="338">
        <v>8.5239999999999996E-2</v>
      </c>
      <c r="AI82" s="62">
        <v>0.14791666666666667</v>
      </c>
      <c r="AJ82" s="62"/>
      <c r="AK82" s="62"/>
      <c r="AL82" s="364">
        <f t="shared" si="1"/>
        <v>-0.10921612272836523</v>
      </c>
    </row>
    <row r="83" spans="1:38" s="176" customFormat="1">
      <c r="A83" s="72"/>
      <c r="B83" s="72" t="s">
        <v>15</v>
      </c>
      <c r="C83" s="73" t="s">
        <v>1691</v>
      </c>
      <c r="D83" s="74">
        <v>794</v>
      </c>
      <c r="E83" s="72" t="s">
        <v>8</v>
      </c>
      <c r="F83" s="74">
        <v>220</v>
      </c>
      <c r="G83" s="74">
        <f>F83+Q83+T83+W83+Z83</f>
        <v>538</v>
      </c>
      <c r="H83" s="77">
        <v>44502</v>
      </c>
      <c r="I83" s="72" t="s">
        <v>3561</v>
      </c>
      <c r="J83" s="72" t="s">
        <v>3560</v>
      </c>
      <c r="K83" s="72" t="s">
        <v>2045</v>
      </c>
      <c r="L83" s="72" t="s">
        <v>2332</v>
      </c>
      <c r="M83" s="72">
        <v>2013</v>
      </c>
      <c r="N83" s="72"/>
      <c r="O83" s="72" t="s">
        <v>3559</v>
      </c>
      <c r="P83" s="76" t="s">
        <v>8</v>
      </c>
      <c r="Q83" s="76">
        <v>220</v>
      </c>
      <c r="R83" s="76" t="s">
        <v>3558</v>
      </c>
      <c r="S83" s="76" t="s">
        <v>18</v>
      </c>
      <c r="T83" s="76">
        <v>60</v>
      </c>
      <c r="U83" s="76" t="s">
        <v>3557</v>
      </c>
      <c r="V83" s="76" t="s">
        <v>7</v>
      </c>
      <c r="W83" s="76">
        <v>28</v>
      </c>
      <c r="X83" s="76" t="s">
        <v>3556</v>
      </c>
      <c r="Y83" s="76" t="s">
        <v>5</v>
      </c>
      <c r="Z83" s="76">
        <v>10</v>
      </c>
      <c r="AA83" s="76" t="s">
        <v>3555</v>
      </c>
      <c r="AB83" s="264" t="s">
        <v>6622</v>
      </c>
      <c r="AC83" s="72"/>
      <c r="AD83" s="264" t="s">
        <v>2145</v>
      </c>
      <c r="AE83" s="25" t="s">
        <v>3554</v>
      </c>
      <c r="AF83" s="338">
        <v>5.6721000000000001E-2</v>
      </c>
      <c r="AG83" s="62">
        <v>0.14722222222222223</v>
      </c>
      <c r="AH83" s="338">
        <v>2.1055000000000001E-2</v>
      </c>
      <c r="AI83" s="62">
        <v>3.4027777777777775E-2</v>
      </c>
      <c r="AJ83" s="62"/>
      <c r="AK83" s="62"/>
      <c r="AL83" s="364">
        <f t="shared" si="1"/>
        <v>-0.62879709455051924</v>
      </c>
    </row>
    <row r="84" spans="1:38">
      <c r="B84" s="72" t="s">
        <v>2109</v>
      </c>
      <c r="C84" s="73" t="s">
        <v>1691</v>
      </c>
      <c r="D84" s="74">
        <v>790</v>
      </c>
      <c r="E84" s="72" t="s">
        <v>8</v>
      </c>
      <c r="F84" s="74">
        <v>110</v>
      </c>
      <c r="G84" s="74">
        <f>F84+Q84+T84+W84+Z84</f>
        <v>188.9</v>
      </c>
      <c r="H84" s="77">
        <v>44567</v>
      </c>
      <c r="I84" s="72" t="s">
        <v>5007</v>
      </c>
      <c r="J84" s="72" t="s">
        <v>5006</v>
      </c>
      <c r="K84" s="72" t="s">
        <v>2045</v>
      </c>
      <c r="L84" s="72" t="s">
        <v>2056</v>
      </c>
      <c r="M84" s="72">
        <v>2018</v>
      </c>
      <c r="O84" s="72" t="s">
        <v>5009</v>
      </c>
      <c r="P84" s="76" t="s">
        <v>18</v>
      </c>
      <c r="Q84" s="76">
        <v>40</v>
      </c>
      <c r="R84" s="76" t="s">
        <v>5027</v>
      </c>
      <c r="S84" s="76" t="s">
        <v>7</v>
      </c>
      <c r="T84" s="76">
        <v>25</v>
      </c>
      <c r="U84" s="76" t="s">
        <v>5028</v>
      </c>
      <c r="V84" s="76" t="s">
        <v>5</v>
      </c>
      <c r="W84" s="76">
        <v>10</v>
      </c>
      <c r="X84" s="76" t="s">
        <v>5029</v>
      </c>
      <c r="Y84" s="76" t="s">
        <v>4</v>
      </c>
      <c r="Z84" s="76">
        <v>3.9</v>
      </c>
      <c r="AA84" s="76" t="s">
        <v>5030</v>
      </c>
      <c r="AB84" s="264" t="s">
        <v>6598</v>
      </c>
      <c r="AC84" s="264" t="s">
        <v>6601</v>
      </c>
      <c r="AD84" s="264" t="s">
        <v>2362</v>
      </c>
      <c r="AE84" s="218" t="s">
        <v>2108</v>
      </c>
      <c r="AF84" s="354">
        <v>0.18307699999999999</v>
      </c>
      <c r="AG84" s="219">
        <v>0.33124999999999999</v>
      </c>
      <c r="AH84" s="354">
        <v>0.111431</v>
      </c>
      <c r="AI84" s="219">
        <v>0.20624999999999999</v>
      </c>
      <c r="AJ84" s="219"/>
      <c r="AK84" s="219"/>
      <c r="AL84" s="364">
        <f t="shared" si="1"/>
        <v>-0.39134353304893565</v>
      </c>
    </row>
    <row r="85" spans="1:38">
      <c r="B85" s="72" t="s">
        <v>32</v>
      </c>
      <c r="C85" s="73" t="s">
        <v>1691</v>
      </c>
      <c r="D85" s="74">
        <v>770</v>
      </c>
      <c r="E85" s="72" t="s">
        <v>18</v>
      </c>
      <c r="F85" s="74">
        <v>230</v>
      </c>
      <c r="G85" s="74">
        <f>F85+Q85+T85</f>
        <v>293</v>
      </c>
      <c r="H85" s="77">
        <v>43634</v>
      </c>
      <c r="I85" s="72" t="s">
        <v>2688</v>
      </c>
      <c r="J85" s="72" t="s">
        <v>3553</v>
      </c>
      <c r="K85" s="72" t="s">
        <v>2045</v>
      </c>
      <c r="L85" s="72" t="s">
        <v>3220</v>
      </c>
      <c r="M85" s="72">
        <v>2016</v>
      </c>
      <c r="O85" s="72" t="s">
        <v>3552</v>
      </c>
      <c r="P85" s="76" t="s">
        <v>7</v>
      </c>
      <c r="Q85" s="76">
        <v>45</v>
      </c>
      <c r="R85" s="76" t="s">
        <v>3551</v>
      </c>
      <c r="S85" s="76" t="s">
        <v>5</v>
      </c>
      <c r="T85" s="76">
        <v>18</v>
      </c>
      <c r="U85" s="76" t="s">
        <v>3550</v>
      </c>
      <c r="V85" s="76" t="s">
        <v>4</v>
      </c>
      <c r="W85" s="76" t="s">
        <v>1</v>
      </c>
      <c r="X85" s="76" t="s">
        <v>3549</v>
      </c>
      <c r="Y85" s="76" t="s">
        <v>278</v>
      </c>
      <c r="Z85" s="76">
        <v>0.5</v>
      </c>
      <c r="AA85" s="82">
        <v>42430</v>
      </c>
      <c r="AB85" s="264" t="s">
        <v>6622</v>
      </c>
      <c r="AD85" s="264" t="s">
        <v>2145</v>
      </c>
      <c r="AE85" s="25" t="s">
        <v>3548</v>
      </c>
      <c r="AF85" s="338">
        <v>3.2729000000000001E-2</v>
      </c>
      <c r="AG85" s="62">
        <v>2.5694444444444447E-2</v>
      </c>
      <c r="AH85" s="338">
        <v>4.5798999999999999E-2</v>
      </c>
      <c r="AI85" s="62">
        <v>3.2638888888888891E-2</v>
      </c>
      <c r="AJ85" s="62"/>
      <c r="AK85" s="62"/>
      <c r="AL85" s="364">
        <f t="shared" si="1"/>
        <v>0.39934003483149483</v>
      </c>
    </row>
    <row r="86" spans="1:38">
      <c r="B86" s="72" t="s">
        <v>1064</v>
      </c>
      <c r="C86" s="73" t="s">
        <v>1691</v>
      </c>
      <c r="D86" s="74">
        <v>750</v>
      </c>
      <c r="E86" s="72" t="s">
        <v>18</v>
      </c>
      <c r="F86" s="74">
        <v>85</v>
      </c>
      <c r="G86" s="74">
        <f>F86+Q86+T86+W86</f>
        <v>131.9</v>
      </c>
      <c r="H86" s="77">
        <v>44501</v>
      </c>
      <c r="I86" s="72" t="s">
        <v>2877</v>
      </c>
      <c r="J86" s="72" t="s">
        <v>3542</v>
      </c>
      <c r="K86" s="72" t="s">
        <v>2569</v>
      </c>
      <c r="L86" s="72" t="s">
        <v>2056</v>
      </c>
      <c r="M86" s="78">
        <v>43670</v>
      </c>
      <c r="N86" s="72" t="s">
        <v>3541</v>
      </c>
      <c r="O86" s="72" t="s">
        <v>3540</v>
      </c>
      <c r="P86" s="76" t="s">
        <v>7</v>
      </c>
      <c r="Q86" s="76">
        <v>28</v>
      </c>
      <c r="R86" s="76" t="s">
        <v>3539</v>
      </c>
      <c r="S86" s="76" t="s">
        <v>5</v>
      </c>
      <c r="T86" s="76">
        <v>15</v>
      </c>
      <c r="U86" s="76" t="s">
        <v>3538</v>
      </c>
      <c r="V86" s="76" t="s">
        <v>4</v>
      </c>
      <c r="W86" s="76">
        <v>3.9</v>
      </c>
      <c r="X86" s="76" t="s">
        <v>3537</v>
      </c>
      <c r="Y86" s="76" t="s">
        <v>1</v>
      </c>
      <c r="Z86" s="76" t="s">
        <v>1</v>
      </c>
      <c r="AA86" s="76" t="s">
        <v>1</v>
      </c>
      <c r="AB86" s="264" t="s">
        <v>6598</v>
      </c>
      <c r="AC86" s="264" t="s">
        <v>6600</v>
      </c>
      <c r="AD86" s="264" t="s">
        <v>2900</v>
      </c>
      <c r="AE86" s="25" t="s">
        <v>5054</v>
      </c>
      <c r="AF86" s="353">
        <v>3.8234999999999998E-2</v>
      </c>
      <c r="AG86" s="68">
        <v>2.4305555555555556E-2</v>
      </c>
      <c r="AH86" s="353">
        <v>1.6441000000000001E-2</v>
      </c>
      <c r="AI86" s="68">
        <v>6.6666666666666666E-2</v>
      </c>
      <c r="AJ86" s="68"/>
      <c r="AK86" s="68"/>
      <c r="AL86" s="364">
        <f t="shared" si="1"/>
        <v>-0.5700013077023669</v>
      </c>
    </row>
    <row r="87" spans="1:38">
      <c r="B87" s="274" t="s">
        <v>1086</v>
      </c>
      <c r="C87" s="275" t="s">
        <v>1691</v>
      </c>
      <c r="D87" s="324">
        <v>750</v>
      </c>
      <c r="E87" s="274" t="s">
        <v>7</v>
      </c>
      <c r="F87" s="324">
        <v>100</v>
      </c>
      <c r="G87" s="324">
        <f>F87+Q87+T87</f>
        <v>138</v>
      </c>
      <c r="H87" s="325">
        <v>45042</v>
      </c>
      <c r="I87" s="274" t="s">
        <v>3353</v>
      </c>
      <c r="J87" s="72" t="s">
        <v>3547</v>
      </c>
      <c r="K87" s="72" t="s">
        <v>2569</v>
      </c>
      <c r="L87" s="72" t="s">
        <v>3352</v>
      </c>
      <c r="M87" s="72">
        <v>2019</v>
      </c>
      <c r="N87" s="72" t="s">
        <v>3546</v>
      </c>
      <c r="O87" s="72" t="s">
        <v>3545</v>
      </c>
      <c r="P87" s="76" t="s">
        <v>5</v>
      </c>
      <c r="Q87" s="76">
        <v>28</v>
      </c>
      <c r="R87" s="76" t="s">
        <v>3544</v>
      </c>
      <c r="S87" s="76" t="s">
        <v>4</v>
      </c>
      <c r="T87" s="76">
        <v>10</v>
      </c>
      <c r="U87" s="76" t="s">
        <v>3543</v>
      </c>
      <c r="V87" s="76" t="s">
        <v>1</v>
      </c>
      <c r="W87" s="76" t="s">
        <v>1</v>
      </c>
      <c r="X87" s="76" t="s">
        <v>1</v>
      </c>
      <c r="Y87" s="76" t="s">
        <v>1</v>
      </c>
      <c r="Z87" s="76" t="s">
        <v>1</v>
      </c>
      <c r="AA87" s="76" t="s">
        <v>1</v>
      </c>
      <c r="AB87" s="264" t="s">
        <v>6598</v>
      </c>
      <c r="AC87" s="264" t="s">
        <v>6606</v>
      </c>
      <c r="AD87" s="264" t="s">
        <v>6606</v>
      </c>
      <c r="AE87" s="25" t="s">
        <v>5053</v>
      </c>
      <c r="AF87" s="353">
        <v>0.80319799999999997</v>
      </c>
      <c r="AG87" s="68">
        <v>0.17986111111111111</v>
      </c>
      <c r="AH87" s="353">
        <v>0.89120100000000002</v>
      </c>
      <c r="AI87" s="68">
        <v>0.15555555555555556</v>
      </c>
      <c r="AJ87" s="68"/>
      <c r="AK87" s="68"/>
      <c r="AL87" s="364">
        <f t="shared" si="1"/>
        <v>0.10956576087091863</v>
      </c>
    </row>
    <row r="88" spans="1:38">
      <c r="B88" s="72" t="s">
        <v>2118</v>
      </c>
      <c r="C88" s="73" t="s">
        <v>1691</v>
      </c>
      <c r="D88" s="74">
        <v>700</v>
      </c>
      <c r="E88" s="72" t="s">
        <v>18</v>
      </c>
      <c r="F88" s="74">
        <v>300</v>
      </c>
      <c r="G88" s="74">
        <f>F88+T88+W88</f>
        <v>362.6</v>
      </c>
      <c r="H88" s="77">
        <v>44300</v>
      </c>
      <c r="I88" s="72" t="s">
        <v>4838</v>
      </c>
      <c r="J88" s="72" t="s">
        <v>4836</v>
      </c>
      <c r="K88" s="72" t="s">
        <v>2045</v>
      </c>
      <c r="L88" s="72" t="s">
        <v>2100</v>
      </c>
      <c r="M88" s="72">
        <v>2016</v>
      </c>
      <c r="N88" s="72" t="s">
        <v>5055</v>
      </c>
      <c r="O88" s="274" t="s">
        <v>4839</v>
      </c>
      <c r="P88" s="76" t="s">
        <v>7</v>
      </c>
      <c r="Q88" s="76" t="s">
        <v>1</v>
      </c>
      <c r="R88" s="76" t="s">
        <v>4849</v>
      </c>
      <c r="S88" s="76" t="s">
        <v>5</v>
      </c>
      <c r="T88" s="76">
        <v>52.3</v>
      </c>
      <c r="U88" s="332" t="s">
        <v>4850</v>
      </c>
      <c r="V88" s="76" t="s">
        <v>4</v>
      </c>
      <c r="W88" s="76">
        <v>10.3</v>
      </c>
      <c r="X88" s="332" t="s">
        <v>4869</v>
      </c>
      <c r="Y88" s="76" t="s">
        <v>1</v>
      </c>
      <c r="Z88" s="76" t="s">
        <v>1</v>
      </c>
      <c r="AA88" s="76" t="s">
        <v>1</v>
      </c>
      <c r="AB88" s="264" t="s">
        <v>6598</v>
      </c>
      <c r="AC88" s="264" t="s">
        <v>6601</v>
      </c>
      <c r="AD88" s="264" t="s">
        <v>6609</v>
      </c>
      <c r="AE88" s="25" t="s">
        <v>2117</v>
      </c>
      <c r="AF88" s="338">
        <v>2.3448E-2</v>
      </c>
      <c r="AG88" s="62">
        <v>3.8194444444444441E-2</v>
      </c>
      <c r="AH88" s="338">
        <v>0.32202599999999998</v>
      </c>
      <c r="AI88" s="62">
        <v>0.15138888888888888</v>
      </c>
      <c r="AJ88" s="62"/>
      <c r="AK88" s="62"/>
      <c r="AL88" s="364">
        <f t="shared" si="1"/>
        <v>12.733623336745136</v>
      </c>
    </row>
    <row r="89" spans="1:38">
      <c r="B89" s="72" t="s">
        <v>3536</v>
      </c>
      <c r="C89" s="73" t="s">
        <v>1691</v>
      </c>
      <c r="D89" s="74">
        <v>615</v>
      </c>
      <c r="E89" s="72" t="s">
        <v>8</v>
      </c>
      <c r="F89" s="74">
        <v>135</v>
      </c>
      <c r="G89" s="74">
        <f>F89+Q89+T89</f>
        <v>240</v>
      </c>
      <c r="H89" s="77">
        <v>44880</v>
      </c>
      <c r="I89" s="72" t="s">
        <v>3535</v>
      </c>
      <c r="J89" s="72" t="s">
        <v>3534</v>
      </c>
      <c r="K89" s="72" t="s">
        <v>2045</v>
      </c>
      <c r="L89" s="72" t="s">
        <v>2056</v>
      </c>
      <c r="M89" s="72">
        <v>2013</v>
      </c>
      <c r="O89" s="72" t="s">
        <v>3533</v>
      </c>
      <c r="P89" s="76" t="s">
        <v>18</v>
      </c>
      <c r="Q89" s="76">
        <v>73</v>
      </c>
      <c r="R89" s="76" t="s">
        <v>3532</v>
      </c>
      <c r="S89" s="76" t="s">
        <v>7</v>
      </c>
      <c r="T89" s="76">
        <v>32</v>
      </c>
      <c r="U89" s="76" t="s">
        <v>3531</v>
      </c>
      <c r="V89" s="76" t="s">
        <v>1</v>
      </c>
      <c r="W89" s="76" t="s">
        <v>1</v>
      </c>
      <c r="X89" s="76" t="s">
        <v>1</v>
      </c>
      <c r="Y89" s="76" t="s">
        <v>1</v>
      </c>
      <c r="Z89" s="76" t="s">
        <v>1</v>
      </c>
      <c r="AA89" s="76" t="s">
        <v>1</v>
      </c>
      <c r="AB89" s="264" t="s">
        <v>6598</v>
      </c>
      <c r="AC89" s="264" t="s">
        <v>6601</v>
      </c>
      <c r="AD89" s="264" t="s">
        <v>7923</v>
      </c>
      <c r="AE89" s="25" t="s">
        <v>3530</v>
      </c>
      <c r="AF89" s="338">
        <v>5.7549999999999997E-2</v>
      </c>
      <c r="AG89" s="62">
        <v>8.1944444444444445E-2</v>
      </c>
      <c r="AH89" s="338">
        <v>4.7396000000000001E-2</v>
      </c>
      <c r="AI89" s="62">
        <v>5.5555555555555552E-2</v>
      </c>
      <c r="AJ89" s="62"/>
      <c r="AK89" s="62"/>
      <c r="AL89" s="364">
        <f t="shared" si="1"/>
        <v>-0.17643788010425709</v>
      </c>
    </row>
    <row r="90" spans="1:38">
      <c r="B90" s="72" t="s">
        <v>176</v>
      </c>
      <c r="C90" s="73" t="s">
        <v>1691</v>
      </c>
      <c r="D90" s="79">
        <v>600</v>
      </c>
      <c r="E90" s="72" t="s">
        <v>53</v>
      </c>
      <c r="F90" s="74">
        <v>475</v>
      </c>
      <c r="H90" s="77">
        <v>44278</v>
      </c>
      <c r="I90" s="72" t="s">
        <v>3823</v>
      </c>
      <c r="J90" s="72" t="s">
        <v>3822</v>
      </c>
      <c r="K90" s="72" t="s">
        <v>2045</v>
      </c>
      <c r="L90" s="72" t="s">
        <v>3821</v>
      </c>
      <c r="M90" s="72">
        <v>2009</v>
      </c>
      <c r="N90" s="204" t="s">
        <v>7124</v>
      </c>
      <c r="O90" s="72" t="s">
        <v>3820</v>
      </c>
      <c r="P90" s="76" t="s">
        <v>3819</v>
      </c>
      <c r="Q90" s="76">
        <v>392</v>
      </c>
      <c r="R90" s="76" t="s">
        <v>3818</v>
      </c>
      <c r="S90" s="76" t="s">
        <v>3817</v>
      </c>
      <c r="T90" s="76">
        <v>130</v>
      </c>
      <c r="U90" s="76" t="s">
        <v>3816</v>
      </c>
      <c r="V90" s="76" t="s">
        <v>18</v>
      </c>
      <c r="W90" s="76">
        <v>34</v>
      </c>
      <c r="X90" s="76" t="s">
        <v>3815</v>
      </c>
      <c r="Y90" s="76" t="s">
        <v>7</v>
      </c>
      <c r="Z90" s="76">
        <v>16.5</v>
      </c>
      <c r="AA90" s="76" t="s">
        <v>3814</v>
      </c>
      <c r="AB90" s="165" t="s">
        <v>6598</v>
      </c>
      <c r="AC90" s="165" t="s">
        <v>6606</v>
      </c>
      <c r="AD90" s="165" t="s">
        <v>6606</v>
      </c>
      <c r="AE90" s="25" t="s">
        <v>3813</v>
      </c>
      <c r="AF90" s="338">
        <v>8.6777999999999994E-2</v>
      </c>
      <c r="AG90" s="62">
        <v>0.11666666666666665</v>
      </c>
      <c r="AH90" s="338">
        <v>8.2516000000000006E-2</v>
      </c>
      <c r="AI90" s="337">
        <v>0.12083333333333333</v>
      </c>
      <c r="AJ90" s="337"/>
      <c r="AK90" s="337"/>
      <c r="AL90" s="364">
        <f t="shared" si="1"/>
        <v>-4.911383069441555E-2</v>
      </c>
    </row>
    <row r="91" spans="1:38">
      <c r="B91" s="72" t="s">
        <v>3522</v>
      </c>
      <c r="C91" s="73" t="s">
        <v>1691</v>
      </c>
      <c r="D91" s="74">
        <v>550</v>
      </c>
      <c r="E91" s="72" t="s">
        <v>18</v>
      </c>
      <c r="F91" s="74">
        <v>50</v>
      </c>
      <c r="G91" s="74">
        <f>F91+Q91+T91+W91</f>
        <v>100</v>
      </c>
      <c r="H91" s="77">
        <v>44861</v>
      </c>
      <c r="I91" s="72" t="s">
        <v>3521</v>
      </c>
      <c r="J91" s="72" t="s">
        <v>3520</v>
      </c>
      <c r="K91" s="72" t="s">
        <v>2308</v>
      </c>
      <c r="L91" s="72" t="s">
        <v>2302</v>
      </c>
      <c r="M91" s="72">
        <v>2017</v>
      </c>
      <c r="N91" s="72" t="s">
        <v>3519</v>
      </c>
      <c r="O91" s="72" t="s">
        <v>3518</v>
      </c>
      <c r="P91" s="76" t="s">
        <v>7</v>
      </c>
      <c r="Q91" s="76">
        <v>30</v>
      </c>
      <c r="R91" s="76" t="s">
        <v>3517</v>
      </c>
      <c r="S91" s="76" t="s">
        <v>5</v>
      </c>
      <c r="T91" s="76">
        <v>15</v>
      </c>
      <c r="U91" s="76" t="s">
        <v>3516</v>
      </c>
      <c r="V91" s="76" t="s">
        <v>4</v>
      </c>
      <c r="W91" s="76">
        <v>5</v>
      </c>
      <c r="X91" s="76" t="s">
        <v>1146</v>
      </c>
      <c r="Y91" s="76" t="s">
        <v>1</v>
      </c>
      <c r="Z91" s="76" t="s">
        <v>1</v>
      </c>
      <c r="AA91" s="76" t="s">
        <v>1</v>
      </c>
      <c r="AB91" s="264" t="s">
        <v>6598</v>
      </c>
      <c r="AC91" s="264" t="s">
        <v>6601</v>
      </c>
      <c r="AD91" s="264" t="s">
        <v>2362</v>
      </c>
      <c r="AE91" s="25" t="s">
        <v>5057</v>
      </c>
      <c r="AF91" s="353">
        <v>1.9610000000000001</v>
      </c>
      <c r="AG91" s="68">
        <v>0.1013888888888889</v>
      </c>
      <c r="AH91" s="353">
        <v>2.3519999999999999</v>
      </c>
      <c r="AI91" s="68">
        <v>0.10208333333333333</v>
      </c>
      <c r="AJ91" s="68"/>
      <c r="AK91" s="68"/>
      <c r="AL91" s="364">
        <f t="shared" si="1"/>
        <v>0.1993880673125954</v>
      </c>
    </row>
    <row r="92" spans="1:38">
      <c r="B92" s="72" t="s">
        <v>448</v>
      </c>
      <c r="C92" s="73" t="s">
        <v>1691</v>
      </c>
      <c r="D92" s="74">
        <v>500</v>
      </c>
      <c r="E92" s="72" t="s">
        <v>8</v>
      </c>
      <c r="F92" s="74">
        <v>90</v>
      </c>
      <c r="G92" s="74">
        <f>+F92+Q92+T92+W92</f>
        <v>164.5</v>
      </c>
      <c r="H92" s="77">
        <v>44776</v>
      </c>
      <c r="I92" s="72" t="s">
        <v>3498</v>
      </c>
      <c r="J92" s="72" t="s">
        <v>3497</v>
      </c>
      <c r="K92" s="72" t="s">
        <v>2045</v>
      </c>
      <c r="L92" s="72" t="s">
        <v>2089</v>
      </c>
      <c r="M92" s="72">
        <v>2017</v>
      </c>
      <c r="O92" s="72" t="s">
        <v>3496</v>
      </c>
      <c r="P92" s="76" t="s">
        <v>18</v>
      </c>
      <c r="Q92" s="76">
        <v>40</v>
      </c>
      <c r="R92" s="76" t="s">
        <v>3495</v>
      </c>
      <c r="S92" s="76" t="s">
        <v>7</v>
      </c>
      <c r="T92" s="76">
        <v>20</v>
      </c>
      <c r="U92" s="76" t="s">
        <v>3494</v>
      </c>
      <c r="V92" s="76" t="s">
        <v>7</v>
      </c>
      <c r="W92" s="76">
        <v>14.5</v>
      </c>
      <c r="X92" s="76" t="s">
        <v>1085</v>
      </c>
      <c r="Y92" s="76" t="s">
        <v>1</v>
      </c>
      <c r="Z92" s="76" t="s">
        <v>1</v>
      </c>
      <c r="AA92" s="76" t="s">
        <v>1</v>
      </c>
      <c r="AB92" s="264" t="s">
        <v>6598</v>
      </c>
      <c r="AC92" s="264" t="s">
        <v>6601</v>
      </c>
      <c r="AD92" s="264" t="s">
        <v>2362</v>
      </c>
      <c r="AE92" s="25" t="s">
        <v>5062</v>
      </c>
      <c r="AF92" s="353">
        <v>4.3948000000000001E-2</v>
      </c>
      <c r="AG92" s="68">
        <v>0.23333333333333331</v>
      </c>
      <c r="AH92" s="353">
        <v>6.2883999999999995E-2</v>
      </c>
      <c r="AI92" s="337">
        <v>3.9583333333333331E-2</v>
      </c>
      <c r="AJ92" s="337"/>
      <c r="AK92" s="337"/>
      <c r="AL92" s="364">
        <f t="shared" si="1"/>
        <v>0.43087284973150064</v>
      </c>
    </row>
    <row r="93" spans="1:38">
      <c r="B93" s="12" t="s">
        <v>3870</v>
      </c>
      <c r="C93" s="73" t="s">
        <v>1691</v>
      </c>
      <c r="D93" s="79">
        <v>500</v>
      </c>
      <c r="E93" s="72" t="s">
        <v>504</v>
      </c>
      <c r="F93" s="74">
        <v>250</v>
      </c>
      <c r="H93" s="77">
        <v>44376</v>
      </c>
      <c r="I93" s="72" t="s">
        <v>2877</v>
      </c>
      <c r="J93" s="72" t="s">
        <v>3869</v>
      </c>
      <c r="K93" s="72" t="s">
        <v>2045</v>
      </c>
      <c r="L93" s="72" t="s">
        <v>2056</v>
      </c>
      <c r="M93" s="72">
        <v>2012</v>
      </c>
      <c r="N93" s="204" t="s">
        <v>7118</v>
      </c>
      <c r="O93" s="204" t="s">
        <v>7117</v>
      </c>
      <c r="P93" s="76" t="s">
        <v>53</v>
      </c>
      <c r="Q93" s="76">
        <v>270</v>
      </c>
      <c r="R93" s="76" t="s">
        <v>3868</v>
      </c>
      <c r="S93" s="76" t="s">
        <v>9</v>
      </c>
      <c r="T93" s="76">
        <v>206</v>
      </c>
      <c r="U93" s="76" t="s">
        <v>3867</v>
      </c>
      <c r="V93" s="76" t="s">
        <v>8</v>
      </c>
      <c r="W93" s="76">
        <v>100</v>
      </c>
      <c r="X93" s="76" t="s">
        <v>3866</v>
      </c>
      <c r="Y93" s="76" t="s">
        <v>18</v>
      </c>
      <c r="Z93" s="76">
        <v>67.2</v>
      </c>
      <c r="AA93" s="76" t="s">
        <v>3865</v>
      </c>
      <c r="AB93" s="165" t="s">
        <v>6598</v>
      </c>
      <c r="AC93" s="165" t="s">
        <v>6605</v>
      </c>
      <c r="AD93" s="165" t="s">
        <v>2352</v>
      </c>
      <c r="AE93" s="25" t="s">
        <v>4343</v>
      </c>
      <c r="AF93" s="339">
        <v>0.221168</v>
      </c>
      <c r="AG93" s="62">
        <v>0.15</v>
      </c>
      <c r="AH93" s="339">
        <v>0.19269800000000001</v>
      </c>
      <c r="AI93" s="62">
        <v>0.18472222222222223</v>
      </c>
      <c r="AJ93" s="62"/>
      <c r="AK93" s="62"/>
      <c r="AL93" s="364">
        <f t="shared" si="1"/>
        <v>-0.12872567460030382</v>
      </c>
    </row>
    <row r="94" spans="1:38">
      <c r="B94" s="72" t="s">
        <v>4995</v>
      </c>
      <c r="C94" s="73" t="s">
        <v>1691</v>
      </c>
      <c r="D94" s="79">
        <v>500</v>
      </c>
      <c r="E94" s="72" t="s">
        <v>53</v>
      </c>
      <c r="F94" s="74">
        <v>100</v>
      </c>
      <c r="G94" s="74">
        <f>F94+Q94+T94+W94+Z94</f>
        <v>220.5</v>
      </c>
      <c r="H94" s="77">
        <v>44474</v>
      </c>
      <c r="I94" s="72" t="s">
        <v>4997</v>
      </c>
      <c r="J94" s="72" t="s">
        <v>4996</v>
      </c>
      <c r="K94" s="72" t="s">
        <v>2045</v>
      </c>
      <c r="L94" s="72" t="s">
        <v>2056</v>
      </c>
      <c r="M94" s="72">
        <v>2013</v>
      </c>
      <c r="N94" s="204" t="s">
        <v>7121</v>
      </c>
      <c r="O94" s="72" t="s">
        <v>4998</v>
      </c>
      <c r="P94" s="76" t="s">
        <v>9</v>
      </c>
      <c r="Q94" s="76">
        <v>43</v>
      </c>
      <c r="R94" s="76" t="s">
        <v>5001</v>
      </c>
      <c r="S94" s="76" t="s">
        <v>8</v>
      </c>
      <c r="T94" s="76">
        <v>40</v>
      </c>
      <c r="U94" s="76" t="s">
        <v>5002</v>
      </c>
      <c r="V94" s="76" t="s">
        <v>18</v>
      </c>
      <c r="W94" s="76">
        <v>27</v>
      </c>
      <c r="X94" s="76" t="s">
        <v>5003</v>
      </c>
      <c r="Y94" s="76" t="s">
        <v>7</v>
      </c>
      <c r="Z94" s="76">
        <v>10.5</v>
      </c>
      <c r="AA94" s="76" t="s">
        <v>1128</v>
      </c>
      <c r="AB94" s="165" t="s">
        <v>6598</v>
      </c>
      <c r="AC94" s="165" t="s">
        <v>6601</v>
      </c>
      <c r="AD94" s="165" t="s">
        <v>2362</v>
      </c>
      <c r="AE94" s="25" t="s">
        <v>2110</v>
      </c>
      <c r="AF94" s="339">
        <v>6.9675000000000001E-2</v>
      </c>
      <c r="AG94" s="62">
        <v>2.8472222222222222E-2</v>
      </c>
      <c r="AH94" s="339">
        <v>2.0892000000000001E-2</v>
      </c>
      <c r="AI94" s="62">
        <v>6.8750000000000006E-2</v>
      </c>
      <c r="AJ94" s="62"/>
      <c r="AK94" s="62"/>
      <c r="AL94" s="364">
        <f t="shared" si="1"/>
        <v>-0.70015069967707211</v>
      </c>
    </row>
    <row r="95" spans="1:38" s="176" customFormat="1">
      <c r="A95" s="72"/>
      <c r="B95" s="274" t="s">
        <v>2101</v>
      </c>
      <c r="C95" s="275" t="s">
        <v>1691</v>
      </c>
      <c r="D95" s="324">
        <v>500</v>
      </c>
      <c r="E95" s="274" t="s">
        <v>18</v>
      </c>
      <c r="F95" s="324">
        <v>100</v>
      </c>
      <c r="G95" s="324">
        <f>+F95+Q95+T95+W95</f>
        <v>171</v>
      </c>
      <c r="H95" s="325">
        <v>44397</v>
      </c>
      <c r="I95" s="274" t="s">
        <v>5218</v>
      </c>
      <c r="J95" s="274" t="s">
        <v>5217</v>
      </c>
      <c r="K95" s="72" t="s">
        <v>2100</v>
      </c>
      <c r="L95" s="72" t="s">
        <v>2099</v>
      </c>
      <c r="M95" s="72">
        <v>2014</v>
      </c>
      <c r="N95" s="72"/>
      <c r="O95" s="91" t="s">
        <v>5219</v>
      </c>
      <c r="P95" s="93" t="s">
        <v>7</v>
      </c>
      <c r="Q95" s="76">
        <v>56</v>
      </c>
      <c r="R95" s="93" t="s">
        <v>5220</v>
      </c>
      <c r="S95" s="93" t="s">
        <v>5</v>
      </c>
      <c r="T95" s="76">
        <v>12.5</v>
      </c>
      <c r="U95" s="93" t="s">
        <v>5223</v>
      </c>
      <c r="V95" s="93" t="s">
        <v>4</v>
      </c>
      <c r="W95" s="76">
        <v>2.5</v>
      </c>
      <c r="X95" s="93" t="s">
        <v>5225</v>
      </c>
      <c r="Y95" s="93" t="s">
        <v>1</v>
      </c>
      <c r="Z95" s="93" t="s">
        <v>1</v>
      </c>
      <c r="AA95" s="93" t="s">
        <v>1</v>
      </c>
      <c r="AB95" s="264" t="s">
        <v>6598</v>
      </c>
      <c r="AC95" s="264" t="s">
        <v>2889</v>
      </c>
      <c r="AD95" s="264" t="s">
        <v>7925</v>
      </c>
      <c r="AE95" s="25" t="s">
        <v>2097</v>
      </c>
      <c r="AF95" s="340" t="s">
        <v>7140</v>
      </c>
      <c r="AG95" s="349" t="s">
        <v>7140</v>
      </c>
      <c r="AH95" s="339">
        <v>6.1510000000000002E-3</v>
      </c>
      <c r="AI95" s="337">
        <v>0.10694444444444444</v>
      </c>
      <c r="AJ95" s="337"/>
      <c r="AK95" s="337"/>
      <c r="AL95" s="364"/>
    </row>
    <row r="96" spans="1:38" s="176" customFormat="1">
      <c r="A96" s="72"/>
      <c r="B96" s="274" t="s">
        <v>2096</v>
      </c>
      <c r="C96" s="275" t="s">
        <v>1691</v>
      </c>
      <c r="D96" s="324">
        <v>500</v>
      </c>
      <c r="E96" s="274" t="s">
        <v>18</v>
      </c>
      <c r="F96" s="324">
        <v>115</v>
      </c>
      <c r="G96" s="324">
        <f>+F96+Q96</f>
        <v>170</v>
      </c>
      <c r="H96" s="325">
        <v>44469</v>
      </c>
      <c r="I96" s="274" t="s">
        <v>5232</v>
      </c>
      <c r="J96" s="91" t="s">
        <v>5226</v>
      </c>
      <c r="K96" s="72" t="s">
        <v>2045</v>
      </c>
      <c r="L96" s="72" t="s">
        <v>2095</v>
      </c>
      <c r="M96" s="72">
        <v>2012</v>
      </c>
      <c r="N96" s="72"/>
      <c r="O96" s="91" t="s">
        <v>5228</v>
      </c>
      <c r="P96" s="93" t="s">
        <v>7</v>
      </c>
      <c r="Q96" s="76">
        <v>55</v>
      </c>
      <c r="R96" s="93" t="s">
        <v>1124</v>
      </c>
      <c r="S96" s="93" t="s">
        <v>5</v>
      </c>
      <c r="T96" s="93" t="s">
        <v>1</v>
      </c>
      <c r="U96" s="93" t="s">
        <v>1</v>
      </c>
      <c r="V96" s="93" t="s">
        <v>1</v>
      </c>
      <c r="W96" s="93" t="s">
        <v>1</v>
      </c>
      <c r="X96" s="93" t="s">
        <v>1</v>
      </c>
      <c r="Y96" s="93" t="s">
        <v>1</v>
      </c>
      <c r="Z96" s="93" t="s">
        <v>1</v>
      </c>
      <c r="AA96" s="93" t="s">
        <v>1</v>
      </c>
      <c r="AB96" s="264" t="s">
        <v>6623</v>
      </c>
      <c r="AC96" s="72"/>
      <c r="AD96" s="264" t="s">
        <v>2094</v>
      </c>
      <c r="AE96" s="25" t="s">
        <v>2093</v>
      </c>
      <c r="AF96" s="340" t="s">
        <v>7140</v>
      </c>
      <c r="AG96" s="349" t="s">
        <v>7140</v>
      </c>
      <c r="AH96" s="339">
        <v>9.1746999999999995E-2</v>
      </c>
      <c r="AI96" s="337">
        <v>0.28125</v>
      </c>
      <c r="AJ96" s="337"/>
      <c r="AK96" s="337"/>
      <c r="AL96" s="364"/>
    </row>
    <row r="97" spans="1:38">
      <c r="B97" s="72" t="s">
        <v>310</v>
      </c>
      <c r="C97" s="73" t="s">
        <v>1691</v>
      </c>
      <c r="D97" s="74">
        <v>500</v>
      </c>
      <c r="E97" s="72" t="s">
        <v>8</v>
      </c>
      <c r="F97" s="74">
        <v>69</v>
      </c>
      <c r="G97" s="74">
        <f>+F97+Q97+T97+W97</f>
        <v>233.7</v>
      </c>
      <c r="H97" s="77">
        <v>45091</v>
      </c>
      <c r="I97" s="72" t="s">
        <v>3476</v>
      </c>
      <c r="J97" s="72" t="s">
        <v>3475</v>
      </c>
      <c r="K97" s="72" t="s">
        <v>2045</v>
      </c>
      <c r="L97" s="72" t="s">
        <v>2400</v>
      </c>
      <c r="M97" s="72">
        <v>2015</v>
      </c>
      <c r="O97" s="72" t="s">
        <v>3474</v>
      </c>
      <c r="P97" s="76" t="s">
        <v>18</v>
      </c>
      <c r="Q97" s="76">
        <v>110</v>
      </c>
      <c r="R97" s="76" t="s">
        <v>3473</v>
      </c>
      <c r="S97" s="76" t="s">
        <v>7</v>
      </c>
      <c r="T97" s="76">
        <v>40</v>
      </c>
      <c r="U97" s="76" t="s">
        <v>3472</v>
      </c>
      <c r="V97" s="76" t="s">
        <v>5</v>
      </c>
      <c r="W97" s="76">
        <v>14.7</v>
      </c>
      <c r="X97" s="76" t="s">
        <v>3471</v>
      </c>
      <c r="Y97" s="76" t="s">
        <v>4</v>
      </c>
      <c r="Z97" s="76" t="s">
        <v>1</v>
      </c>
      <c r="AA97" s="76" t="s">
        <v>3470</v>
      </c>
      <c r="AB97" s="264" t="s">
        <v>6598</v>
      </c>
      <c r="AC97" s="264" t="s">
        <v>6601</v>
      </c>
      <c r="AD97" s="264" t="s">
        <v>2362</v>
      </c>
      <c r="AE97" s="25" t="s">
        <v>5068</v>
      </c>
      <c r="AF97" s="344">
        <v>9.9089999999999994E-3</v>
      </c>
      <c r="AG97" s="68">
        <v>0.11319444444444444</v>
      </c>
      <c r="AH97" s="339">
        <v>1.7673999999999999E-2</v>
      </c>
      <c r="AI97" s="355" t="s">
        <v>8908</v>
      </c>
      <c r="AJ97" s="355"/>
      <c r="AK97" s="355"/>
      <c r="AL97" s="364">
        <f t="shared" si="1"/>
        <v>0.7836310424866284</v>
      </c>
    </row>
    <row r="98" spans="1:38" s="176" customFormat="1">
      <c r="A98" s="72"/>
      <c r="B98" s="72" t="s">
        <v>2072</v>
      </c>
      <c r="C98" s="73" t="s">
        <v>1691</v>
      </c>
      <c r="D98" s="74">
        <v>500</v>
      </c>
      <c r="E98" s="72" t="s">
        <v>18</v>
      </c>
      <c r="F98" s="74">
        <v>65</v>
      </c>
      <c r="G98" s="74">
        <f>F98+Q98+T98</f>
        <v>97.5</v>
      </c>
      <c r="H98" s="77">
        <v>44644</v>
      </c>
      <c r="I98" s="91" t="s">
        <v>5898</v>
      </c>
      <c r="J98" s="91" t="s">
        <v>5895</v>
      </c>
      <c r="K98" s="72" t="s">
        <v>2045</v>
      </c>
      <c r="L98" s="72" t="s">
        <v>2071</v>
      </c>
      <c r="M98" s="72">
        <v>2018</v>
      </c>
      <c r="N98" s="72"/>
      <c r="O98" s="91" t="s">
        <v>5896</v>
      </c>
      <c r="P98" s="93" t="s">
        <v>7</v>
      </c>
      <c r="Q98" s="76">
        <v>22</v>
      </c>
      <c r="R98" s="93" t="s">
        <v>5899</v>
      </c>
      <c r="S98" s="93" t="s">
        <v>5</v>
      </c>
      <c r="T98" s="76">
        <v>10.5</v>
      </c>
      <c r="U98" s="93" t="s">
        <v>5900</v>
      </c>
      <c r="V98" s="93" t="s">
        <v>1</v>
      </c>
      <c r="W98" s="93" t="s">
        <v>1</v>
      </c>
      <c r="X98" s="93" t="s">
        <v>1</v>
      </c>
      <c r="Y98" s="93" t="s">
        <v>1</v>
      </c>
      <c r="Z98" s="93" t="s">
        <v>1</v>
      </c>
      <c r="AA98" s="93" t="s">
        <v>1</v>
      </c>
      <c r="AB98" s="264" t="s">
        <v>6598</v>
      </c>
      <c r="AC98" s="264" t="s">
        <v>6601</v>
      </c>
      <c r="AD98" s="264" t="s">
        <v>2362</v>
      </c>
      <c r="AE98" s="218" t="s">
        <v>2070</v>
      </c>
      <c r="AF98" s="340" t="s">
        <v>7140</v>
      </c>
      <c r="AG98" s="349" t="s">
        <v>7140</v>
      </c>
      <c r="AH98" s="339">
        <v>9.5230000000000002E-3</v>
      </c>
      <c r="AI98" s="356">
        <v>7.3611111111111113E-2</v>
      </c>
      <c r="AJ98" s="356"/>
      <c r="AK98" s="356"/>
      <c r="AL98" s="364"/>
    </row>
    <row r="99" spans="1:38">
      <c r="B99" s="72" t="s">
        <v>424</v>
      </c>
      <c r="C99" s="73" t="s">
        <v>1691</v>
      </c>
      <c r="D99" s="74">
        <v>500</v>
      </c>
      <c r="E99" s="72" t="s">
        <v>18</v>
      </c>
      <c r="F99" s="74">
        <v>75</v>
      </c>
      <c r="G99" s="74">
        <f>+F99+Q99+T99+W99+Z99</f>
        <v>222</v>
      </c>
      <c r="H99" s="77">
        <v>45020</v>
      </c>
      <c r="I99" s="72" t="s">
        <v>3483</v>
      </c>
      <c r="J99" s="72" t="s">
        <v>3482</v>
      </c>
      <c r="K99" s="72" t="s">
        <v>2045</v>
      </c>
      <c r="L99" s="72" t="s">
        <v>2349</v>
      </c>
      <c r="M99" s="72">
        <v>2017</v>
      </c>
      <c r="O99" s="72" t="s">
        <v>3481</v>
      </c>
      <c r="P99" s="76" t="s">
        <v>18</v>
      </c>
      <c r="Q99" s="76">
        <v>80</v>
      </c>
      <c r="R99" s="76" t="s">
        <v>3480</v>
      </c>
      <c r="S99" s="76" t="s">
        <v>7</v>
      </c>
      <c r="T99" s="76">
        <v>40</v>
      </c>
      <c r="U99" s="76" t="s">
        <v>3479</v>
      </c>
      <c r="V99" s="76" t="s">
        <v>5</v>
      </c>
      <c r="W99" s="76">
        <v>20</v>
      </c>
      <c r="X99" s="76" t="s">
        <v>3478</v>
      </c>
      <c r="Y99" s="76" t="s">
        <v>4</v>
      </c>
      <c r="Z99" s="76">
        <v>7</v>
      </c>
      <c r="AA99" s="76" t="s">
        <v>3477</v>
      </c>
      <c r="AB99" s="264" t="s">
        <v>6598</v>
      </c>
      <c r="AC99" s="264" t="s">
        <v>6601</v>
      </c>
      <c r="AD99" s="264" t="s">
        <v>7924</v>
      </c>
      <c r="AE99" s="25" t="s">
        <v>5067</v>
      </c>
      <c r="AF99" s="344">
        <v>7.8969999999999995E-3</v>
      </c>
      <c r="AG99" s="68">
        <v>2.7777777777777776E-2</v>
      </c>
      <c r="AH99" s="339">
        <v>1.3554E-2</v>
      </c>
      <c r="AI99" s="355" t="s">
        <v>8909</v>
      </c>
      <c r="AJ99" s="355"/>
      <c r="AK99" s="355"/>
      <c r="AL99" s="364">
        <f t="shared" si="1"/>
        <v>0.71634798024566293</v>
      </c>
    </row>
    <row r="100" spans="1:38" s="216" customFormat="1">
      <c r="B100" s="216" t="s">
        <v>1148</v>
      </c>
      <c r="C100" s="215" t="s">
        <v>1691</v>
      </c>
      <c r="D100" s="221">
        <v>500</v>
      </c>
      <c r="E100" s="216" t="s">
        <v>7</v>
      </c>
      <c r="F100" s="221">
        <v>140</v>
      </c>
      <c r="G100" s="221">
        <f>+F100+Q100</f>
        <v>190</v>
      </c>
      <c r="H100" s="222">
        <v>44393</v>
      </c>
      <c r="I100" s="216" t="s">
        <v>3515</v>
      </c>
      <c r="J100" s="216" t="s">
        <v>3514</v>
      </c>
      <c r="K100" s="216" t="s">
        <v>2045</v>
      </c>
      <c r="L100" s="216" t="s">
        <v>2056</v>
      </c>
      <c r="M100" s="216">
        <v>2019</v>
      </c>
      <c r="N100" s="216" t="s">
        <v>5059</v>
      </c>
      <c r="O100" s="216" t="s">
        <v>3513</v>
      </c>
      <c r="P100" s="217" t="s">
        <v>4</v>
      </c>
      <c r="Q100" s="217">
        <v>50</v>
      </c>
      <c r="R100" s="217" t="s">
        <v>1</v>
      </c>
      <c r="S100" s="217" t="s">
        <v>1</v>
      </c>
      <c r="T100" s="217" t="s">
        <v>1</v>
      </c>
      <c r="U100" s="217" t="s">
        <v>1</v>
      </c>
      <c r="V100" s="217" t="s">
        <v>1</v>
      </c>
      <c r="W100" s="217" t="s">
        <v>1</v>
      </c>
      <c r="X100" s="217" t="s">
        <v>1</v>
      </c>
      <c r="Y100" s="217" t="s">
        <v>1</v>
      </c>
      <c r="Z100" s="217" t="s">
        <v>1</v>
      </c>
      <c r="AA100" s="217" t="s">
        <v>1</v>
      </c>
      <c r="AB100" s="264" t="s">
        <v>6598</v>
      </c>
      <c r="AC100" s="264" t="s">
        <v>6601</v>
      </c>
      <c r="AD100" s="264" t="s">
        <v>6608</v>
      </c>
      <c r="AE100" s="25" t="s">
        <v>5058</v>
      </c>
      <c r="AF100" s="344">
        <v>0</v>
      </c>
      <c r="AG100" s="68">
        <v>1.3194444444444444E-2</v>
      </c>
      <c r="AH100" s="344">
        <v>9.1929999999999998E-3</v>
      </c>
      <c r="AI100" s="68">
        <v>6.805555555555555E-2</v>
      </c>
      <c r="AJ100" s="68"/>
      <c r="AK100" s="68"/>
      <c r="AL100" s="364"/>
    </row>
    <row r="101" spans="1:38">
      <c r="B101" s="72" t="s">
        <v>431</v>
      </c>
      <c r="C101" s="73" t="s">
        <v>1691</v>
      </c>
      <c r="D101" s="74">
        <v>500</v>
      </c>
      <c r="E101" s="72" t="s">
        <v>7</v>
      </c>
      <c r="F101" s="74">
        <v>93</v>
      </c>
      <c r="G101" s="74">
        <f>+F101+Q101</f>
        <v>108</v>
      </c>
      <c r="H101" s="27">
        <v>43018</v>
      </c>
      <c r="I101" s="72" t="s">
        <v>3512</v>
      </c>
      <c r="J101" s="72" t="s">
        <v>3511</v>
      </c>
      <c r="K101" s="72" t="s">
        <v>2045</v>
      </c>
      <c r="L101" s="72" t="s">
        <v>2142</v>
      </c>
      <c r="M101" s="72">
        <v>2016</v>
      </c>
      <c r="N101" s="72" t="s">
        <v>3510</v>
      </c>
      <c r="O101" s="72" t="s">
        <v>3509</v>
      </c>
      <c r="P101" s="76" t="s">
        <v>5</v>
      </c>
      <c r="Q101" s="76">
        <v>15</v>
      </c>
      <c r="R101" s="76" t="s">
        <v>3508</v>
      </c>
      <c r="S101" s="76" t="s">
        <v>1</v>
      </c>
      <c r="T101" s="76" t="s">
        <v>1</v>
      </c>
      <c r="U101" s="76" t="s">
        <v>1</v>
      </c>
      <c r="V101" s="76" t="s">
        <v>1</v>
      </c>
      <c r="W101" s="76" t="s">
        <v>1</v>
      </c>
      <c r="X101" s="76" t="s">
        <v>1</v>
      </c>
      <c r="Y101" s="76" t="s">
        <v>1</v>
      </c>
      <c r="Z101" s="76" t="s">
        <v>1</v>
      </c>
      <c r="AA101" s="76" t="s">
        <v>1</v>
      </c>
      <c r="AB101" s="72" t="s">
        <v>3507</v>
      </c>
      <c r="AE101" s="25" t="s">
        <v>5060</v>
      </c>
      <c r="AF101" s="344">
        <v>0</v>
      </c>
      <c r="AG101" s="68">
        <v>6.5277777777777782E-2</v>
      </c>
      <c r="AH101" s="344">
        <v>0</v>
      </c>
      <c r="AI101" s="68">
        <v>0.2298611111111111</v>
      </c>
      <c r="AJ101" s="68"/>
      <c r="AK101" s="68"/>
      <c r="AL101" s="364"/>
    </row>
    <row r="102" spans="1:38" s="12" customFormat="1">
      <c r="A102" s="72"/>
      <c r="B102" s="72" t="s">
        <v>3493</v>
      </c>
      <c r="C102" s="73" t="s">
        <v>1691</v>
      </c>
      <c r="D102" s="74">
        <v>500</v>
      </c>
      <c r="E102" s="72" t="s">
        <v>18</v>
      </c>
      <c r="F102" s="74">
        <v>80</v>
      </c>
      <c r="G102" s="74">
        <f>+F102+Q102+T102</f>
        <v>104</v>
      </c>
      <c r="H102" s="77">
        <v>44782</v>
      </c>
      <c r="I102" s="72"/>
      <c r="J102" s="72"/>
      <c r="K102" s="72" t="s">
        <v>2045</v>
      </c>
      <c r="L102" s="72" t="s">
        <v>3492</v>
      </c>
      <c r="M102" s="83">
        <v>43497</v>
      </c>
      <c r="N102" s="72" t="s">
        <v>3491</v>
      </c>
      <c r="O102" s="72" t="s">
        <v>3490</v>
      </c>
      <c r="P102" s="76" t="s">
        <v>4</v>
      </c>
      <c r="Q102" s="76">
        <v>14</v>
      </c>
      <c r="R102" s="76" t="s">
        <v>3489</v>
      </c>
      <c r="S102" s="76" t="s">
        <v>550</v>
      </c>
      <c r="T102" s="76">
        <v>10</v>
      </c>
      <c r="U102" s="76" t="s">
        <v>3488</v>
      </c>
      <c r="V102" s="76" t="s">
        <v>1</v>
      </c>
      <c r="W102" s="76" t="s">
        <v>1</v>
      </c>
      <c r="X102" s="76" t="s">
        <v>1</v>
      </c>
      <c r="Y102" s="76" t="s">
        <v>1</v>
      </c>
      <c r="Z102" s="76" t="s">
        <v>1</v>
      </c>
      <c r="AA102" s="76" t="s">
        <v>1</v>
      </c>
      <c r="AB102" s="264" t="s">
        <v>6599</v>
      </c>
      <c r="AC102" s="72"/>
      <c r="AD102" s="264" t="s">
        <v>3487</v>
      </c>
      <c r="AE102" s="25" t="s">
        <v>5065</v>
      </c>
      <c r="AF102" s="344">
        <v>0</v>
      </c>
      <c r="AG102" s="68">
        <v>5.0694444444444452E-2</v>
      </c>
      <c r="AH102" s="344">
        <v>0</v>
      </c>
      <c r="AI102" s="357" t="s">
        <v>8908</v>
      </c>
      <c r="AJ102" s="357"/>
      <c r="AK102" s="357"/>
      <c r="AL102" s="364"/>
    </row>
    <row r="103" spans="1:38">
      <c r="B103" s="72" t="s">
        <v>3486</v>
      </c>
      <c r="C103" s="73" t="s">
        <v>1691</v>
      </c>
      <c r="D103" s="74">
        <v>500</v>
      </c>
      <c r="E103" s="72" t="s">
        <v>7</v>
      </c>
      <c r="F103" s="74" t="s">
        <v>1</v>
      </c>
      <c r="G103" s="74" t="str">
        <f>+F103</f>
        <v>N/A</v>
      </c>
      <c r="H103" s="77">
        <v>44616</v>
      </c>
      <c r="I103" s="72" t="s">
        <v>3485</v>
      </c>
      <c r="K103" s="72" t="s">
        <v>2045</v>
      </c>
      <c r="L103" s="72" t="s">
        <v>2546</v>
      </c>
      <c r="M103" s="72">
        <v>2019</v>
      </c>
      <c r="N103" s="72" t="s">
        <v>3484</v>
      </c>
      <c r="O103" s="72" t="s">
        <v>246</v>
      </c>
      <c r="P103" s="76" t="s">
        <v>1</v>
      </c>
      <c r="Q103" s="76" t="s">
        <v>1</v>
      </c>
      <c r="R103" s="76" t="s">
        <v>1</v>
      </c>
      <c r="S103" s="76" t="s">
        <v>1</v>
      </c>
      <c r="T103" s="76" t="s">
        <v>1</v>
      </c>
      <c r="U103" s="76" t="s">
        <v>1</v>
      </c>
      <c r="V103" s="76" t="s">
        <v>1</v>
      </c>
      <c r="W103" s="76" t="s">
        <v>1</v>
      </c>
      <c r="X103" s="76" t="s">
        <v>1</v>
      </c>
      <c r="Y103" s="76" t="s">
        <v>1</v>
      </c>
      <c r="Z103" s="76" t="s">
        <v>1</v>
      </c>
      <c r="AA103" s="76" t="s">
        <v>1</v>
      </c>
      <c r="AB103" s="264" t="s">
        <v>6599</v>
      </c>
      <c r="AD103" s="264" t="s">
        <v>6614</v>
      </c>
      <c r="AE103" s="25" t="s">
        <v>5066</v>
      </c>
      <c r="AF103" s="344">
        <v>0</v>
      </c>
      <c r="AG103" s="68">
        <v>2.4999999999999998E-2</v>
      </c>
      <c r="AH103" s="344">
        <v>0</v>
      </c>
      <c r="AI103" s="357" t="s">
        <v>8910</v>
      </c>
      <c r="AJ103" s="357"/>
      <c r="AK103" s="357"/>
      <c r="AL103" s="364"/>
    </row>
    <row r="104" spans="1:38" s="152" customFormat="1">
      <c r="A104" s="72"/>
      <c r="B104" s="274" t="s">
        <v>318</v>
      </c>
      <c r="C104" s="275" t="s">
        <v>1691</v>
      </c>
      <c r="D104" s="324">
        <v>500</v>
      </c>
      <c r="E104" s="274" t="s">
        <v>18</v>
      </c>
      <c r="F104" s="324">
        <v>91</v>
      </c>
      <c r="G104" s="324">
        <f>+F104+Q104+T104+W104</f>
        <v>165.2</v>
      </c>
      <c r="H104" s="325">
        <v>44867</v>
      </c>
      <c r="I104" s="274" t="s">
        <v>3506</v>
      </c>
      <c r="J104" s="274" t="s">
        <v>3505</v>
      </c>
      <c r="K104" s="72" t="s">
        <v>2045</v>
      </c>
      <c r="L104" s="72" t="s">
        <v>3504</v>
      </c>
      <c r="M104" s="72">
        <v>2015</v>
      </c>
      <c r="N104" s="72"/>
      <c r="O104" s="72" t="s">
        <v>3503</v>
      </c>
      <c r="P104" s="76" t="s">
        <v>7</v>
      </c>
      <c r="Q104" s="76">
        <v>55</v>
      </c>
      <c r="R104" s="76" t="s">
        <v>3502</v>
      </c>
      <c r="S104" s="76" t="s">
        <v>5</v>
      </c>
      <c r="T104" s="76">
        <v>16</v>
      </c>
      <c r="U104" s="76" t="s">
        <v>3501</v>
      </c>
      <c r="V104" s="76" t="s">
        <v>4</v>
      </c>
      <c r="W104" s="76">
        <v>3.2</v>
      </c>
      <c r="X104" s="76" t="s">
        <v>3500</v>
      </c>
      <c r="Y104" s="76" t="s">
        <v>1</v>
      </c>
      <c r="Z104" s="76" t="s">
        <v>1</v>
      </c>
      <c r="AA104" s="76" t="s">
        <v>1</v>
      </c>
      <c r="AB104" s="72" t="s">
        <v>3499</v>
      </c>
      <c r="AC104" s="72"/>
      <c r="AD104" s="72"/>
      <c r="AE104" s="25" t="s">
        <v>5061</v>
      </c>
      <c r="AF104" s="344">
        <v>1.7176E-2</v>
      </c>
      <c r="AG104" s="68">
        <v>0.15833333333333333</v>
      </c>
      <c r="AH104" s="344">
        <v>0</v>
      </c>
      <c r="AI104" s="68">
        <v>0.10347222222222222</v>
      </c>
      <c r="AJ104" s="68"/>
      <c r="AK104" s="68"/>
      <c r="AL104" s="364"/>
    </row>
    <row r="105" spans="1:38">
      <c r="B105" s="72" t="s">
        <v>2112</v>
      </c>
      <c r="C105" s="73" t="s">
        <v>1691</v>
      </c>
      <c r="D105" s="79">
        <v>400</v>
      </c>
      <c r="E105" s="72" t="s">
        <v>9</v>
      </c>
      <c r="F105" s="74">
        <v>100</v>
      </c>
      <c r="G105" s="74">
        <f>F105+Q105+T105+W105+Z105</f>
        <v>246.4</v>
      </c>
      <c r="H105" s="77">
        <v>44507</v>
      </c>
      <c r="I105" s="72" t="s">
        <v>4975</v>
      </c>
      <c r="J105" s="72" t="s">
        <v>4973</v>
      </c>
      <c r="K105" s="72" t="s">
        <v>2045</v>
      </c>
      <c r="L105" s="72" t="s">
        <v>2056</v>
      </c>
      <c r="M105" s="72">
        <v>2012</v>
      </c>
      <c r="N105" s="204" t="s">
        <v>7123</v>
      </c>
      <c r="O105" s="204" t="s">
        <v>4976</v>
      </c>
      <c r="P105" s="76" t="s">
        <v>8</v>
      </c>
      <c r="Q105" s="76">
        <v>72.5</v>
      </c>
      <c r="R105" s="76" t="s">
        <v>4980</v>
      </c>
      <c r="S105" s="76" t="s">
        <v>18</v>
      </c>
      <c r="T105" s="76">
        <v>40</v>
      </c>
      <c r="U105" s="76" t="s">
        <v>4983</v>
      </c>
      <c r="V105" s="76" t="s">
        <v>7</v>
      </c>
      <c r="W105" s="76">
        <v>25</v>
      </c>
      <c r="X105" s="76" t="s">
        <v>4986</v>
      </c>
      <c r="Y105" s="76" t="s">
        <v>5</v>
      </c>
      <c r="Z105" s="76">
        <v>8.9</v>
      </c>
      <c r="AA105" s="76" t="s">
        <v>4987</v>
      </c>
      <c r="AB105" s="165" t="s">
        <v>6598</v>
      </c>
      <c r="AC105" s="165" t="s">
        <v>6601</v>
      </c>
      <c r="AD105" s="165" t="s">
        <v>6609</v>
      </c>
      <c r="AE105" s="25" t="s">
        <v>2111</v>
      </c>
      <c r="AF105" s="339">
        <v>0.50777300000000003</v>
      </c>
      <c r="AG105" s="62">
        <v>0.13333333333333333</v>
      </c>
      <c r="AH105" s="339">
        <v>0.23056699999999999</v>
      </c>
      <c r="AI105" s="62">
        <v>0.11319444444444444</v>
      </c>
      <c r="AJ105" s="62"/>
      <c r="AK105" s="62"/>
      <c r="AL105" s="364">
        <f t="shared" si="1"/>
        <v>-0.54592504918536444</v>
      </c>
    </row>
    <row r="106" spans="1:38">
      <c r="B106" s="274" t="s">
        <v>5070</v>
      </c>
      <c r="C106" s="275" t="s">
        <v>1691</v>
      </c>
      <c r="D106" s="324">
        <v>400</v>
      </c>
      <c r="E106" s="274" t="s">
        <v>5</v>
      </c>
      <c r="F106" s="324">
        <v>90</v>
      </c>
      <c r="G106" s="324">
        <f>+F106</f>
        <v>90</v>
      </c>
      <c r="H106" s="325">
        <v>45006</v>
      </c>
      <c r="I106" s="274" t="s">
        <v>3464</v>
      </c>
      <c r="J106" s="176" t="s">
        <v>3463</v>
      </c>
      <c r="K106" s="176" t="s">
        <v>2045</v>
      </c>
      <c r="L106" s="176" t="s">
        <v>2062</v>
      </c>
      <c r="M106" s="176">
        <v>2021</v>
      </c>
      <c r="N106" s="195" t="s">
        <v>4276</v>
      </c>
      <c r="O106" s="176" t="s">
        <v>3462</v>
      </c>
      <c r="P106" s="179" t="s">
        <v>1</v>
      </c>
      <c r="Q106" s="179" t="s">
        <v>1</v>
      </c>
      <c r="R106" s="179" t="s">
        <v>1</v>
      </c>
      <c r="S106" s="179" t="s">
        <v>1</v>
      </c>
      <c r="T106" s="179" t="s">
        <v>1</v>
      </c>
      <c r="U106" s="179" t="s">
        <v>1</v>
      </c>
      <c r="V106" s="179" t="s">
        <v>1</v>
      </c>
      <c r="W106" s="179" t="s">
        <v>1</v>
      </c>
      <c r="X106" s="179" t="s">
        <v>1</v>
      </c>
      <c r="Y106" s="179" t="s">
        <v>1</v>
      </c>
      <c r="Z106" s="179" t="s">
        <v>1</v>
      </c>
      <c r="AA106" s="179" t="s">
        <v>1</v>
      </c>
      <c r="AB106" s="176" t="s">
        <v>3036</v>
      </c>
      <c r="AC106" s="176"/>
      <c r="AD106" s="176"/>
      <c r="AE106" s="25" t="s">
        <v>5071</v>
      </c>
      <c r="AF106" s="344">
        <v>9.9749999999999995E-3</v>
      </c>
      <c r="AG106" s="68">
        <v>2.4305555555555556E-2</v>
      </c>
      <c r="AH106" s="344">
        <v>5.0000000000000001E-3</v>
      </c>
      <c r="AI106" s="68">
        <v>0.15972222222222221</v>
      </c>
      <c r="AJ106" s="68"/>
      <c r="AK106" s="68"/>
      <c r="AL106" s="364">
        <f t="shared" si="1"/>
        <v>-0.49874686716791972</v>
      </c>
    </row>
    <row r="107" spans="1:38">
      <c r="B107" s="274" t="s">
        <v>414</v>
      </c>
      <c r="C107" s="275" t="s">
        <v>1691</v>
      </c>
      <c r="D107" s="324">
        <v>400</v>
      </c>
      <c r="E107" s="274" t="s">
        <v>18</v>
      </c>
      <c r="F107" s="324">
        <v>65</v>
      </c>
      <c r="G107" s="324">
        <f>+F107+Q107+T107</f>
        <v>74.3</v>
      </c>
      <c r="H107" s="325">
        <v>43789</v>
      </c>
      <c r="I107" s="274" t="s">
        <v>3144</v>
      </c>
      <c r="J107" s="176" t="s">
        <v>3469</v>
      </c>
      <c r="K107" s="176" t="s">
        <v>2045</v>
      </c>
      <c r="L107" s="176" t="s">
        <v>3144</v>
      </c>
      <c r="M107" s="176">
        <v>2010</v>
      </c>
      <c r="N107" s="176"/>
      <c r="O107" s="176" t="s">
        <v>3468</v>
      </c>
      <c r="P107" s="179" t="s">
        <v>7</v>
      </c>
      <c r="Q107" s="179">
        <v>7.3</v>
      </c>
      <c r="R107" s="179" t="s">
        <v>3467</v>
      </c>
      <c r="S107" s="179" t="s">
        <v>5</v>
      </c>
      <c r="T107" s="179">
        <v>2</v>
      </c>
      <c r="U107" s="192" t="s">
        <v>3466</v>
      </c>
      <c r="V107" s="179" t="s">
        <v>1</v>
      </c>
      <c r="W107" s="179" t="s">
        <v>1</v>
      </c>
      <c r="X107" s="179" t="s">
        <v>1</v>
      </c>
      <c r="Y107" s="179" t="s">
        <v>1</v>
      </c>
      <c r="Z107" s="179" t="s">
        <v>1</v>
      </c>
      <c r="AA107" s="179" t="s">
        <v>1</v>
      </c>
      <c r="AB107" s="176" t="s">
        <v>3465</v>
      </c>
      <c r="AC107" s="176"/>
      <c r="AD107" s="176"/>
      <c r="AE107" s="25" t="s">
        <v>5069</v>
      </c>
      <c r="AF107" s="344">
        <v>5.3367999999999999E-2</v>
      </c>
      <c r="AG107" s="68">
        <v>8.2638888888888887E-2</v>
      </c>
      <c r="AH107" s="344">
        <v>5.7480999999999997E-2</v>
      </c>
      <c r="AI107" s="68">
        <v>7.7083333333333337E-2</v>
      </c>
      <c r="AJ107" s="68"/>
      <c r="AK107" s="68"/>
      <c r="AL107" s="364">
        <f t="shared" si="1"/>
        <v>7.7068655374006978E-2</v>
      </c>
    </row>
    <row r="108" spans="1:38" s="176" customFormat="1">
      <c r="A108" s="72"/>
      <c r="B108" s="274" t="s">
        <v>2020</v>
      </c>
      <c r="C108" s="275" t="s">
        <v>1691</v>
      </c>
      <c r="D108" s="324">
        <v>350</v>
      </c>
      <c r="E108" s="274" t="s">
        <v>5</v>
      </c>
      <c r="F108" s="324"/>
      <c r="G108" s="324"/>
      <c r="H108" s="325">
        <v>45091</v>
      </c>
      <c r="I108" s="274" t="s">
        <v>6748</v>
      </c>
      <c r="J108" s="176" t="s">
        <v>6751</v>
      </c>
      <c r="K108" s="176" t="s">
        <v>2045</v>
      </c>
      <c r="L108" s="176" t="s">
        <v>2739</v>
      </c>
      <c r="M108" s="176">
        <v>2020</v>
      </c>
      <c r="O108" s="176" t="s">
        <v>1137</v>
      </c>
      <c r="P108" s="179" t="s">
        <v>4</v>
      </c>
      <c r="Q108" s="179">
        <v>10</v>
      </c>
      <c r="R108" s="179" t="s">
        <v>6752</v>
      </c>
      <c r="S108" s="179" t="s">
        <v>1</v>
      </c>
      <c r="T108" s="179" t="s">
        <v>1</v>
      </c>
      <c r="U108" s="179" t="s">
        <v>1</v>
      </c>
      <c r="V108" s="179" t="s">
        <v>1</v>
      </c>
      <c r="W108" s="179" t="s">
        <v>1</v>
      </c>
      <c r="X108" s="179" t="s">
        <v>1</v>
      </c>
      <c r="Y108" s="179" t="s">
        <v>1</v>
      </c>
      <c r="Z108" s="179" t="s">
        <v>1</v>
      </c>
      <c r="AA108" s="179" t="s">
        <v>1</v>
      </c>
      <c r="AB108" s="176" t="s">
        <v>6598</v>
      </c>
      <c r="AC108" s="176" t="s">
        <v>6606</v>
      </c>
      <c r="AD108" s="176" t="s">
        <v>6606</v>
      </c>
      <c r="AE108" s="25" t="s">
        <v>6753</v>
      </c>
      <c r="AF108" s="346" t="s">
        <v>7140</v>
      </c>
      <c r="AG108" s="346" t="s">
        <v>7140</v>
      </c>
      <c r="AH108" s="344">
        <v>0.19853199999999999</v>
      </c>
      <c r="AI108" s="68">
        <v>0.20694444444444443</v>
      </c>
      <c r="AJ108" s="68"/>
      <c r="AK108" s="68"/>
      <c r="AL108" s="364"/>
    </row>
    <row r="109" spans="1:38">
      <c r="B109" s="274" t="s">
        <v>363</v>
      </c>
      <c r="C109" s="275" t="s">
        <v>1691</v>
      </c>
      <c r="D109" s="324">
        <v>300</v>
      </c>
      <c r="E109" s="274" t="s">
        <v>7</v>
      </c>
      <c r="F109" s="324">
        <v>120</v>
      </c>
      <c r="G109" s="324">
        <f>+F109+Q109+T109</f>
        <v>190</v>
      </c>
      <c r="H109" s="325">
        <v>44602</v>
      </c>
      <c r="I109" s="274" t="s">
        <v>3461</v>
      </c>
      <c r="J109" s="176" t="s">
        <v>3460</v>
      </c>
      <c r="K109" s="176" t="s">
        <v>2045</v>
      </c>
      <c r="L109" s="176" t="s">
        <v>3033</v>
      </c>
      <c r="M109" s="176">
        <v>2011</v>
      </c>
      <c r="N109" s="176"/>
      <c r="O109" s="176" t="s">
        <v>3459</v>
      </c>
      <c r="P109" s="179" t="s">
        <v>5</v>
      </c>
      <c r="Q109" s="179">
        <v>50</v>
      </c>
      <c r="R109" s="179" t="s">
        <v>3458</v>
      </c>
      <c r="S109" s="179" t="s">
        <v>4</v>
      </c>
      <c r="T109" s="179">
        <v>20</v>
      </c>
      <c r="U109" s="179" t="s">
        <v>1</v>
      </c>
      <c r="V109" s="179" t="s">
        <v>1</v>
      </c>
      <c r="W109" s="179" t="s">
        <v>1</v>
      </c>
      <c r="X109" s="179" t="s">
        <v>1</v>
      </c>
      <c r="Y109" s="179" t="s">
        <v>1</v>
      </c>
      <c r="Z109" s="179" t="s">
        <v>1</v>
      </c>
      <c r="AA109" s="179" t="s">
        <v>1</v>
      </c>
      <c r="AB109" s="176" t="s">
        <v>2081</v>
      </c>
      <c r="AC109" s="176"/>
      <c r="AD109" s="176"/>
      <c r="AE109" s="25" t="s">
        <v>5072</v>
      </c>
      <c r="AF109" s="344">
        <v>1.8180000000000001</v>
      </c>
      <c r="AG109" s="68">
        <v>3.4722222222222224E-2</v>
      </c>
      <c r="AH109" s="344">
        <v>1.91</v>
      </c>
      <c r="AI109" s="68">
        <v>2.2222222222222223E-2</v>
      </c>
      <c r="AJ109" s="68"/>
      <c r="AK109" s="68"/>
      <c r="AL109" s="364">
        <f t="shared" si="1"/>
        <v>5.0605060506050625E-2</v>
      </c>
    </row>
    <row r="110" spans="1:38" s="180" customFormat="1">
      <c r="A110" s="72"/>
      <c r="B110" s="274" t="s">
        <v>3321</v>
      </c>
      <c r="C110" s="275" t="s">
        <v>1691</v>
      </c>
      <c r="D110" s="324">
        <v>300</v>
      </c>
      <c r="E110" s="274" t="s">
        <v>7</v>
      </c>
      <c r="F110" s="324">
        <v>13</v>
      </c>
      <c r="G110" s="324">
        <f>+F110+Q110+T110+W110+Z110</f>
        <v>190</v>
      </c>
      <c r="H110" s="325">
        <v>45090</v>
      </c>
      <c r="I110" s="274" t="s">
        <v>3320</v>
      </c>
      <c r="J110" s="72" t="s">
        <v>3319</v>
      </c>
      <c r="K110" s="72" t="s">
        <v>2100</v>
      </c>
      <c r="L110" s="72" t="s">
        <v>2079</v>
      </c>
      <c r="M110" s="84">
        <v>43405</v>
      </c>
      <c r="N110" s="72"/>
      <c r="O110" s="72" t="s">
        <v>3318</v>
      </c>
      <c r="P110" s="76" t="s">
        <v>7</v>
      </c>
      <c r="Q110" s="76">
        <v>37</v>
      </c>
      <c r="R110" s="76" t="s">
        <v>3317</v>
      </c>
      <c r="S110" s="76" t="s">
        <v>7</v>
      </c>
      <c r="T110" s="76">
        <v>30</v>
      </c>
      <c r="U110" s="76" t="s">
        <v>3316</v>
      </c>
      <c r="V110" s="76" t="s">
        <v>7</v>
      </c>
      <c r="W110" s="76">
        <v>80</v>
      </c>
      <c r="X110" s="76" t="s">
        <v>3315</v>
      </c>
      <c r="Y110" s="76" t="s">
        <v>5</v>
      </c>
      <c r="Z110" s="76">
        <v>30</v>
      </c>
      <c r="AA110" s="76" t="s">
        <v>3314</v>
      </c>
      <c r="AB110" s="72" t="s">
        <v>2745</v>
      </c>
      <c r="AC110" s="72"/>
      <c r="AD110" s="72"/>
      <c r="AE110" s="25" t="s">
        <v>5101</v>
      </c>
      <c r="AF110" s="344">
        <v>9.1590000000000005E-3</v>
      </c>
      <c r="AG110" s="68">
        <v>8.819444444444445E-2</v>
      </c>
      <c r="AH110" s="344">
        <v>9.1929999999999998E-3</v>
      </c>
      <c r="AI110" s="68">
        <v>0.12083333333333333</v>
      </c>
      <c r="AJ110" s="68"/>
      <c r="AK110" s="68"/>
      <c r="AL110" s="364">
        <f t="shared" si="1"/>
        <v>3.71219565454739E-3</v>
      </c>
    </row>
    <row r="111" spans="1:38">
      <c r="B111" s="274" t="s">
        <v>2003</v>
      </c>
      <c r="C111" s="275" t="s">
        <v>1691</v>
      </c>
      <c r="D111" s="274">
        <v>300</v>
      </c>
      <c r="E111" s="274" t="s">
        <v>8035</v>
      </c>
      <c r="F111" s="396">
        <v>14.5</v>
      </c>
      <c r="G111" s="396">
        <f>F111+Q111</f>
        <v>22.5</v>
      </c>
      <c r="H111" s="326">
        <v>44977</v>
      </c>
      <c r="I111" s="274" t="s">
        <v>8036</v>
      </c>
      <c r="J111" s="274" t="s">
        <v>8033</v>
      </c>
      <c r="K111" s="274" t="s">
        <v>2308</v>
      </c>
      <c r="L111" s="274" t="s">
        <v>2524</v>
      </c>
      <c r="M111" s="72">
        <v>2014</v>
      </c>
      <c r="N111" s="274" t="s">
        <v>8034</v>
      </c>
      <c r="O111" s="274" t="s">
        <v>8037</v>
      </c>
      <c r="P111" s="274" t="s">
        <v>5</v>
      </c>
      <c r="Q111" s="72">
        <v>8</v>
      </c>
      <c r="R111" s="274" t="s">
        <v>8038</v>
      </c>
      <c r="S111" s="274" t="s">
        <v>1</v>
      </c>
      <c r="T111" s="274" t="s">
        <v>1</v>
      </c>
      <c r="U111" s="274" t="s">
        <v>1</v>
      </c>
      <c r="V111" s="274" t="s">
        <v>1</v>
      </c>
      <c r="W111" s="274" t="s">
        <v>1</v>
      </c>
      <c r="X111" s="274" t="s">
        <v>1</v>
      </c>
      <c r="Y111" s="274" t="s">
        <v>1</v>
      </c>
      <c r="Z111" s="274" t="s">
        <v>1</v>
      </c>
      <c r="AA111" s="274" t="s">
        <v>1</v>
      </c>
      <c r="AB111" s="274" t="s">
        <v>8031</v>
      </c>
      <c r="AC111" s="274" t="s">
        <v>1</v>
      </c>
      <c r="AD111" s="274" t="s">
        <v>8032</v>
      </c>
      <c r="AE111" s="25" t="s">
        <v>8030</v>
      </c>
      <c r="AF111" s="346" t="s">
        <v>7140</v>
      </c>
      <c r="AG111" s="346" t="s">
        <v>7140</v>
      </c>
      <c r="AH111" s="344">
        <v>3.274</v>
      </c>
      <c r="AI111" s="68">
        <v>0.11527777777777778</v>
      </c>
      <c r="AJ111" s="68"/>
      <c r="AK111" s="68"/>
      <c r="AL111" s="364"/>
    </row>
    <row r="112" spans="1:38">
      <c r="B112" s="274" t="s">
        <v>381</v>
      </c>
      <c r="C112" s="275" t="s">
        <v>1691</v>
      </c>
      <c r="D112" s="324">
        <v>300</v>
      </c>
      <c r="E112" s="274" t="s">
        <v>5</v>
      </c>
      <c r="F112" s="324">
        <f>72*1.2</f>
        <v>86.399999999999991</v>
      </c>
      <c r="G112" s="324">
        <f>+F112+Q112+T112</f>
        <v>95.649999999999991</v>
      </c>
      <c r="H112" s="325">
        <v>44488</v>
      </c>
      <c r="I112" s="274" t="s">
        <v>3451</v>
      </c>
      <c r="J112" s="72" t="s">
        <v>3450</v>
      </c>
      <c r="K112" s="72" t="s">
        <v>2045</v>
      </c>
      <c r="L112" s="72" t="s">
        <v>2521</v>
      </c>
      <c r="M112" s="72">
        <v>2017</v>
      </c>
      <c r="N112" s="72" t="s">
        <v>3449</v>
      </c>
      <c r="O112" s="72" t="s">
        <v>3448</v>
      </c>
      <c r="P112" s="76" t="s">
        <v>4</v>
      </c>
      <c r="Q112" s="76">
        <v>8.5</v>
      </c>
      <c r="R112" s="76" t="s">
        <v>3447</v>
      </c>
      <c r="S112" s="76" t="s">
        <v>4</v>
      </c>
      <c r="T112" s="76">
        <v>0.75</v>
      </c>
      <c r="U112" s="76" t="s">
        <v>3446</v>
      </c>
      <c r="V112" s="76" t="s">
        <v>1</v>
      </c>
      <c r="W112" s="76" t="s">
        <v>1</v>
      </c>
      <c r="X112" s="76" t="s">
        <v>1</v>
      </c>
      <c r="Y112" s="76" t="s">
        <v>1</v>
      </c>
      <c r="Z112" s="76" t="s">
        <v>1</v>
      </c>
      <c r="AA112" s="76" t="s">
        <v>1</v>
      </c>
      <c r="AB112" s="72" t="s">
        <v>2094</v>
      </c>
      <c r="AE112" s="25" t="s">
        <v>5074</v>
      </c>
      <c r="AF112" s="344">
        <v>0.11515400000000001</v>
      </c>
      <c r="AG112" s="68">
        <v>0.13263888888888889</v>
      </c>
      <c r="AH112" s="344">
        <v>5.8902999999999997E-2</v>
      </c>
      <c r="AI112" s="337">
        <v>0.12777777777777777</v>
      </c>
      <c r="AJ112" s="337"/>
      <c r="AK112" s="337"/>
      <c r="AL112" s="364">
        <f t="shared" si="1"/>
        <v>-0.48848498532400098</v>
      </c>
    </row>
    <row r="113" spans="1:38">
      <c r="B113" s="274" t="s">
        <v>3457</v>
      </c>
      <c r="C113" s="275" t="s">
        <v>1691</v>
      </c>
      <c r="D113" s="324">
        <v>300</v>
      </c>
      <c r="E113" s="274" t="s">
        <v>5</v>
      </c>
      <c r="F113" s="324">
        <v>100</v>
      </c>
      <c r="G113" s="324">
        <f>+F113</f>
        <v>100</v>
      </c>
      <c r="H113" s="27">
        <v>44349</v>
      </c>
      <c r="I113" s="274" t="s">
        <v>3456</v>
      </c>
      <c r="J113" s="72" t="s">
        <v>3455</v>
      </c>
      <c r="K113" s="72" t="s">
        <v>2045</v>
      </c>
      <c r="L113" s="72" t="s">
        <v>3454</v>
      </c>
      <c r="M113" s="72">
        <v>2020</v>
      </c>
      <c r="O113" s="72" t="s">
        <v>3453</v>
      </c>
      <c r="P113" s="76" t="s">
        <v>1</v>
      </c>
      <c r="Q113" s="76" t="s">
        <v>1</v>
      </c>
      <c r="R113" s="76" t="s">
        <v>1</v>
      </c>
      <c r="S113" s="76" t="s">
        <v>1</v>
      </c>
      <c r="T113" s="76" t="s">
        <v>1</v>
      </c>
      <c r="U113" s="76" t="s">
        <v>1</v>
      </c>
      <c r="V113" s="76" t="s">
        <v>1</v>
      </c>
      <c r="W113" s="76" t="s">
        <v>1</v>
      </c>
      <c r="X113" s="76" t="s">
        <v>1</v>
      </c>
      <c r="Y113" s="76" t="s">
        <v>1</v>
      </c>
      <c r="Z113" s="76" t="s">
        <v>1</v>
      </c>
      <c r="AA113" s="76" t="s">
        <v>1</v>
      </c>
      <c r="AB113" s="72" t="s">
        <v>3452</v>
      </c>
      <c r="AE113" s="25" t="s">
        <v>5073</v>
      </c>
      <c r="AF113" s="344">
        <v>0</v>
      </c>
      <c r="AG113" s="68">
        <v>8.3333333333333332E-3</v>
      </c>
      <c r="AH113" s="344">
        <v>0</v>
      </c>
      <c r="AI113" s="68">
        <v>0.13750000000000001</v>
      </c>
      <c r="AJ113" s="68"/>
      <c r="AK113" s="68"/>
      <c r="AL113" s="364"/>
    </row>
    <row r="114" spans="1:38" s="176" customFormat="1">
      <c r="A114" s="72"/>
      <c r="B114" s="274" t="s">
        <v>5647</v>
      </c>
      <c r="C114" s="275" t="s">
        <v>1691</v>
      </c>
      <c r="D114" s="324">
        <v>300</v>
      </c>
      <c r="E114" s="274" t="s">
        <v>18</v>
      </c>
      <c r="F114" s="324">
        <v>75</v>
      </c>
      <c r="G114" s="324">
        <f>F114+Q114+T114+W114</f>
        <v>118</v>
      </c>
      <c r="H114" s="325">
        <v>44627</v>
      </c>
      <c r="I114" s="274" t="s">
        <v>5650</v>
      </c>
      <c r="J114" s="176" t="s">
        <v>5648</v>
      </c>
      <c r="K114" s="176" t="s">
        <v>2045</v>
      </c>
      <c r="L114" s="176" t="s">
        <v>2079</v>
      </c>
      <c r="M114" s="176">
        <v>2018</v>
      </c>
      <c r="O114" s="176" t="s">
        <v>5649</v>
      </c>
      <c r="P114" s="179" t="s">
        <v>7</v>
      </c>
      <c r="Q114" s="179">
        <v>30</v>
      </c>
      <c r="R114" s="179" t="s">
        <v>5653</v>
      </c>
      <c r="S114" s="179" t="s">
        <v>5</v>
      </c>
      <c r="T114" s="179">
        <v>10</v>
      </c>
      <c r="U114" s="179" t="s">
        <v>5654</v>
      </c>
      <c r="V114" s="179" t="s">
        <v>4</v>
      </c>
      <c r="W114" s="179">
        <v>3</v>
      </c>
      <c r="X114" s="179" t="s">
        <v>1037</v>
      </c>
      <c r="Y114" s="179" t="s">
        <v>1</v>
      </c>
      <c r="Z114" s="179" t="s">
        <v>1</v>
      </c>
      <c r="AA114" s="179" t="s">
        <v>1</v>
      </c>
      <c r="AB114" s="176" t="s">
        <v>2078</v>
      </c>
      <c r="AE114" s="25" t="s">
        <v>2077</v>
      </c>
      <c r="AF114" s="346" t="s">
        <v>7140</v>
      </c>
      <c r="AG114" s="346" t="s">
        <v>7140</v>
      </c>
      <c r="AH114" s="344">
        <v>0.17402899999999999</v>
      </c>
      <c r="AI114" s="358">
        <v>3.8194444444444448E-2</v>
      </c>
      <c r="AJ114" s="358"/>
      <c r="AK114" s="358"/>
      <c r="AL114" s="364"/>
    </row>
    <row r="115" spans="1:38" s="176" customFormat="1">
      <c r="A115" s="72"/>
      <c r="B115" s="274" t="s">
        <v>2087</v>
      </c>
      <c r="C115" s="275" t="s">
        <v>1691</v>
      </c>
      <c r="D115" s="324">
        <v>300</v>
      </c>
      <c r="E115" s="274" t="s">
        <v>7</v>
      </c>
      <c r="F115" s="324">
        <v>75</v>
      </c>
      <c r="G115" s="324">
        <f>F115+Q115</f>
        <v>115</v>
      </c>
      <c r="H115" s="325">
        <v>44677</v>
      </c>
      <c r="I115" s="274" t="s">
        <v>5436</v>
      </c>
      <c r="J115" s="91" t="s">
        <v>5435</v>
      </c>
      <c r="K115" s="72" t="s">
        <v>2045</v>
      </c>
      <c r="L115" s="72" t="s">
        <v>2086</v>
      </c>
      <c r="M115" s="72">
        <v>2017</v>
      </c>
      <c r="N115" s="72"/>
      <c r="O115" s="91" t="s">
        <v>5437</v>
      </c>
      <c r="P115" s="93" t="s">
        <v>5</v>
      </c>
      <c r="Q115" s="76">
        <v>40</v>
      </c>
      <c r="R115" s="93" t="s">
        <v>1065</v>
      </c>
      <c r="S115" s="93" t="s">
        <v>1</v>
      </c>
      <c r="T115" s="93" t="s">
        <v>1</v>
      </c>
      <c r="U115" s="93" t="s">
        <v>1</v>
      </c>
      <c r="V115" s="93" t="s">
        <v>1</v>
      </c>
      <c r="W115" s="93" t="s">
        <v>1</v>
      </c>
      <c r="X115" s="93" t="s">
        <v>1</v>
      </c>
      <c r="Y115" s="93" t="s">
        <v>1</v>
      </c>
      <c r="Z115" s="93" t="s">
        <v>1</v>
      </c>
      <c r="AA115" s="93" t="s">
        <v>1</v>
      </c>
      <c r="AB115" s="72" t="s">
        <v>2085</v>
      </c>
      <c r="AC115" s="72"/>
      <c r="AD115" s="72"/>
      <c r="AE115" s="25" t="s">
        <v>2084</v>
      </c>
      <c r="AF115" s="346" t="s">
        <v>7140</v>
      </c>
      <c r="AG115" s="346" t="s">
        <v>7140</v>
      </c>
      <c r="AH115" s="344">
        <v>7.7530000000000003E-3</v>
      </c>
      <c r="AI115" s="337">
        <v>0.11458333333333333</v>
      </c>
      <c r="AJ115" s="337"/>
      <c r="AK115" s="337"/>
      <c r="AL115" s="364"/>
    </row>
    <row r="116" spans="1:38" s="176" customFormat="1">
      <c r="A116" s="72"/>
      <c r="B116" s="274" t="s">
        <v>2090</v>
      </c>
      <c r="C116" s="275" t="s">
        <v>1691</v>
      </c>
      <c r="D116" s="327">
        <v>300</v>
      </c>
      <c r="E116" s="274" t="s">
        <v>18</v>
      </c>
      <c r="F116" s="324">
        <v>80</v>
      </c>
      <c r="G116" s="324">
        <f>F116+Q116+T116+W116</f>
        <v>151</v>
      </c>
      <c r="H116" s="325">
        <v>44637</v>
      </c>
      <c r="I116" s="274" t="s">
        <v>5415</v>
      </c>
      <c r="J116" s="91" t="s">
        <v>5416</v>
      </c>
      <c r="K116" s="72" t="s">
        <v>2045</v>
      </c>
      <c r="L116" s="72" t="s">
        <v>2089</v>
      </c>
      <c r="M116" s="72">
        <v>2017</v>
      </c>
      <c r="N116" s="204" t="s">
        <v>7122</v>
      </c>
      <c r="O116" s="91" t="s">
        <v>5417</v>
      </c>
      <c r="P116" s="93" t="s">
        <v>7</v>
      </c>
      <c r="Q116" s="76">
        <v>50</v>
      </c>
      <c r="R116" s="93" t="s">
        <v>5424</v>
      </c>
      <c r="S116" s="93" t="s">
        <v>5</v>
      </c>
      <c r="T116" s="76">
        <v>15</v>
      </c>
      <c r="U116" s="98" t="s">
        <v>5427</v>
      </c>
      <c r="V116" s="93" t="s">
        <v>4</v>
      </c>
      <c r="W116" s="76">
        <v>6</v>
      </c>
      <c r="X116" s="93" t="s">
        <v>1146</v>
      </c>
      <c r="Y116" s="93" t="s">
        <v>1</v>
      </c>
      <c r="Z116" s="93" t="s">
        <v>1</v>
      </c>
      <c r="AA116" s="93" t="s">
        <v>1</v>
      </c>
      <c r="AB116" s="165" t="s">
        <v>6598</v>
      </c>
      <c r="AC116" s="165" t="s">
        <v>6601</v>
      </c>
      <c r="AD116" s="165" t="s">
        <v>2362</v>
      </c>
      <c r="AE116" s="25" t="s">
        <v>2088</v>
      </c>
      <c r="AF116" s="346" t="s">
        <v>7140</v>
      </c>
      <c r="AG116" s="346" t="s">
        <v>7140</v>
      </c>
      <c r="AH116" s="344">
        <v>5.4454000000000002E-2</v>
      </c>
      <c r="AI116" s="337">
        <v>8.1250000000000003E-2</v>
      </c>
      <c r="AJ116" s="337"/>
      <c r="AK116" s="337"/>
      <c r="AL116" s="364"/>
    </row>
    <row r="117" spans="1:38" s="176" customFormat="1">
      <c r="A117" s="72"/>
      <c r="B117" s="274" t="s">
        <v>2083</v>
      </c>
      <c r="C117" s="275" t="s">
        <v>1691</v>
      </c>
      <c r="D117" s="324">
        <v>300</v>
      </c>
      <c r="E117" s="274" t="s">
        <v>5</v>
      </c>
      <c r="F117" s="324">
        <v>110</v>
      </c>
      <c r="G117" s="324">
        <f>F117</f>
        <v>110</v>
      </c>
      <c r="H117" s="325">
        <v>44509</v>
      </c>
      <c r="I117" s="274" t="s">
        <v>5641</v>
      </c>
      <c r="J117" s="72"/>
      <c r="K117" s="72" t="s">
        <v>2045</v>
      </c>
      <c r="L117" s="72" t="s">
        <v>2082</v>
      </c>
      <c r="M117" s="72">
        <v>2021</v>
      </c>
      <c r="N117" s="91" t="s">
        <v>5642</v>
      </c>
      <c r="O117" s="91" t="s">
        <v>5640</v>
      </c>
      <c r="P117" s="93" t="s">
        <v>1</v>
      </c>
      <c r="Q117" s="93" t="s">
        <v>1</v>
      </c>
      <c r="R117" s="93" t="s">
        <v>1</v>
      </c>
      <c r="S117" s="93" t="s">
        <v>1</v>
      </c>
      <c r="T117" s="93" t="s">
        <v>1</v>
      </c>
      <c r="U117" s="93" t="s">
        <v>1</v>
      </c>
      <c r="V117" s="93" t="s">
        <v>1</v>
      </c>
      <c r="W117" s="93" t="s">
        <v>1</v>
      </c>
      <c r="X117" s="93" t="s">
        <v>1</v>
      </c>
      <c r="Y117" s="93" t="s">
        <v>1</v>
      </c>
      <c r="Z117" s="93" t="s">
        <v>1</v>
      </c>
      <c r="AA117" s="93" t="s">
        <v>1</v>
      </c>
      <c r="AB117" s="72" t="s">
        <v>2081</v>
      </c>
      <c r="AC117" s="72"/>
      <c r="AD117" s="72"/>
      <c r="AE117" s="25" t="s">
        <v>2080</v>
      </c>
      <c r="AF117" s="346" t="s">
        <v>7140</v>
      </c>
      <c r="AG117" s="346" t="s">
        <v>7140</v>
      </c>
      <c r="AH117" s="344">
        <v>3.5462E-2</v>
      </c>
      <c r="AI117" s="337">
        <v>3.6805555555555557E-2</v>
      </c>
      <c r="AJ117" s="337"/>
      <c r="AK117" s="337"/>
      <c r="AL117" s="364"/>
    </row>
    <row r="118" spans="1:38" s="176" customFormat="1">
      <c r="A118" s="72"/>
      <c r="B118" s="274" t="s">
        <v>2069</v>
      </c>
      <c r="C118" s="275" t="s">
        <v>1691</v>
      </c>
      <c r="D118" s="324">
        <v>300</v>
      </c>
      <c r="E118" s="274" t="s">
        <v>7</v>
      </c>
      <c r="F118" s="324">
        <v>60</v>
      </c>
      <c r="G118" s="324">
        <f>F118+Q118+T118</f>
        <v>85</v>
      </c>
      <c r="H118" s="325">
        <v>44278</v>
      </c>
      <c r="I118" s="274" t="s">
        <v>5902</v>
      </c>
      <c r="J118" s="91" t="s">
        <v>5903</v>
      </c>
      <c r="K118" s="72" t="s">
        <v>2062</v>
      </c>
      <c r="L118" s="72" t="s">
        <v>2068</v>
      </c>
      <c r="M118" s="72">
        <v>2018</v>
      </c>
      <c r="N118" s="72"/>
      <c r="O118" s="91" t="s">
        <v>5904</v>
      </c>
      <c r="P118" s="93" t="s">
        <v>5</v>
      </c>
      <c r="Q118" s="76">
        <v>20</v>
      </c>
      <c r="R118" s="93" t="s">
        <v>5906</v>
      </c>
      <c r="S118" s="93" t="s">
        <v>4</v>
      </c>
      <c r="T118" s="76">
        <v>5</v>
      </c>
      <c r="U118" s="93" t="s">
        <v>5907</v>
      </c>
      <c r="V118" s="93" t="s">
        <v>1</v>
      </c>
      <c r="W118" s="93" t="s">
        <v>1</v>
      </c>
      <c r="X118" s="93" t="s">
        <v>1</v>
      </c>
      <c r="Y118" s="93" t="s">
        <v>1</v>
      </c>
      <c r="Z118" s="93" t="s">
        <v>1</v>
      </c>
      <c r="AA118" s="93" t="s">
        <v>1</v>
      </c>
      <c r="AB118" s="72" t="s">
        <v>2048</v>
      </c>
      <c r="AC118" s="72"/>
      <c r="AD118" s="72"/>
      <c r="AE118" s="25" t="s">
        <v>2067</v>
      </c>
      <c r="AF118" s="346" t="s">
        <v>7140</v>
      </c>
      <c r="AG118" s="346" t="s">
        <v>7140</v>
      </c>
      <c r="AH118" s="344">
        <v>1.5831000000000001E-2</v>
      </c>
      <c r="AI118" s="337">
        <v>3.6111111111111108E-2</v>
      </c>
      <c r="AJ118" s="337"/>
      <c r="AK118" s="337"/>
      <c r="AL118" s="364"/>
    </row>
    <row r="119" spans="1:38">
      <c r="B119" s="274" t="s">
        <v>542</v>
      </c>
      <c r="C119" s="275" t="s">
        <v>1691</v>
      </c>
      <c r="D119" s="324">
        <v>260</v>
      </c>
      <c r="E119" s="274" t="s">
        <v>5</v>
      </c>
      <c r="F119" s="324">
        <v>40</v>
      </c>
      <c r="G119" s="324">
        <f>+F119+Q119+T119</f>
        <v>66</v>
      </c>
      <c r="H119" s="325">
        <v>44811</v>
      </c>
      <c r="I119" s="274" t="s">
        <v>2630</v>
      </c>
      <c r="K119" s="72" t="s">
        <v>2045</v>
      </c>
      <c r="L119" s="72" t="s">
        <v>2630</v>
      </c>
      <c r="M119" s="72">
        <v>2017</v>
      </c>
      <c r="N119" s="274" t="s">
        <v>8046</v>
      </c>
      <c r="O119" s="72" t="s">
        <v>3445</v>
      </c>
      <c r="P119" s="76" t="s">
        <v>5</v>
      </c>
      <c r="Q119" s="76">
        <v>14</v>
      </c>
      <c r="R119" s="76" t="s">
        <v>3444</v>
      </c>
      <c r="S119" s="76" t="s">
        <v>5</v>
      </c>
      <c r="T119" s="76">
        <v>12</v>
      </c>
      <c r="U119" s="76" t="s">
        <v>3443</v>
      </c>
      <c r="V119" s="76" t="s">
        <v>4</v>
      </c>
      <c r="W119" s="76" t="s">
        <v>1</v>
      </c>
      <c r="X119" s="76" t="s">
        <v>544</v>
      </c>
      <c r="Y119" s="76" t="s">
        <v>1</v>
      </c>
      <c r="Z119" s="76" t="s">
        <v>1</v>
      </c>
      <c r="AA119" s="76" t="s">
        <v>1</v>
      </c>
      <c r="AB119" s="72" t="s">
        <v>2163</v>
      </c>
      <c r="AE119" s="25" t="s">
        <v>5075</v>
      </c>
      <c r="AF119" s="344">
        <v>3.8922999999999999E-2</v>
      </c>
      <c r="AG119" s="68">
        <v>5.4166666666666669E-2</v>
      </c>
      <c r="AH119" s="344">
        <v>0.17289199999999999</v>
      </c>
      <c r="AI119" s="337">
        <v>2.6388888888888889E-2</v>
      </c>
      <c r="AJ119" s="337"/>
      <c r="AK119" s="337"/>
      <c r="AL119" s="364">
        <f t="shared" si="1"/>
        <v>3.4418981065179972</v>
      </c>
    </row>
    <row r="120" spans="1:38">
      <c r="B120" s="274" t="s">
        <v>1011</v>
      </c>
      <c r="C120" s="275" t="s">
        <v>1691</v>
      </c>
      <c r="D120" s="324">
        <v>257</v>
      </c>
      <c r="E120" s="274" t="s">
        <v>7</v>
      </c>
      <c r="F120" s="324">
        <v>43</v>
      </c>
      <c r="G120" s="324">
        <f>+F120+Q120</f>
        <v>69</v>
      </c>
      <c r="H120" s="325">
        <v>44978</v>
      </c>
      <c r="I120" s="274" t="s">
        <v>3442</v>
      </c>
      <c r="K120" s="72" t="s">
        <v>2045</v>
      </c>
      <c r="L120" s="72" t="s">
        <v>2698</v>
      </c>
      <c r="M120" s="84" t="s">
        <v>3129</v>
      </c>
      <c r="O120" s="72" t="s">
        <v>3441</v>
      </c>
      <c r="P120" s="76" t="s">
        <v>5</v>
      </c>
      <c r="Q120" s="76">
        <v>26</v>
      </c>
      <c r="R120" s="76" t="s">
        <v>3440</v>
      </c>
      <c r="S120" s="76" t="s">
        <v>4</v>
      </c>
      <c r="T120" s="76" t="s">
        <v>1</v>
      </c>
      <c r="U120" s="76" t="s">
        <v>3439</v>
      </c>
      <c r="V120" s="76" t="s">
        <v>1</v>
      </c>
      <c r="W120" s="76" t="s">
        <v>1</v>
      </c>
      <c r="X120" s="76" t="s">
        <v>1</v>
      </c>
      <c r="Y120" s="76" t="s">
        <v>1</v>
      </c>
      <c r="Z120" s="76" t="s">
        <v>1</v>
      </c>
      <c r="AA120" s="76" t="s">
        <v>1</v>
      </c>
      <c r="AB120" s="72" t="s">
        <v>2362</v>
      </c>
      <c r="AE120" s="25" t="s">
        <v>4315</v>
      </c>
      <c r="AF120" s="339">
        <v>13.41</v>
      </c>
      <c r="AG120" s="62">
        <v>0.16458333333333333</v>
      </c>
      <c r="AH120" s="344">
        <v>2.8450000000000002</v>
      </c>
      <c r="AI120" s="337">
        <v>0.20208333333333334</v>
      </c>
      <c r="AJ120" s="337"/>
      <c r="AK120" s="337"/>
      <c r="AL120" s="364">
        <f t="shared" si="1"/>
        <v>-0.78784489187173756</v>
      </c>
    </row>
    <row r="121" spans="1:38">
      <c r="B121" s="274" t="s">
        <v>798</v>
      </c>
      <c r="C121" s="275" t="s">
        <v>1691</v>
      </c>
      <c r="D121" s="324">
        <v>250</v>
      </c>
      <c r="E121" s="274" t="s">
        <v>18</v>
      </c>
      <c r="F121" s="324">
        <v>50</v>
      </c>
      <c r="G121" s="324">
        <f>+F121+Q121+T121+W121</f>
        <v>90.3</v>
      </c>
      <c r="H121" s="27">
        <v>44496</v>
      </c>
      <c r="I121" s="274" t="s">
        <v>3433</v>
      </c>
      <c r="J121" s="72" t="s">
        <v>3432</v>
      </c>
      <c r="K121" s="72" t="s">
        <v>2569</v>
      </c>
      <c r="L121" s="72" t="s">
        <v>2056</v>
      </c>
      <c r="M121" s="83">
        <v>43556</v>
      </c>
      <c r="O121" s="72" t="s">
        <v>3431</v>
      </c>
      <c r="P121" s="76" t="s">
        <v>7</v>
      </c>
      <c r="Q121" s="76">
        <v>22</v>
      </c>
      <c r="R121" s="76" t="s">
        <v>3430</v>
      </c>
      <c r="S121" s="76" t="s">
        <v>3429</v>
      </c>
      <c r="T121" s="76">
        <v>13</v>
      </c>
      <c r="U121" s="76" t="s">
        <v>3428</v>
      </c>
      <c r="V121" s="76" t="s">
        <v>3427</v>
      </c>
      <c r="W121" s="76">
        <v>5.3</v>
      </c>
      <c r="X121" s="76" t="s">
        <v>3426</v>
      </c>
      <c r="Y121" s="76" t="s">
        <v>1</v>
      </c>
      <c r="Z121" s="76" t="s">
        <v>1</v>
      </c>
      <c r="AA121" s="76" t="s">
        <v>1</v>
      </c>
      <c r="AB121" s="72" t="s">
        <v>2362</v>
      </c>
      <c r="AE121" s="25" t="s">
        <v>5079</v>
      </c>
      <c r="AF121" s="344">
        <v>8.3259E-2</v>
      </c>
      <c r="AG121" s="68">
        <v>1.4583333333333332E-2</v>
      </c>
      <c r="AH121" s="344">
        <v>8.5851999999999998E-2</v>
      </c>
      <c r="AI121" s="337">
        <v>4.8611111111111112E-2</v>
      </c>
      <c r="AJ121" s="337"/>
      <c r="AK121" s="337"/>
      <c r="AL121" s="364">
        <f t="shared" si="1"/>
        <v>3.1143780251984721E-2</v>
      </c>
    </row>
    <row r="122" spans="1:38" s="176" customFormat="1">
      <c r="A122" s="72"/>
      <c r="B122" s="274" t="s">
        <v>2066</v>
      </c>
      <c r="C122" s="275" t="s">
        <v>1691</v>
      </c>
      <c r="D122" s="324">
        <v>250</v>
      </c>
      <c r="E122" s="274" t="s">
        <v>18</v>
      </c>
      <c r="F122" s="324">
        <v>15</v>
      </c>
      <c r="G122" s="324">
        <f>F122+Z122+W122+T122+Q122</f>
        <v>84.2</v>
      </c>
      <c r="H122" s="325">
        <v>45006</v>
      </c>
      <c r="I122" s="274" t="s">
        <v>5996</v>
      </c>
      <c r="J122" s="91" t="s">
        <v>5984</v>
      </c>
      <c r="K122" s="72" t="s">
        <v>2062</v>
      </c>
      <c r="L122" s="72" t="s">
        <v>2065</v>
      </c>
      <c r="M122" s="72">
        <v>2017</v>
      </c>
      <c r="N122" s="72"/>
      <c r="O122" s="91" t="s">
        <v>5985</v>
      </c>
      <c r="P122" s="93" t="s">
        <v>7</v>
      </c>
      <c r="Q122" s="76">
        <v>50</v>
      </c>
      <c r="R122" s="93" t="s">
        <v>5989</v>
      </c>
      <c r="S122" s="93" t="s">
        <v>5</v>
      </c>
      <c r="T122" s="76">
        <v>3</v>
      </c>
      <c r="U122" s="93" t="s">
        <v>5990</v>
      </c>
      <c r="V122" s="93" t="s">
        <v>5</v>
      </c>
      <c r="W122" s="76">
        <v>12</v>
      </c>
      <c r="X122" s="93" t="s">
        <v>5994</v>
      </c>
      <c r="Y122" s="93" t="s">
        <v>4</v>
      </c>
      <c r="Z122" s="76">
        <v>4.2</v>
      </c>
      <c r="AA122" s="93" t="s">
        <v>5995</v>
      </c>
      <c r="AB122" s="72" t="s">
        <v>2048</v>
      </c>
      <c r="AC122" s="72"/>
      <c r="AD122" s="72"/>
      <c r="AE122" s="25" t="s">
        <v>2064</v>
      </c>
      <c r="AF122" s="346" t="s">
        <v>7140</v>
      </c>
      <c r="AG122" s="346" t="s">
        <v>7140</v>
      </c>
      <c r="AH122" s="344">
        <v>1.6872000000000002E-2</v>
      </c>
      <c r="AI122" s="337">
        <v>6.3194444444444442E-2</v>
      </c>
      <c r="AJ122" s="337"/>
      <c r="AK122" s="337"/>
      <c r="AL122" s="364"/>
    </row>
    <row r="123" spans="1:38" s="12" customFormat="1">
      <c r="B123" s="12" t="s">
        <v>1069</v>
      </c>
      <c r="C123" s="29" t="s">
        <v>1691</v>
      </c>
      <c r="D123" s="15">
        <v>250</v>
      </c>
      <c r="E123" s="12" t="s">
        <v>5</v>
      </c>
      <c r="F123" s="15">
        <v>12.5</v>
      </c>
      <c r="G123" s="15">
        <f>+F123</f>
        <v>12.5</v>
      </c>
      <c r="H123" s="14">
        <v>44978</v>
      </c>
      <c r="I123" s="12" t="s">
        <v>2844</v>
      </c>
      <c r="J123" s="12" t="s">
        <v>2843</v>
      </c>
      <c r="K123" s="12" t="s">
        <v>2045</v>
      </c>
      <c r="L123" s="12" t="s">
        <v>2056</v>
      </c>
      <c r="M123" s="12">
        <v>2019</v>
      </c>
      <c r="N123" s="12" t="s">
        <v>1900</v>
      </c>
      <c r="O123" s="12" t="s">
        <v>2842</v>
      </c>
      <c r="P123" s="24" t="s">
        <v>4</v>
      </c>
      <c r="Q123" s="24" t="s">
        <v>1</v>
      </c>
      <c r="R123" s="24" t="s">
        <v>1068</v>
      </c>
      <c r="S123" s="24" t="s">
        <v>1</v>
      </c>
      <c r="T123" s="24" t="s">
        <v>1</v>
      </c>
      <c r="U123" s="24" t="s">
        <v>1</v>
      </c>
      <c r="V123" s="24" t="s">
        <v>1</v>
      </c>
      <c r="W123" s="24" t="s">
        <v>1</v>
      </c>
      <c r="X123" s="24" t="s">
        <v>1</v>
      </c>
      <c r="Y123" s="24" t="s">
        <v>1</v>
      </c>
      <c r="Z123" s="24" t="s">
        <v>1</v>
      </c>
      <c r="AA123" s="24" t="s">
        <v>1</v>
      </c>
      <c r="AB123" s="12" t="s">
        <v>2362</v>
      </c>
      <c r="AE123" s="37" t="s">
        <v>8993</v>
      </c>
      <c r="AF123" s="366" t="s">
        <v>7140</v>
      </c>
      <c r="AG123" s="366" t="s">
        <v>7140</v>
      </c>
      <c r="AH123" s="372">
        <v>4.4889999999999999</v>
      </c>
      <c r="AI123" s="360">
        <v>0.20833333333333334</v>
      </c>
      <c r="AJ123" s="360"/>
      <c r="AK123" s="360"/>
      <c r="AL123" s="369"/>
    </row>
    <row r="124" spans="1:38">
      <c r="B124" s="274" t="s">
        <v>3425</v>
      </c>
      <c r="C124" s="275" t="s">
        <v>1691</v>
      </c>
      <c r="D124" s="324">
        <v>250</v>
      </c>
      <c r="E124" s="274" t="s">
        <v>5</v>
      </c>
      <c r="F124" s="324">
        <v>40</v>
      </c>
      <c r="G124" s="324">
        <f>+F124+Q124+T124</f>
        <v>60</v>
      </c>
      <c r="H124" s="325">
        <v>45014</v>
      </c>
      <c r="I124" s="274" t="s">
        <v>3424</v>
      </c>
      <c r="J124" s="72" t="s">
        <v>3423</v>
      </c>
      <c r="K124" s="72" t="s">
        <v>2308</v>
      </c>
      <c r="L124" s="72" t="s">
        <v>3422</v>
      </c>
      <c r="M124" s="72">
        <v>2017</v>
      </c>
      <c r="N124" s="72" t="s">
        <v>3421</v>
      </c>
      <c r="O124" s="72" t="s">
        <v>3420</v>
      </c>
      <c r="P124" s="76" t="s">
        <v>4</v>
      </c>
      <c r="Q124" s="76">
        <v>5</v>
      </c>
      <c r="R124" s="76" t="s">
        <v>3419</v>
      </c>
      <c r="S124" s="76" t="s">
        <v>4</v>
      </c>
      <c r="T124" s="76">
        <v>15</v>
      </c>
      <c r="U124" s="76" t="s">
        <v>3418</v>
      </c>
      <c r="V124" s="76" t="s">
        <v>1</v>
      </c>
      <c r="W124" s="76" t="s">
        <v>1</v>
      </c>
      <c r="X124" s="76" t="s">
        <v>1</v>
      </c>
      <c r="Y124" s="76" t="s">
        <v>1</v>
      </c>
      <c r="Z124" s="76" t="s">
        <v>1</v>
      </c>
      <c r="AA124" s="76" t="s">
        <v>1</v>
      </c>
      <c r="AB124" s="72" t="s">
        <v>2059</v>
      </c>
      <c r="AE124" s="25" t="s">
        <v>5080</v>
      </c>
      <c r="AF124" s="344">
        <v>4.2204999999999999E-2</v>
      </c>
      <c r="AG124" s="68">
        <v>0.16458333333333333</v>
      </c>
      <c r="AH124" s="344">
        <v>0.114028</v>
      </c>
      <c r="AI124" s="337">
        <v>0.11736111111111111</v>
      </c>
      <c r="AJ124" s="337"/>
      <c r="AK124" s="337"/>
      <c r="AL124" s="364">
        <f t="shared" si="1"/>
        <v>1.7017651936974292</v>
      </c>
    </row>
    <row r="125" spans="1:38">
      <c r="B125" s="274" t="s">
        <v>3438</v>
      </c>
      <c r="C125" s="275" t="s">
        <v>1691</v>
      </c>
      <c r="D125" s="324">
        <v>250</v>
      </c>
      <c r="E125" s="274" t="s">
        <v>5</v>
      </c>
      <c r="F125" s="324">
        <v>50</v>
      </c>
      <c r="G125" s="324">
        <f>+F125+Q125</f>
        <v>56</v>
      </c>
      <c r="H125" s="325">
        <v>44655</v>
      </c>
      <c r="I125" s="274"/>
      <c r="K125" s="34" t="s">
        <v>2045</v>
      </c>
      <c r="L125" s="34" t="s">
        <v>3437</v>
      </c>
      <c r="M125" s="83">
        <v>44075</v>
      </c>
      <c r="N125" s="72" t="s">
        <v>5077</v>
      </c>
      <c r="O125" s="72" t="s">
        <v>3436</v>
      </c>
      <c r="P125" s="76" t="s">
        <v>4</v>
      </c>
      <c r="Q125" s="76">
        <v>6</v>
      </c>
      <c r="R125" s="76" t="s">
        <v>3435</v>
      </c>
      <c r="S125" s="76" t="s">
        <v>1</v>
      </c>
      <c r="T125" s="76" t="s">
        <v>1</v>
      </c>
      <c r="U125" s="76" t="s">
        <v>1</v>
      </c>
      <c r="V125" s="76" t="s">
        <v>1</v>
      </c>
      <c r="W125" s="76" t="s">
        <v>1</v>
      </c>
      <c r="X125" s="76" t="s">
        <v>1</v>
      </c>
      <c r="Y125" s="76" t="s">
        <v>1</v>
      </c>
      <c r="Z125" s="76" t="s">
        <v>1</v>
      </c>
      <c r="AA125" s="76" t="s">
        <v>1</v>
      </c>
      <c r="AB125" s="72" t="s">
        <v>3434</v>
      </c>
      <c r="AE125" s="25" t="s">
        <v>5078</v>
      </c>
      <c r="AF125" s="344">
        <v>8.0569999999999999E-3</v>
      </c>
      <c r="AG125" s="68">
        <v>3.4722222222222224E-2</v>
      </c>
      <c r="AH125" s="344">
        <v>1.8710999999999998E-2</v>
      </c>
      <c r="AI125" s="337">
        <v>2.8472222222222222E-2</v>
      </c>
      <c r="AJ125" s="337"/>
      <c r="AK125" s="337"/>
      <c r="AL125" s="364">
        <f t="shared" si="1"/>
        <v>1.3223284100781929</v>
      </c>
    </row>
    <row r="126" spans="1:38">
      <c r="B126" s="72" t="s">
        <v>3417</v>
      </c>
      <c r="C126" s="73" t="s">
        <v>1691</v>
      </c>
      <c r="D126" s="74">
        <v>245</v>
      </c>
      <c r="E126" s="72" t="s">
        <v>7</v>
      </c>
      <c r="F126" s="74">
        <v>30</v>
      </c>
      <c r="G126" s="74">
        <f>+F126+Q126</f>
        <v>51.4</v>
      </c>
      <c r="H126" s="27">
        <v>44510</v>
      </c>
      <c r="I126" s="72" t="s">
        <v>3416</v>
      </c>
      <c r="K126" s="72" t="s">
        <v>2045</v>
      </c>
      <c r="L126" s="32" t="s">
        <v>2062</v>
      </c>
      <c r="M126" s="38">
        <v>43497</v>
      </c>
      <c r="N126" s="34" t="s">
        <v>2062</v>
      </c>
      <c r="O126" s="72" t="s">
        <v>3415</v>
      </c>
      <c r="P126" s="76" t="s">
        <v>5</v>
      </c>
      <c r="Q126" s="76">
        <v>21.4</v>
      </c>
      <c r="R126" s="76" t="s">
        <v>3414</v>
      </c>
      <c r="S126" s="76" t="s">
        <v>3413</v>
      </c>
      <c r="T126" s="76" t="s">
        <v>1</v>
      </c>
      <c r="U126" s="76" t="s">
        <v>990</v>
      </c>
      <c r="V126" s="76" t="s">
        <v>1</v>
      </c>
      <c r="W126" s="76" t="s">
        <v>1</v>
      </c>
      <c r="X126" s="76" t="s">
        <v>1</v>
      </c>
      <c r="Y126" s="76" t="s">
        <v>1</v>
      </c>
      <c r="Z126" s="76" t="s">
        <v>1</v>
      </c>
      <c r="AA126" s="76" t="s">
        <v>1</v>
      </c>
      <c r="AB126" s="72" t="s">
        <v>2362</v>
      </c>
      <c r="AE126" s="25" t="s">
        <v>5081</v>
      </c>
      <c r="AF126" s="344">
        <v>8.9449999999999998E-3</v>
      </c>
      <c r="AG126" s="68">
        <v>2.9166666666666664E-2</v>
      </c>
      <c r="AH126" s="344">
        <v>5.0000000000000001E-3</v>
      </c>
      <c r="AI126" s="337">
        <v>4.791666666666667E-2</v>
      </c>
      <c r="AJ126" s="337"/>
      <c r="AK126" s="337"/>
      <c r="AL126" s="364">
        <f t="shared" si="1"/>
        <v>-0.44102850754611511</v>
      </c>
    </row>
    <row r="127" spans="1:38">
      <c r="B127" s="72" t="s">
        <v>665</v>
      </c>
      <c r="C127" s="73" t="s">
        <v>1691</v>
      </c>
      <c r="D127" s="74">
        <v>200</v>
      </c>
      <c r="E127" s="72" t="s">
        <v>4</v>
      </c>
      <c r="F127" s="74">
        <v>100</v>
      </c>
      <c r="G127" s="74">
        <f>+F127</f>
        <v>100</v>
      </c>
      <c r="H127" s="77">
        <v>44663</v>
      </c>
      <c r="I127" s="72" t="s">
        <v>3404</v>
      </c>
      <c r="K127" s="72" t="s">
        <v>2045</v>
      </c>
      <c r="L127" s="72" t="s">
        <v>2062</v>
      </c>
      <c r="M127" s="72">
        <v>2022</v>
      </c>
      <c r="O127" s="72" t="s">
        <v>3403</v>
      </c>
      <c r="P127" s="76" t="s">
        <v>1</v>
      </c>
      <c r="Q127" s="76" t="s">
        <v>1</v>
      </c>
      <c r="R127" s="76" t="s">
        <v>1</v>
      </c>
      <c r="S127" s="76" t="s">
        <v>1</v>
      </c>
      <c r="T127" s="76" t="s">
        <v>1</v>
      </c>
      <c r="U127" s="76" t="s">
        <v>1</v>
      </c>
      <c r="V127" s="76" t="s">
        <v>1</v>
      </c>
      <c r="W127" s="76" t="s">
        <v>1</v>
      </c>
      <c r="X127" s="76" t="s">
        <v>1</v>
      </c>
      <c r="Y127" s="76" t="s">
        <v>1</v>
      </c>
      <c r="Z127" s="76" t="s">
        <v>1</v>
      </c>
      <c r="AA127" s="76" t="s">
        <v>1</v>
      </c>
      <c r="AB127" s="72" t="s">
        <v>2055</v>
      </c>
      <c r="AE127" s="25" t="s">
        <v>5084</v>
      </c>
      <c r="AF127" s="353">
        <v>0</v>
      </c>
      <c r="AG127" s="68">
        <v>2.7777777777777779E-3</v>
      </c>
      <c r="AH127" s="344">
        <v>5.0000000000000001E-3</v>
      </c>
      <c r="AI127" s="337">
        <v>0</v>
      </c>
      <c r="AJ127" s="337"/>
      <c r="AK127" s="337"/>
      <c r="AL127" s="364"/>
    </row>
    <row r="128" spans="1:38" s="176" customFormat="1">
      <c r="A128" s="72"/>
      <c r="B128" s="72" t="s">
        <v>281</v>
      </c>
      <c r="C128" s="73" t="s">
        <v>1691</v>
      </c>
      <c r="D128" s="74">
        <v>200</v>
      </c>
      <c r="E128" s="72" t="s">
        <v>5</v>
      </c>
      <c r="F128" s="74">
        <v>32</v>
      </c>
      <c r="G128" s="74">
        <f>+F128+Q128+T128</f>
        <v>64.2</v>
      </c>
      <c r="H128" s="77">
        <v>44851</v>
      </c>
      <c r="I128" s="72" t="s">
        <v>3379</v>
      </c>
      <c r="J128" s="72" t="s">
        <v>3378</v>
      </c>
      <c r="K128" s="72" t="s">
        <v>2100</v>
      </c>
      <c r="L128" s="72" t="s">
        <v>2349</v>
      </c>
      <c r="M128" s="72">
        <v>2018</v>
      </c>
      <c r="N128" s="72"/>
      <c r="O128" s="72" t="s">
        <v>3377</v>
      </c>
      <c r="P128" s="76" t="s">
        <v>5</v>
      </c>
      <c r="Q128" s="76">
        <v>26</v>
      </c>
      <c r="R128" s="76" t="s">
        <v>3376</v>
      </c>
      <c r="S128" s="76" t="s">
        <v>4</v>
      </c>
      <c r="T128" s="76">
        <v>6.2</v>
      </c>
      <c r="U128" s="76" t="s">
        <v>3375</v>
      </c>
      <c r="V128" s="76" t="s">
        <v>278</v>
      </c>
      <c r="W128" s="76" t="s">
        <v>1</v>
      </c>
      <c r="X128" s="76" t="s">
        <v>3374</v>
      </c>
      <c r="Y128" s="76" t="s">
        <v>1</v>
      </c>
      <c r="Z128" s="76" t="s">
        <v>1</v>
      </c>
      <c r="AA128" s="76" t="s">
        <v>1</v>
      </c>
      <c r="AB128" s="72" t="s">
        <v>2085</v>
      </c>
      <c r="AC128" s="72"/>
      <c r="AD128" s="72"/>
      <c r="AE128" s="25" t="s">
        <v>5052</v>
      </c>
      <c r="AF128" s="338">
        <v>0</v>
      </c>
      <c r="AG128" s="62">
        <v>0.10277777777777779</v>
      </c>
      <c r="AH128" s="344">
        <v>5.0000000000000001E-3</v>
      </c>
      <c r="AI128" s="337">
        <v>2.1527777777777778E-2</v>
      </c>
      <c r="AJ128" s="337"/>
      <c r="AK128" s="337"/>
      <c r="AL128" s="364"/>
    </row>
    <row r="129" spans="1:38" s="176" customFormat="1">
      <c r="A129" s="72"/>
      <c r="B129" s="72" t="s">
        <v>2053</v>
      </c>
      <c r="C129" s="73" t="s">
        <v>1691</v>
      </c>
      <c r="D129" s="74">
        <v>200</v>
      </c>
      <c r="E129" s="134" t="s">
        <v>7</v>
      </c>
      <c r="F129" s="74">
        <v>52.2</v>
      </c>
      <c r="G129" s="74"/>
      <c r="H129" s="77">
        <v>44476</v>
      </c>
      <c r="I129" s="134" t="s">
        <v>2052</v>
      </c>
      <c r="J129" s="134" t="s">
        <v>6266</v>
      </c>
      <c r="K129" s="72" t="s">
        <v>2045</v>
      </c>
      <c r="L129" s="72" t="s">
        <v>2052</v>
      </c>
      <c r="M129" s="72">
        <v>2020</v>
      </c>
      <c r="N129" s="72"/>
      <c r="O129" s="134" t="s">
        <v>6267</v>
      </c>
      <c r="P129" s="139" t="s">
        <v>5</v>
      </c>
      <c r="Q129" s="76">
        <v>12</v>
      </c>
      <c r="R129" s="139" t="s">
        <v>6271</v>
      </c>
      <c r="S129" s="139" t="s">
        <v>4</v>
      </c>
      <c r="T129" s="139" t="s">
        <v>1</v>
      </c>
      <c r="U129" s="139" t="s">
        <v>6272</v>
      </c>
      <c r="V129" s="139" t="s">
        <v>4</v>
      </c>
      <c r="W129" s="76">
        <v>3.5</v>
      </c>
      <c r="X129" s="139" t="s">
        <v>6273</v>
      </c>
      <c r="Y129" s="139" t="s">
        <v>1</v>
      </c>
      <c r="Z129" s="139" t="s">
        <v>1</v>
      </c>
      <c r="AA129" s="139" t="s">
        <v>1</v>
      </c>
      <c r="AB129" s="72" t="s">
        <v>2051</v>
      </c>
      <c r="AC129" s="72"/>
      <c r="AD129" s="72"/>
      <c r="AE129" s="25" t="s">
        <v>2050</v>
      </c>
      <c r="AF129" s="340" t="s">
        <v>7140</v>
      </c>
      <c r="AG129" s="340" t="s">
        <v>7140</v>
      </c>
      <c r="AH129" s="344">
        <v>9.7642000000000007E-2</v>
      </c>
      <c r="AI129" s="337">
        <v>3.888888888888889E-2</v>
      </c>
      <c r="AJ129" s="337"/>
      <c r="AK129" s="337"/>
      <c r="AL129" s="364"/>
    </row>
    <row r="130" spans="1:38" s="176" customFormat="1">
      <c r="A130" s="72"/>
      <c r="B130" s="216" t="s">
        <v>2057</v>
      </c>
      <c r="C130" s="73" t="s">
        <v>1691</v>
      </c>
      <c r="D130" s="74">
        <v>200</v>
      </c>
      <c r="E130" s="72" t="s">
        <v>7</v>
      </c>
      <c r="F130" s="74">
        <v>50</v>
      </c>
      <c r="G130" s="74">
        <f>F130+Q130+T130+W130</f>
        <v>69.8</v>
      </c>
      <c r="H130" s="77">
        <v>44518</v>
      </c>
      <c r="I130" s="134" t="s">
        <v>2877</v>
      </c>
      <c r="J130" s="134" t="s">
        <v>6197</v>
      </c>
      <c r="K130" s="72" t="s">
        <v>2045</v>
      </c>
      <c r="L130" s="72" t="s">
        <v>2056</v>
      </c>
      <c r="M130" s="72">
        <v>2017</v>
      </c>
      <c r="N130" s="72"/>
      <c r="O130" s="134" t="s">
        <v>6199</v>
      </c>
      <c r="P130" s="139" t="s">
        <v>5</v>
      </c>
      <c r="Q130" s="76">
        <v>13</v>
      </c>
      <c r="R130" s="139" t="s">
        <v>6202</v>
      </c>
      <c r="S130" s="139" t="s">
        <v>4</v>
      </c>
      <c r="T130" s="139">
        <v>4.5</v>
      </c>
      <c r="U130" s="139" t="s">
        <v>6203</v>
      </c>
      <c r="V130" s="139" t="s">
        <v>4</v>
      </c>
      <c r="W130" s="76">
        <v>2.2999999999999998</v>
      </c>
      <c r="X130" s="139" t="s">
        <v>6205</v>
      </c>
      <c r="Y130" s="139" t="s">
        <v>278</v>
      </c>
      <c r="Z130" s="139" t="s">
        <v>1</v>
      </c>
      <c r="AA130" s="139" t="s">
        <v>6207</v>
      </c>
      <c r="AB130" s="72" t="s">
        <v>2055</v>
      </c>
      <c r="AC130" s="72"/>
      <c r="AD130" s="72"/>
      <c r="AE130" s="25" t="s">
        <v>2054</v>
      </c>
      <c r="AF130" s="340" t="s">
        <v>7140</v>
      </c>
      <c r="AG130" s="340" t="s">
        <v>7140</v>
      </c>
      <c r="AH130" s="344">
        <v>0.26666899999999999</v>
      </c>
      <c r="AI130" s="337">
        <v>0.38472222222222224</v>
      </c>
      <c r="AJ130" s="337"/>
      <c r="AK130" s="337"/>
      <c r="AL130" s="364"/>
    </row>
    <row r="131" spans="1:38">
      <c r="B131" s="72" t="s">
        <v>3389</v>
      </c>
      <c r="C131" s="73" t="s">
        <v>1691</v>
      </c>
      <c r="D131" s="74">
        <v>200</v>
      </c>
      <c r="E131" s="72" t="s">
        <v>5</v>
      </c>
      <c r="F131" s="74">
        <v>40.799999999999997</v>
      </c>
      <c r="G131" s="74">
        <f>+F131</f>
        <v>40.799999999999997</v>
      </c>
      <c r="H131" s="77">
        <v>45112</v>
      </c>
      <c r="J131" s="72" t="s">
        <v>3388</v>
      </c>
      <c r="K131" s="72" t="s">
        <v>2045</v>
      </c>
      <c r="L131" s="72" t="s">
        <v>3387</v>
      </c>
      <c r="N131" s="72" t="s">
        <v>2696</v>
      </c>
      <c r="O131" s="72" t="s">
        <v>3386</v>
      </c>
      <c r="P131" s="76" t="s">
        <v>1</v>
      </c>
      <c r="Q131" s="76" t="s">
        <v>1</v>
      </c>
      <c r="R131" s="76" t="s">
        <v>1</v>
      </c>
      <c r="S131" s="76" t="s">
        <v>1</v>
      </c>
      <c r="T131" s="76" t="s">
        <v>1</v>
      </c>
      <c r="U131" s="76" t="s">
        <v>1</v>
      </c>
      <c r="V131" s="76" t="s">
        <v>1</v>
      </c>
      <c r="W131" s="76" t="s">
        <v>1</v>
      </c>
      <c r="X131" s="76" t="s">
        <v>1</v>
      </c>
      <c r="Y131" s="76" t="s">
        <v>1</v>
      </c>
      <c r="Z131" s="76" t="s">
        <v>1</v>
      </c>
      <c r="AA131" s="76" t="s">
        <v>1</v>
      </c>
      <c r="AE131" s="25" t="s">
        <v>5087</v>
      </c>
      <c r="AF131" s="63">
        <v>7.4489999999999998</v>
      </c>
      <c r="AG131" s="68">
        <v>0.3527777777777778</v>
      </c>
      <c r="AH131" s="63">
        <v>6.1559999999999997</v>
      </c>
      <c r="AI131" s="337">
        <v>0.21249999999999999</v>
      </c>
      <c r="AJ131" s="337"/>
      <c r="AK131" s="337"/>
      <c r="AL131" s="364">
        <f t="shared" si="1"/>
        <v>-0.17358034635521546</v>
      </c>
    </row>
    <row r="132" spans="1:38">
      <c r="B132" s="72" t="s">
        <v>3361</v>
      </c>
      <c r="C132" s="73" t="s">
        <v>1691</v>
      </c>
      <c r="D132" s="74">
        <v>200</v>
      </c>
      <c r="E132" s="72" t="s">
        <v>4</v>
      </c>
      <c r="F132" s="74">
        <v>10</v>
      </c>
      <c r="G132" s="74">
        <f>+F132</f>
        <v>10</v>
      </c>
      <c r="H132" s="77">
        <v>45005</v>
      </c>
      <c r="I132" s="72" t="s">
        <v>3360</v>
      </c>
      <c r="J132" s="72" t="s">
        <v>3359</v>
      </c>
      <c r="K132" s="72" t="s">
        <v>2569</v>
      </c>
      <c r="L132" s="72" t="s">
        <v>3358</v>
      </c>
      <c r="M132" s="78">
        <v>41275</v>
      </c>
      <c r="N132" s="72" t="s">
        <v>3357</v>
      </c>
      <c r="O132" s="216" t="s">
        <v>75</v>
      </c>
      <c r="P132" s="76" t="s">
        <v>1</v>
      </c>
      <c r="Q132" s="76" t="s">
        <v>1</v>
      </c>
      <c r="R132" s="76" t="s">
        <v>1</v>
      </c>
      <c r="S132" s="76" t="s">
        <v>1</v>
      </c>
      <c r="T132" s="76" t="s">
        <v>1</v>
      </c>
      <c r="U132" s="76" t="s">
        <v>1</v>
      </c>
      <c r="V132" s="76" t="s">
        <v>1</v>
      </c>
      <c r="W132" s="76" t="s">
        <v>1</v>
      </c>
      <c r="X132" s="76" t="s">
        <v>1</v>
      </c>
      <c r="Y132" s="76" t="s">
        <v>1</v>
      </c>
      <c r="Z132" s="76" t="s">
        <v>1</v>
      </c>
      <c r="AA132" s="76" t="s">
        <v>1</v>
      </c>
      <c r="AB132" s="72" t="s">
        <v>2362</v>
      </c>
      <c r="AE132" s="25" t="s">
        <v>5092</v>
      </c>
      <c r="AF132" s="63">
        <v>3.855</v>
      </c>
      <c r="AG132" s="68">
        <v>0.26458333333333334</v>
      </c>
      <c r="AH132" s="63">
        <v>2.819</v>
      </c>
      <c r="AI132" s="337">
        <v>0.28125</v>
      </c>
      <c r="AJ132" s="337"/>
      <c r="AK132" s="337"/>
      <c r="AL132" s="364">
        <f t="shared" si="1"/>
        <v>-0.26874189364461742</v>
      </c>
    </row>
    <row r="133" spans="1:38">
      <c r="A133" s="176"/>
      <c r="B133" s="176" t="s">
        <v>2532</v>
      </c>
      <c r="C133" s="184" t="s">
        <v>1691</v>
      </c>
      <c r="D133" s="178">
        <v>200</v>
      </c>
      <c r="E133" s="189" t="s">
        <v>1</v>
      </c>
      <c r="F133" s="178" t="s">
        <v>1</v>
      </c>
      <c r="G133" s="178">
        <v>0</v>
      </c>
      <c r="H133" s="178" t="s">
        <v>1</v>
      </c>
      <c r="I133" s="176" t="s">
        <v>2467</v>
      </c>
      <c r="J133" s="176"/>
      <c r="K133" s="176" t="s">
        <v>2308</v>
      </c>
      <c r="L133" s="176" t="s">
        <v>2531</v>
      </c>
      <c r="M133" s="178" t="s">
        <v>1</v>
      </c>
      <c r="N133" s="176" t="s">
        <v>4465</v>
      </c>
      <c r="O133" s="189" t="s">
        <v>1</v>
      </c>
      <c r="P133" s="189" t="s">
        <v>1</v>
      </c>
      <c r="Q133" s="189" t="s">
        <v>1</v>
      </c>
      <c r="R133" s="189" t="s">
        <v>1</v>
      </c>
      <c r="S133" s="189" t="s">
        <v>1</v>
      </c>
      <c r="T133" s="189" t="s">
        <v>1</v>
      </c>
      <c r="U133" s="189" t="s">
        <v>1</v>
      </c>
      <c r="V133" s="189" t="s">
        <v>1</v>
      </c>
      <c r="W133" s="189" t="s">
        <v>1</v>
      </c>
      <c r="X133" s="189" t="s">
        <v>1</v>
      </c>
      <c r="Y133" s="189" t="s">
        <v>1</v>
      </c>
      <c r="Z133" s="189" t="s">
        <v>1</v>
      </c>
      <c r="AA133" s="189" t="s">
        <v>1</v>
      </c>
      <c r="AB133" s="189" t="s">
        <v>6598</v>
      </c>
      <c r="AC133" s="189" t="s">
        <v>6601</v>
      </c>
      <c r="AD133" s="189" t="s">
        <v>2362</v>
      </c>
      <c r="AE133" s="25" t="s">
        <v>4466</v>
      </c>
      <c r="AF133" s="64">
        <v>19.43</v>
      </c>
      <c r="AG133" s="69" t="s">
        <v>5024</v>
      </c>
      <c r="AH133" s="63">
        <v>26.81</v>
      </c>
      <c r="AI133" s="358">
        <v>0.81180555555555556</v>
      </c>
      <c r="AJ133" s="358"/>
      <c r="AK133" s="358"/>
      <c r="AL133" s="364">
        <f t="shared" si="1"/>
        <v>0.3798250128667009</v>
      </c>
    </row>
    <row r="134" spans="1:38">
      <c r="B134" s="12" t="s">
        <v>3373</v>
      </c>
      <c r="C134" s="29" t="s">
        <v>1691</v>
      </c>
      <c r="D134" s="15">
        <v>200</v>
      </c>
      <c r="E134" s="12" t="s">
        <v>7</v>
      </c>
      <c r="F134" s="15">
        <v>25</v>
      </c>
      <c r="G134" s="74">
        <f>+F134+Q134+T134+W134</f>
        <v>47.8</v>
      </c>
      <c r="H134" s="14">
        <v>44642</v>
      </c>
      <c r="I134" s="12" t="s">
        <v>2303</v>
      </c>
      <c r="J134" s="12" t="s">
        <v>3372</v>
      </c>
      <c r="K134" s="12" t="s">
        <v>2045</v>
      </c>
      <c r="L134" s="12" t="s">
        <v>2467</v>
      </c>
      <c r="M134" s="12">
        <v>2017</v>
      </c>
      <c r="N134" s="12" t="s">
        <v>3371</v>
      </c>
      <c r="O134" s="12" t="s">
        <v>3370</v>
      </c>
      <c r="P134" s="24" t="s">
        <v>5</v>
      </c>
      <c r="Q134" s="24">
        <v>13.5</v>
      </c>
      <c r="R134" s="24" t="s">
        <v>3369</v>
      </c>
      <c r="S134" s="24" t="s">
        <v>4</v>
      </c>
      <c r="T134" s="24">
        <v>5.3</v>
      </c>
      <c r="U134" s="24" t="s">
        <v>3368</v>
      </c>
      <c r="V134" s="24" t="s">
        <v>4</v>
      </c>
      <c r="W134" s="24">
        <v>4</v>
      </c>
      <c r="X134" s="24" t="s">
        <v>3367</v>
      </c>
      <c r="Y134" s="24" t="s">
        <v>1</v>
      </c>
      <c r="Z134" s="24" t="s">
        <v>1</v>
      </c>
      <c r="AA134" s="24" t="s">
        <v>1</v>
      </c>
      <c r="AB134" s="12" t="s">
        <v>2078</v>
      </c>
      <c r="AC134" s="12"/>
      <c r="AD134" s="12"/>
      <c r="AE134" s="37" t="s">
        <v>3366</v>
      </c>
      <c r="AF134" s="66">
        <v>7.0490000000000004</v>
      </c>
      <c r="AG134" s="71">
        <v>0.36944444444444446</v>
      </c>
      <c r="AH134" s="65">
        <v>2.1070000000000002</v>
      </c>
      <c r="AI134" s="360">
        <v>0.27083333333333331</v>
      </c>
      <c r="AJ134" s="360"/>
      <c r="AK134" s="360"/>
      <c r="AL134" s="364">
        <f t="shared" si="1"/>
        <v>-0.70109235352532273</v>
      </c>
    </row>
    <row r="135" spans="1:38">
      <c r="B135" s="72" t="s">
        <v>3402</v>
      </c>
      <c r="C135" s="73" t="s">
        <v>1691</v>
      </c>
      <c r="D135" s="74">
        <v>200</v>
      </c>
      <c r="E135" s="72" t="s">
        <v>5</v>
      </c>
      <c r="F135" s="74">
        <v>58</v>
      </c>
      <c r="G135" s="74">
        <f>+F135</f>
        <v>58</v>
      </c>
      <c r="H135" s="77">
        <v>45104</v>
      </c>
      <c r="I135" s="72" t="s">
        <v>3401</v>
      </c>
      <c r="K135" s="72" t="s">
        <v>2045</v>
      </c>
      <c r="L135" s="72" t="s">
        <v>3169</v>
      </c>
      <c r="M135" s="75" t="s">
        <v>3400</v>
      </c>
      <c r="O135" s="72" t="s">
        <v>3399</v>
      </c>
      <c r="P135" s="76" t="s">
        <v>1</v>
      </c>
      <c r="Q135" s="76" t="s">
        <v>1</v>
      </c>
      <c r="R135" s="76" t="s">
        <v>1</v>
      </c>
      <c r="S135" s="76" t="s">
        <v>1</v>
      </c>
      <c r="T135" s="76" t="s">
        <v>1</v>
      </c>
      <c r="U135" s="76" t="s">
        <v>1</v>
      </c>
      <c r="V135" s="76" t="s">
        <v>1</v>
      </c>
      <c r="W135" s="76" t="s">
        <v>1</v>
      </c>
      <c r="X135" s="76" t="s">
        <v>1</v>
      </c>
      <c r="Y135" s="76" t="s">
        <v>1</v>
      </c>
      <c r="Z135" s="76" t="s">
        <v>1</v>
      </c>
      <c r="AA135" s="76" t="s">
        <v>1</v>
      </c>
      <c r="AB135" s="72" t="s">
        <v>2191</v>
      </c>
      <c r="AE135" s="25" t="s">
        <v>5085</v>
      </c>
      <c r="AF135" s="353">
        <v>7.7016000000000001E-2</v>
      </c>
      <c r="AG135" s="68">
        <v>4.5833333333333337E-2</v>
      </c>
      <c r="AH135" s="353">
        <v>6.0995000000000001E-2</v>
      </c>
      <c r="AI135" s="337">
        <v>0.19930555555555557</v>
      </c>
      <c r="AJ135" s="337"/>
      <c r="AK135" s="337"/>
      <c r="AL135" s="364">
        <f t="shared" si="1"/>
        <v>-0.20802170977459233</v>
      </c>
    </row>
    <row r="136" spans="1:38">
      <c r="B136" s="12" t="s">
        <v>475</v>
      </c>
      <c r="C136" s="29" t="s">
        <v>1691</v>
      </c>
      <c r="D136" s="15">
        <v>200</v>
      </c>
      <c r="E136" s="12" t="s">
        <v>7</v>
      </c>
      <c r="F136" s="15">
        <v>90</v>
      </c>
      <c r="G136" s="74">
        <f>+F136</f>
        <v>90</v>
      </c>
      <c r="H136" s="14">
        <v>44398</v>
      </c>
      <c r="I136" s="12" t="s">
        <v>2589</v>
      </c>
      <c r="J136" s="12" t="s">
        <v>3408</v>
      </c>
      <c r="K136" s="12" t="s">
        <v>2308</v>
      </c>
      <c r="L136" s="12" t="s">
        <v>2062</v>
      </c>
      <c r="M136" s="12">
        <v>2017</v>
      </c>
      <c r="N136" s="12"/>
      <c r="O136" s="12" t="s">
        <v>3407</v>
      </c>
      <c r="P136" s="24" t="s">
        <v>2225</v>
      </c>
      <c r="Q136" s="24">
        <v>9.5</v>
      </c>
      <c r="R136" s="24" t="s">
        <v>3406</v>
      </c>
      <c r="S136" s="24" t="s">
        <v>5</v>
      </c>
      <c r="T136" s="24">
        <v>22.8</v>
      </c>
      <c r="U136" s="24" t="s">
        <v>3405</v>
      </c>
      <c r="V136" s="24" t="s">
        <v>1</v>
      </c>
      <c r="W136" s="24" t="s">
        <v>1</v>
      </c>
      <c r="X136" s="24" t="s">
        <v>1</v>
      </c>
      <c r="Y136" s="24" t="s">
        <v>1</v>
      </c>
      <c r="Z136" s="24" t="s">
        <v>1</v>
      </c>
      <c r="AA136" s="24" t="s">
        <v>1</v>
      </c>
      <c r="AB136" s="12" t="s">
        <v>2048</v>
      </c>
      <c r="AC136" s="12"/>
      <c r="AD136" s="12"/>
      <c r="AE136" s="25" t="s">
        <v>5083</v>
      </c>
      <c r="AF136" s="359">
        <v>6.1334E-2</v>
      </c>
      <c r="AG136" s="70">
        <v>6.6666666666666666E-2</v>
      </c>
      <c r="AH136" s="359">
        <v>5.6905999999999998E-2</v>
      </c>
      <c r="AI136" s="360">
        <v>0.18888888888888888</v>
      </c>
      <c r="AJ136" s="360"/>
      <c r="AK136" s="360"/>
      <c r="AL136" s="364">
        <f t="shared" ref="AL136:AL200" si="2">+AH136/AF136-1</f>
        <v>-7.2194867447093025E-2</v>
      </c>
    </row>
    <row r="137" spans="1:38">
      <c r="B137" s="72" t="s">
        <v>1056</v>
      </c>
      <c r="C137" s="73" t="s">
        <v>1691</v>
      </c>
      <c r="D137" s="74">
        <v>200</v>
      </c>
      <c r="E137" s="72" t="s">
        <v>18</v>
      </c>
      <c r="F137" s="74">
        <v>40</v>
      </c>
      <c r="G137" s="74">
        <f>+F137+Q137+T137+V137</f>
        <v>82</v>
      </c>
      <c r="H137" s="75">
        <v>2016</v>
      </c>
      <c r="I137" s="72" t="s">
        <v>3385</v>
      </c>
      <c r="J137" s="72" t="s">
        <v>3384</v>
      </c>
      <c r="K137" s="72" t="s">
        <v>2045</v>
      </c>
      <c r="L137" s="72" t="s">
        <v>2062</v>
      </c>
      <c r="M137" s="72">
        <v>2016</v>
      </c>
      <c r="N137" s="72" t="s">
        <v>2164</v>
      </c>
      <c r="O137" s="72" t="s">
        <v>3383</v>
      </c>
      <c r="P137" s="76" t="s">
        <v>7</v>
      </c>
      <c r="Q137" s="76">
        <v>28</v>
      </c>
      <c r="R137" s="76" t="s">
        <v>3382</v>
      </c>
      <c r="S137" s="76" t="s">
        <v>5</v>
      </c>
      <c r="T137" s="76">
        <v>9.6999999999999993</v>
      </c>
      <c r="U137" s="76" t="s">
        <v>4</v>
      </c>
      <c r="V137" s="76">
        <v>4.3</v>
      </c>
      <c r="W137" s="76" t="s">
        <v>3381</v>
      </c>
      <c r="X137" s="76" t="s">
        <v>1</v>
      </c>
      <c r="Y137" s="76" t="s">
        <v>1</v>
      </c>
      <c r="Z137" s="76" t="s">
        <v>1</v>
      </c>
      <c r="AA137" s="76" t="s">
        <v>1</v>
      </c>
      <c r="AB137" s="72" t="s">
        <v>2191</v>
      </c>
      <c r="AE137" s="25" t="s">
        <v>3380</v>
      </c>
      <c r="AF137" s="338">
        <v>1.6847000000000001E-2</v>
      </c>
      <c r="AG137" s="62">
        <v>1.3888888888888889E-3</v>
      </c>
      <c r="AH137" s="353">
        <v>9.1430000000000001E-3</v>
      </c>
      <c r="AI137" s="337">
        <v>3.472222222222222E-3</v>
      </c>
      <c r="AJ137" s="337"/>
      <c r="AK137" s="337"/>
      <c r="AL137" s="364">
        <f t="shared" si="2"/>
        <v>-0.45729209948358762</v>
      </c>
    </row>
    <row r="138" spans="1:38">
      <c r="B138" s="72" t="s">
        <v>707</v>
      </c>
      <c r="C138" s="73" t="s">
        <v>1691</v>
      </c>
      <c r="D138" s="39">
        <v>250</v>
      </c>
      <c r="E138" s="72" t="s">
        <v>9</v>
      </c>
      <c r="F138" s="74">
        <v>222</v>
      </c>
      <c r="G138" s="74">
        <f>F138+Q138+T138+W138+Z138</f>
        <v>652</v>
      </c>
      <c r="H138" s="77">
        <v>44194</v>
      </c>
      <c r="I138" s="72" t="s">
        <v>3767</v>
      </c>
      <c r="J138" s="72" t="s">
        <v>3768</v>
      </c>
      <c r="K138" s="72" t="s">
        <v>2100</v>
      </c>
      <c r="L138" s="72" t="s">
        <v>3767</v>
      </c>
      <c r="M138" s="72">
        <v>2016</v>
      </c>
      <c r="N138" s="72" t="s">
        <v>3766</v>
      </c>
      <c r="O138" s="72" t="s">
        <v>3765</v>
      </c>
      <c r="P138" s="76" t="s">
        <v>8</v>
      </c>
      <c r="Q138" s="76">
        <v>150</v>
      </c>
      <c r="R138" s="76" t="s">
        <v>3764</v>
      </c>
      <c r="S138" s="76" t="s">
        <v>8</v>
      </c>
      <c r="T138" s="76">
        <v>200</v>
      </c>
      <c r="U138" s="76" t="s">
        <v>3763</v>
      </c>
      <c r="V138" s="76" t="s">
        <v>18</v>
      </c>
      <c r="W138" s="76">
        <v>50</v>
      </c>
      <c r="X138" s="76" t="s">
        <v>3762</v>
      </c>
      <c r="Y138" s="76" t="s">
        <v>5</v>
      </c>
      <c r="Z138" s="76">
        <v>30</v>
      </c>
      <c r="AA138" s="76" t="s">
        <v>3761</v>
      </c>
      <c r="AB138" s="165" t="s">
        <v>6623</v>
      </c>
      <c r="AD138" s="165" t="s">
        <v>6619</v>
      </c>
      <c r="AE138" s="25" t="s">
        <v>3760</v>
      </c>
      <c r="AF138" s="338">
        <v>3.8457999999999999E-2</v>
      </c>
      <c r="AG138" s="62">
        <v>0.11388888888888889</v>
      </c>
      <c r="AH138" s="338">
        <v>3.2417000000000001E-2</v>
      </c>
      <c r="AI138" s="62">
        <v>4.6527777777777779E-2</v>
      </c>
      <c r="AJ138" s="62"/>
      <c r="AK138" s="62"/>
      <c r="AL138" s="364">
        <f t="shared" si="2"/>
        <v>-0.15708045140152893</v>
      </c>
    </row>
    <row r="139" spans="1:38" s="12" customFormat="1">
      <c r="A139" s="72"/>
      <c r="B139" s="72" t="s">
        <v>3398</v>
      </c>
      <c r="C139" s="73" t="s">
        <v>1691</v>
      </c>
      <c r="D139" s="74">
        <v>200</v>
      </c>
      <c r="E139" s="72" t="s">
        <v>18</v>
      </c>
      <c r="F139" s="74">
        <v>45</v>
      </c>
      <c r="G139" s="74">
        <f>+F139</f>
        <v>45</v>
      </c>
      <c r="H139" s="27">
        <v>44159</v>
      </c>
      <c r="I139" s="72" t="s">
        <v>3397</v>
      </c>
      <c r="J139" s="72" t="s">
        <v>3396</v>
      </c>
      <c r="K139" s="72" t="s">
        <v>2045</v>
      </c>
      <c r="L139" s="72" t="s">
        <v>2062</v>
      </c>
      <c r="M139" s="72">
        <v>2015</v>
      </c>
      <c r="N139" s="72"/>
      <c r="O139" s="72" t="s">
        <v>3395</v>
      </c>
      <c r="P139" s="76" t="s">
        <v>7</v>
      </c>
      <c r="Q139" s="76" t="s">
        <v>1</v>
      </c>
      <c r="R139" s="76" t="s">
        <v>3394</v>
      </c>
      <c r="S139" s="76" t="s">
        <v>5</v>
      </c>
      <c r="T139" s="76" t="s">
        <v>1</v>
      </c>
      <c r="U139" s="76" t="s">
        <v>3393</v>
      </c>
      <c r="V139" s="76" t="s">
        <v>4</v>
      </c>
      <c r="W139" s="76" t="s">
        <v>1</v>
      </c>
      <c r="X139" s="76" t="s">
        <v>3392</v>
      </c>
      <c r="Y139" s="76" t="s">
        <v>4</v>
      </c>
      <c r="Z139" s="76" t="s">
        <v>1</v>
      </c>
      <c r="AA139" s="76" t="s">
        <v>3391</v>
      </c>
      <c r="AB139" s="72" t="s">
        <v>3390</v>
      </c>
      <c r="AC139" s="72"/>
      <c r="AD139" s="72"/>
      <c r="AE139" s="25" t="s">
        <v>5086</v>
      </c>
      <c r="AF139" s="353">
        <v>2.3637999999999999E-2</v>
      </c>
      <c r="AG139" s="68">
        <v>6.3194444444444442E-2</v>
      </c>
      <c r="AH139" s="353">
        <v>6.319E-3</v>
      </c>
      <c r="AI139" s="68">
        <v>2.2916666666666665E-2</v>
      </c>
      <c r="AJ139" s="68"/>
      <c r="AK139" s="68"/>
      <c r="AL139" s="364">
        <f t="shared" si="2"/>
        <v>-0.73267619934004569</v>
      </c>
    </row>
    <row r="140" spans="1:38">
      <c r="B140" s="72" t="s">
        <v>891</v>
      </c>
      <c r="C140" s="73" t="s">
        <v>1691</v>
      </c>
      <c r="D140" s="74">
        <v>150</v>
      </c>
      <c r="E140" s="72" t="s">
        <v>7</v>
      </c>
      <c r="F140" s="74">
        <v>40</v>
      </c>
      <c r="G140" s="74">
        <f>+F140+Q140</f>
        <v>54</v>
      </c>
      <c r="H140" s="77">
        <v>44650</v>
      </c>
      <c r="K140" s="72" t="s">
        <v>2045</v>
      </c>
      <c r="L140" s="72" t="s">
        <v>2230</v>
      </c>
      <c r="M140" s="84">
        <v>43361</v>
      </c>
      <c r="O140" s="72" t="s">
        <v>3323</v>
      </c>
      <c r="P140" s="76" t="s">
        <v>5</v>
      </c>
      <c r="Q140" s="76">
        <v>14</v>
      </c>
      <c r="R140" s="76" t="s">
        <v>3322</v>
      </c>
      <c r="S140" s="76" t="s">
        <v>1</v>
      </c>
      <c r="T140" s="76" t="s">
        <v>1</v>
      </c>
      <c r="U140" s="76" t="s">
        <v>1</v>
      </c>
      <c r="V140" s="76" t="s">
        <v>1</v>
      </c>
      <c r="W140" s="76" t="s">
        <v>1</v>
      </c>
      <c r="X140" s="76" t="s">
        <v>1</v>
      </c>
      <c r="Y140" s="76" t="s">
        <v>1</v>
      </c>
      <c r="Z140" s="76" t="s">
        <v>1</v>
      </c>
      <c r="AA140" s="76" t="s">
        <v>1</v>
      </c>
      <c r="AB140" s="72" t="s">
        <v>2362</v>
      </c>
      <c r="AE140" s="25" t="s">
        <v>5100</v>
      </c>
      <c r="AF140" s="353">
        <v>5.2790999999999998E-2</v>
      </c>
      <c r="AG140" s="68">
        <v>0.14861111111111111</v>
      </c>
      <c r="AH140" s="353">
        <v>8.0129999999999993E-3</v>
      </c>
      <c r="AI140" s="337">
        <v>5.1388888888888887E-2</v>
      </c>
      <c r="AJ140" s="337"/>
      <c r="AK140" s="337"/>
      <c r="AL140" s="364">
        <f t="shared" si="2"/>
        <v>-0.84821276353923969</v>
      </c>
    </row>
    <row r="141" spans="1:38" s="176" customFormat="1">
      <c r="A141" s="72"/>
      <c r="B141" s="72" t="s">
        <v>3343</v>
      </c>
      <c r="C141" s="73" t="s">
        <v>1691</v>
      </c>
      <c r="D141" s="221">
        <v>150</v>
      </c>
      <c r="E141" s="72" t="s">
        <v>5</v>
      </c>
      <c r="F141" s="74">
        <v>21</v>
      </c>
      <c r="G141" s="74">
        <f>+F141+Q141</f>
        <v>26</v>
      </c>
      <c r="H141" s="77">
        <v>45027</v>
      </c>
      <c r="I141" s="72" t="s">
        <v>3342</v>
      </c>
      <c r="J141" s="72" t="s">
        <v>3341</v>
      </c>
      <c r="K141" s="34" t="s">
        <v>2045</v>
      </c>
      <c r="L141" s="34" t="s">
        <v>2456</v>
      </c>
      <c r="M141" s="83">
        <v>44562</v>
      </c>
      <c r="N141" s="72" t="s">
        <v>3340</v>
      </c>
      <c r="O141" s="72" t="s">
        <v>3339</v>
      </c>
      <c r="P141" s="76" t="s">
        <v>4</v>
      </c>
      <c r="Q141" s="76">
        <v>5</v>
      </c>
      <c r="R141" s="76" t="s">
        <v>3338</v>
      </c>
      <c r="S141" s="76" t="s">
        <v>1</v>
      </c>
      <c r="T141" s="76" t="s">
        <v>1</v>
      </c>
      <c r="U141" s="76" t="s">
        <v>1</v>
      </c>
      <c r="V141" s="76" t="s">
        <v>1</v>
      </c>
      <c r="W141" s="76" t="s">
        <v>1</v>
      </c>
      <c r="X141" s="76" t="s">
        <v>1</v>
      </c>
      <c r="Y141" s="76" t="s">
        <v>1</v>
      </c>
      <c r="Z141" s="76" t="s">
        <v>1</v>
      </c>
      <c r="AA141" s="76" t="s">
        <v>1</v>
      </c>
      <c r="AB141" s="72" t="s">
        <v>2362</v>
      </c>
      <c r="AC141" s="72"/>
      <c r="AD141" s="72"/>
      <c r="AE141" s="25" t="s">
        <v>5096</v>
      </c>
      <c r="AF141" s="353">
        <v>5.7058999999999999E-2</v>
      </c>
      <c r="AG141" s="68">
        <v>5.9722222222222225E-2</v>
      </c>
      <c r="AH141" s="353">
        <v>0.14016100000000001</v>
      </c>
      <c r="AI141" s="337">
        <v>0.15694444444444444</v>
      </c>
      <c r="AJ141" s="337"/>
      <c r="AK141" s="337"/>
      <c r="AL141" s="364">
        <f t="shared" si="2"/>
        <v>1.4564222997248466</v>
      </c>
    </row>
    <row r="142" spans="1:38">
      <c r="B142" s="72" t="s">
        <v>796</v>
      </c>
      <c r="C142" s="73" t="s">
        <v>1691</v>
      </c>
      <c r="D142" s="74">
        <v>150</v>
      </c>
      <c r="E142" s="72" t="s">
        <v>7</v>
      </c>
      <c r="F142" s="74">
        <v>60</v>
      </c>
      <c r="G142" s="74">
        <f>+F142+Q142+T142</f>
        <v>77.7</v>
      </c>
      <c r="H142" s="77">
        <v>45036</v>
      </c>
      <c r="I142" s="72" t="s">
        <v>3353</v>
      </c>
      <c r="K142" s="72" t="s">
        <v>2569</v>
      </c>
      <c r="L142" s="72" t="s">
        <v>3352</v>
      </c>
      <c r="M142" s="84" t="s">
        <v>2982</v>
      </c>
      <c r="O142" s="72" t="s">
        <v>3351</v>
      </c>
      <c r="P142" s="76" t="s">
        <v>5</v>
      </c>
      <c r="Q142" s="76">
        <v>16.5</v>
      </c>
      <c r="R142" s="76" t="s">
        <v>3350</v>
      </c>
      <c r="S142" s="76" t="s">
        <v>4</v>
      </c>
      <c r="T142" s="76">
        <v>1.2</v>
      </c>
      <c r="U142" s="76" t="s">
        <v>3349</v>
      </c>
      <c r="V142" s="76" t="s">
        <v>1</v>
      </c>
      <c r="W142" s="76" t="s">
        <v>1</v>
      </c>
      <c r="X142" s="76" t="s">
        <v>1</v>
      </c>
      <c r="Y142" s="76" t="s">
        <v>1</v>
      </c>
      <c r="Z142" s="76" t="s">
        <v>1</v>
      </c>
      <c r="AA142" s="76" t="s">
        <v>1</v>
      </c>
      <c r="AB142" s="72" t="s">
        <v>3348</v>
      </c>
      <c r="AE142" s="25" t="s">
        <v>5094</v>
      </c>
      <c r="AF142" s="353">
        <v>0.20650399999999999</v>
      </c>
      <c r="AG142" s="68">
        <v>0.22708333333333333</v>
      </c>
      <c r="AH142" s="353">
        <v>0.51268999999999998</v>
      </c>
      <c r="AI142" s="337">
        <v>0.1111111111111111</v>
      </c>
      <c r="AJ142" s="337"/>
      <c r="AK142" s="337"/>
      <c r="AL142" s="364">
        <f t="shared" si="2"/>
        <v>1.4827121992794328</v>
      </c>
    </row>
    <row r="143" spans="1:38">
      <c r="B143" s="72" t="s">
        <v>313</v>
      </c>
      <c r="C143" s="73" t="s">
        <v>1691</v>
      </c>
      <c r="D143" s="74">
        <v>150</v>
      </c>
      <c r="E143" s="72" t="s">
        <v>5</v>
      </c>
      <c r="F143" s="74">
        <v>57</v>
      </c>
      <c r="G143" s="74">
        <f>+F143</f>
        <v>57</v>
      </c>
      <c r="H143" s="77">
        <v>44508</v>
      </c>
      <c r="I143" s="72" t="s">
        <v>3310</v>
      </c>
      <c r="J143" s="72" t="s">
        <v>3309</v>
      </c>
      <c r="K143" s="72" t="s">
        <v>2045</v>
      </c>
      <c r="L143" s="72" t="s">
        <v>2626</v>
      </c>
      <c r="M143" s="72">
        <v>2017</v>
      </c>
      <c r="O143" s="72" t="s">
        <v>3308</v>
      </c>
      <c r="P143" s="76" t="s">
        <v>4</v>
      </c>
      <c r="Q143" s="76" t="s">
        <v>1</v>
      </c>
      <c r="R143" s="76" t="s">
        <v>3307</v>
      </c>
      <c r="S143" s="76" t="s">
        <v>1</v>
      </c>
      <c r="T143" s="76" t="s">
        <v>1</v>
      </c>
      <c r="U143" s="76" t="s">
        <v>1</v>
      </c>
      <c r="V143" s="76" t="s">
        <v>1</v>
      </c>
      <c r="W143" s="76" t="s">
        <v>1</v>
      </c>
      <c r="X143" s="76" t="s">
        <v>1</v>
      </c>
      <c r="Y143" s="76" t="s">
        <v>1</v>
      </c>
      <c r="Z143" s="76" t="s">
        <v>1</v>
      </c>
      <c r="AA143" s="76" t="s">
        <v>1</v>
      </c>
      <c r="AB143" s="72" t="s">
        <v>2152</v>
      </c>
      <c r="AE143" s="25" t="s">
        <v>5103</v>
      </c>
      <c r="AF143" s="353">
        <v>4.4072E-2</v>
      </c>
      <c r="AG143" s="68">
        <v>0.21875</v>
      </c>
      <c r="AH143" s="353">
        <v>1.9029999999999998E-2</v>
      </c>
      <c r="AI143" s="337">
        <v>7.6388888888888895E-2</v>
      </c>
      <c r="AJ143" s="337"/>
      <c r="AK143" s="337"/>
      <c r="AL143" s="364">
        <f t="shared" si="2"/>
        <v>-0.56820657106552919</v>
      </c>
    </row>
    <row r="144" spans="1:38" s="12" customFormat="1">
      <c r="B144" s="12" t="s">
        <v>446</v>
      </c>
      <c r="C144" s="29" t="s">
        <v>1691</v>
      </c>
      <c r="D144" s="15">
        <v>150</v>
      </c>
      <c r="E144" s="12" t="s">
        <v>7</v>
      </c>
      <c r="F144" s="15">
        <v>30</v>
      </c>
      <c r="G144" s="15">
        <f>+F144+Q144+T144+W144</f>
        <v>63.12</v>
      </c>
      <c r="H144" s="14">
        <v>44756</v>
      </c>
      <c r="I144" s="12" t="s">
        <v>3333</v>
      </c>
      <c r="J144" s="12" t="s">
        <v>3332</v>
      </c>
      <c r="K144" s="12" t="s">
        <v>2045</v>
      </c>
      <c r="L144" s="12" t="s">
        <v>3331</v>
      </c>
      <c r="M144" s="12">
        <v>2017</v>
      </c>
      <c r="O144" s="12" t="s">
        <v>3330</v>
      </c>
      <c r="P144" s="24" t="s">
        <v>5</v>
      </c>
      <c r="Q144" s="24">
        <v>28</v>
      </c>
      <c r="R144" s="24" t="s">
        <v>3329</v>
      </c>
      <c r="S144" s="24" t="s">
        <v>4</v>
      </c>
      <c r="T144" s="24">
        <v>5</v>
      </c>
      <c r="U144" s="24" t="s">
        <v>3328</v>
      </c>
      <c r="V144" s="24" t="s">
        <v>4</v>
      </c>
      <c r="W144" s="24">
        <v>0.12</v>
      </c>
      <c r="X144" s="24" t="s">
        <v>1068</v>
      </c>
      <c r="Y144" s="24" t="s">
        <v>1</v>
      </c>
      <c r="Z144" s="24" t="s">
        <v>1</v>
      </c>
      <c r="AA144" s="24" t="s">
        <v>1</v>
      </c>
      <c r="AB144" s="12" t="s">
        <v>2048</v>
      </c>
      <c r="AE144" s="37" t="s">
        <v>5098</v>
      </c>
      <c r="AF144" s="359">
        <v>0.72334200000000004</v>
      </c>
      <c r="AG144" s="70">
        <v>0.14722222222222223</v>
      </c>
      <c r="AH144" s="359">
        <v>0.562357</v>
      </c>
      <c r="AI144" s="360">
        <v>0.16527777777777777</v>
      </c>
      <c r="AJ144" s="360"/>
      <c r="AK144" s="360"/>
      <c r="AL144" s="364">
        <f t="shared" si="2"/>
        <v>-0.22255724124964404</v>
      </c>
    </row>
    <row r="145" spans="1:38">
      <c r="B145" s="72" t="s">
        <v>894</v>
      </c>
      <c r="C145" s="73" t="s">
        <v>1691</v>
      </c>
      <c r="D145" s="74">
        <v>150</v>
      </c>
      <c r="E145" s="72" t="s">
        <v>7</v>
      </c>
      <c r="F145" s="74">
        <v>40</v>
      </c>
      <c r="G145" s="74">
        <f>+F145+Q145</f>
        <v>58.6</v>
      </c>
      <c r="H145" s="77">
        <v>44728</v>
      </c>
      <c r="I145" s="72" t="s">
        <v>3327</v>
      </c>
      <c r="K145" s="72" t="s">
        <v>2569</v>
      </c>
      <c r="L145" s="72" t="s">
        <v>2056</v>
      </c>
      <c r="M145" s="84" t="s">
        <v>2982</v>
      </c>
      <c r="O145" s="72" t="s">
        <v>3326</v>
      </c>
      <c r="P145" s="76" t="s">
        <v>5</v>
      </c>
      <c r="Q145" s="76">
        <v>18.600000000000001</v>
      </c>
      <c r="R145" s="76" t="s">
        <v>3325</v>
      </c>
      <c r="S145" s="76" t="s">
        <v>4</v>
      </c>
      <c r="T145" s="76" t="s">
        <v>1</v>
      </c>
      <c r="U145" s="76" t="s">
        <v>3324</v>
      </c>
      <c r="V145" s="76" t="s">
        <v>1</v>
      </c>
      <c r="W145" s="76" t="s">
        <v>1</v>
      </c>
      <c r="X145" s="76" t="s">
        <v>1</v>
      </c>
      <c r="Y145" s="72" t="s">
        <v>1</v>
      </c>
      <c r="Z145" s="76" t="s">
        <v>1</v>
      </c>
      <c r="AA145" s="76" t="s">
        <v>1</v>
      </c>
      <c r="AB145" s="72" t="s">
        <v>2055</v>
      </c>
      <c r="AE145" s="25" t="s">
        <v>5099</v>
      </c>
      <c r="AF145" s="353">
        <v>0.522698</v>
      </c>
      <c r="AG145" s="68">
        <v>0.17500000000000002</v>
      </c>
      <c r="AH145" s="359">
        <v>0.68173899999999998</v>
      </c>
      <c r="AI145" s="337">
        <v>0.17916666666666667</v>
      </c>
      <c r="AJ145" s="337"/>
      <c r="AK145" s="337"/>
      <c r="AL145" s="364">
        <f t="shared" si="2"/>
        <v>0.30426938691175409</v>
      </c>
    </row>
    <row r="146" spans="1:38">
      <c r="B146" s="72" t="s">
        <v>864</v>
      </c>
      <c r="C146" s="73" t="s">
        <v>1691</v>
      </c>
      <c r="D146" s="74">
        <v>150</v>
      </c>
      <c r="E146" s="72" t="s">
        <v>7</v>
      </c>
      <c r="F146" s="74">
        <v>50</v>
      </c>
      <c r="G146" s="74">
        <f>+F146+Q146</f>
        <v>60</v>
      </c>
      <c r="H146" s="77">
        <v>44628</v>
      </c>
      <c r="I146" s="72" t="s">
        <v>3347</v>
      </c>
      <c r="K146" s="72" t="s">
        <v>2569</v>
      </c>
      <c r="L146" s="72" t="s">
        <v>2165</v>
      </c>
      <c r="M146" s="84">
        <v>43647</v>
      </c>
      <c r="O146" s="72" t="s">
        <v>3346</v>
      </c>
      <c r="P146" s="76" t="s">
        <v>5</v>
      </c>
      <c r="Q146" s="76">
        <v>10</v>
      </c>
      <c r="R146" s="76" t="s">
        <v>3345</v>
      </c>
      <c r="S146" s="76" t="s">
        <v>4</v>
      </c>
      <c r="T146" s="76" t="s">
        <v>1</v>
      </c>
      <c r="U146" s="76" t="s">
        <v>3344</v>
      </c>
      <c r="V146" s="76" t="s">
        <v>1</v>
      </c>
      <c r="W146" s="76" t="s">
        <v>1</v>
      </c>
      <c r="X146" s="76" t="s">
        <v>1</v>
      </c>
      <c r="Y146" s="76" t="s">
        <v>1</v>
      </c>
      <c r="Z146" s="76" t="s">
        <v>1</v>
      </c>
      <c r="AA146" s="76" t="s">
        <v>1</v>
      </c>
      <c r="AB146" s="72" t="s">
        <v>2435</v>
      </c>
      <c r="AE146" s="25" t="s">
        <v>5095</v>
      </c>
      <c r="AF146" s="353">
        <v>0</v>
      </c>
      <c r="AG146" s="68">
        <v>0.16597222222222222</v>
      </c>
      <c r="AH146" s="353">
        <v>5.0000000000000001E-3</v>
      </c>
      <c r="AI146" s="68">
        <v>0.11527777777777778</v>
      </c>
      <c r="AJ146" s="68"/>
      <c r="AK146" s="68"/>
      <c r="AL146" s="364"/>
    </row>
    <row r="147" spans="1:38" s="176" customFormat="1">
      <c r="A147" s="72"/>
      <c r="B147" s="152" t="s">
        <v>2046</v>
      </c>
      <c r="C147" s="157" t="s">
        <v>1691</v>
      </c>
      <c r="D147" s="154">
        <v>150</v>
      </c>
      <c r="E147" s="152" t="s">
        <v>7</v>
      </c>
      <c r="F147" s="154">
        <v>50</v>
      </c>
      <c r="G147" s="154">
        <f>F147+Q147+T147</f>
        <v>63</v>
      </c>
      <c r="H147" s="155">
        <v>44252</v>
      </c>
      <c r="I147" s="152" t="s">
        <v>6361</v>
      </c>
      <c r="J147" s="152" t="s">
        <v>6354</v>
      </c>
      <c r="K147" s="152" t="s">
        <v>2045</v>
      </c>
      <c r="L147" s="152" t="s">
        <v>2044</v>
      </c>
      <c r="M147" s="158">
        <v>42401</v>
      </c>
      <c r="N147" s="152"/>
      <c r="O147" s="152" t="s">
        <v>6356</v>
      </c>
      <c r="P147" s="156" t="s">
        <v>5</v>
      </c>
      <c r="Q147" s="156">
        <v>10</v>
      </c>
      <c r="R147" s="156" t="s">
        <v>6362</v>
      </c>
      <c r="S147" s="156" t="s">
        <v>4</v>
      </c>
      <c r="T147" s="156">
        <v>3</v>
      </c>
      <c r="U147" s="156" t="s">
        <v>6364</v>
      </c>
      <c r="V147" s="156" t="s">
        <v>1</v>
      </c>
      <c r="W147" s="156" t="s">
        <v>1</v>
      </c>
      <c r="X147" s="156" t="s">
        <v>1</v>
      </c>
      <c r="Y147" s="156" t="s">
        <v>1</v>
      </c>
      <c r="Z147" s="156" t="s">
        <v>1</v>
      </c>
      <c r="AA147" s="156" t="s">
        <v>1</v>
      </c>
      <c r="AB147" s="152" t="s">
        <v>2043</v>
      </c>
      <c r="AC147" s="152"/>
      <c r="AD147" s="152"/>
      <c r="AE147" s="25" t="s">
        <v>2042</v>
      </c>
      <c r="AF147" s="340" t="s">
        <v>7140</v>
      </c>
      <c r="AG147" s="340" t="s">
        <v>7140</v>
      </c>
      <c r="AH147" s="359">
        <v>4.8419999999999996</v>
      </c>
      <c r="AI147" s="361">
        <v>0.22430555555555556</v>
      </c>
      <c r="AJ147" s="361"/>
      <c r="AK147" s="361"/>
      <c r="AL147" s="364"/>
    </row>
    <row r="148" spans="1:38" s="176" customFormat="1">
      <c r="A148" s="72"/>
      <c r="B148" s="152" t="s">
        <v>2041</v>
      </c>
      <c r="C148" s="157" t="s">
        <v>1691</v>
      </c>
      <c r="D148" s="154">
        <v>150</v>
      </c>
      <c r="E148" s="152" t="s">
        <v>7</v>
      </c>
      <c r="F148" s="154">
        <v>42</v>
      </c>
      <c r="G148" s="154">
        <f>F148+Q148+T148</f>
        <v>60.3</v>
      </c>
      <c r="H148" s="155">
        <v>44831</v>
      </c>
      <c r="I148" s="152" t="s">
        <v>6369</v>
      </c>
      <c r="J148" s="152" t="s">
        <v>6368</v>
      </c>
      <c r="K148" s="152" t="s">
        <v>2045</v>
      </c>
      <c r="L148" s="152" t="s">
        <v>2056</v>
      </c>
      <c r="M148" s="152">
        <v>2018</v>
      </c>
      <c r="N148" s="152"/>
      <c r="O148" s="152" t="s">
        <v>6370</v>
      </c>
      <c r="P148" s="156" t="s">
        <v>5</v>
      </c>
      <c r="Q148" s="156">
        <v>15</v>
      </c>
      <c r="R148" s="156" t="s">
        <v>6374</v>
      </c>
      <c r="S148" s="156" t="s">
        <v>4</v>
      </c>
      <c r="T148" s="156">
        <v>3.3</v>
      </c>
      <c r="U148" s="156" t="s">
        <v>6376</v>
      </c>
      <c r="V148" s="156" t="s">
        <v>1</v>
      </c>
      <c r="W148" s="156" t="s">
        <v>1</v>
      </c>
      <c r="X148" s="156" t="s">
        <v>1</v>
      </c>
      <c r="Y148" s="156" t="s">
        <v>1</v>
      </c>
      <c r="Z148" s="156" t="s">
        <v>1</v>
      </c>
      <c r="AA148" s="156" t="s">
        <v>1</v>
      </c>
      <c r="AB148" s="152" t="s">
        <v>2055</v>
      </c>
      <c r="AC148" s="152"/>
      <c r="AD148" s="152"/>
      <c r="AE148" s="25" t="s">
        <v>6367</v>
      </c>
      <c r="AF148" s="340" t="s">
        <v>7140</v>
      </c>
      <c r="AG148" s="340" t="s">
        <v>7140</v>
      </c>
      <c r="AH148" s="353">
        <v>1.2252000000000001E-2</v>
      </c>
      <c r="AI148" s="361">
        <v>5.5555555555555552E-2</v>
      </c>
      <c r="AJ148" s="361"/>
      <c r="AK148" s="361"/>
      <c r="AL148" s="364"/>
    </row>
    <row r="149" spans="1:38">
      <c r="B149" s="72" t="s">
        <v>1070</v>
      </c>
      <c r="C149" s="73" t="s">
        <v>1691</v>
      </c>
      <c r="D149" s="74">
        <v>150</v>
      </c>
      <c r="E149" s="72" t="s">
        <v>7</v>
      </c>
      <c r="F149" s="74">
        <v>18</v>
      </c>
      <c r="G149" s="74">
        <f>+F149+Q149</f>
        <v>36.5</v>
      </c>
      <c r="H149" s="77">
        <v>44831</v>
      </c>
      <c r="I149" s="72" t="s">
        <v>3337</v>
      </c>
      <c r="J149" s="72" t="s">
        <v>3336</v>
      </c>
      <c r="K149" s="72" t="s">
        <v>2045</v>
      </c>
      <c r="L149" s="72" t="s">
        <v>2230</v>
      </c>
      <c r="M149" s="72">
        <v>2021</v>
      </c>
      <c r="O149" s="72" t="s">
        <v>3335</v>
      </c>
      <c r="P149" s="76" t="s">
        <v>5</v>
      </c>
      <c r="Q149" s="76">
        <v>18.5</v>
      </c>
      <c r="R149" s="76" t="s">
        <v>3334</v>
      </c>
      <c r="S149" s="76" t="s">
        <v>1</v>
      </c>
      <c r="T149" s="76" t="s">
        <v>1</v>
      </c>
      <c r="U149" s="76" t="s">
        <v>1</v>
      </c>
      <c r="V149" s="76" t="s">
        <v>1</v>
      </c>
      <c r="W149" s="76" t="s">
        <v>1</v>
      </c>
      <c r="X149" s="76" t="s">
        <v>1</v>
      </c>
      <c r="Y149" s="76" t="s">
        <v>1</v>
      </c>
      <c r="Z149" s="76" t="s">
        <v>1</v>
      </c>
      <c r="AA149" s="76" t="s">
        <v>1</v>
      </c>
      <c r="AB149" s="72" t="s">
        <v>2043</v>
      </c>
      <c r="AE149" s="25" t="s">
        <v>5097</v>
      </c>
      <c r="AF149" s="353">
        <v>1.3032E-2</v>
      </c>
      <c r="AG149" s="68">
        <v>6.458333333333334E-2</v>
      </c>
      <c r="AH149" s="353">
        <v>1.0926999999999999E-2</v>
      </c>
      <c r="AI149" s="337">
        <v>6.6666666666666666E-2</v>
      </c>
      <c r="AJ149" s="337"/>
      <c r="AK149" s="337"/>
      <c r="AL149" s="364">
        <f t="shared" si="2"/>
        <v>-0.16152547575199516</v>
      </c>
    </row>
    <row r="150" spans="1:38">
      <c r="B150" s="72" t="s">
        <v>525</v>
      </c>
      <c r="C150" s="73" t="s">
        <v>1691</v>
      </c>
      <c r="D150" s="74">
        <v>125</v>
      </c>
      <c r="E150" s="72" t="s">
        <v>7</v>
      </c>
      <c r="F150" s="74">
        <v>32</v>
      </c>
      <c r="G150" s="74">
        <f>+F150+Q150+T150</f>
        <v>45.2</v>
      </c>
      <c r="H150" s="27">
        <v>44364</v>
      </c>
      <c r="I150" s="72" t="s">
        <v>2737</v>
      </c>
      <c r="J150" s="72" t="s">
        <v>3301</v>
      </c>
      <c r="K150" s="72" t="s">
        <v>2045</v>
      </c>
      <c r="L150" s="72" t="s">
        <v>2056</v>
      </c>
      <c r="M150" s="72">
        <v>2018</v>
      </c>
      <c r="O150" s="72" t="s">
        <v>3300</v>
      </c>
      <c r="P150" s="76" t="s">
        <v>5</v>
      </c>
      <c r="Q150" s="76">
        <v>10.199999999999999</v>
      </c>
      <c r="R150" s="76" t="s">
        <v>3299</v>
      </c>
      <c r="S150" s="76" t="s">
        <v>4</v>
      </c>
      <c r="T150" s="76">
        <v>3</v>
      </c>
      <c r="U150" s="76" t="s">
        <v>3298</v>
      </c>
      <c r="V150" s="76" t="s">
        <v>1</v>
      </c>
      <c r="W150" s="76" t="s">
        <v>1</v>
      </c>
      <c r="X150" s="76" t="s">
        <v>1</v>
      </c>
      <c r="Y150" s="76" t="s">
        <v>1</v>
      </c>
      <c r="Z150" s="76" t="s">
        <v>1</v>
      </c>
      <c r="AA150" s="76" t="s">
        <v>1</v>
      </c>
      <c r="AB150" s="72" t="s">
        <v>2152</v>
      </c>
      <c r="AE150" s="25" t="s">
        <v>5105</v>
      </c>
      <c r="AF150" s="353">
        <v>2.0410999999999999E-2</v>
      </c>
      <c r="AG150" s="68">
        <v>5.5555555555555552E-2</v>
      </c>
      <c r="AH150" s="353">
        <v>2.3671999999999999E-2</v>
      </c>
      <c r="AI150" s="337">
        <v>5.0694444444444445E-2</v>
      </c>
      <c r="AJ150" s="337"/>
      <c r="AK150" s="337"/>
      <c r="AL150" s="364">
        <f t="shared" si="2"/>
        <v>0.15976679241585412</v>
      </c>
    </row>
    <row r="151" spans="1:38" s="176" customFormat="1">
      <c r="A151" s="72"/>
      <c r="B151" s="72" t="s">
        <v>843</v>
      </c>
      <c r="C151" s="73" t="s">
        <v>1691</v>
      </c>
      <c r="D151" s="74">
        <v>125</v>
      </c>
      <c r="E151" s="72" t="s">
        <v>5</v>
      </c>
      <c r="F151" s="74">
        <v>44</v>
      </c>
      <c r="G151" s="74">
        <f>+F151</f>
        <v>44</v>
      </c>
      <c r="H151" s="77">
        <v>44671</v>
      </c>
      <c r="I151" s="72" t="s">
        <v>3305</v>
      </c>
      <c r="J151" s="72" t="s">
        <v>3306</v>
      </c>
      <c r="K151" s="72" t="s">
        <v>2569</v>
      </c>
      <c r="L151" s="72" t="s">
        <v>2079</v>
      </c>
      <c r="M151" s="84" t="s">
        <v>2982</v>
      </c>
      <c r="N151" s="72" t="s">
        <v>3305</v>
      </c>
      <c r="O151" s="72" t="s">
        <v>3304</v>
      </c>
      <c r="P151" s="76" t="s">
        <v>3303</v>
      </c>
      <c r="Q151" s="72" t="s">
        <v>1</v>
      </c>
      <c r="R151" s="76" t="s">
        <v>3302</v>
      </c>
      <c r="S151" s="72" t="s">
        <v>1</v>
      </c>
      <c r="T151" s="72" t="s">
        <v>1</v>
      </c>
      <c r="U151" s="76" t="s">
        <v>1</v>
      </c>
      <c r="V151" s="76" t="s">
        <v>1</v>
      </c>
      <c r="W151" s="76" t="s">
        <v>1</v>
      </c>
      <c r="X151" s="76" t="s">
        <v>1</v>
      </c>
      <c r="Y151" s="72" t="s">
        <v>1</v>
      </c>
      <c r="Z151" s="76" t="s">
        <v>1</v>
      </c>
      <c r="AA151" s="76" t="s">
        <v>1</v>
      </c>
      <c r="AB151" s="72" t="s">
        <v>2362</v>
      </c>
      <c r="AC151" s="72"/>
      <c r="AD151" s="72"/>
      <c r="AE151" s="25" t="s">
        <v>5104</v>
      </c>
      <c r="AF151" s="353">
        <v>0</v>
      </c>
      <c r="AG151" s="68">
        <v>0.1451388888888889</v>
      </c>
      <c r="AH151" s="353">
        <v>1.2688E-2</v>
      </c>
      <c r="AI151" s="337">
        <v>7.2916666666666671E-2</v>
      </c>
      <c r="AJ151" s="337"/>
      <c r="AK151" s="337"/>
      <c r="AL151" s="364"/>
    </row>
    <row r="152" spans="1:38">
      <c r="B152" s="72" t="s">
        <v>3313</v>
      </c>
      <c r="C152" s="73" t="s">
        <v>1691</v>
      </c>
      <c r="D152" s="74">
        <v>125</v>
      </c>
      <c r="E152" s="72" t="s">
        <v>5</v>
      </c>
      <c r="F152" s="74">
        <v>65</v>
      </c>
      <c r="G152" s="74">
        <f>+F152</f>
        <v>65</v>
      </c>
      <c r="H152" s="27">
        <v>44287</v>
      </c>
      <c r="I152" s="72" t="s">
        <v>3312</v>
      </c>
      <c r="J152" s="72" t="s">
        <v>3311</v>
      </c>
      <c r="K152" s="72" t="s">
        <v>2308</v>
      </c>
      <c r="L152" s="72" t="s">
        <v>2765</v>
      </c>
      <c r="M152" s="83">
        <v>44228</v>
      </c>
      <c r="O152" s="72" t="s">
        <v>1</v>
      </c>
      <c r="P152" s="72" t="s">
        <v>1</v>
      </c>
      <c r="Q152" s="72" t="s">
        <v>1</v>
      </c>
      <c r="R152" s="72" t="s">
        <v>1</v>
      </c>
      <c r="S152" s="72" t="s">
        <v>1</v>
      </c>
      <c r="T152" s="72" t="s">
        <v>1</v>
      </c>
      <c r="U152" s="76" t="s">
        <v>1</v>
      </c>
      <c r="V152" s="76" t="s">
        <v>1</v>
      </c>
      <c r="W152" s="76" t="s">
        <v>1</v>
      </c>
      <c r="X152" s="76" t="s">
        <v>1</v>
      </c>
      <c r="Y152" s="72" t="s">
        <v>1</v>
      </c>
      <c r="Z152" s="76" t="s">
        <v>1</v>
      </c>
      <c r="AA152" s="76" t="s">
        <v>1</v>
      </c>
      <c r="AB152" s="72" t="s">
        <v>3041</v>
      </c>
      <c r="AE152" s="25" t="s">
        <v>5102</v>
      </c>
      <c r="AF152" s="353">
        <v>0.121147</v>
      </c>
      <c r="AG152" s="68">
        <v>0.34652777777777777</v>
      </c>
      <c r="AH152" s="353">
        <v>2.0806999999999999E-2</v>
      </c>
      <c r="AI152" s="337">
        <v>0.11458333333333333</v>
      </c>
      <c r="AJ152" s="337"/>
      <c r="AK152" s="337"/>
      <c r="AL152" s="364">
        <f t="shared" si="2"/>
        <v>-0.82824997730030459</v>
      </c>
    </row>
    <row r="153" spans="1:38" s="12" customFormat="1">
      <c r="A153" s="72"/>
      <c r="B153" s="12" t="s">
        <v>3297</v>
      </c>
      <c r="C153" s="29" t="s">
        <v>1691</v>
      </c>
      <c r="D153" s="15">
        <v>125</v>
      </c>
      <c r="E153" s="12" t="s">
        <v>5</v>
      </c>
      <c r="F153" s="15">
        <v>20</v>
      </c>
      <c r="G153" s="74">
        <f>+F153</f>
        <v>20</v>
      </c>
      <c r="H153" s="14">
        <v>44854</v>
      </c>
      <c r="I153" s="12" t="s">
        <v>3296</v>
      </c>
      <c r="J153" s="12" t="s">
        <v>3295</v>
      </c>
      <c r="K153" s="12" t="s">
        <v>2315</v>
      </c>
      <c r="L153" s="12" t="s">
        <v>3176</v>
      </c>
      <c r="M153" s="12">
        <v>2021</v>
      </c>
      <c r="O153" s="12" t="s">
        <v>3294</v>
      </c>
      <c r="P153" s="24" t="s">
        <v>4</v>
      </c>
      <c r="Q153" s="24" t="s">
        <v>1</v>
      </c>
      <c r="R153" s="24" t="s">
        <v>2696</v>
      </c>
      <c r="S153" s="24" t="s">
        <v>1</v>
      </c>
      <c r="T153" s="24" t="s">
        <v>1</v>
      </c>
      <c r="U153" s="24" t="s">
        <v>1</v>
      </c>
      <c r="V153" s="24" t="s">
        <v>1</v>
      </c>
      <c r="W153" s="24" t="s">
        <v>1</v>
      </c>
      <c r="X153" s="24" t="s">
        <v>1</v>
      </c>
      <c r="Y153" s="24" t="s">
        <v>1</v>
      </c>
      <c r="Z153" s="24" t="s">
        <v>1</v>
      </c>
      <c r="AA153" s="24" t="s">
        <v>1</v>
      </c>
      <c r="AB153" s="12" t="s">
        <v>2362</v>
      </c>
      <c r="AE153" s="25" t="s">
        <v>8911</v>
      </c>
      <c r="AF153" s="353">
        <v>2.4740999999999999E-2</v>
      </c>
      <c r="AG153" s="70">
        <v>0.14444444444444446</v>
      </c>
      <c r="AH153" s="353">
        <v>3.0053E-2</v>
      </c>
      <c r="AI153" s="360">
        <v>0.14583333333333334</v>
      </c>
      <c r="AJ153" s="360"/>
      <c r="AK153" s="360"/>
      <c r="AL153" s="364">
        <f t="shared" si="2"/>
        <v>0.21470433693060098</v>
      </c>
    </row>
    <row r="154" spans="1:38">
      <c r="B154" s="72" t="s">
        <v>984</v>
      </c>
      <c r="C154" s="73" t="s">
        <v>1691</v>
      </c>
      <c r="D154" s="74">
        <v>125</v>
      </c>
      <c r="E154" s="72" t="s">
        <v>7</v>
      </c>
      <c r="F154" s="74">
        <v>38</v>
      </c>
      <c r="G154" s="74">
        <f>+F154+Q154+T154</f>
        <v>61</v>
      </c>
      <c r="H154" s="77">
        <v>44812</v>
      </c>
      <c r="I154" s="72" t="s">
        <v>3121</v>
      </c>
      <c r="J154" s="72" t="s">
        <v>3293</v>
      </c>
      <c r="K154" s="72" t="s">
        <v>2569</v>
      </c>
      <c r="L154" s="72" t="s">
        <v>2056</v>
      </c>
      <c r="M154" s="84" t="s">
        <v>3129</v>
      </c>
      <c r="O154" s="72" t="s">
        <v>3292</v>
      </c>
      <c r="P154" s="76" t="s">
        <v>5</v>
      </c>
      <c r="Q154" s="76">
        <v>19</v>
      </c>
      <c r="R154" s="76" t="s">
        <v>3291</v>
      </c>
      <c r="S154" s="76" t="s">
        <v>4</v>
      </c>
      <c r="T154" s="76">
        <v>4</v>
      </c>
      <c r="U154" s="76" t="s">
        <v>3290</v>
      </c>
      <c r="V154" s="76" t="s">
        <v>278</v>
      </c>
      <c r="W154" s="76" t="s">
        <v>1</v>
      </c>
      <c r="X154" s="76" t="s">
        <v>1026</v>
      </c>
      <c r="Y154" s="76" t="s">
        <v>1</v>
      </c>
      <c r="Z154" s="76" t="s">
        <v>1</v>
      </c>
      <c r="AA154" s="76" t="s">
        <v>1</v>
      </c>
      <c r="AB154" s="72" t="s">
        <v>2085</v>
      </c>
      <c r="AE154" s="25" t="s">
        <v>5106</v>
      </c>
      <c r="AF154" s="353">
        <v>6.6060999999999995E-2</v>
      </c>
      <c r="AG154" s="68">
        <v>0.1125</v>
      </c>
      <c r="AH154" s="353">
        <v>0.10495</v>
      </c>
      <c r="AI154" s="337">
        <v>0.18124999999999999</v>
      </c>
      <c r="AJ154" s="337"/>
      <c r="AK154" s="337"/>
      <c r="AL154" s="364">
        <f t="shared" si="2"/>
        <v>0.58868318675163889</v>
      </c>
    </row>
    <row r="155" spans="1:38">
      <c r="B155" s="72" t="s">
        <v>697</v>
      </c>
      <c r="C155" s="73" t="s">
        <v>1691</v>
      </c>
      <c r="D155" s="74">
        <v>110</v>
      </c>
      <c r="E155" s="72" t="s">
        <v>5</v>
      </c>
      <c r="F155" s="74">
        <v>23.5</v>
      </c>
      <c r="G155" s="74">
        <f>+F155+Q155</f>
        <v>29.1</v>
      </c>
      <c r="H155" s="77">
        <v>44875</v>
      </c>
      <c r="I155" s="72" t="s">
        <v>3208</v>
      </c>
      <c r="J155" s="72" t="s">
        <v>3207</v>
      </c>
      <c r="K155" s="72" t="s">
        <v>2045</v>
      </c>
      <c r="L155" s="72" t="s">
        <v>2569</v>
      </c>
      <c r="M155" s="78">
        <v>44292</v>
      </c>
      <c r="O155" s="72" t="s">
        <v>3206</v>
      </c>
      <c r="P155" s="76" t="s">
        <v>4</v>
      </c>
      <c r="Q155" s="76">
        <v>5.6</v>
      </c>
      <c r="R155" s="76" t="s">
        <v>3205</v>
      </c>
      <c r="S155" s="76" t="s">
        <v>278</v>
      </c>
      <c r="T155" s="76" t="s">
        <v>1</v>
      </c>
      <c r="U155" s="76" t="s">
        <v>3204</v>
      </c>
      <c r="V155" s="76" t="s">
        <v>1</v>
      </c>
      <c r="W155" s="76" t="s">
        <v>1</v>
      </c>
      <c r="X155" s="76" t="s">
        <v>1</v>
      </c>
      <c r="Y155" s="76" t="s">
        <v>1</v>
      </c>
      <c r="Z155" s="76" t="s">
        <v>1</v>
      </c>
      <c r="AA155" s="76" t="s">
        <v>1</v>
      </c>
      <c r="AB155" s="72" t="s">
        <v>3203</v>
      </c>
      <c r="AE155" s="25" t="s">
        <v>5133</v>
      </c>
      <c r="AF155" s="353">
        <v>0.63859900000000003</v>
      </c>
      <c r="AG155" s="68">
        <v>0.18611111111111112</v>
      </c>
      <c r="AH155" s="353">
        <v>0.27938099999999999</v>
      </c>
      <c r="AI155" s="337">
        <v>7.8472222222222221E-2</v>
      </c>
      <c r="AJ155" s="337"/>
      <c r="AK155" s="337"/>
      <c r="AL155" s="364">
        <f t="shared" si="2"/>
        <v>-0.56250949343797907</v>
      </c>
    </row>
    <row r="156" spans="1:38">
      <c r="B156" s="72" t="s">
        <v>3253</v>
      </c>
      <c r="C156" s="73" t="s">
        <v>1691</v>
      </c>
      <c r="D156" s="74">
        <v>100</v>
      </c>
      <c r="E156" s="72" t="s">
        <v>18</v>
      </c>
      <c r="F156" s="74">
        <v>38</v>
      </c>
      <c r="G156" s="74">
        <f>+F156+Q156+T156+W156</f>
        <v>61.5</v>
      </c>
      <c r="H156" s="77">
        <v>44580</v>
      </c>
      <c r="I156" s="72" t="s">
        <v>3252</v>
      </c>
      <c r="J156" s="72" t="s">
        <v>3251</v>
      </c>
      <c r="K156" s="72" t="s">
        <v>2045</v>
      </c>
      <c r="L156" s="72" t="s">
        <v>3250</v>
      </c>
      <c r="M156" s="72">
        <v>2017</v>
      </c>
      <c r="N156" s="72" t="s">
        <v>3249</v>
      </c>
      <c r="O156" s="72" t="s">
        <v>3248</v>
      </c>
      <c r="P156" s="76" t="s">
        <v>7</v>
      </c>
      <c r="Q156" s="76">
        <v>13.5</v>
      </c>
      <c r="R156" s="76" t="s">
        <v>3247</v>
      </c>
      <c r="S156" s="76" t="s">
        <v>5</v>
      </c>
      <c r="T156" s="76">
        <v>8.4</v>
      </c>
      <c r="U156" s="76" t="s">
        <v>3246</v>
      </c>
      <c r="V156" s="76" t="s">
        <v>4</v>
      </c>
      <c r="W156" s="76">
        <v>1.6</v>
      </c>
      <c r="X156" s="76" t="s">
        <v>3246</v>
      </c>
      <c r="Y156" s="76" t="s">
        <v>1</v>
      </c>
      <c r="Z156" s="76" t="s">
        <v>1</v>
      </c>
      <c r="AA156" s="76" t="s">
        <v>1</v>
      </c>
      <c r="AB156" s="72" t="s">
        <v>3245</v>
      </c>
      <c r="AE156" s="25" t="s">
        <v>5118</v>
      </c>
      <c r="AF156" s="353">
        <v>7.8155000000000002E-2</v>
      </c>
      <c r="AG156" s="68">
        <v>0.47152777777777777</v>
      </c>
      <c r="AH156" s="353">
        <v>3.6394999999999997E-2</v>
      </c>
      <c r="AI156" s="337">
        <v>2.4305555555555556E-2</v>
      </c>
      <c r="AJ156" s="337"/>
      <c r="AK156" s="337"/>
      <c r="AL156" s="364">
        <f t="shared" si="2"/>
        <v>-0.53432282003710574</v>
      </c>
    </row>
    <row r="157" spans="1:38">
      <c r="A157" s="176"/>
      <c r="B157" s="176" t="s">
        <v>3088</v>
      </c>
      <c r="C157" s="184" t="s">
        <v>1691</v>
      </c>
      <c r="D157" s="178">
        <v>100</v>
      </c>
      <c r="E157" s="176" t="s">
        <v>5</v>
      </c>
      <c r="F157" s="178">
        <v>21</v>
      </c>
      <c r="G157" s="178"/>
      <c r="H157" s="185">
        <v>44295</v>
      </c>
      <c r="I157" s="176" t="s">
        <v>3087</v>
      </c>
      <c r="J157" s="176" t="s">
        <v>3086</v>
      </c>
      <c r="K157" s="176" t="s">
        <v>2045</v>
      </c>
      <c r="L157" s="176" t="s">
        <v>2062</v>
      </c>
      <c r="M157" s="188">
        <v>43282</v>
      </c>
      <c r="N157" s="176"/>
      <c r="O157" s="176" t="s">
        <v>1</v>
      </c>
      <c r="P157" s="179" t="s">
        <v>4</v>
      </c>
      <c r="Q157" s="179" t="s">
        <v>1</v>
      </c>
      <c r="R157" s="179" t="s">
        <v>3085</v>
      </c>
      <c r="S157" s="179" t="s">
        <v>1</v>
      </c>
      <c r="T157" s="179" t="s">
        <v>1</v>
      </c>
      <c r="U157" s="179" t="s">
        <v>1</v>
      </c>
      <c r="V157" s="179" t="s">
        <v>1</v>
      </c>
      <c r="W157" s="179" t="s">
        <v>1</v>
      </c>
      <c r="X157" s="179" t="s">
        <v>1</v>
      </c>
      <c r="Y157" s="179" t="s">
        <v>1</v>
      </c>
      <c r="Z157" s="179" t="s">
        <v>1</v>
      </c>
      <c r="AA157" s="179" t="s">
        <v>1</v>
      </c>
      <c r="AB157" s="176" t="s">
        <v>2145</v>
      </c>
      <c r="AC157" s="176"/>
      <c r="AD157" s="176"/>
      <c r="AE157" s="25" t="s">
        <v>5176</v>
      </c>
      <c r="AF157" s="353">
        <v>7.8120999999999996E-2</v>
      </c>
      <c r="AG157" s="68">
        <v>4.6527777777777779E-2</v>
      </c>
      <c r="AH157" s="353">
        <v>8.7099999999999997E-2</v>
      </c>
      <c r="AI157" s="358">
        <v>0.46319444444444446</v>
      </c>
      <c r="AJ157" s="358"/>
      <c r="AK157" s="358"/>
      <c r="AL157" s="364">
        <f t="shared" si="2"/>
        <v>0.11493708477874076</v>
      </c>
    </row>
    <row r="158" spans="1:38" s="176" customFormat="1">
      <c r="B158" s="176" t="s">
        <v>735</v>
      </c>
      <c r="C158" s="184" t="s">
        <v>1691</v>
      </c>
      <c r="D158" s="178">
        <v>100</v>
      </c>
      <c r="E158" s="176" t="s">
        <v>7</v>
      </c>
      <c r="F158" s="178">
        <v>25</v>
      </c>
      <c r="G158" s="178"/>
      <c r="H158" s="185">
        <v>44764</v>
      </c>
      <c r="I158" s="176" t="s">
        <v>3115</v>
      </c>
      <c r="J158" s="176" t="s">
        <v>3114</v>
      </c>
      <c r="K158" s="176" t="s">
        <v>2569</v>
      </c>
      <c r="L158" s="176" t="s">
        <v>2056</v>
      </c>
      <c r="M158" s="188" t="s">
        <v>2982</v>
      </c>
      <c r="O158" s="179" t="s">
        <v>3113</v>
      </c>
      <c r="P158" s="179" t="s">
        <v>5</v>
      </c>
      <c r="Q158" s="179">
        <v>21</v>
      </c>
      <c r="R158" s="179" t="s">
        <v>3112</v>
      </c>
      <c r="S158" s="179" t="s">
        <v>4</v>
      </c>
      <c r="T158" s="179">
        <v>9.1</v>
      </c>
      <c r="U158" s="179" t="s">
        <v>3111</v>
      </c>
      <c r="V158" s="179" t="s">
        <v>1</v>
      </c>
      <c r="W158" s="179" t="s">
        <v>1</v>
      </c>
      <c r="X158" s="179" t="s">
        <v>1</v>
      </c>
      <c r="Y158" s="179" t="s">
        <v>1</v>
      </c>
      <c r="Z158" s="179" t="s">
        <v>1</v>
      </c>
      <c r="AA158" s="179" t="s">
        <v>1</v>
      </c>
      <c r="AB158" s="176" t="s">
        <v>2078</v>
      </c>
      <c r="AE158" s="25" t="s">
        <v>5171</v>
      </c>
      <c r="AF158" s="353">
        <v>5.6669999999999998E-2</v>
      </c>
      <c r="AG158" s="68">
        <v>0.22013888888888888</v>
      </c>
      <c r="AH158" s="353">
        <v>0.103685</v>
      </c>
      <c r="AI158" s="358">
        <v>9.6527777777777782E-2</v>
      </c>
      <c r="AJ158" s="358"/>
      <c r="AK158" s="358"/>
      <c r="AL158" s="364">
        <f t="shared" si="2"/>
        <v>0.82962766896064943</v>
      </c>
    </row>
    <row r="159" spans="1:38">
      <c r="B159" s="72" t="s">
        <v>3171</v>
      </c>
      <c r="C159" s="73" t="s">
        <v>1691</v>
      </c>
      <c r="D159" s="74">
        <v>100</v>
      </c>
      <c r="E159" s="72" t="s">
        <v>5</v>
      </c>
      <c r="F159" s="74">
        <v>25</v>
      </c>
      <c r="G159" s="74">
        <f>+F159</f>
        <v>25</v>
      </c>
      <c r="H159" s="77">
        <v>44404</v>
      </c>
      <c r="I159" s="72" t="s">
        <v>2389</v>
      </c>
      <c r="J159" s="72" t="s">
        <v>3170</v>
      </c>
      <c r="K159" s="72" t="s">
        <v>2569</v>
      </c>
      <c r="L159" s="72" t="s">
        <v>3169</v>
      </c>
      <c r="M159" s="84">
        <v>43496</v>
      </c>
      <c r="O159" s="34" t="s">
        <v>3168</v>
      </c>
      <c r="P159" s="76" t="s">
        <v>4</v>
      </c>
      <c r="Q159" s="76" t="s">
        <v>3167</v>
      </c>
      <c r="R159" s="76" t="s">
        <v>1</v>
      </c>
      <c r="S159" s="76" t="s">
        <v>1</v>
      </c>
      <c r="T159" s="76" t="s">
        <v>1</v>
      </c>
      <c r="U159" s="76" t="s">
        <v>1</v>
      </c>
      <c r="V159" s="76" t="s">
        <v>1</v>
      </c>
      <c r="W159" s="76" t="s">
        <v>1</v>
      </c>
      <c r="X159" s="76" t="s">
        <v>1</v>
      </c>
      <c r="Y159" s="76" t="s">
        <v>1</v>
      </c>
      <c r="Z159" s="76" t="s">
        <v>1</v>
      </c>
      <c r="AA159" s="76" t="s">
        <v>1</v>
      </c>
      <c r="AB159" s="72" t="s">
        <v>3166</v>
      </c>
      <c r="AE159" s="25" t="s">
        <v>5139</v>
      </c>
      <c r="AF159" s="353">
        <v>4.9446999999999998E-2</v>
      </c>
      <c r="AG159" s="68">
        <v>0.21458333333333335</v>
      </c>
      <c r="AH159" s="353">
        <v>7.5411000000000006E-2</v>
      </c>
      <c r="AI159" s="337">
        <v>8.7499999999999994E-2</v>
      </c>
      <c r="AJ159" s="337"/>
      <c r="AK159" s="337"/>
      <c r="AL159" s="364">
        <f t="shared" si="2"/>
        <v>0.52508746738932621</v>
      </c>
    </row>
    <row r="160" spans="1:38">
      <c r="B160" s="72" t="s">
        <v>779</v>
      </c>
      <c r="C160" s="73" t="s">
        <v>1691</v>
      </c>
      <c r="D160" s="74">
        <v>100</v>
      </c>
      <c r="E160" s="72" t="s">
        <v>5</v>
      </c>
      <c r="F160" s="74">
        <v>30</v>
      </c>
      <c r="G160" s="74">
        <f>+F160+Q160+T160</f>
        <v>40</v>
      </c>
      <c r="H160" s="77">
        <v>44893</v>
      </c>
      <c r="I160" s="72" t="s">
        <v>3144</v>
      </c>
      <c r="J160" s="72" t="s">
        <v>3244</v>
      </c>
      <c r="K160" s="72" t="s">
        <v>2569</v>
      </c>
      <c r="L160" s="72" t="s">
        <v>2056</v>
      </c>
      <c r="M160" s="84">
        <v>43313</v>
      </c>
      <c r="O160" s="72" t="s">
        <v>3243</v>
      </c>
      <c r="P160" s="76" t="s">
        <v>4</v>
      </c>
      <c r="Q160" s="76">
        <v>7</v>
      </c>
      <c r="R160" s="76" t="s">
        <v>1</v>
      </c>
      <c r="S160" s="76" t="s">
        <v>278</v>
      </c>
      <c r="T160" s="76">
        <v>3</v>
      </c>
      <c r="U160" s="76" t="s">
        <v>3242</v>
      </c>
      <c r="V160" s="76" t="s">
        <v>1</v>
      </c>
      <c r="W160" s="76" t="s">
        <v>1</v>
      </c>
      <c r="X160" s="76" t="s">
        <v>1</v>
      </c>
      <c r="Y160" s="76" t="s">
        <v>1</v>
      </c>
      <c r="Z160" s="76" t="s">
        <v>1</v>
      </c>
      <c r="AA160" s="76" t="s">
        <v>1</v>
      </c>
      <c r="AB160" s="72" t="s">
        <v>2094</v>
      </c>
      <c r="AE160" s="25" t="s">
        <v>5051</v>
      </c>
      <c r="AF160" s="353">
        <v>0.32195000000000001</v>
      </c>
      <c r="AG160" s="68">
        <v>0.26874999999999999</v>
      </c>
      <c r="AH160" s="353">
        <v>0.35120800000000002</v>
      </c>
      <c r="AI160" s="337">
        <v>0.12222222222222222</v>
      </c>
      <c r="AJ160" s="337"/>
      <c r="AK160" s="337"/>
      <c r="AL160" s="364">
        <f t="shared" si="2"/>
        <v>9.0877465444944905E-2</v>
      </c>
    </row>
    <row r="161" spans="1:38">
      <c r="B161" s="12" t="s">
        <v>3276</v>
      </c>
      <c r="C161" s="29" t="s">
        <v>1691</v>
      </c>
      <c r="D161" s="15">
        <v>100</v>
      </c>
      <c r="E161" s="12" t="s">
        <v>5</v>
      </c>
      <c r="F161" s="15">
        <v>50</v>
      </c>
      <c r="G161" s="74">
        <f>+F161+Q161+T161</f>
        <v>69.7</v>
      </c>
      <c r="H161" s="14">
        <v>44796</v>
      </c>
      <c r="I161" s="12" t="s">
        <v>3275</v>
      </c>
      <c r="J161" s="12" t="s">
        <v>3274</v>
      </c>
      <c r="K161" s="32" t="s">
        <v>2308</v>
      </c>
      <c r="L161" s="32" t="s">
        <v>3273</v>
      </c>
      <c r="M161" s="30">
        <v>44378</v>
      </c>
      <c r="O161" s="72" t="s">
        <v>3272</v>
      </c>
      <c r="P161" s="76" t="s">
        <v>4</v>
      </c>
      <c r="Q161" s="76">
        <v>12.5</v>
      </c>
      <c r="R161" s="76" t="s">
        <v>3271</v>
      </c>
      <c r="S161" s="76" t="s">
        <v>4</v>
      </c>
      <c r="T161" s="76">
        <v>7.2</v>
      </c>
      <c r="U161" s="76" t="s">
        <v>3270</v>
      </c>
      <c r="V161" s="76" t="s">
        <v>1</v>
      </c>
      <c r="W161" s="76" t="s">
        <v>1</v>
      </c>
      <c r="X161" s="76" t="s">
        <v>1</v>
      </c>
      <c r="Y161" s="76" t="s">
        <v>1</v>
      </c>
      <c r="Z161" s="76" t="s">
        <v>1</v>
      </c>
      <c r="AA161" s="76" t="s">
        <v>1</v>
      </c>
      <c r="AB161" s="72" t="s">
        <v>2362</v>
      </c>
      <c r="AE161" s="25" t="s">
        <v>5109</v>
      </c>
      <c r="AF161" s="353">
        <v>0.36492400000000003</v>
      </c>
      <c r="AG161" s="68">
        <v>0.48680555555555555</v>
      </c>
      <c r="AH161" s="353">
        <v>0.29319299999999998</v>
      </c>
      <c r="AI161" s="337">
        <v>0.20902777777777778</v>
      </c>
      <c r="AJ161" s="337"/>
      <c r="AK161" s="337"/>
      <c r="AL161" s="364">
        <f t="shared" si="2"/>
        <v>-0.19656421611075192</v>
      </c>
    </row>
    <row r="162" spans="1:38">
      <c r="B162" s="72" t="s">
        <v>3241</v>
      </c>
      <c r="C162" s="73" t="s">
        <v>1691</v>
      </c>
      <c r="D162" s="74">
        <v>100</v>
      </c>
      <c r="E162" s="72" t="s">
        <v>5</v>
      </c>
      <c r="F162" s="74">
        <v>23</v>
      </c>
      <c r="G162" s="74">
        <f>+F162+Q162</f>
        <v>28.1</v>
      </c>
      <c r="H162" s="77">
        <v>44963</v>
      </c>
      <c r="I162" s="12" t="s">
        <v>3240</v>
      </c>
      <c r="K162" s="72" t="s">
        <v>2569</v>
      </c>
      <c r="L162" s="72" t="s">
        <v>2237</v>
      </c>
      <c r="M162" s="83">
        <v>44621</v>
      </c>
      <c r="O162" s="72" t="s">
        <v>3239</v>
      </c>
      <c r="P162" s="76" t="s">
        <v>4</v>
      </c>
      <c r="Q162" s="76">
        <v>5.0999999999999996</v>
      </c>
      <c r="R162" s="76" t="s">
        <v>1014</v>
      </c>
      <c r="S162" s="76" t="s">
        <v>1</v>
      </c>
      <c r="T162" s="76" t="s">
        <v>1</v>
      </c>
      <c r="U162" s="76" t="s">
        <v>1</v>
      </c>
      <c r="V162" s="76" t="s">
        <v>1</v>
      </c>
      <c r="W162" s="76" t="s">
        <v>1</v>
      </c>
      <c r="X162" s="76" t="s">
        <v>1</v>
      </c>
      <c r="Y162" s="76" t="s">
        <v>1</v>
      </c>
      <c r="Z162" s="76" t="s">
        <v>1</v>
      </c>
      <c r="AA162" s="76" t="s">
        <v>1</v>
      </c>
      <c r="AB162" s="72" t="s">
        <v>2362</v>
      </c>
      <c r="AE162" s="25" t="s">
        <v>5121</v>
      </c>
      <c r="AF162" s="353">
        <v>7.2140999999999997E-2</v>
      </c>
      <c r="AG162" s="68">
        <v>3.5416666666666666E-2</v>
      </c>
      <c r="AH162" s="353">
        <v>0.14808499999999999</v>
      </c>
      <c r="AI162" s="337">
        <v>6.8750000000000006E-2</v>
      </c>
      <c r="AJ162" s="337"/>
      <c r="AK162" s="337"/>
      <c r="AL162" s="364">
        <f t="shared" si="2"/>
        <v>1.0527162085360615</v>
      </c>
    </row>
    <row r="163" spans="1:38">
      <c r="B163" s="72" t="s">
        <v>3191</v>
      </c>
      <c r="C163" s="73" t="s">
        <v>1691</v>
      </c>
      <c r="D163" s="74">
        <v>100</v>
      </c>
      <c r="E163" s="72" t="s">
        <v>5</v>
      </c>
      <c r="F163" s="74">
        <v>28</v>
      </c>
      <c r="G163" s="74">
        <f>+F163+Q163</f>
        <v>33</v>
      </c>
      <c r="H163" s="77">
        <v>44656</v>
      </c>
      <c r="I163" s="72" t="s">
        <v>3190</v>
      </c>
      <c r="K163" s="72" t="s">
        <v>2308</v>
      </c>
      <c r="L163" s="72" t="s">
        <v>3189</v>
      </c>
      <c r="M163" s="84">
        <v>43556</v>
      </c>
      <c r="O163" s="72" t="s">
        <v>3188</v>
      </c>
      <c r="P163" s="76" t="s">
        <v>4</v>
      </c>
      <c r="Q163" s="76">
        <v>5</v>
      </c>
      <c r="R163" s="76" t="s">
        <v>3187</v>
      </c>
      <c r="S163" s="76" t="s">
        <v>550</v>
      </c>
      <c r="T163" s="76" t="s">
        <v>1</v>
      </c>
      <c r="U163" s="76" t="s">
        <v>3186</v>
      </c>
      <c r="V163" s="76" t="s">
        <v>4</v>
      </c>
      <c r="W163" s="76" t="s">
        <v>1</v>
      </c>
      <c r="X163" s="76" t="s">
        <v>3185</v>
      </c>
      <c r="Y163" s="76" t="s">
        <v>1</v>
      </c>
      <c r="Z163" s="76" t="s">
        <v>1</v>
      </c>
      <c r="AA163" s="76" t="s">
        <v>1</v>
      </c>
      <c r="AB163" s="72" t="s">
        <v>3184</v>
      </c>
      <c r="AE163" s="25" t="s">
        <v>5137</v>
      </c>
      <c r="AF163" s="353">
        <v>0.16760800000000001</v>
      </c>
      <c r="AG163" s="68">
        <v>7.9166666666666663E-2</v>
      </c>
      <c r="AH163" s="353">
        <v>3.3859E-2</v>
      </c>
      <c r="AI163" s="337">
        <v>1.9444444444444445E-2</v>
      </c>
      <c r="AJ163" s="337"/>
      <c r="AK163" s="337"/>
      <c r="AL163" s="364">
        <f t="shared" si="2"/>
        <v>-0.79798696959572335</v>
      </c>
    </row>
    <row r="164" spans="1:38">
      <c r="B164" s="72" t="s">
        <v>3284</v>
      </c>
      <c r="C164" s="73" t="s">
        <v>1691</v>
      </c>
      <c r="D164" s="74">
        <v>100</v>
      </c>
      <c r="E164" s="72" t="s">
        <v>7</v>
      </c>
      <c r="F164" s="74">
        <v>50</v>
      </c>
      <c r="G164" s="74">
        <f>+F164+Q164+T164</f>
        <v>72</v>
      </c>
      <c r="H164" s="77">
        <v>44643</v>
      </c>
      <c r="I164" s="72" t="s">
        <v>3283</v>
      </c>
      <c r="J164" s="72" t="s">
        <v>3282</v>
      </c>
      <c r="K164" s="72" t="s">
        <v>2569</v>
      </c>
      <c r="L164" s="72" t="s">
        <v>3281</v>
      </c>
      <c r="M164" s="86" t="s">
        <v>3280</v>
      </c>
      <c r="O164" s="72" t="s">
        <v>3279</v>
      </c>
      <c r="P164" s="76" t="s">
        <v>5</v>
      </c>
      <c r="Q164" s="76">
        <v>18.5</v>
      </c>
      <c r="R164" s="76" t="s">
        <v>3278</v>
      </c>
      <c r="S164" s="76" t="s">
        <v>4</v>
      </c>
      <c r="T164" s="76">
        <v>3.5</v>
      </c>
      <c r="U164" s="76" t="s">
        <v>3277</v>
      </c>
      <c r="V164" s="76" t="s">
        <v>1</v>
      </c>
      <c r="W164" s="76" t="s">
        <v>1</v>
      </c>
      <c r="X164" s="76" t="s">
        <v>1</v>
      </c>
      <c r="Y164" s="76" t="s">
        <v>1</v>
      </c>
      <c r="Z164" s="76" t="s">
        <v>1</v>
      </c>
      <c r="AA164" s="76" t="s">
        <v>1</v>
      </c>
      <c r="AB164" s="72" t="s">
        <v>2078</v>
      </c>
      <c r="AE164" s="25" t="s">
        <v>5108</v>
      </c>
      <c r="AF164" s="353">
        <v>0.156365</v>
      </c>
      <c r="AG164" s="68">
        <v>0.20972222222222223</v>
      </c>
      <c r="AH164" s="353">
        <v>9.0676999999999994E-2</v>
      </c>
      <c r="AI164" s="337">
        <v>0.11805555555555555</v>
      </c>
      <c r="AJ164" s="337"/>
      <c r="AK164" s="337"/>
      <c r="AL164" s="364">
        <f t="shared" si="2"/>
        <v>-0.42009401080804532</v>
      </c>
    </row>
    <row r="165" spans="1:38">
      <c r="B165" s="72" t="s">
        <v>3199</v>
      </c>
      <c r="C165" s="73" t="s">
        <v>1691</v>
      </c>
      <c r="D165" s="74">
        <v>100</v>
      </c>
      <c r="E165" s="72" t="s">
        <v>1</v>
      </c>
      <c r="F165" s="74">
        <v>29</v>
      </c>
      <c r="G165" s="74">
        <f>+F165</f>
        <v>29</v>
      </c>
      <c r="H165" s="27">
        <v>44368</v>
      </c>
      <c r="I165" s="72" t="s">
        <v>3198</v>
      </c>
      <c r="J165" s="72" t="s">
        <v>3197</v>
      </c>
      <c r="K165" s="72" t="s">
        <v>2045</v>
      </c>
      <c r="L165" s="72" t="s">
        <v>2100</v>
      </c>
      <c r="M165" s="83">
        <v>43344</v>
      </c>
      <c r="N165" s="72" t="s">
        <v>5077</v>
      </c>
      <c r="O165" s="72" t="s">
        <v>3196</v>
      </c>
      <c r="P165" s="76" t="s">
        <v>1</v>
      </c>
      <c r="Q165" s="76" t="s">
        <v>1</v>
      </c>
      <c r="R165" s="76" t="s">
        <v>1</v>
      </c>
      <c r="S165" s="76" t="s">
        <v>1</v>
      </c>
      <c r="T165" s="76" t="s">
        <v>1</v>
      </c>
      <c r="U165" s="76" t="s">
        <v>1</v>
      </c>
      <c r="V165" s="76" t="s">
        <v>1</v>
      </c>
      <c r="W165" s="76" t="s">
        <v>1</v>
      </c>
      <c r="X165" s="76" t="s">
        <v>1</v>
      </c>
      <c r="Y165" s="76" t="s">
        <v>1</v>
      </c>
      <c r="Z165" s="76" t="s">
        <v>1</v>
      </c>
      <c r="AA165" s="76" t="s">
        <v>1</v>
      </c>
      <c r="AB165" s="72" t="s">
        <v>2055</v>
      </c>
      <c r="AE165" s="25" t="s">
        <v>5135</v>
      </c>
      <c r="AF165" s="353">
        <v>8.2150000000000001E-3</v>
      </c>
      <c r="AG165" s="68">
        <v>9.930555555555555E-2</v>
      </c>
      <c r="AH165" s="353">
        <v>7.1089999999999999E-3</v>
      </c>
      <c r="AI165" s="337">
        <v>4.6527777777777779E-2</v>
      </c>
      <c r="AJ165" s="337"/>
      <c r="AK165" s="337"/>
      <c r="AL165" s="364">
        <f t="shared" si="2"/>
        <v>-0.13463177115033476</v>
      </c>
    </row>
    <row r="166" spans="1:38" s="176" customFormat="1">
      <c r="A166" s="72"/>
      <c r="B166" s="72" t="s">
        <v>286</v>
      </c>
      <c r="C166" s="73" t="s">
        <v>1691</v>
      </c>
      <c r="D166" s="74">
        <v>100</v>
      </c>
      <c r="E166" s="72" t="s">
        <v>7</v>
      </c>
      <c r="F166" s="74">
        <v>35</v>
      </c>
      <c r="G166" s="74">
        <f>+F166+Q166+T166</f>
        <v>53.5</v>
      </c>
      <c r="H166" s="77">
        <v>44309</v>
      </c>
      <c r="I166" s="72"/>
      <c r="J166" s="72" t="s">
        <v>3265</v>
      </c>
      <c r="K166" s="72" t="s">
        <v>2045</v>
      </c>
      <c r="L166" s="72" t="s">
        <v>2071</v>
      </c>
      <c r="M166" s="72">
        <v>2017</v>
      </c>
      <c r="N166" s="72"/>
      <c r="O166" s="72" t="s">
        <v>3264</v>
      </c>
      <c r="P166" s="76" t="s">
        <v>5</v>
      </c>
      <c r="Q166" s="76">
        <v>5.7</v>
      </c>
      <c r="R166" s="76" t="s">
        <v>1</v>
      </c>
      <c r="S166" s="76" t="s">
        <v>5</v>
      </c>
      <c r="T166" s="76">
        <v>12.8</v>
      </c>
      <c r="U166" s="76" t="s">
        <v>1</v>
      </c>
      <c r="V166" s="76" t="s">
        <v>4</v>
      </c>
      <c r="W166" s="76" t="s">
        <v>1</v>
      </c>
      <c r="X166" s="76" t="s">
        <v>3263</v>
      </c>
      <c r="Y166" s="76" t="s">
        <v>1</v>
      </c>
      <c r="Z166" s="76" t="s">
        <v>1</v>
      </c>
      <c r="AA166" s="76" t="s">
        <v>1</v>
      </c>
      <c r="AB166" s="72" t="s">
        <v>2259</v>
      </c>
      <c r="AC166" s="72"/>
      <c r="AD166" s="72"/>
      <c r="AE166" s="25" t="s">
        <v>5115</v>
      </c>
      <c r="AF166" s="353">
        <v>0</v>
      </c>
      <c r="AG166" s="68">
        <v>3.3333333333333333E-2</v>
      </c>
      <c r="AH166" s="353">
        <v>5.0000000000000001E-3</v>
      </c>
      <c r="AI166" s="337">
        <v>5.6944444444444443E-2</v>
      </c>
      <c r="AJ166" s="337"/>
      <c r="AK166" s="337"/>
      <c r="AL166" s="364"/>
    </row>
    <row r="167" spans="1:38">
      <c r="B167" s="72" t="s">
        <v>360</v>
      </c>
      <c r="C167" s="73" t="s">
        <v>1691</v>
      </c>
      <c r="D167" s="74">
        <v>100</v>
      </c>
      <c r="E167" s="72" t="s">
        <v>7</v>
      </c>
      <c r="F167" s="74">
        <v>27.5</v>
      </c>
      <c r="G167" s="74">
        <f>+F167+Q167</f>
        <v>38.200000000000003</v>
      </c>
      <c r="H167" s="27">
        <v>44181</v>
      </c>
      <c r="I167" s="72" t="s">
        <v>3158</v>
      </c>
      <c r="J167" s="72" t="s">
        <v>3157</v>
      </c>
      <c r="K167" s="72" t="s">
        <v>2308</v>
      </c>
      <c r="L167" s="72" t="s">
        <v>3033</v>
      </c>
      <c r="M167" s="72">
        <v>2017</v>
      </c>
      <c r="N167" s="72" t="s">
        <v>5149</v>
      </c>
      <c r="O167" s="72" t="s">
        <v>3156</v>
      </c>
      <c r="P167" s="76" t="s">
        <v>5</v>
      </c>
      <c r="Q167" s="76">
        <v>10.7</v>
      </c>
      <c r="R167" s="76" t="s">
        <v>3155</v>
      </c>
      <c r="S167" s="76" t="s">
        <v>1</v>
      </c>
      <c r="T167" s="76" t="s">
        <v>1</v>
      </c>
      <c r="U167" s="76" t="s">
        <v>1</v>
      </c>
      <c r="V167" s="76" t="s">
        <v>1</v>
      </c>
      <c r="W167" s="76" t="s">
        <v>1</v>
      </c>
      <c r="X167" s="76" t="s">
        <v>1</v>
      </c>
      <c r="Y167" s="76" t="s">
        <v>1</v>
      </c>
      <c r="Z167" s="76" t="s">
        <v>1</v>
      </c>
      <c r="AA167" s="76" t="s">
        <v>1</v>
      </c>
      <c r="AB167" s="72" t="s">
        <v>2152</v>
      </c>
      <c r="AE167" s="25" t="s">
        <v>5148</v>
      </c>
      <c r="AF167" s="353">
        <v>3.7558000000000001E-2</v>
      </c>
      <c r="AG167" s="68">
        <v>6.9444444444444434E-2</v>
      </c>
      <c r="AH167" s="353">
        <v>5.4491999999999999E-2</v>
      </c>
      <c r="AI167" s="337">
        <v>0.22083333333333333</v>
      </c>
      <c r="AJ167" s="337"/>
      <c r="AK167" s="337"/>
      <c r="AL167" s="364">
        <f t="shared" si="2"/>
        <v>0.45087597848660721</v>
      </c>
    </row>
    <row r="168" spans="1:38">
      <c r="B168" s="72" t="s">
        <v>873</v>
      </c>
      <c r="C168" s="73" t="s">
        <v>1691</v>
      </c>
      <c r="D168" s="74">
        <v>100</v>
      </c>
      <c r="E168" s="72" t="s">
        <v>5</v>
      </c>
      <c r="F168" s="74">
        <v>30</v>
      </c>
      <c r="G168" s="74">
        <f>+F168+Q168+T168</f>
        <v>37.5</v>
      </c>
      <c r="H168" s="27">
        <v>44522</v>
      </c>
      <c r="I168" s="72" t="s">
        <v>3217</v>
      </c>
      <c r="J168" s="72" t="s">
        <v>3216</v>
      </c>
      <c r="K168" s="72" t="s">
        <v>2569</v>
      </c>
      <c r="L168" s="72" t="s">
        <v>2056</v>
      </c>
      <c r="M168" s="84">
        <v>43862</v>
      </c>
      <c r="N168" s="72" t="s">
        <v>5130</v>
      </c>
      <c r="O168" s="72" t="s">
        <v>3215</v>
      </c>
      <c r="P168" s="76" t="s">
        <v>4</v>
      </c>
      <c r="Q168" s="76">
        <v>5.5</v>
      </c>
      <c r="R168" s="76" t="s">
        <v>3214</v>
      </c>
      <c r="S168" s="76" t="s">
        <v>4</v>
      </c>
      <c r="T168" s="76">
        <v>2</v>
      </c>
      <c r="U168" s="76" t="s">
        <v>992</v>
      </c>
      <c r="V168" s="76" t="s">
        <v>1</v>
      </c>
      <c r="W168" s="76" t="s">
        <v>1</v>
      </c>
      <c r="X168" s="76" t="s">
        <v>1</v>
      </c>
      <c r="Y168" s="76" t="s">
        <v>1</v>
      </c>
      <c r="Z168" s="76" t="s">
        <v>1</v>
      </c>
      <c r="AA168" s="76" t="s">
        <v>1</v>
      </c>
      <c r="AB168" s="72" t="s">
        <v>2081</v>
      </c>
      <c r="AE168" s="25" t="s">
        <v>5129</v>
      </c>
      <c r="AF168" s="359">
        <v>0.80907300000000004</v>
      </c>
      <c r="AG168" s="68">
        <v>0.12291666666666667</v>
      </c>
      <c r="AH168" s="353">
        <v>0.31321399999999999</v>
      </c>
      <c r="AI168" s="337">
        <v>0.10972222222222222</v>
      </c>
      <c r="AJ168" s="337"/>
      <c r="AK168" s="337"/>
      <c r="AL168" s="364">
        <f t="shared" si="2"/>
        <v>-0.61287300404289846</v>
      </c>
    </row>
    <row r="169" spans="1:38">
      <c r="B169" s="72" t="s">
        <v>690</v>
      </c>
      <c r="C169" s="73" t="s">
        <v>1691</v>
      </c>
      <c r="D169" s="74">
        <v>100</v>
      </c>
      <c r="E169" s="72" t="s">
        <v>4</v>
      </c>
      <c r="F169" s="74">
        <v>30</v>
      </c>
      <c r="G169" s="74">
        <f>+F169</f>
        <v>30</v>
      </c>
      <c r="H169" s="223">
        <v>44742</v>
      </c>
      <c r="I169" s="72" t="s">
        <v>3230</v>
      </c>
      <c r="J169" s="72" t="s">
        <v>3231</v>
      </c>
      <c r="K169" s="72" t="s">
        <v>2569</v>
      </c>
      <c r="L169" s="72" t="s">
        <v>2079</v>
      </c>
      <c r="M169" s="83">
        <v>44562</v>
      </c>
      <c r="N169" s="72" t="s">
        <v>3230</v>
      </c>
      <c r="O169" s="72" t="s">
        <v>3229</v>
      </c>
      <c r="P169" s="76" t="s">
        <v>1</v>
      </c>
      <c r="Q169" s="76" t="s">
        <v>1</v>
      </c>
      <c r="R169" s="76" t="s">
        <v>1</v>
      </c>
      <c r="S169" s="76" t="s">
        <v>1</v>
      </c>
      <c r="T169" s="76" t="s">
        <v>1</v>
      </c>
      <c r="U169" s="76" t="s">
        <v>1</v>
      </c>
      <c r="V169" s="76" t="s">
        <v>1</v>
      </c>
      <c r="W169" s="76" t="s">
        <v>1</v>
      </c>
      <c r="X169" s="76" t="s">
        <v>1</v>
      </c>
      <c r="Y169" s="76" t="s">
        <v>1</v>
      </c>
      <c r="Z169" s="76" t="s">
        <v>1</v>
      </c>
      <c r="AA169" s="76" t="s">
        <v>1</v>
      </c>
      <c r="AB169" s="72" t="s">
        <v>2362</v>
      </c>
      <c r="AE169" s="25" t="s">
        <v>5122</v>
      </c>
      <c r="AF169" s="359">
        <v>0.77962500000000001</v>
      </c>
      <c r="AG169" s="68">
        <v>0.12708333333333333</v>
      </c>
      <c r="AH169" s="353">
        <v>0.65158700000000003</v>
      </c>
      <c r="AI169" s="337">
        <v>0.1361111111111111</v>
      </c>
      <c r="AJ169" s="337"/>
      <c r="AK169" s="337"/>
      <c r="AL169" s="364">
        <f t="shared" si="2"/>
        <v>-0.16423023889690558</v>
      </c>
    </row>
    <row r="170" spans="1:38">
      <c r="B170" s="72" t="s">
        <v>3136</v>
      </c>
      <c r="C170" s="73" t="s">
        <v>1691</v>
      </c>
      <c r="D170" s="74">
        <v>100</v>
      </c>
      <c r="E170" s="72" t="s">
        <v>5</v>
      </c>
      <c r="F170" s="74">
        <v>25</v>
      </c>
      <c r="H170" s="27">
        <v>44404</v>
      </c>
      <c r="I170" s="72" t="s">
        <v>3135</v>
      </c>
      <c r="J170" s="72" t="s">
        <v>3134</v>
      </c>
      <c r="K170" s="72" t="s">
        <v>2569</v>
      </c>
      <c r="L170" s="72" t="s">
        <v>2056</v>
      </c>
      <c r="M170" s="83">
        <v>43435</v>
      </c>
      <c r="O170" s="34" t="s">
        <v>3133</v>
      </c>
      <c r="P170" s="76" t="s">
        <v>4</v>
      </c>
      <c r="Q170" s="76">
        <v>6</v>
      </c>
      <c r="R170" s="76" t="s">
        <v>3132</v>
      </c>
      <c r="S170" s="76" t="s">
        <v>1</v>
      </c>
      <c r="T170" s="72" t="s">
        <v>1</v>
      </c>
      <c r="U170" s="72" t="s">
        <v>1</v>
      </c>
      <c r="V170" s="72" t="s">
        <v>1</v>
      </c>
      <c r="W170" s="72" t="s">
        <v>1</v>
      </c>
      <c r="X170" s="72" t="s">
        <v>1</v>
      </c>
      <c r="Y170" s="72" t="s">
        <v>1</v>
      </c>
      <c r="Z170" s="72" t="s">
        <v>1</v>
      </c>
      <c r="AA170" s="72" t="s">
        <v>1</v>
      </c>
      <c r="AB170" s="72" t="s">
        <v>2145</v>
      </c>
      <c r="AE170" s="25" t="s">
        <v>5154</v>
      </c>
      <c r="AF170" s="353">
        <v>3.125E-2</v>
      </c>
      <c r="AG170" s="68">
        <v>0.34583333333333338</v>
      </c>
      <c r="AH170" s="353">
        <v>0.12748200000000001</v>
      </c>
      <c r="AI170" s="337">
        <v>0.7368055555555556</v>
      </c>
      <c r="AJ170" s="337"/>
      <c r="AK170" s="337"/>
      <c r="AL170" s="364">
        <f t="shared" si="2"/>
        <v>3.0794240000000004</v>
      </c>
    </row>
    <row r="171" spans="1:38">
      <c r="B171" s="12" t="s">
        <v>3365</v>
      </c>
      <c r="C171" s="29" t="s">
        <v>1691</v>
      </c>
      <c r="D171" s="15">
        <v>100</v>
      </c>
      <c r="E171" s="15" t="s">
        <v>3364</v>
      </c>
      <c r="F171" s="15" t="s">
        <v>1</v>
      </c>
      <c r="G171" s="74" t="str">
        <f>F171</f>
        <v>N/A</v>
      </c>
      <c r="H171" s="15" t="s">
        <v>3364</v>
      </c>
      <c r="I171" s="12" t="s">
        <v>3289</v>
      </c>
      <c r="J171" s="12" t="s">
        <v>1</v>
      </c>
      <c r="K171" s="12" t="s">
        <v>2045</v>
      </c>
      <c r="L171" s="12" t="s">
        <v>2062</v>
      </c>
      <c r="M171" s="12">
        <v>2015</v>
      </c>
      <c r="N171" s="36" t="s">
        <v>3363</v>
      </c>
      <c r="O171" s="12" t="s">
        <v>1</v>
      </c>
      <c r="P171" s="12" t="s">
        <v>1</v>
      </c>
      <c r="Q171" s="12" t="s">
        <v>1</v>
      </c>
      <c r="R171" s="12" t="s">
        <v>1</v>
      </c>
      <c r="S171" s="12" t="s">
        <v>1</v>
      </c>
      <c r="T171" s="12" t="s">
        <v>1</v>
      </c>
      <c r="U171" s="12" t="s">
        <v>1</v>
      </c>
      <c r="V171" s="12" t="s">
        <v>1</v>
      </c>
      <c r="W171" s="12" t="s">
        <v>1</v>
      </c>
      <c r="X171" s="12" t="s">
        <v>1</v>
      </c>
      <c r="Y171" s="12" t="s">
        <v>1</v>
      </c>
      <c r="Z171" s="12" t="s">
        <v>1</v>
      </c>
      <c r="AA171" s="12" t="s">
        <v>1</v>
      </c>
      <c r="AB171" s="12" t="s">
        <v>3362</v>
      </c>
      <c r="AC171" s="12"/>
      <c r="AD171" s="12"/>
      <c r="AE171" s="25" t="s">
        <v>5089</v>
      </c>
      <c r="AF171" s="353">
        <v>2.8972000000000001E-2</v>
      </c>
      <c r="AG171" s="68">
        <v>0.30763888888888891</v>
      </c>
      <c r="AH171" s="353">
        <v>5.2361999999999999E-2</v>
      </c>
      <c r="AI171" s="341">
        <v>0.12638888888888888</v>
      </c>
      <c r="AJ171" s="341"/>
      <c r="AK171" s="341"/>
      <c r="AL171" s="364">
        <f t="shared" si="2"/>
        <v>0.80733121634681759</v>
      </c>
    </row>
    <row r="172" spans="1:38">
      <c r="B172" s="72" t="s">
        <v>110</v>
      </c>
      <c r="C172" s="73" t="s">
        <v>1691</v>
      </c>
      <c r="D172" s="74">
        <v>100</v>
      </c>
      <c r="E172" s="72" t="s">
        <v>5</v>
      </c>
      <c r="F172" s="74">
        <v>25</v>
      </c>
      <c r="G172" s="74">
        <f>+F172+Q172</f>
        <v>33</v>
      </c>
      <c r="H172" s="77">
        <v>44510</v>
      </c>
      <c r="I172" s="72" t="s">
        <v>3183</v>
      </c>
      <c r="J172" s="72" t="s">
        <v>3182</v>
      </c>
      <c r="K172" s="72" t="s">
        <v>2045</v>
      </c>
      <c r="L172" s="72" t="s">
        <v>2062</v>
      </c>
      <c r="M172" s="72">
        <v>2018</v>
      </c>
      <c r="O172" s="72" t="s">
        <v>3181</v>
      </c>
      <c r="P172" s="76" t="s">
        <v>4</v>
      </c>
      <c r="Q172" s="76">
        <v>8</v>
      </c>
      <c r="R172" s="76" t="s">
        <v>3180</v>
      </c>
      <c r="S172" s="93" t="s">
        <v>1</v>
      </c>
      <c r="T172" s="93" t="s">
        <v>1</v>
      </c>
      <c r="U172" s="93" t="s">
        <v>1</v>
      </c>
      <c r="V172" s="93" t="s">
        <v>1</v>
      </c>
      <c r="W172" s="93" t="s">
        <v>1</v>
      </c>
      <c r="X172" s="93" t="s">
        <v>1</v>
      </c>
      <c r="Y172" s="93" t="s">
        <v>1</v>
      </c>
      <c r="Z172" s="93" t="s">
        <v>1</v>
      </c>
      <c r="AA172" s="93" t="s">
        <v>1</v>
      </c>
      <c r="AB172" s="72" t="s">
        <v>2085</v>
      </c>
      <c r="AE172" s="25" t="s">
        <v>3179</v>
      </c>
      <c r="AF172" s="353">
        <v>9.3509999999999999E-3</v>
      </c>
      <c r="AG172" s="62">
        <v>2.9861111111111113E-2</v>
      </c>
      <c r="AH172" s="353">
        <v>2.5014000000000002E-2</v>
      </c>
      <c r="AI172" s="337">
        <v>3.0555555555555555E-2</v>
      </c>
      <c r="AJ172" s="337"/>
      <c r="AK172" s="337"/>
      <c r="AL172" s="364">
        <f t="shared" si="2"/>
        <v>1.6750080205325637</v>
      </c>
    </row>
    <row r="173" spans="1:38" s="176" customFormat="1">
      <c r="A173" s="72"/>
      <c r="B173" s="72" t="s">
        <v>912</v>
      </c>
      <c r="C173" s="73" t="s">
        <v>1691</v>
      </c>
      <c r="D173" s="74">
        <v>100</v>
      </c>
      <c r="E173" s="72" t="s">
        <v>4</v>
      </c>
      <c r="F173" s="74">
        <v>42</v>
      </c>
      <c r="G173" s="74">
        <f>+F173</f>
        <v>42</v>
      </c>
      <c r="H173" s="77">
        <v>44882</v>
      </c>
      <c r="I173" s="12" t="s">
        <v>3262</v>
      </c>
      <c r="J173" s="72"/>
      <c r="K173" s="34" t="s">
        <v>2045</v>
      </c>
      <c r="L173" s="32" t="s">
        <v>2062</v>
      </c>
      <c r="M173" s="83">
        <v>44440</v>
      </c>
      <c r="N173" s="72"/>
      <c r="O173" s="72" t="s">
        <v>3261</v>
      </c>
      <c r="P173" s="76" t="s">
        <v>1</v>
      </c>
      <c r="Q173" s="76" t="s">
        <v>1</v>
      </c>
      <c r="R173" s="76" t="s">
        <v>1</v>
      </c>
      <c r="S173" s="76" t="s">
        <v>1</v>
      </c>
      <c r="T173" s="76" t="s">
        <v>1</v>
      </c>
      <c r="U173" s="76" t="s">
        <v>1</v>
      </c>
      <c r="V173" s="76" t="s">
        <v>1</v>
      </c>
      <c r="W173" s="76" t="s">
        <v>1</v>
      </c>
      <c r="X173" s="76" t="s">
        <v>1</v>
      </c>
      <c r="Y173" s="76" t="s">
        <v>1</v>
      </c>
      <c r="Z173" s="76" t="s">
        <v>1</v>
      </c>
      <c r="AA173" s="76" t="s">
        <v>1</v>
      </c>
      <c r="AB173" s="72" t="s">
        <v>2094</v>
      </c>
      <c r="AC173" s="72"/>
      <c r="AD173" s="72"/>
      <c r="AE173" s="25" t="s">
        <v>5116</v>
      </c>
      <c r="AF173" s="353">
        <v>0</v>
      </c>
      <c r="AG173" s="68">
        <v>7.4999999999999997E-2</v>
      </c>
      <c r="AH173" s="353">
        <v>5.0000000000000001E-3</v>
      </c>
      <c r="AI173" s="337">
        <v>6.458333333333334E-2</v>
      </c>
      <c r="AJ173" s="337"/>
      <c r="AK173" s="337"/>
      <c r="AL173" s="364"/>
    </row>
    <row r="174" spans="1:38" s="176" customFormat="1">
      <c r="A174" s="72"/>
      <c r="B174" s="72" t="s">
        <v>3260</v>
      </c>
      <c r="C174" s="73" t="s">
        <v>1691</v>
      </c>
      <c r="D174" s="74">
        <v>100</v>
      </c>
      <c r="E174" s="72" t="s">
        <v>5</v>
      </c>
      <c r="F174" s="74">
        <v>40</v>
      </c>
      <c r="G174" s="74">
        <f>+F174+Q174</f>
        <v>45</v>
      </c>
      <c r="H174" s="77">
        <v>44690</v>
      </c>
      <c r="I174" s="72" t="s">
        <v>3259</v>
      </c>
      <c r="J174" s="72" t="s">
        <v>3258</v>
      </c>
      <c r="K174" s="72" t="s">
        <v>2308</v>
      </c>
      <c r="L174" s="72" t="s">
        <v>3257</v>
      </c>
      <c r="M174" s="83">
        <v>44501</v>
      </c>
      <c r="N174" s="72"/>
      <c r="O174" s="72" t="s">
        <v>3256</v>
      </c>
      <c r="P174" s="76" t="s">
        <v>3255</v>
      </c>
      <c r="Q174" s="76">
        <v>5</v>
      </c>
      <c r="R174" s="76" t="s">
        <v>3254</v>
      </c>
      <c r="S174" s="76" t="s">
        <v>1</v>
      </c>
      <c r="T174" s="76" t="s">
        <v>1</v>
      </c>
      <c r="U174" s="76" t="s">
        <v>1</v>
      </c>
      <c r="V174" s="76" t="s">
        <v>1</v>
      </c>
      <c r="W174" s="76" t="s">
        <v>1</v>
      </c>
      <c r="X174" s="76" t="s">
        <v>1</v>
      </c>
      <c r="Y174" s="76" t="s">
        <v>1</v>
      </c>
      <c r="Z174" s="76" t="s">
        <v>1</v>
      </c>
      <c r="AA174" s="76" t="s">
        <v>1</v>
      </c>
      <c r="AB174" s="72" t="s">
        <v>2900</v>
      </c>
      <c r="AC174" s="72"/>
      <c r="AD174" s="72"/>
      <c r="AE174" s="25" t="s">
        <v>5117</v>
      </c>
      <c r="AF174" s="353">
        <v>0</v>
      </c>
      <c r="AG174" s="68">
        <v>0.17430555555555557</v>
      </c>
      <c r="AH174" s="353">
        <v>5.0000000000000001E-3</v>
      </c>
      <c r="AI174" s="337">
        <v>1.6666666666666666E-2</v>
      </c>
      <c r="AJ174" s="337"/>
      <c r="AK174" s="337"/>
      <c r="AL174" s="364"/>
    </row>
    <row r="175" spans="1:38" s="176" customFormat="1">
      <c r="A175" s="72"/>
      <c r="B175" s="72" t="s">
        <v>686</v>
      </c>
      <c r="C175" s="73" t="s">
        <v>1691</v>
      </c>
      <c r="D175" s="74">
        <v>100</v>
      </c>
      <c r="E175" s="72" t="s">
        <v>4</v>
      </c>
      <c r="F175" s="74">
        <v>30</v>
      </c>
      <c r="G175" s="74">
        <f>+F175</f>
        <v>30</v>
      </c>
      <c r="H175" s="77">
        <v>44601</v>
      </c>
      <c r="I175" s="72" t="s">
        <v>2315</v>
      </c>
      <c r="J175" s="72" t="s">
        <v>3202</v>
      </c>
      <c r="K175" s="72" t="s">
        <v>2315</v>
      </c>
      <c r="L175" s="72" t="s">
        <v>2349</v>
      </c>
      <c r="M175" s="72">
        <v>2021</v>
      </c>
      <c r="N175" s="72"/>
      <c r="O175" s="72" t="s">
        <v>3201</v>
      </c>
      <c r="P175" s="76" t="s">
        <v>1</v>
      </c>
      <c r="Q175" s="76" t="s">
        <v>1</v>
      </c>
      <c r="R175" s="76" t="s">
        <v>1</v>
      </c>
      <c r="S175" s="76" t="s">
        <v>1</v>
      </c>
      <c r="T175" s="76" t="s">
        <v>1</v>
      </c>
      <c r="U175" s="76" t="s">
        <v>1</v>
      </c>
      <c r="V175" s="76" t="s">
        <v>1</v>
      </c>
      <c r="W175" s="76" t="s">
        <v>1</v>
      </c>
      <c r="X175" s="76" t="s">
        <v>1</v>
      </c>
      <c r="Y175" s="76" t="s">
        <v>1</v>
      </c>
      <c r="Z175" s="76" t="s">
        <v>1</v>
      </c>
      <c r="AA175" s="76" t="s">
        <v>1</v>
      </c>
      <c r="AB175" s="72" t="s">
        <v>3200</v>
      </c>
      <c r="AC175" s="72"/>
      <c r="AD175" s="72"/>
      <c r="AE175" s="25" t="s">
        <v>5134</v>
      </c>
      <c r="AF175" s="353">
        <v>0</v>
      </c>
      <c r="AG175" s="68">
        <v>0.26527777777777778</v>
      </c>
      <c r="AH175" s="353">
        <v>5.0000000000000001E-3</v>
      </c>
      <c r="AI175" s="337">
        <v>0</v>
      </c>
      <c r="AJ175" s="337"/>
      <c r="AK175" s="337"/>
      <c r="AL175" s="364"/>
    </row>
    <row r="176" spans="1:38" s="176" customFormat="1">
      <c r="A176" s="72"/>
      <c r="B176" s="12" t="s">
        <v>3178</v>
      </c>
      <c r="C176" s="29" t="s">
        <v>1691</v>
      </c>
      <c r="D176" s="15">
        <v>100</v>
      </c>
      <c r="E176" s="12" t="s">
        <v>4</v>
      </c>
      <c r="F176" s="15">
        <v>20</v>
      </c>
      <c r="G176" s="74">
        <f>+F176</f>
        <v>20</v>
      </c>
      <c r="H176" s="14">
        <v>44792</v>
      </c>
      <c r="I176" s="12" t="s">
        <v>3176</v>
      </c>
      <c r="J176" s="12" t="s">
        <v>3177</v>
      </c>
      <c r="K176" s="12" t="s">
        <v>2045</v>
      </c>
      <c r="L176" s="12" t="s">
        <v>3176</v>
      </c>
      <c r="M176" s="35" t="s">
        <v>3175</v>
      </c>
      <c r="N176" s="12" t="s">
        <v>3174</v>
      </c>
      <c r="O176" s="12" t="s">
        <v>3173</v>
      </c>
      <c r="P176" s="24" t="s">
        <v>1</v>
      </c>
      <c r="Q176" s="24" t="s">
        <v>1</v>
      </c>
      <c r="R176" s="24" t="s">
        <v>1</v>
      </c>
      <c r="S176" s="24" t="s">
        <v>1</v>
      </c>
      <c r="T176" s="24" t="s">
        <v>1</v>
      </c>
      <c r="U176" s="24" t="s">
        <v>1</v>
      </c>
      <c r="V176" s="24" t="s">
        <v>1</v>
      </c>
      <c r="W176" s="24" t="s">
        <v>1</v>
      </c>
      <c r="X176" s="24" t="s">
        <v>1</v>
      </c>
      <c r="Y176" s="24" t="s">
        <v>1</v>
      </c>
      <c r="Z176" s="24" t="s">
        <v>1</v>
      </c>
      <c r="AA176" s="24" t="s">
        <v>1</v>
      </c>
      <c r="AB176" s="12" t="s">
        <v>3172</v>
      </c>
      <c r="AC176" s="12"/>
      <c r="AD176" s="12"/>
      <c r="AE176" s="25" t="s">
        <v>5138</v>
      </c>
      <c r="AF176" s="353">
        <v>0</v>
      </c>
      <c r="AG176" s="70">
        <v>0</v>
      </c>
      <c r="AH176" s="353">
        <v>1.9462E-2</v>
      </c>
      <c r="AI176" s="360">
        <v>2.0833333333333333E-3</v>
      </c>
      <c r="AJ176" s="360"/>
      <c r="AK176" s="360"/>
      <c r="AL176" s="364"/>
    </row>
    <row r="177" spans="1:38" s="176" customFormat="1">
      <c r="A177" s="72"/>
      <c r="B177" s="176" t="s">
        <v>3154</v>
      </c>
      <c r="C177" s="184" t="s">
        <v>1691</v>
      </c>
      <c r="D177" s="177">
        <v>100</v>
      </c>
      <c r="E177" s="176" t="s">
        <v>5</v>
      </c>
      <c r="F177" s="177">
        <v>27</v>
      </c>
      <c r="G177" s="177">
        <f>F177</f>
        <v>27</v>
      </c>
      <c r="H177" s="77">
        <v>44299</v>
      </c>
      <c r="I177" s="176" t="s">
        <v>3153</v>
      </c>
      <c r="K177" s="176" t="s">
        <v>2569</v>
      </c>
      <c r="L177" s="176" t="s">
        <v>3152</v>
      </c>
      <c r="M177" s="176">
        <v>2021</v>
      </c>
      <c r="O177" s="176" t="s">
        <v>1</v>
      </c>
      <c r="P177" s="176" t="s">
        <v>1</v>
      </c>
      <c r="Q177" s="176" t="s">
        <v>1</v>
      </c>
      <c r="R177" s="176" t="s">
        <v>1</v>
      </c>
      <c r="S177" s="176" t="s">
        <v>1</v>
      </c>
      <c r="T177" s="176" t="s">
        <v>1</v>
      </c>
      <c r="U177" s="176" t="s">
        <v>1</v>
      </c>
      <c r="V177" s="176" t="s">
        <v>1</v>
      </c>
      <c r="W177" s="176" t="s">
        <v>1</v>
      </c>
      <c r="X177" s="176" t="s">
        <v>1</v>
      </c>
      <c r="Y177" s="176" t="s">
        <v>1</v>
      </c>
      <c r="Z177" s="176" t="s">
        <v>1</v>
      </c>
      <c r="AA177" s="176" t="s">
        <v>1</v>
      </c>
      <c r="AB177" s="176" t="s">
        <v>3151</v>
      </c>
      <c r="AE177" s="186" t="s">
        <v>5150</v>
      </c>
      <c r="AF177" s="353">
        <v>0</v>
      </c>
      <c r="AG177" s="68">
        <v>0</v>
      </c>
      <c r="AH177" s="353">
        <v>6.228E-3</v>
      </c>
      <c r="AI177" s="358">
        <v>2.7083333333333334E-2</v>
      </c>
      <c r="AJ177" s="358"/>
      <c r="AK177" s="358"/>
      <c r="AL177" s="364"/>
    </row>
    <row r="178" spans="1:38">
      <c r="B178" s="72" t="s">
        <v>928</v>
      </c>
      <c r="C178" s="73" t="s">
        <v>1691</v>
      </c>
      <c r="D178" s="74">
        <v>100</v>
      </c>
      <c r="E178" s="72" t="s">
        <v>5</v>
      </c>
      <c r="F178" s="74">
        <v>25</v>
      </c>
      <c r="H178" s="77">
        <v>44944</v>
      </c>
      <c r="I178" s="72" t="s">
        <v>3131</v>
      </c>
      <c r="J178" s="72" t="s">
        <v>3130</v>
      </c>
      <c r="K178" s="72" t="s">
        <v>2045</v>
      </c>
      <c r="L178" s="72" t="s">
        <v>2524</v>
      </c>
      <c r="M178" s="84" t="s">
        <v>3129</v>
      </c>
      <c r="O178" s="72" t="s">
        <v>3128</v>
      </c>
      <c r="P178" s="76" t="s">
        <v>4</v>
      </c>
      <c r="Q178" s="76">
        <v>5</v>
      </c>
      <c r="R178" s="76" t="s">
        <v>980</v>
      </c>
      <c r="S178" s="76" t="s">
        <v>278</v>
      </c>
      <c r="T178" s="76">
        <v>3</v>
      </c>
      <c r="U178" s="76" t="s">
        <v>1</v>
      </c>
      <c r="V178" s="72" t="s">
        <v>1</v>
      </c>
      <c r="W178" s="72" t="s">
        <v>1</v>
      </c>
      <c r="X178" s="72" t="s">
        <v>1</v>
      </c>
      <c r="Y178" s="72" t="s">
        <v>1</v>
      </c>
      <c r="Z178" s="72" t="s">
        <v>1</v>
      </c>
      <c r="AA178" s="72" t="s">
        <v>1</v>
      </c>
      <c r="AB178" s="72" t="s">
        <v>2078</v>
      </c>
      <c r="AE178" s="25" t="s">
        <v>5155</v>
      </c>
      <c r="AF178" s="344">
        <v>7.8329999999999997E-3</v>
      </c>
      <c r="AG178" s="68">
        <v>0.56041666666666667</v>
      </c>
      <c r="AH178" s="353">
        <v>1.5789000000000001E-2</v>
      </c>
      <c r="AI178" s="337">
        <v>0</v>
      </c>
      <c r="AJ178" s="337"/>
      <c r="AK178" s="337"/>
      <c r="AL178" s="364">
        <f t="shared" si="2"/>
        <v>1.0157027958636542</v>
      </c>
    </row>
    <row r="179" spans="1:38">
      <c r="A179" s="176"/>
      <c r="B179" s="176" t="s">
        <v>659</v>
      </c>
      <c r="C179" s="184" t="s">
        <v>1691</v>
      </c>
      <c r="D179" s="178">
        <v>100</v>
      </c>
      <c r="E179" s="176" t="s">
        <v>4</v>
      </c>
      <c r="F179" s="178">
        <v>25</v>
      </c>
      <c r="G179" s="178"/>
      <c r="H179" s="185">
        <v>44873</v>
      </c>
      <c r="I179" s="176" t="s">
        <v>3103</v>
      </c>
      <c r="J179" s="176" t="s">
        <v>3102</v>
      </c>
      <c r="K179" s="176" t="s">
        <v>3101</v>
      </c>
      <c r="L179" s="176" t="s">
        <v>3101</v>
      </c>
      <c r="M179" s="176">
        <v>2022</v>
      </c>
      <c r="N179" s="176" t="s">
        <v>3100</v>
      </c>
      <c r="O179" s="176" t="s">
        <v>3099</v>
      </c>
      <c r="P179" s="179" t="s">
        <v>1</v>
      </c>
      <c r="Q179" s="179" t="s">
        <v>1</v>
      </c>
      <c r="R179" s="179" t="s">
        <v>1</v>
      </c>
      <c r="S179" s="179" t="s">
        <v>1</v>
      </c>
      <c r="T179" s="179" t="s">
        <v>1</v>
      </c>
      <c r="U179" s="179" t="s">
        <v>1</v>
      </c>
      <c r="V179" s="179" t="s">
        <v>1</v>
      </c>
      <c r="W179" s="179" t="s">
        <v>1</v>
      </c>
      <c r="X179" s="179" t="s">
        <v>1</v>
      </c>
      <c r="Y179" s="179" t="s">
        <v>1</v>
      </c>
      <c r="Z179" s="179" t="s">
        <v>1</v>
      </c>
      <c r="AA179" s="179" t="s">
        <v>1</v>
      </c>
      <c r="AB179" s="176" t="s">
        <v>2094</v>
      </c>
      <c r="AC179" s="176"/>
      <c r="AD179" s="176"/>
      <c r="AE179" s="25" t="s">
        <v>5173</v>
      </c>
      <c r="AF179" s="344">
        <v>6.7039999999999999E-3</v>
      </c>
      <c r="AG179" s="68">
        <v>0.13749999999999998</v>
      </c>
      <c r="AH179" s="353">
        <v>1.065E-2</v>
      </c>
      <c r="AI179" s="358">
        <v>9.0972222222222218E-2</v>
      </c>
      <c r="AJ179" s="358"/>
      <c r="AK179" s="358"/>
      <c r="AL179" s="364">
        <f t="shared" si="2"/>
        <v>0.58860381861575184</v>
      </c>
    </row>
    <row r="180" spans="1:38">
      <c r="A180" s="180"/>
      <c r="B180" s="180" t="s">
        <v>108</v>
      </c>
      <c r="C180" s="181" t="s">
        <v>1691</v>
      </c>
      <c r="D180" s="39">
        <v>100</v>
      </c>
      <c r="E180" s="180" t="s">
        <v>7</v>
      </c>
      <c r="F180" s="39">
        <v>5</v>
      </c>
      <c r="G180" s="39">
        <f>+F180</f>
        <v>5</v>
      </c>
      <c r="H180" s="27">
        <v>43903</v>
      </c>
      <c r="I180" s="180" t="s">
        <v>3238</v>
      </c>
      <c r="J180" s="180" t="s">
        <v>3237</v>
      </c>
      <c r="K180" s="180" t="s">
        <v>2045</v>
      </c>
      <c r="L180" s="180" t="s">
        <v>3236</v>
      </c>
      <c r="M180" s="180">
        <v>2015</v>
      </c>
      <c r="N180" s="180"/>
      <c r="O180" s="180" t="s">
        <v>1007</v>
      </c>
      <c r="P180" s="182" t="s">
        <v>7</v>
      </c>
      <c r="Q180" s="182" t="s">
        <v>3235</v>
      </c>
      <c r="R180" s="182" t="s">
        <v>3234</v>
      </c>
      <c r="S180" s="182" t="s">
        <v>5</v>
      </c>
      <c r="T180" s="182">
        <v>15</v>
      </c>
      <c r="U180" s="182" t="s">
        <v>3233</v>
      </c>
      <c r="V180" s="182" t="s">
        <v>1</v>
      </c>
      <c r="W180" s="182" t="s">
        <v>1</v>
      </c>
      <c r="X180" s="182" t="s">
        <v>1</v>
      </c>
      <c r="Y180" s="182" t="s">
        <v>1</v>
      </c>
      <c r="Z180" s="182" t="s">
        <v>1</v>
      </c>
      <c r="AA180" s="182" t="s">
        <v>1</v>
      </c>
      <c r="AB180" s="180" t="s">
        <v>2055</v>
      </c>
      <c r="AC180" s="180"/>
      <c r="AD180" s="180"/>
      <c r="AE180" s="143" t="s">
        <v>3232</v>
      </c>
      <c r="AF180" s="362">
        <v>5.2030000000000002E-3</v>
      </c>
      <c r="AG180" s="183">
        <v>1.7361111111111112E-2</v>
      </c>
      <c r="AH180" s="353">
        <v>7.1289999999999999E-3</v>
      </c>
      <c r="AI180" s="363">
        <v>0</v>
      </c>
      <c r="AJ180" s="363"/>
      <c r="AK180" s="363"/>
      <c r="AL180" s="364">
        <f t="shared" si="2"/>
        <v>0.37017105516048421</v>
      </c>
    </row>
    <row r="181" spans="1:38">
      <c r="B181" s="72" t="s">
        <v>1082</v>
      </c>
      <c r="C181" s="73" t="s">
        <v>1691</v>
      </c>
      <c r="D181" s="74">
        <v>100</v>
      </c>
      <c r="E181" s="72" t="s">
        <v>5</v>
      </c>
      <c r="F181" s="74">
        <v>25</v>
      </c>
      <c r="H181" s="77">
        <v>44679</v>
      </c>
      <c r="I181" s="72" t="s">
        <v>3141</v>
      </c>
      <c r="J181" s="72" t="s">
        <v>3140</v>
      </c>
      <c r="K181" s="72" t="s">
        <v>2569</v>
      </c>
      <c r="L181" s="72" t="s">
        <v>2056</v>
      </c>
      <c r="M181" s="72">
        <v>2021</v>
      </c>
      <c r="O181" s="72" t="s">
        <v>3139</v>
      </c>
      <c r="P181" s="76" t="s">
        <v>4</v>
      </c>
      <c r="Q181" s="76">
        <v>3</v>
      </c>
      <c r="R181" s="76" t="s">
        <v>3138</v>
      </c>
      <c r="S181" s="72" t="s">
        <v>1</v>
      </c>
      <c r="T181" s="72" t="s">
        <v>1</v>
      </c>
      <c r="U181" s="72" t="s">
        <v>1</v>
      </c>
      <c r="V181" s="72" t="s">
        <v>1</v>
      </c>
      <c r="W181" s="72" t="s">
        <v>1</v>
      </c>
      <c r="X181" s="72" t="s">
        <v>1</v>
      </c>
      <c r="Y181" s="72" t="s">
        <v>1</v>
      </c>
      <c r="Z181" s="72" t="s">
        <v>1</v>
      </c>
      <c r="AA181" s="72" t="s">
        <v>1</v>
      </c>
      <c r="AB181" s="72" t="s">
        <v>3137</v>
      </c>
      <c r="AE181" s="25" t="s">
        <v>5153</v>
      </c>
      <c r="AF181" s="344">
        <v>0</v>
      </c>
      <c r="AG181" s="68">
        <v>0.17569444444444446</v>
      </c>
      <c r="AH181" s="353">
        <v>5.0000000000000001E-3</v>
      </c>
      <c r="AI181" s="337">
        <v>1.8749999999999999E-2</v>
      </c>
      <c r="AJ181" s="337"/>
      <c r="AK181" s="337"/>
      <c r="AL181" s="364"/>
    </row>
    <row r="182" spans="1:38">
      <c r="B182" s="176" t="s">
        <v>3150</v>
      </c>
      <c r="C182" s="184" t="s">
        <v>1691</v>
      </c>
      <c r="D182" s="177">
        <v>100</v>
      </c>
      <c r="E182" s="176" t="s">
        <v>7</v>
      </c>
      <c r="F182" s="177">
        <v>27</v>
      </c>
      <c r="G182" s="177">
        <f>F182+Q182</f>
        <v>38</v>
      </c>
      <c r="H182" s="77">
        <v>44882</v>
      </c>
      <c r="I182" s="176" t="s">
        <v>3149</v>
      </c>
      <c r="J182" s="176" t="s">
        <v>3148</v>
      </c>
      <c r="K182" s="176" t="s">
        <v>2308</v>
      </c>
      <c r="L182" s="176" t="s">
        <v>2290</v>
      </c>
      <c r="M182" s="176">
        <v>2016</v>
      </c>
      <c r="N182" s="176"/>
      <c r="O182" s="176" t="s">
        <v>3147</v>
      </c>
      <c r="P182" s="179" t="s">
        <v>5</v>
      </c>
      <c r="Q182" s="179">
        <v>11</v>
      </c>
      <c r="R182" s="179" t="s">
        <v>3146</v>
      </c>
      <c r="S182" s="179" t="s">
        <v>4</v>
      </c>
      <c r="T182" s="179" t="s">
        <v>1</v>
      </c>
      <c r="U182" s="179" t="s">
        <v>3145</v>
      </c>
      <c r="V182" s="179" t="s">
        <v>1</v>
      </c>
      <c r="W182" s="179" t="s">
        <v>1</v>
      </c>
      <c r="X182" s="179" t="s">
        <v>1</v>
      </c>
      <c r="Y182" s="179" t="s">
        <v>1</v>
      </c>
      <c r="Z182" s="179" t="s">
        <v>1</v>
      </c>
      <c r="AA182" s="179" t="s">
        <v>1</v>
      </c>
      <c r="AB182" s="176" t="s">
        <v>2362</v>
      </c>
      <c r="AC182" s="176"/>
      <c r="AD182" s="176"/>
      <c r="AE182" s="186" t="s">
        <v>5147</v>
      </c>
      <c r="AF182" s="344">
        <v>0.273484</v>
      </c>
      <c r="AG182" s="68">
        <v>0</v>
      </c>
      <c r="AH182" s="353">
        <v>0.45759</v>
      </c>
      <c r="AI182" s="358">
        <v>8.3333333333333329E-2</v>
      </c>
      <c r="AJ182" s="358"/>
      <c r="AK182" s="358"/>
      <c r="AL182" s="364">
        <f>+AH182/AF182-1</f>
        <v>0.67318746252065931</v>
      </c>
    </row>
    <row r="183" spans="1:38">
      <c r="A183" s="176"/>
      <c r="B183" s="176" t="s">
        <v>454</v>
      </c>
      <c r="C183" s="184" t="s">
        <v>1691</v>
      </c>
      <c r="D183" s="178">
        <v>100</v>
      </c>
      <c r="E183" s="176" t="s">
        <v>7</v>
      </c>
      <c r="F183" s="178">
        <v>25</v>
      </c>
      <c r="G183" s="178"/>
      <c r="H183" s="185">
        <v>43972</v>
      </c>
      <c r="I183" s="176" t="s">
        <v>2332</v>
      </c>
      <c r="J183" s="176" t="s">
        <v>3117</v>
      </c>
      <c r="K183" s="176" t="s">
        <v>2045</v>
      </c>
      <c r="L183" s="176" t="s">
        <v>2332</v>
      </c>
      <c r="M183" s="176">
        <v>2016</v>
      </c>
      <c r="N183" s="176"/>
      <c r="O183" s="176" t="s">
        <v>3116</v>
      </c>
      <c r="P183" s="179" t="s">
        <v>5</v>
      </c>
      <c r="Q183" s="179">
        <v>11.5</v>
      </c>
      <c r="R183" s="179" t="s">
        <v>1061</v>
      </c>
      <c r="S183" s="179" t="s">
        <v>1</v>
      </c>
      <c r="T183" s="179" t="s">
        <v>1</v>
      </c>
      <c r="U183" s="179" t="s">
        <v>1</v>
      </c>
      <c r="V183" s="179" t="s">
        <v>1</v>
      </c>
      <c r="W183" s="179" t="s">
        <v>1</v>
      </c>
      <c r="X183" s="179" t="s">
        <v>1</v>
      </c>
      <c r="Y183" s="179" t="s">
        <v>1</v>
      </c>
      <c r="Z183" s="179" t="s">
        <v>1</v>
      </c>
      <c r="AA183" s="179" t="s">
        <v>1</v>
      </c>
      <c r="AB183" s="176" t="s">
        <v>2277</v>
      </c>
      <c r="AC183" s="176"/>
      <c r="AD183" s="176"/>
      <c r="AE183" s="25" t="s">
        <v>5170</v>
      </c>
      <c r="AF183" s="344">
        <v>0</v>
      </c>
      <c r="AG183" s="68">
        <v>0</v>
      </c>
      <c r="AH183" s="353">
        <v>5.0000000000000001E-3</v>
      </c>
      <c r="AI183" s="358">
        <v>2.7777777777777779E-3</v>
      </c>
      <c r="AJ183" s="358"/>
      <c r="AK183" s="358"/>
      <c r="AL183" s="364"/>
    </row>
    <row r="184" spans="1:38">
      <c r="B184" s="72" t="s">
        <v>860</v>
      </c>
      <c r="C184" s="73" t="s">
        <v>1691</v>
      </c>
      <c r="D184" s="74">
        <v>100</v>
      </c>
      <c r="E184" s="72" t="s">
        <v>7</v>
      </c>
      <c r="F184" s="74">
        <v>25</v>
      </c>
      <c r="H184" s="77">
        <v>44636</v>
      </c>
      <c r="I184" s="72" t="s">
        <v>3127</v>
      </c>
      <c r="J184" s="72" t="s">
        <v>3126</v>
      </c>
      <c r="K184" s="72" t="s">
        <v>2569</v>
      </c>
      <c r="L184" s="72" t="s">
        <v>2056</v>
      </c>
      <c r="M184" s="84" t="s">
        <v>2982</v>
      </c>
      <c r="O184" s="72" t="s">
        <v>3125</v>
      </c>
      <c r="P184" s="76" t="s">
        <v>5</v>
      </c>
      <c r="Q184" s="76">
        <v>12.2</v>
      </c>
      <c r="R184" s="76" t="s">
        <v>3124</v>
      </c>
      <c r="S184" s="76" t="s">
        <v>4</v>
      </c>
      <c r="T184" s="76">
        <v>5.0999999999999996</v>
      </c>
      <c r="U184" s="76" t="s">
        <v>3123</v>
      </c>
      <c r="V184" s="76" t="s">
        <v>1</v>
      </c>
      <c r="W184" s="72" t="s">
        <v>1</v>
      </c>
      <c r="X184" s="72" t="s">
        <v>1</v>
      </c>
      <c r="Y184" s="72" t="s">
        <v>1</v>
      </c>
      <c r="Z184" s="72" t="s">
        <v>1</v>
      </c>
      <c r="AA184" s="72" t="s">
        <v>1</v>
      </c>
      <c r="AB184" s="72" t="s">
        <v>3122</v>
      </c>
      <c r="AE184" s="25" t="s">
        <v>5156</v>
      </c>
      <c r="AF184" s="344">
        <v>1.5440000000000001E-2</v>
      </c>
      <c r="AG184" s="68">
        <v>0.47638888888888892</v>
      </c>
      <c r="AH184" s="353">
        <v>3.5591999999999999E-2</v>
      </c>
      <c r="AI184" s="337">
        <v>6.0416666666666667E-2</v>
      </c>
      <c r="AJ184" s="337"/>
      <c r="AK184" s="337"/>
      <c r="AL184" s="364">
        <f>+AH184/AF184-1</f>
        <v>1.3051813471502589</v>
      </c>
    </row>
    <row r="185" spans="1:38" s="176" customFormat="1">
      <c r="B185" s="176" t="s">
        <v>128</v>
      </c>
      <c r="C185" s="184" t="s">
        <v>1691</v>
      </c>
      <c r="D185" s="178">
        <v>100</v>
      </c>
      <c r="E185" s="176" t="s">
        <v>7</v>
      </c>
      <c r="F185" s="178">
        <v>23.5</v>
      </c>
      <c r="G185" s="178"/>
      <c r="H185" s="185">
        <v>45008</v>
      </c>
      <c r="I185" s="176" t="s">
        <v>3110</v>
      </c>
      <c r="J185" s="176" t="s">
        <v>3109</v>
      </c>
      <c r="K185" s="176" t="s">
        <v>2045</v>
      </c>
      <c r="L185" s="176" t="s">
        <v>3108</v>
      </c>
      <c r="M185" s="176">
        <v>2019</v>
      </c>
      <c r="O185" s="176" t="s">
        <v>3107</v>
      </c>
      <c r="P185" s="179" t="s">
        <v>5</v>
      </c>
      <c r="Q185" s="179">
        <v>16</v>
      </c>
      <c r="R185" s="179" t="s">
        <v>3106</v>
      </c>
      <c r="S185" s="179" t="s">
        <v>4</v>
      </c>
      <c r="T185" s="179">
        <v>5</v>
      </c>
      <c r="U185" s="179" t="s">
        <v>3105</v>
      </c>
      <c r="V185" s="179" t="s">
        <v>1</v>
      </c>
      <c r="W185" s="179" t="s">
        <v>1</v>
      </c>
      <c r="X185" s="179" t="s">
        <v>1</v>
      </c>
      <c r="Y185" s="179" t="s">
        <v>1</v>
      </c>
      <c r="Z185" s="179" t="s">
        <v>1</v>
      </c>
      <c r="AA185" s="179" t="s">
        <v>1</v>
      </c>
      <c r="AB185" s="176" t="s">
        <v>2152</v>
      </c>
      <c r="AE185" s="25" t="s">
        <v>3104</v>
      </c>
      <c r="AF185" s="339">
        <v>5.8803000000000001E-2</v>
      </c>
      <c r="AG185" s="62">
        <v>8.0555555555555561E-2</v>
      </c>
      <c r="AH185" s="353">
        <v>4.2221000000000002E-2</v>
      </c>
      <c r="AI185" s="358">
        <v>0.1701388888888889</v>
      </c>
      <c r="AJ185" s="358"/>
      <c r="AK185" s="358"/>
      <c r="AL185" s="364">
        <f>+AH185/AF185-1</f>
        <v>-0.28199241535295816</v>
      </c>
    </row>
    <row r="186" spans="1:38">
      <c r="A186" s="176"/>
      <c r="B186" s="176" t="s">
        <v>986</v>
      </c>
      <c r="C186" s="184" t="s">
        <v>1691</v>
      </c>
      <c r="D186" s="178">
        <v>100</v>
      </c>
      <c r="E186" s="176" t="s">
        <v>5</v>
      </c>
      <c r="F186" s="178">
        <v>25</v>
      </c>
      <c r="G186" s="178"/>
      <c r="H186" s="185">
        <v>44615</v>
      </c>
      <c r="I186" s="176" t="s">
        <v>3121</v>
      </c>
      <c r="J186" s="176" t="s">
        <v>3120</v>
      </c>
      <c r="K186" s="176" t="s">
        <v>2569</v>
      </c>
      <c r="L186" s="176" t="s">
        <v>2056</v>
      </c>
      <c r="M186" s="188">
        <v>43709</v>
      </c>
      <c r="N186" s="176"/>
      <c r="O186" s="176" t="s">
        <v>3119</v>
      </c>
      <c r="P186" s="179" t="s">
        <v>4</v>
      </c>
      <c r="Q186" s="179">
        <v>5</v>
      </c>
      <c r="R186" s="179" t="s">
        <v>3118</v>
      </c>
      <c r="S186" s="179" t="s">
        <v>1</v>
      </c>
      <c r="T186" s="179" t="s">
        <v>1</v>
      </c>
      <c r="U186" s="179" t="s">
        <v>1</v>
      </c>
      <c r="V186" s="179" t="s">
        <v>1</v>
      </c>
      <c r="W186" s="179" t="s">
        <v>1</v>
      </c>
      <c r="X186" s="179" t="s">
        <v>1</v>
      </c>
      <c r="Y186" s="179" t="s">
        <v>1</v>
      </c>
      <c r="Z186" s="179" t="s">
        <v>1</v>
      </c>
      <c r="AA186" s="179" t="s">
        <v>1</v>
      </c>
      <c r="AB186" s="176" t="s">
        <v>2078</v>
      </c>
      <c r="AC186" s="176"/>
      <c r="AD186" s="176"/>
      <c r="AE186" s="25" t="s">
        <v>5157</v>
      </c>
      <c r="AF186" s="344">
        <v>1.4638E-2</v>
      </c>
      <c r="AG186" s="68">
        <v>5.1388888888888894E-2</v>
      </c>
      <c r="AH186" s="353">
        <v>2.5014000000000002E-2</v>
      </c>
      <c r="AI186" s="358">
        <v>4.3749999999999997E-2</v>
      </c>
      <c r="AJ186" s="358"/>
      <c r="AK186" s="358"/>
      <c r="AL186" s="364">
        <f t="shared" si="2"/>
        <v>0.70884000546522752</v>
      </c>
    </row>
    <row r="187" spans="1:38" s="12" customFormat="1">
      <c r="A187" s="72"/>
      <c r="B187" s="72" t="s">
        <v>3269</v>
      </c>
      <c r="C187" s="73" t="s">
        <v>1691</v>
      </c>
      <c r="D187" s="74">
        <v>100</v>
      </c>
      <c r="E187" s="72" t="s">
        <v>5</v>
      </c>
      <c r="F187" s="74">
        <v>50</v>
      </c>
      <c r="G187" s="74">
        <f>+F187</f>
        <v>50</v>
      </c>
      <c r="H187" s="27">
        <v>44475</v>
      </c>
      <c r="I187" s="72" t="s">
        <v>3268</v>
      </c>
      <c r="J187" s="72" t="s">
        <v>3267</v>
      </c>
      <c r="K187" s="72" t="s">
        <v>2045</v>
      </c>
      <c r="L187" s="72" t="s">
        <v>2355</v>
      </c>
      <c r="M187" s="83">
        <v>44440</v>
      </c>
      <c r="N187" s="72" t="s">
        <v>5114</v>
      </c>
      <c r="O187" s="72" t="s">
        <v>3266</v>
      </c>
      <c r="P187" s="76" t="s">
        <v>1</v>
      </c>
      <c r="Q187" s="76" t="s">
        <v>1</v>
      </c>
      <c r="R187" s="76" t="s">
        <v>1</v>
      </c>
      <c r="S187" s="76" t="s">
        <v>1</v>
      </c>
      <c r="T187" s="76" t="s">
        <v>1</v>
      </c>
      <c r="U187" s="76" t="s">
        <v>1</v>
      </c>
      <c r="V187" s="76" t="s">
        <v>1</v>
      </c>
      <c r="W187" s="76" t="s">
        <v>1</v>
      </c>
      <c r="X187" s="76" t="s">
        <v>1</v>
      </c>
      <c r="Y187" s="76" t="s">
        <v>1</v>
      </c>
      <c r="Z187" s="76" t="s">
        <v>1</v>
      </c>
      <c r="AA187" s="76" t="s">
        <v>1</v>
      </c>
      <c r="AB187" s="72" t="s">
        <v>2055</v>
      </c>
      <c r="AC187" s="72"/>
      <c r="AD187" s="72"/>
      <c r="AE187" s="25" t="s">
        <v>5112</v>
      </c>
      <c r="AF187" s="344">
        <v>1.3875999999999999E-2</v>
      </c>
      <c r="AG187" s="68">
        <v>2.4305555555555556E-2</v>
      </c>
      <c r="AH187" s="353">
        <v>1.2244E-2</v>
      </c>
      <c r="AI187" s="337">
        <v>3.2638888888888891E-2</v>
      </c>
      <c r="AJ187" s="337"/>
      <c r="AK187" s="337"/>
      <c r="AL187" s="364">
        <f t="shared" si="2"/>
        <v>-0.11761314499855868</v>
      </c>
    </row>
    <row r="188" spans="1:38">
      <c r="B188" s="72" t="s">
        <v>3223</v>
      </c>
      <c r="C188" s="73" t="s">
        <v>1691</v>
      </c>
      <c r="D188" s="74">
        <v>100</v>
      </c>
      <c r="E188" s="72" t="s">
        <v>5</v>
      </c>
      <c r="F188" s="74">
        <v>30</v>
      </c>
      <c r="G188" s="74">
        <f>+F188+Q188</f>
        <v>34</v>
      </c>
      <c r="H188" s="77">
        <v>44914</v>
      </c>
      <c r="I188" s="72" t="s">
        <v>3222</v>
      </c>
      <c r="J188" s="72" t="s">
        <v>3221</v>
      </c>
      <c r="K188" s="72" t="s">
        <v>2308</v>
      </c>
      <c r="L188" s="72" t="s">
        <v>3220</v>
      </c>
      <c r="M188" s="84" t="s">
        <v>3129</v>
      </c>
      <c r="O188" s="72" t="s">
        <v>3219</v>
      </c>
      <c r="P188" s="76" t="s">
        <v>4</v>
      </c>
      <c r="Q188" s="76">
        <v>4</v>
      </c>
      <c r="R188" s="76" t="s">
        <v>3218</v>
      </c>
      <c r="S188" s="76" t="s">
        <v>1</v>
      </c>
      <c r="T188" s="76" t="s">
        <v>1</v>
      </c>
      <c r="U188" s="76" t="s">
        <v>1</v>
      </c>
      <c r="V188" s="76" t="s">
        <v>1</v>
      </c>
      <c r="W188" s="76" t="s">
        <v>1</v>
      </c>
      <c r="X188" s="76" t="s">
        <v>1</v>
      </c>
      <c r="Y188" s="76" t="s">
        <v>1</v>
      </c>
      <c r="Z188" s="76" t="s">
        <v>1</v>
      </c>
      <c r="AA188" s="76" t="s">
        <v>1</v>
      </c>
      <c r="AB188" s="72" t="s">
        <v>2078</v>
      </c>
      <c r="AE188" s="25" t="s">
        <v>5124</v>
      </c>
      <c r="AF188" s="344">
        <v>0.27698</v>
      </c>
      <c r="AG188" s="68">
        <v>9.375E-2</v>
      </c>
      <c r="AH188" s="353">
        <v>0.21010899999999999</v>
      </c>
      <c r="AI188" s="337">
        <v>6.0416666666666667E-2</v>
      </c>
      <c r="AJ188" s="337"/>
      <c r="AK188" s="337"/>
      <c r="AL188" s="364">
        <f t="shared" si="2"/>
        <v>-0.24142898404216917</v>
      </c>
    </row>
    <row r="189" spans="1:38" s="274" customFormat="1">
      <c r="B189" s="392" t="s">
        <v>9711</v>
      </c>
      <c r="C189" s="393" t="s">
        <v>1691</v>
      </c>
      <c r="D189" s="324">
        <v>100</v>
      </c>
      <c r="E189" s="392" t="s">
        <v>5</v>
      </c>
      <c r="F189" s="324">
        <v>23</v>
      </c>
      <c r="G189" s="324">
        <f>+F189+Q189</f>
        <v>30</v>
      </c>
      <c r="H189" s="325">
        <v>45209</v>
      </c>
      <c r="I189" s="392" t="s">
        <v>9716</v>
      </c>
      <c r="J189" s="392" t="s">
        <v>9712</v>
      </c>
      <c r="K189" s="392" t="s">
        <v>2045</v>
      </c>
      <c r="L189" s="392" t="s">
        <v>2056</v>
      </c>
      <c r="M189" s="274">
        <v>2021</v>
      </c>
      <c r="N189" s="392" t="s">
        <v>9714</v>
      </c>
      <c r="O189" s="392" t="s">
        <v>9717</v>
      </c>
      <c r="P189" s="392" t="s">
        <v>4</v>
      </c>
      <c r="Q189" s="274">
        <v>7</v>
      </c>
      <c r="R189" s="392" t="s">
        <v>9726</v>
      </c>
      <c r="S189" s="392" t="s">
        <v>1</v>
      </c>
      <c r="T189" s="392" t="s">
        <v>1</v>
      </c>
      <c r="U189" s="392" t="s">
        <v>1</v>
      </c>
      <c r="V189" s="392" t="s">
        <v>1</v>
      </c>
      <c r="W189" s="392" t="s">
        <v>1</v>
      </c>
      <c r="X189" s="392" t="s">
        <v>1</v>
      </c>
      <c r="Y189" s="392" t="s">
        <v>1</v>
      </c>
      <c r="Z189" s="392" t="s">
        <v>1</v>
      </c>
      <c r="AA189" s="392" t="s">
        <v>1</v>
      </c>
      <c r="AB189" s="392" t="s">
        <v>6598</v>
      </c>
      <c r="AC189" s="392" t="s">
        <v>6606</v>
      </c>
      <c r="AD189" s="392" t="s">
        <v>6606</v>
      </c>
      <c r="AE189" s="25" t="s">
        <v>9713</v>
      </c>
    </row>
    <row r="190" spans="1:38">
      <c r="A190" s="176"/>
      <c r="B190" s="176" t="s">
        <v>3077</v>
      </c>
      <c r="C190" s="184" t="s">
        <v>1691</v>
      </c>
      <c r="D190" s="178">
        <v>100</v>
      </c>
      <c r="E190" s="176" t="s">
        <v>5</v>
      </c>
      <c r="F190" s="178">
        <v>20</v>
      </c>
      <c r="G190" s="178"/>
      <c r="H190" s="185">
        <v>43818</v>
      </c>
      <c r="I190" s="176" t="s">
        <v>2877</v>
      </c>
      <c r="J190" s="176" t="s">
        <v>3076</v>
      </c>
      <c r="K190" s="176" t="s">
        <v>2045</v>
      </c>
      <c r="L190" s="176" t="s">
        <v>2850</v>
      </c>
      <c r="M190" s="176">
        <v>2013</v>
      </c>
      <c r="N190" s="176"/>
      <c r="O190" s="176" t="s">
        <v>3075</v>
      </c>
      <c r="P190" s="179" t="s">
        <v>1</v>
      </c>
      <c r="Q190" s="179" t="s">
        <v>1</v>
      </c>
      <c r="R190" s="179" t="s">
        <v>1</v>
      </c>
      <c r="S190" s="179" t="s">
        <v>1</v>
      </c>
      <c r="T190" s="179" t="s">
        <v>1</v>
      </c>
      <c r="U190" s="179" t="s">
        <v>1</v>
      </c>
      <c r="V190" s="179" t="s">
        <v>1</v>
      </c>
      <c r="W190" s="179" t="s">
        <v>1</v>
      </c>
      <c r="X190" s="179" t="s">
        <v>1</v>
      </c>
      <c r="Y190" s="179" t="s">
        <v>1</v>
      </c>
      <c r="Z190" s="179" t="s">
        <v>1</v>
      </c>
      <c r="AA190" s="179" t="s">
        <v>1</v>
      </c>
      <c r="AB190" s="176" t="s">
        <v>3074</v>
      </c>
      <c r="AC190" s="176"/>
      <c r="AD190" s="176"/>
      <c r="AE190" s="25" t="s">
        <v>5177</v>
      </c>
      <c r="AF190" s="344">
        <v>3.9455999999999998E-2</v>
      </c>
      <c r="AG190" s="68">
        <v>0.16805555555555554</v>
      </c>
      <c r="AH190" s="353">
        <v>7.3263999999999996E-2</v>
      </c>
      <c r="AI190" s="358">
        <v>0.19236111111111112</v>
      </c>
      <c r="AJ190" s="358"/>
      <c r="AK190" s="358"/>
      <c r="AL190" s="364">
        <f t="shared" si="2"/>
        <v>0.85685320356853212</v>
      </c>
    </row>
    <row r="191" spans="1:38">
      <c r="B191" s="12" t="s">
        <v>3163</v>
      </c>
      <c r="C191" s="29" t="s">
        <v>1691</v>
      </c>
      <c r="D191" s="15">
        <v>100</v>
      </c>
      <c r="E191" s="12" t="s">
        <v>5</v>
      </c>
      <c r="F191" s="15">
        <v>25</v>
      </c>
      <c r="G191" s="74">
        <f>+F191</f>
        <v>25</v>
      </c>
      <c r="H191" s="14">
        <v>44013</v>
      </c>
      <c r="I191" s="12" t="s">
        <v>3144</v>
      </c>
      <c r="J191" s="12" t="s">
        <v>3162</v>
      </c>
      <c r="K191" s="12" t="s">
        <v>2569</v>
      </c>
      <c r="L191" s="12" t="s">
        <v>2056</v>
      </c>
      <c r="M191" s="35" t="s">
        <v>3129</v>
      </c>
      <c r="O191" s="72" t="s">
        <v>1</v>
      </c>
      <c r="P191" s="72" t="s">
        <v>1</v>
      </c>
      <c r="Q191" s="72" t="s">
        <v>1</v>
      </c>
      <c r="R191" s="72" t="s">
        <v>1</v>
      </c>
      <c r="S191" s="72" t="s">
        <v>1</v>
      </c>
      <c r="T191" s="72" t="s">
        <v>1</v>
      </c>
      <c r="U191" s="72" t="s">
        <v>1</v>
      </c>
      <c r="V191" s="72" t="s">
        <v>1</v>
      </c>
      <c r="W191" s="72" t="s">
        <v>1</v>
      </c>
      <c r="X191" s="72" t="s">
        <v>1</v>
      </c>
      <c r="Y191" s="72" t="s">
        <v>1</v>
      </c>
      <c r="Z191" s="72" t="s">
        <v>1</v>
      </c>
      <c r="AA191" s="72" t="s">
        <v>1</v>
      </c>
      <c r="AB191" s="72" t="s">
        <v>2362</v>
      </c>
      <c r="AE191" s="25" t="s">
        <v>5145</v>
      </c>
      <c r="AF191" s="344">
        <v>2.2461999999999999E-2</v>
      </c>
      <c r="AG191" s="68">
        <v>3.0555555555555555E-2</v>
      </c>
      <c r="AH191" s="353">
        <v>3.8792E-2</v>
      </c>
      <c r="AI191" s="337">
        <v>0.1361111111111111</v>
      </c>
      <c r="AJ191" s="337"/>
      <c r="AK191" s="337"/>
      <c r="AL191" s="364">
        <f t="shared" si="2"/>
        <v>0.72700560947377801</v>
      </c>
    </row>
    <row r="192" spans="1:38" s="152" customFormat="1">
      <c r="A192" s="72"/>
      <c r="B192" s="72" t="s">
        <v>3195</v>
      </c>
      <c r="C192" s="73" t="s">
        <v>1691</v>
      </c>
      <c r="D192" s="74">
        <v>100</v>
      </c>
      <c r="E192" s="72" t="s">
        <v>5</v>
      </c>
      <c r="F192" s="74">
        <v>28</v>
      </c>
      <c r="G192" s="74">
        <f>+F192</f>
        <v>28</v>
      </c>
      <c r="H192" s="27">
        <v>44442</v>
      </c>
      <c r="I192" s="72" t="s">
        <v>3194</v>
      </c>
      <c r="J192" s="72"/>
      <c r="K192" s="72" t="s">
        <v>3193</v>
      </c>
      <c r="L192" s="72" t="s">
        <v>3193</v>
      </c>
      <c r="M192" s="84" t="s">
        <v>3129</v>
      </c>
      <c r="N192" s="72"/>
      <c r="O192" s="72" t="s">
        <v>3192</v>
      </c>
      <c r="P192" s="76" t="s">
        <v>1</v>
      </c>
      <c r="Q192" s="76" t="s">
        <v>1</v>
      </c>
      <c r="R192" s="76" t="s">
        <v>1</v>
      </c>
      <c r="S192" s="76" t="s">
        <v>1</v>
      </c>
      <c r="T192" s="76" t="s">
        <v>1</v>
      </c>
      <c r="U192" s="76" t="s">
        <v>1</v>
      </c>
      <c r="V192" s="76" t="s">
        <v>1</v>
      </c>
      <c r="W192" s="76" t="s">
        <v>1</v>
      </c>
      <c r="X192" s="76" t="s">
        <v>1</v>
      </c>
      <c r="Y192" s="76" t="s">
        <v>1</v>
      </c>
      <c r="Z192" s="76" t="s">
        <v>1</v>
      </c>
      <c r="AA192" s="76" t="s">
        <v>1</v>
      </c>
      <c r="AB192" s="72" t="s">
        <v>2268</v>
      </c>
      <c r="AC192" s="72"/>
      <c r="AD192" s="72"/>
      <c r="AE192" s="25" t="s">
        <v>5136</v>
      </c>
      <c r="AF192" s="344">
        <v>2.2341E-2</v>
      </c>
      <c r="AG192" s="68">
        <v>3.8194444444444441E-2</v>
      </c>
      <c r="AH192" s="353">
        <v>1.6976000000000002E-2</v>
      </c>
      <c r="AI192" s="337">
        <v>8.6805555555555552E-2</v>
      </c>
      <c r="AJ192" s="337"/>
      <c r="AK192" s="337"/>
      <c r="AL192" s="364">
        <f t="shared" si="2"/>
        <v>-0.24014144398191661</v>
      </c>
    </row>
    <row r="193" spans="1:38">
      <c r="B193" s="72" t="s">
        <v>1145</v>
      </c>
      <c r="C193" s="73" t="s">
        <v>1691</v>
      </c>
      <c r="D193" s="74">
        <v>100</v>
      </c>
      <c r="E193" s="72" t="s">
        <v>4</v>
      </c>
      <c r="F193" s="74">
        <v>50</v>
      </c>
      <c r="G193" s="74">
        <f>+F193</f>
        <v>50</v>
      </c>
      <c r="H193" s="77">
        <v>45062</v>
      </c>
      <c r="I193" s="72" t="s">
        <v>3289</v>
      </c>
      <c r="J193" s="72" t="s">
        <v>3288</v>
      </c>
      <c r="K193" s="32" t="s">
        <v>2045</v>
      </c>
      <c r="L193" s="32" t="s">
        <v>2062</v>
      </c>
      <c r="M193" s="86" t="s">
        <v>3287</v>
      </c>
      <c r="O193" s="72" t="s">
        <v>3286</v>
      </c>
      <c r="P193" s="76" t="s">
        <v>1</v>
      </c>
      <c r="Q193" s="76" t="s">
        <v>1</v>
      </c>
      <c r="R193" s="76" t="s">
        <v>1</v>
      </c>
      <c r="S193" s="76" t="s">
        <v>1</v>
      </c>
      <c r="T193" s="76" t="s">
        <v>1</v>
      </c>
      <c r="U193" s="76" t="s">
        <v>1</v>
      </c>
      <c r="V193" s="76" t="s">
        <v>1</v>
      </c>
      <c r="W193" s="76" t="s">
        <v>1</v>
      </c>
      <c r="X193" s="76" t="s">
        <v>1</v>
      </c>
      <c r="Y193" s="76" t="s">
        <v>1</v>
      </c>
      <c r="Z193" s="76" t="s">
        <v>1</v>
      </c>
      <c r="AA193" s="76" t="s">
        <v>1</v>
      </c>
      <c r="AB193" s="72" t="s">
        <v>3285</v>
      </c>
      <c r="AE193" s="25" t="s">
        <v>5107</v>
      </c>
      <c r="AF193" s="344">
        <v>1.9050000000000001E-2</v>
      </c>
      <c r="AG193" s="68">
        <v>0.11319444444444444</v>
      </c>
      <c r="AH193" s="353">
        <v>1.1067E-2</v>
      </c>
      <c r="AI193" s="337">
        <v>9.7916666666666666E-2</v>
      </c>
      <c r="AJ193" s="337"/>
      <c r="AK193" s="337"/>
      <c r="AL193" s="364">
        <f t="shared" si="2"/>
        <v>-0.41905511811023621</v>
      </c>
    </row>
    <row r="194" spans="1:38">
      <c r="B194" s="72" t="s">
        <v>689</v>
      </c>
      <c r="C194" s="73" t="s">
        <v>1691</v>
      </c>
      <c r="D194" s="74">
        <v>100</v>
      </c>
      <c r="E194" s="72" t="s">
        <v>5</v>
      </c>
      <c r="F194" s="74">
        <f>12.2+16.3</f>
        <v>28.5</v>
      </c>
      <c r="G194" s="74">
        <f>+F194</f>
        <v>28.5</v>
      </c>
      <c r="H194" s="77">
        <v>45077</v>
      </c>
      <c r="I194" s="72" t="s">
        <v>3161</v>
      </c>
      <c r="J194" s="72" t="s">
        <v>3160</v>
      </c>
      <c r="K194" s="72" t="s">
        <v>2045</v>
      </c>
      <c r="L194" s="72" t="s">
        <v>2056</v>
      </c>
      <c r="M194" s="72">
        <v>2021</v>
      </c>
      <c r="O194" s="72" t="s">
        <v>3159</v>
      </c>
      <c r="P194" s="76" t="s">
        <v>1</v>
      </c>
      <c r="Q194" s="76" t="s">
        <v>1</v>
      </c>
      <c r="R194" s="76" t="s">
        <v>1</v>
      </c>
      <c r="S194" s="76" t="s">
        <v>1</v>
      </c>
      <c r="T194" s="76" t="s">
        <v>1</v>
      </c>
      <c r="U194" s="76" t="s">
        <v>1</v>
      </c>
      <c r="V194" s="76" t="s">
        <v>1</v>
      </c>
      <c r="W194" s="76" t="s">
        <v>1</v>
      </c>
      <c r="X194" s="76" t="s">
        <v>1</v>
      </c>
      <c r="Y194" s="76" t="s">
        <v>1</v>
      </c>
      <c r="Z194" s="76" t="s">
        <v>1</v>
      </c>
      <c r="AA194" s="76" t="s">
        <v>1</v>
      </c>
      <c r="AB194" s="72" t="s">
        <v>2362</v>
      </c>
      <c r="AE194" s="25" t="s">
        <v>5146</v>
      </c>
      <c r="AF194" s="344">
        <v>1.7419E-2</v>
      </c>
      <c r="AG194" s="68">
        <v>0.11666666666666665</v>
      </c>
      <c r="AH194" s="353">
        <v>4.5483999999999997E-2</v>
      </c>
      <c r="AI194" s="337">
        <v>1.8749999999999999E-2</v>
      </c>
      <c r="AJ194" s="337"/>
      <c r="AK194" s="337"/>
      <c r="AL194" s="364">
        <f t="shared" si="2"/>
        <v>1.6111717090533322</v>
      </c>
    </row>
    <row r="195" spans="1:38">
      <c r="A195" s="176"/>
      <c r="B195" s="176" t="s">
        <v>5151</v>
      </c>
      <c r="C195" s="184" t="s">
        <v>1691</v>
      </c>
      <c r="D195" s="177">
        <v>100</v>
      </c>
      <c r="E195" s="176" t="s">
        <v>5</v>
      </c>
      <c r="F195" s="177">
        <v>25</v>
      </c>
      <c r="G195" s="177">
        <f>F195</f>
        <v>25</v>
      </c>
      <c r="H195" s="77">
        <v>44699</v>
      </c>
      <c r="I195" s="176" t="s">
        <v>3144</v>
      </c>
      <c r="J195" s="176" t="s">
        <v>3143</v>
      </c>
      <c r="K195" s="176" t="s">
        <v>2569</v>
      </c>
      <c r="L195" s="176" t="s">
        <v>2056</v>
      </c>
      <c r="M195" s="187" t="s">
        <v>2982</v>
      </c>
      <c r="N195" s="176"/>
      <c r="O195" s="176" t="s">
        <v>3142</v>
      </c>
      <c r="P195" s="176" t="s">
        <v>1</v>
      </c>
      <c r="Q195" s="176" t="s">
        <v>1</v>
      </c>
      <c r="R195" s="176" t="s">
        <v>1</v>
      </c>
      <c r="S195" s="176" t="s">
        <v>1</v>
      </c>
      <c r="T195" s="176" t="s">
        <v>1</v>
      </c>
      <c r="U195" s="176" t="s">
        <v>1</v>
      </c>
      <c r="V195" s="176" t="s">
        <v>1</v>
      </c>
      <c r="W195" s="176" t="s">
        <v>1</v>
      </c>
      <c r="X195" s="176" t="s">
        <v>1</v>
      </c>
      <c r="Y195" s="176" t="s">
        <v>1</v>
      </c>
      <c r="Z195" s="176" t="s">
        <v>1</v>
      </c>
      <c r="AA195" s="176" t="s">
        <v>1</v>
      </c>
      <c r="AB195" s="176" t="s">
        <v>2362</v>
      </c>
      <c r="AC195" s="176"/>
      <c r="AD195" s="176"/>
      <c r="AE195" s="186" t="s">
        <v>5152</v>
      </c>
      <c r="AF195" s="344">
        <v>1.2933E-2</v>
      </c>
      <c r="AG195" s="68">
        <v>0</v>
      </c>
      <c r="AH195" s="353">
        <v>1.5520000000000001E-2</v>
      </c>
      <c r="AI195" s="358">
        <v>9.2361111111111116E-2</v>
      </c>
      <c r="AJ195" s="358"/>
      <c r="AK195" s="358"/>
      <c r="AL195" s="364">
        <f t="shared" si="2"/>
        <v>0.2000309286321813</v>
      </c>
    </row>
    <row r="196" spans="1:38">
      <c r="B196" s="72" t="s">
        <v>3165</v>
      </c>
      <c r="C196" s="73" t="s">
        <v>1691</v>
      </c>
      <c r="D196" s="74">
        <v>100</v>
      </c>
      <c r="E196" s="72" t="s">
        <v>1</v>
      </c>
      <c r="F196" s="74">
        <v>26</v>
      </c>
      <c r="G196" s="74">
        <f>+F196</f>
        <v>26</v>
      </c>
      <c r="H196" s="27">
        <v>43852</v>
      </c>
      <c r="I196" s="72" t="s">
        <v>3164</v>
      </c>
      <c r="K196" s="72" t="s">
        <v>2045</v>
      </c>
      <c r="L196" s="72" t="s">
        <v>2230</v>
      </c>
      <c r="M196" s="84">
        <v>43374</v>
      </c>
      <c r="O196" s="72" t="s">
        <v>1</v>
      </c>
      <c r="P196" s="72" t="s">
        <v>1</v>
      </c>
      <c r="Q196" s="72" t="s">
        <v>1</v>
      </c>
      <c r="R196" s="72" t="s">
        <v>1</v>
      </c>
      <c r="S196" s="72" t="s">
        <v>1</v>
      </c>
      <c r="T196" s="72" t="s">
        <v>1</v>
      </c>
      <c r="U196" s="72" t="s">
        <v>1</v>
      </c>
      <c r="V196" s="72" t="s">
        <v>1</v>
      </c>
      <c r="W196" s="72" t="s">
        <v>1</v>
      </c>
      <c r="X196" s="72" t="s">
        <v>1</v>
      </c>
      <c r="Y196" s="72" t="s">
        <v>1</v>
      </c>
      <c r="Z196" s="72" t="s">
        <v>1</v>
      </c>
      <c r="AA196" s="72" t="s">
        <v>1</v>
      </c>
      <c r="AB196" s="72" t="s">
        <v>2362</v>
      </c>
      <c r="AE196" s="25" t="s">
        <v>5144</v>
      </c>
      <c r="AF196" s="344">
        <v>1.2711999999999999E-2</v>
      </c>
      <c r="AG196" s="68">
        <v>2.013888888888889E-2</v>
      </c>
      <c r="AH196" s="353">
        <v>5.0000000000000001E-3</v>
      </c>
      <c r="AI196" s="337">
        <v>6.1111111111111109E-2</v>
      </c>
      <c r="AJ196" s="337"/>
      <c r="AK196" s="337"/>
      <c r="AL196" s="364">
        <f t="shared" si="2"/>
        <v>-0.60667086217747013</v>
      </c>
    </row>
    <row r="197" spans="1:38">
      <c r="A197" s="176"/>
      <c r="B197" s="176" t="s">
        <v>730</v>
      </c>
      <c r="C197" s="184" t="s">
        <v>1691</v>
      </c>
      <c r="D197" s="178">
        <v>100</v>
      </c>
      <c r="E197" s="176" t="s">
        <v>5</v>
      </c>
      <c r="F197" s="178">
        <v>25</v>
      </c>
      <c r="G197" s="178"/>
      <c r="H197" s="185">
        <v>44757</v>
      </c>
      <c r="I197" s="176" t="s">
        <v>3098</v>
      </c>
      <c r="J197" s="176"/>
      <c r="K197" s="176" t="s">
        <v>2045</v>
      </c>
      <c r="L197" s="176" t="s">
        <v>3097</v>
      </c>
      <c r="M197" s="188" t="s">
        <v>2982</v>
      </c>
      <c r="N197" s="176"/>
      <c r="O197" s="176" t="s">
        <v>3096</v>
      </c>
      <c r="P197" s="179" t="s">
        <v>4</v>
      </c>
      <c r="Q197" s="179">
        <v>4</v>
      </c>
      <c r="R197" s="179" t="s">
        <v>3095</v>
      </c>
      <c r="S197" s="179" t="s">
        <v>4</v>
      </c>
      <c r="T197" s="179">
        <v>1.5</v>
      </c>
      <c r="U197" s="179" t="s">
        <v>3094</v>
      </c>
      <c r="V197" s="179" t="s">
        <v>1</v>
      </c>
      <c r="W197" s="179" t="s">
        <v>1</v>
      </c>
      <c r="X197" s="179" t="s">
        <v>1</v>
      </c>
      <c r="Y197" s="179" t="s">
        <v>1</v>
      </c>
      <c r="Z197" s="179" t="s">
        <v>1</v>
      </c>
      <c r="AA197" s="179" t="s">
        <v>1</v>
      </c>
      <c r="AB197" s="176" t="s">
        <v>2900</v>
      </c>
      <c r="AC197" s="176"/>
      <c r="AD197" s="176"/>
      <c r="AE197" s="25" t="s">
        <v>5174</v>
      </c>
      <c r="AF197" s="344">
        <v>1.0973999999999999E-2</v>
      </c>
      <c r="AG197" s="68">
        <v>3.6111111111111115E-2</v>
      </c>
      <c r="AH197" s="353">
        <v>5.0000000000000001E-3</v>
      </c>
      <c r="AI197" s="358">
        <v>0.12708333333333333</v>
      </c>
      <c r="AJ197" s="358"/>
      <c r="AK197" s="358"/>
      <c r="AL197" s="364">
        <f t="shared" si="2"/>
        <v>-0.54437761982868593</v>
      </c>
    </row>
    <row r="198" spans="1:38">
      <c r="A198" s="176"/>
      <c r="B198" s="176" t="s">
        <v>584</v>
      </c>
      <c r="C198" s="184" t="s">
        <v>1691</v>
      </c>
      <c r="D198" s="178">
        <v>100</v>
      </c>
      <c r="E198" s="176" t="s">
        <v>5</v>
      </c>
      <c r="F198" s="178">
        <v>20</v>
      </c>
      <c r="G198" s="178"/>
      <c r="H198" s="185">
        <v>44801</v>
      </c>
      <c r="I198" s="176" t="s">
        <v>3073</v>
      </c>
      <c r="J198" s="176" t="s">
        <v>3072</v>
      </c>
      <c r="K198" s="176" t="s">
        <v>2045</v>
      </c>
      <c r="L198" s="176" t="s">
        <v>3071</v>
      </c>
      <c r="M198" s="176">
        <v>2021</v>
      </c>
      <c r="N198" s="176"/>
      <c r="O198" s="176" t="s">
        <v>3070</v>
      </c>
      <c r="P198" s="179" t="s">
        <v>278</v>
      </c>
      <c r="Q198" s="179">
        <v>0.125</v>
      </c>
      <c r="R198" s="179" t="s">
        <v>1068</v>
      </c>
      <c r="S198" s="179" t="s">
        <v>1</v>
      </c>
      <c r="T198" s="179" t="s">
        <v>1</v>
      </c>
      <c r="U198" s="179" t="s">
        <v>1</v>
      </c>
      <c r="V198" s="179" t="s">
        <v>1</v>
      </c>
      <c r="W198" s="179" t="s">
        <v>1</v>
      </c>
      <c r="X198" s="179" t="s">
        <v>1</v>
      </c>
      <c r="Y198" s="179" t="s">
        <v>1</v>
      </c>
      <c r="Z198" s="179" t="s">
        <v>1</v>
      </c>
      <c r="AA198" s="179" t="s">
        <v>1</v>
      </c>
      <c r="AB198" s="176" t="s">
        <v>2048</v>
      </c>
      <c r="AC198" s="176"/>
      <c r="AD198" s="176"/>
      <c r="AE198" s="25" t="s">
        <v>5178</v>
      </c>
      <c r="AF198" s="344">
        <v>1.0630000000000001E-2</v>
      </c>
      <c r="AG198" s="68">
        <v>0.15625</v>
      </c>
      <c r="AH198" s="353">
        <v>1.4243E-2</v>
      </c>
      <c r="AI198" s="358">
        <v>8.4722222222222227E-2</v>
      </c>
      <c r="AJ198" s="358"/>
      <c r="AK198" s="358"/>
      <c r="AL198" s="364">
        <f t="shared" si="2"/>
        <v>0.3398871119473188</v>
      </c>
    </row>
    <row r="199" spans="1:38">
      <c r="B199" s="72" t="s">
        <v>1008</v>
      </c>
      <c r="C199" s="73" t="s">
        <v>1691</v>
      </c>
      <c r="D199" s="74">
        <v>100</v>
      </c>
      <c r="E199" s="72" t="s">
        <v>7</v>
      </c>
      <c r="F199" s="74">
        <v>30</v>
      </c>
      <c r="G199" s="74">
        <f>+F199+Q199+T199</f>
        <v>44</v>
      </c>
      <c r="H199" s="27">
        <v>44539</v>
      </c>
      <c r="I199" s="72" t="s">
        <v>3228</v>
      </c>
      <c r="J199" s="72" t="s">
        <v>3227</v>
      </c>
      <c r="K199" s="72" t="s">
        <v>2045</v>
      </c>
      <c r="L199" s="72" t="s">
        <v>2056</v>
      </c>
      <c r="M199" s="84" t="s">
        <v>2982</v>
      </c>
      <c r="O199" s="72" t="s">
        <v>3226</v>
      </c>
      <c r="P199" s="76" t="s">
        <v>5</v>
      </c>
      <c r="Q199" s="76">
        <v>11</v>
      </c>
      <c r="R199" s="76" t="s">
        <v>3225</v>
      </c>
      <c r="S199" s="76" t="s">
        <v>4</v>
      </c>
      <c r="T199" s="76">
        <v>3</v>
      </c>
      <c r="U199" s="76" t="s">
        <v>3224</v>
      </c>
      <c r="V199" s="76" t="s">
        <v>1</v>
      </c>
      <c r="W199" s="76" t="s">
        <v>1</v>
      </c>
      <c r="X199" s="76" t="s">
        <v>1</v>
      </c>
      <c r="Y199" s="76" t="s">
        <v>1</v>
      </c>
      <c r="Z199" s="76" t="s">
        <v>1</v>
      </c>
      <c r="AA199" s="76" t="s">
        <v>1</v>
      </c>
      <c r="AB199" s="72" t="s">
        <v>2362</v>
      </c>
      <c r="AE199" s="25" t="s">
        <v>5123</v>
      </c>
      <c r="AF199" s="344">
        <v>1.0409E-2</v>
      </c>
      <c r="AG199" s="68">
        <v>7.2916666666666671E-2</v>
      </c>
      <c r="AH199" s="353">
        <v>8.5950000000000002E-3</v>
      </c>
      <c r="AI199" s="337">
        <v>0.27013888888888887</v>
      </c>
      <c r="AJ199" s="337"/>
      <c r="AK199" s="337"/>
      <c r="AL199" s="364">
        <f t="shared" si="2"/>
        <v>-0.17427226438658849</v>
      </c>
    </row>
    <row r="200" spans="1:38">
      <c r="A200" s="176"/>
      <c r="B200" s="176" t="s">
        <v>2580</v>
      </c>
      <c r="C200" s="184" t="s">
        <v>1691</v>
      </c>
      <c r="D200" s="178" t="s">
        <v>1</v>
      </c>
      <c r="E200" s="178" t="s">
        <v>1</v>
      </c>
      <c r="F200" s="178" t="s">
        <v>1</v>
      </c>
      <c r="G200" s="178">
        <v>0</v>
      </c>
      <c r="H200" s="178" t="s">
        <v>1</v>
      </c>
      <c r="I200" s="189" t="s">
        <v>2579</v>
      </c>
      <c r="J200" s="189" t="s">
        <v>2578</v>
      </c>
      <c r="K200" s="189" t="s">
        <v>2308</v>
      </c>
      <c r="L200" s="189" t="s">
        <v>2567</v>
      </c>
      <c r="M200" s="176">
        <v>2023</v>
      </c>
      <c r="N200" s="176" t="s">
        <v>2577</v>
      </c>
      <c r="O200" s="176" t="s">
        <v>1</v>
      </c>
      <c r="P200" s="176" t="s">
        <v>1</v>
      </c>
      <c r="Q200" s="176" t="s">
        <v>1</v>
      </c>
      <c r="R200" s="176" t="s">
        <v>1</v>
      </c>
      <c r="S200" s="176" t="s">
        <v>1</v>
      </c>
      <c r="T200" s="176" t="s">
        <v>1</v>
      </c>
      <c r="U200" s="176" t="s">
        <v>1</v>
      </c>
      <c r="V200" s="176" t="s">
        <v>1</v>
      </c>
      <c r="W200" s="176" t="s">
        <v>1</v>
      </c>
      <c r="X200" s="176" t="s">
        <v>1</v>
      </c>
      <c r="Y200" s="176" t="s">
        <v>1</v>
      </c>
      <c r="Z200" s="176" t="s">
        <v>1</v>
      </c>
      <c r="AA200" s="176" t="s">
        <v>1</v>
      </c>
      <c r="AB200" s="176" t="s">
        <v>1</v>
      </c>
      <c r="AC200" s="176"/>
      <c r="AD200" s="176"/>
      <c r="AE200" s="25" t="s">
        <v>5021</v>
      </c>
      <c r="AF200" s="65">
        <v>4.9059999999999997</v>
      </c>
      <c r="AG200" s="70">
        <v>0.6</v>
      </c>
      <c r="AH200" s="359">
        <v>16.059999999999999</v>
      </c>
      <c r="AI200" s="360">
        <v>0.90763888888888888</v>
      </c>
      <c r="AJ200" s="360"/>
      <c r="AK200" s="360"/>
      <c r="AL200" s="364">
        <f t="shared" si="2"/>
        <v>2.2735426008968611</v>
      </c>
    </row>
    <row r="201" spans="1:38">
      <c r="B201" s="72" t="s">
        <v>2545</v>
      </c>
      <c r="C201" s="73" t="s">
        <v>1691</v>
      </c>
      <c r="D201" s="74" t="s">
        <v>1</v>
      </c>
      <c r="E201" s="74" t="s">
        <v>1</v>
      </c>
      <c r="F201" s="74" t="s">
        <v>1</v>
      </c>
      <c r="G201" s="74">
        <v>0</v>
      </c>
      <c r="H201" s="74" t="s">
        <v>1</v>
      </c>
      <c r="I201" s="72" t="s">
        <v>2544</v>
      </c>
      <c r="K201" s="72" t="s">
        <v>2308</v>
      </c>
      <c r="L201" s="72" t="s">
        <v>2543</v>
      </c>
      <c r="M201" s="72">
        <v>2021</v>
      </c>
      <c r="O201" s="72" t="s">
        <v>1</v>
      </c>
      <c r="P201" s="72" t="s">
        <v>1</v>
      </c>
      <c r="Q201" s="72" t="s">
        <v>1</v>
      </c>
      <c r="R201" s="72" t="s">
        <v>1</v>
      </c>
      <c r="S201" s="72" t="s">
        <v>1</v>
      </c>
      <c r="T201" s="72" t="s">
        <v>1</v>
      </c>
      <c r="U201" s="72" t="s">
        <v>1</v>
      </c>
      <c r="V201" s="72" t="s">
        <v>1</v>
      </c>
      <c r="W201" s="72" t="s">
        <v>1</v>
      </c>
      <c r="X201" s="72" t="s">
        <v>1</v>
      </c>
      <c r="Y201" s="72" t="s">
        <v>1</v>
      </c>
      <c r="Z201" s="72" t="s">
        <v>1</v>
      </c>
      <c r="AA201" s="72" t="s">
        <v>1</v>
      </c>
      <c r="AB201" s="165" t="s">
        <v>6598</v>
      </c>
      <c r="AC201" s="165" t="s">
        <v>2690</v>
      </c>
      <c r="AD201" s="165" t="s">
        <v>6636</v>
      </c>
      <c r="AE201" s="25" t="s">
        <v>5020</v>
      </c>
      <c r="AF201" s="63">
        <v>4.7149999999999999</v>
      </c>
      <c r="AG201" s="68">
        <v>0.63541666666666663</v>
      </c>
      <c r="AH201" s="359">
        <v>5.5860000000000003</v>
      </c>
      <c r="AI201" s="337">
        <v>0.49583333333333335</v>
      </c>
      <c r="AJ201" s="337"/>
      <c r="AK201" s="337"/>
      <c r="AL201" s="364">
        <f t="shared" ref="AL201:AL207" si="3">+AH201/AF201-1</f>
        <v>0.18472958642629922</v>
      </c>
    </row>
    <row r="202" spans="1:38">
      <c r="B202" s="72" t="s">
        <v>2576</v>
      </c>
      <c r="C202" s="73" t="s">
        <v>1691</v>
      </c>
      <c r="D202" s="74" t="s">
        <v>1</v>
      </c>
      <c r="E202" s="74" t="s">
        <v>1</v>
      </c>
      <c r="F202" s="74" t="s">
        <v>1</v>
      </c>
      <c r="H202" s="74" t="s">
        <v>1</v>
      </c>
      <c r="I202" s="72" t="s">
        <v>2575</v>
      </c>
      <c r="K202" s="72" t="s">
        <v>2308</v>
      </c>
      <c r="L202" s="72" t="s">
        <v>2561</v>
      </c>
      <c r="M202" s="72">
        <v>2023</v>
      </c>
      <c r="O202" s="72" t="s">
        <v>1</v>
      </c>
      <c r="P202" s="72" t="s">
        <v>1</v>
      </c>
      <c r="Q202" s="72" t="s">
        <v>1</v>
      </c>
      <c r="R202" s="72" t="s">
        <v>1</v>
      </c>
      <c r="S202" s="72" t="s">
        <v>1</v>
      </c>
      <c r="T202" s="72" t="s">
        <v>1</v>
      </c>
      <c r="U202" s="72" t="s">
        <v>1</v>
      </c>
      <c r="V202" s="72" t="s">
        <v>1</v>
      </c>
      <c r="W202" s="72" t="s">
        <v>1</v>
      </c>
      <c r="X202" s="72" t="s">
        <v>1</v>
      </c>
      <c r="Y202" s="72" t="s">
        <v>1</v>
      </c>
      <c r="Z202" s="72" t="s">
        <v>1</v>
      </c>
      <c r="AA202" s="72" t="s">
        <v>1</v>
      </c>
      <c r="AB202" s="72" t="s">
        <v>1</v>
      </c>
      <c r="AE202" s="25" t="s">
        <v>5023</v>
      </c>
      <c r="AF202" s="353">
        <v>0.46637099999999998</v>
      </c>
      <c r="AG202" s="68">
        <v>0.54583333333333328</v>
      </c>
      <c r="AH202" s="353">
        <v>0.34075100000000003</v>
      </c>
      <c r="AI202" s="337">
        <v>0.29097222222222224</v>
      </c>
      <c r="AJ202" s="337"/>
      <c r="AK202" s="337"/>
      <c r="AL202" s="364">
        <f t="shared" si="3"/>
        <v>-0.26935637078634811</v>
      </c>
    </row>
    <row r="203" spans="1:38">
      <c r="B203" s="72" t="s">
        <v>2563</v>
      </c>
      <c r="C203" s="73" t="s">
        <v>1691</v>
      </c>
      <c r="D203" s="74" t="s">
        <v>1</v>
      </c>
      <c r="E203" s="74" t="s">
        <v>1</v>
      </c>
      <c r="F203" s="74" t="s">
        <v>1</v>
      </c>
      <c r="H203" s="74" t="s">
        <v>1</v>
      </c>
      <c r="I203" s="72" t="s">
        <v>2562</v>
      </c>
      <c r="K203" s="72" t="s">
        <v>2308</v>
      </c>
      <c r="L203" s="72" t="s">
        <v>2561</v>
      </c>
      <c r="M203" s="72">
        <v>2020</v>
      </c>
      <c r="O203" s="72" t="s">
        <v>1</v>
      </c>
      <c r="P203" s="72" t="s">
        <v>1</v>
      </c>
      <c r="Q203" s="72" t="s">
        <v>1</v>
      </c>
      <c r="R203" s="72" t="s">
        <v>1</v>
      </c>
      <c r="S203" s="72" t="s">
        <v>1</v>
      </c>
      <c r="T203" s="72" t="s">
        <v>1</v>
      </c>
      <c r="U203" s="72" t="s">
        <v>1</v>
      </c>
      <c r="V203" s="72" t="s">
        <v>1</v>
      </c>
      <c r="W203" s="72" t="s">
        <v>1</v>
      </c>
      <c r="X203" s="72" t="s">
        <v>1</v>
      </c>
      <c r="Y203" s="72" t="s">
        <v>1</v>
      </c>
      <c r="Z203" s="72" t="s">
        <v>1</v>
      </c>
      <c r="AA203" s="72" t="s">
        <v>1</v>
      </c>
      <c r="AB203" s="165" t="s">
        <v>6623</v>
      </c>
      <c r="AD203" s="165" t="s">
        <v>2094</v>
      </c>
      <c r="AE203" s="25" t="s">
        <v>5017</v>
      </c>
      <c r="AF203" s="353">
        <v>0.76458899999999996</v>
      </c>
      <c r="AG203" s="68">
        <v>0.1451388888888889</v>
      </c>
      <c r="AH203" s="353">
        <v>0.55840599999999996</v>
      </c>
      <c r="AI203" s="337">
        <v>0.15069444444444444</v>
      </c>
      <c r="AJ203" s="337"/>
      <c r="AK203" s="337"/>
      <c r="AL203" s="364">
        <f t="shared" si="3"/>
        <v>-0.26966514035645295</v>
      </c>
    </row>
    <row r="204" spans="1:38">
      <c r="B204" s="72" t="s">
        <v>2573</v>
      </c>
      <c r="C204" s="73" t="s">
        <v>1691</v>
      </c>
      <c r="D204" s="74" t="s">
        <v>1</v>
      </c>
      <c r="E204" s="74" t="s">
        <v>1</v>
      </c>
      <c r="F204" s="74" t="s">
        <v>1</v>
      </c>
      <c r="H204" s="74" t="s">
        <v>1</v>
      </c>
      <c r="I204" s="72" t="s">
        <v>2556</v>
      </c>
      <c r="K204" s="72" t="s">
        <v>2308</v>
      </c>
      <c r="L204" s="72" t="s">
        <v>2556</v>
      </c>
      <c r="M204" s="72">
        <v>2021</v>
      </c>
      <c r="N204" s="72" t="s">
        <v>2572</v>
      </c>
      <c r="O204" s="72" t="s">
        <v>1</v>
      </c>
      <c r="P204" s="72" t="s">
        <v>1</v>
      </c>
      <c r="Q204" s="72" t="s">
        <v>1</v>
      </c>
      <c r="R204" s="72" t="s">
        <v>1</v>
      </c>
      <c r="S204" s="72" t="s">
        <v>1</v>
      </c>
      <c r="T204" s="72" t="s">
        <v>1</v>
      </c>
      <c r="U204" s="72" t="s">
        <v>1</v>
      </c>
      <c r="V204" s="72" t="s">
        <v>1</v>
      </c>
      <c r="W204" s="72" t="s">
        <v>1</v>
      </c>
      <c r="X204" s="72" t="s">
        <v>1</v>
      </c>
      <c r="Y204" s="72" t="s">
        <v>1</v>
      </c>
      <c r="Z204" s="72" t="s">
        <v>1</v>
      </c>
      <c r="AA204" s="72" t="s">
        <v>1</v>
      </c>
      <c r="AB204" s="72" t="s">
        <v>1</v>
      </c>
      <c r="AE204" s="25" t="s">
        <v>5025</v>
      </c>
      <c r="AF204" s="353">
        <v>0.15621099999999999</v>
      </c>
      <c r="AG204" s="68">
        <v>0.1076388888888889</v>
      </c>
      <c r="AH204" s="353">
        <v>8.0112000000000003E-2</v>
      </c>
      <c r="AI204" s="337">
        <v>8.5416666666666669E-2</v>
      </c>
      <c r="AJ204" s="337"/>
      <c r="AK204" s="337"/>
      <c r="AL204" s="364">
        <f t="shared" si="3"/>
        <v>-0.48715519393640649</v>
      </c>
    </row>
    <row r="205" spans="1:38">
      <c r="B205" s="72" t="s">
        <v>2542</v>
      </c>
      <c r="C205" s="73" t="s">
        <v>1691</v>
      </c>
      <c r="D205" s="74" t="s">
        <v>1</v>
      </c>
      <c r="E205" s="74" t="s">
        <v>1</v>
      </c>
      <c r="F205" s="74" t="s">
        <v>1</v>
      </c>
      <c r="G205" s="74">
        <v>0</v>
      </c>
      <c r="H205" s="74" t="s">
        <v>1</v>
      </c>
      <c r="I205" s="72" t="s">
        <v>2541</v>
      </c>
      <c r="K205" s="72" t="s">
        <v>2308</v>
      </c>
      <c r="L205" s="72" t="s">
        <v>2540</v>
      </c>
      <c r="M205" s="72">
        <v>2023</v>
      </c>
      <c r="O205" s="72" t="s">
        <v>1</v>
      </c>
      <c r="P205" s="72" t="s">
        <v>1</v>
      </c>
      <c r="Q205" s="72" t="s">
        <v>1</v>
      </c>
      <c r="R205" s="72" t="s">
        <v>1</v>
      </c>
      <c r="S205" s="72" t="s">
        <v>1</v>
      </c>
      <c r="T205" s="72" t="s">
        <v>1</v>
      </c>
      <c r="U205" s="72" t="s">
        <v>1</v>
      </c>
      <c r="V205" s="72" t="s">
        <v>1</v>
      </c>
      <c r="W205" s="72" t="s">
        <v>1</v>
      </c>
      <c r="X205" s="72" t="s">
        <v>1</v>
      </c>
      <c r="Y205" s="72" t="s">
        <v>1</v>
      </c>
      <c r="Z205" s="72" t="s">
        <v>1</v>
      </c>
      <c r="AA205" s="72" t="s">
        <v>1</v>
      </c>
      <c r="AB205" s="72" t="s">
        <v>1</v>
      </c>
      <c r="AE205" s="25" t="s">
        <v>5019</v>
      </c>
      <c r="AF205" s="63">
        <v>11.65</v>
      </c>
      <c r="AG205" s="68">
        <v>0.79861111111111116</v>
      </c>
      <c r="AH205" s="359">
        <v>5.2729999999999997</v>
      </c>
      <c r="AI205" s="337">
        <v>0.65625</v>
      </c>
      <c r="AJ205" s="337"/>
      <c r="AK205" s="337"/>
      <c r="AL205" s="364">
        <f t="shared" si="3"/>
        <v>-0.54738197424892709</v>
      </c>
    </row>
    <row r="206" spans="1:38">
      <c r="B206" s="72" t="s">
        <v>2568</v>
      </c>
      <c r="C206" s="73" t="s">
        <v>1691</v>
      </c>
      <c r="D206" s="74" t="s">
        <v>1</v>
      </c>
      <c r="E206" s="74" t="s">
        <v>1</v>
      </c>
      <c r="F206" s="74" t="s">
        <v>1</v>
      </c>
      <c r="G206" s="74">
        <v>0</v>
      </c>
      <c r="H206" s="74" t="s">
        <v>1</v>
      </c>
      <c r="K206" s="72" t="s">
        <v>2308</v>
      </c>
      <c r="L206" s="72" t="s">
        <v>2567</v>
      </c>
      <c r="M206" s="72">
        <v>2023</v>
      </c>
      <c r="N206" s="72" t="s">
        <v>2566</v>
      </c>
      <c r="O206" s="80" t="s">
        <v>1</v>
      </c>
      <c r="P206" s="80" t="s">
        <v>1</v>
      </c>
      <c r="Q206" s="80" t="s">
        <v>1</v>
      </c>
      <c r="R206" s="80" t="s">
        <v>1</v>
      </c>
      <c r="S206" s="80" t="s">
        <v>1</v>
      </c>
      <c r="T206" s="80" t="s">
        <v>1</v>
      </c>
      <c r="U206" s="80" t="s">
        <v>1</v>
      </c>
      <c r="V206" s="80" t="s">
        <v>1</v>
      </c>
      <c r="W206" s="80" t="s">
        <v>1</v>
      </c>
      <c r="X206" s="80" t="s">
        <v>1</v>
      </c>
      <c r="Y206" s="80" t="s">
        <v>1</v>
      </c>
      <c r="Z206" s="80" t="s">
        <v>1</v>
      </c>
      <c r="AA206" s="80" t="s">
        <v>1</v>
      </c>
      <c r="AB206" s="80" t="s">
        <v>1</v>
      </c>
      <c r="AC206" s="80"/>
      <c r="AD206" s="80"/>
      <c r="AE206" s="25" t="s">
        <v>5022</v>
      </c>
      <c r="AF206" s="63">
        <v>2.6379999999999999</v>
      </c>
      <c r="AG206" s="68">
        <v>0.53194444444444444</v>
      </c>
      <c r="AH206" s="359">
        <v>14.18</v>
      </c>
      <c r="AI206" s="337">
        <v>0.76249999999999996</v>
      </c>
      <c r="AJ206" s="337"/>
      <c r="AK206" s="337"/>
      <c r="AL206" s="364">
        <f t="shared" si="3"/>
        <v>4.3752843062926461</v>
      </c>
    </row>
    <row r="207" spans="1:38">
      <c r="B207" s="72" t="s">
        <v>2555</v>
      </c>
      <c r="C207" s="73" t="s">
        <v>1691</v>
      </c>
      <c r="D207" s="74" t="s">
        <v>1</v>
      </c>
      <c r="E207" s="74" t="s">
        <v>1</v>
      </c>
      <c r="F207" s="74" t="s">
        <v>1</v>
      </c>
      <c r="H207" s="74" t="s">
        <v>1</v>
      </c>
      <c r="I207" s="72" t="s">
        <v>2554</v>
      </c>
      <c r="K207" s="72" t="s">
        <v>2308</v>
      </c>
      <c r="L207" s="72" t="s">
        <v>2467</v>
      </c>
      <c r="M207" s="75" t="s">
        <v>1</v>
      </c>
      <c r="O207" s="72" t="s">
        <v>1</v>
      </c>
      <c r="P207" s="72" t="s">
        <v>1</v>
      </c>
      <c r="Q207" s="72" t="s">
        <v>1</v>
      </c>
      <c r="R207" s="72" t="s">
        <v>1</v>
      </c>
      <c r="S207" s="72" t="s">
        <v>1</v>
      </c>
      <c r="T207" s="72" t="s">
        <v>1</v>
      </c>
      <c r="U207" s="72" t="s">
        <v>1</v>
      </c>
      <c r="V207" s="72" t="s">
        <v>1</v>
      </c>
      <c r="W207" s="72" t="s">
        <v>1</v>
      </c>
      <c r="X207" s="72" t="s">
        <v>1</v>
      </c>
      <c r="Y207" s="72" t="s">
        <v>1</v>
      </c>
      <c r="Z207" s="72" t="s">
        <v>1</v>
      </c>
      <c r="AA207" s="72" t="s">
        <v>1</v>
      </c>
      <c r="AB207" s="72" t="s">
        <v>1</v>
      </c>
      <c r="AE207" s="25" t="s">
        <v>5018</v>
      </c>
      <c r="AF207" s="353">
        <v>0.78598699999999999</v>
      </c>
      <c r="AG207" s="68">
        <v>0.35833333333333334</v>
      </c>
      <c r="AH207" s="353">
        <v>0.411526</v>
      </c>
      <c r="AI207" s="337">
        <v>0.19375000000000001</v>
      </c>
      <c r="AJ207" s="337"/>
      <c r="AK207" s="337"/>
      <c r="AL207" s="364">
        <f t="shared" si="3"/>
        <v>-0.47642136574777949</v>
      </c>
    </row>
    <row r="208" spans="1:38">
      <c r="A208" s="176"/>
      <c r="B208" s="176" t="s">
        <v>3093</v>
      </c>
      <c r="C208" s="184" t="s">
        <v>1691</v>
      </c>
      <c r="D208" s="178">
        <v>100</v>
      </c>
      <c r="E208" s="176" t="s">
        <v>4</v>
      </c>
      <c r="F208" s="178">
        <v>22.4</v>
      </c>
      <c r="G208" s="178"/>
      <c r="H208" s="185">
        <v>44553</v>
      </c>
      <c r="I208" s="176" t="s">
        <v>3092</v>
      </c>
      <c r="J208" s="176" t="s">
        <v>3091</v>
      </c>
      <c r="K208" s="176" t="s">
        <v>2045</v>
      </c>
      <c r="L208" s="176" t="s">
        <v>3090</v>
      </c>
      <c r="M208" s="176">
        <v>2019</v>
      </c>
      <c r="N208" s="176"/>
      <c r="O208" s="176" t="s">
        <v>3089</v>
      </c>
      <c r="P208" s="179" t="s">
        <v>1</v>
      </c>
      <c r="Q208" s="179" t="s">
        <v>1</v>
      </c>
      <c r="R208" s="179" t="s">
        <v>1</v>
      </c>
      <c r="S208" s="179" t="s">
        <v>1</v>
      </c>
      <c r="T208" s="179" t="s">
        <v>1</v>
      </c>
      <c r="U208" s="179" t="s">
        <v>1</v>
      </c>
      <c r="V208" s="179" t="s">
        <v>1</v>
      </c>
      <c r="W208" s="179" t="s">
        <v>1</v>
      </c>
      <c r="X208" s="179" t="s">
        <v>1</v>
      </c>
      <c r="Y208" s="179" t="s">
        <v>1</v>
      </c>
      <c r="Z208" s="179" t="s">
        <v>1</v>
      </c>
      <c r="AA208" s="179" t="s">
        <v>1</v>
      </c>
      <c r="AB208" s="176" t="s">
        <v>2163</v>
      </c>
      <c r="AC208" s="176"/>
      <c r="AD208" s="176"/>
      <c r="AE208" s="25" t="s">
        <v>5175</v>
      </c>
      <c r="AF208" s="353">
        <v>0</v>
      </c>
      <c r="AG208" s="68">
        <v>2.4305555555555556E-2</v>
      </c>
      <c r="AH208" s="353">
        <v>0</v>
      </c>
      <c r="AI208" s="331" t="s">
        <v>1</v>
      </c>
      <c r="AJ208" s="331"/>
      <c r="AK208" s="331"/>
      <c r="AL208" s="364"/>
    </row>
    <row r="209" spans="1:38">
      <c r="A209" s="176"/>
      <c r="B209" s="176" t="s">
        <v>95</v>
      </c>
      <c r="C209" s="184" t="s">
        <v>1691</v>
      </c>
      <c r="D209" s="178">
        <v>100</v>
      </c>
      <c r="E209" s="176" t="s">
        <v>7</v>
      </c>
      <c r="F209" s="178">
        <v>25</v>
      </c>
      <c r="G209" s="178"/>
      <c r="H209" s="185">
        <v>43783</v>
      </c>
      <c r="I209" s="176" t="s">
        <v>3084</v>
      </c>
      <c r="J209" s="176" t="s">
        <v>3083</v>
      </c>
      <c r="K209" s="176" t="s">
        <v>2045</v>
      </c>
      <c r="L209" s="176" t="s">
        <v>2062</v>
      </c>
      <c r="M209" s="176">
        <v>2014</v>
      </c>
      <c r="N209" s="176"/>
      <c r="O209" s="176" t="s">
        <v>3082</v>
      </c>
      <c r="P209" s="179" t="s">
        <v>7</v>
      </c>
      <c r="Q209" s="179">
        <v>15</v>
      </c>
      <c r="R209" s="179" t="s">
        <v>3081</v>
      </c>
      <c r="S209" s="179" t="s">
        <v>5</v>
      </c>
      <c r="T209" s="179">
        <v>10</v>
      </c>
      <c r="U209" s="179" t="s">
        <v>3080</v>
      </c>
      <c r="V209" s="179" t="s">
        <v>4</v>
      </c>
      <c r="W209" s="179">
        <v>5</v>
      </c>
      <c r="X209" s="179" t="s">
        <v>3079</v>
      </c>
      <c r="Y209" s="179" t="s">
        <v>1</v>
      </c>
      <c r="Z209" s="179" t="s">
        <v>1</v>
      </c>
      <c r="AA209" s="179" t="s">
        <v>1</v>
      </c>
      <c r="AB209" s="176" t="s">
        <v>2048</v>
      </c>
      <c r="AC209" s="176"/>
      <c r="AD209" s="176"/>
      <c r="AE209" s="25" t="s">
        <v>3078</v>
      </c>
      <c r="AF209" s="338">
        <v>0</v>
      </c>
      <c r="AG209" s="62">
        <v>2.6388888888888889E-2</v>
      </c>
      <c r="AH209" s="338">
        <v>5.097E-3</v>
      </c>
      <c r="AI209" s="358">
        <v>6.6666666666666666E-2</v>
      </c>
      <c r="AJ209" s="358"/>
      <c r="AK209" s="358"/>
      <c r="AL209" s="364"/>
    </row>
    <row r="210" spans="1:38" s="216" customFormat="1">
      <c r="B210" s="216" t="s">
        <v>2029</v>
      </c>
      <c r="C210" s="215" t="s">
        <v>1691</v>
      </c>
      <c r="D210" s="221">
        <v>100</v>
      </c>
      <c r="E210" s="216" t="s">
        <v>5</v>
      </c>
      <c r="F210" s="221">
        <v>21</v>
      </c>
      <c r="G210" s="221">
        <f>F210+Q210</f>
        <v>26</v>
      </c>
      <c r="H210" s="222">
        <v>44515</v>
      </c>
      <c r="I210" s="216" t="s">
        <v>6677</v>
      </c>
      <c r="J210" s="216" t="s">
        <v>6675</v>
      </c>
      <c r="K210" s="216" t="s">
        <v>2045</v>
      </c>
      <c r="L210" s="216" t="s">
        <v>2265</v>
      </c>
      <c r="M210" s="226">
        <v>44073</v>
      </c>
      <c r="O210" s="216" t="s">
        <v>6678</v>
      </c>
      <c r="P210" s="217" t="s">
        <v>4</v>
      </c>
      <c r="Q210" s="217">
        <v>5</v>
      </c>
      <c r="R210" s="217" t="s">
        <v>6683</v>
      </c>
      <c r="S210" s="217" t="s">
        <v>1</v>
      </c>
      <c r="T210" s="217" t="s">
        <v>1</v>
      </c>
      <c r="U210" s="217" t="s">
        <v>1</v>
      </c>
      <c r="V210" s="217" t="s">
        <v>1</v>
      </c>
      <c r="W210" s="217" t="s">
        <v>1</v>
      </c>
      <c r="X210" s="217" t="s">
        <v>1</v>
      </c>
      <c r="Y210" s="217" t="s">
        <v>1</v>
      </c>
      <c r="Z210" s="217" t="s">
        <v>1</v>
      </c>
      <c r="AA210" s="217" t="s">
        <v>1</v>
      </c>
      <c r="AB210" s="216" t="s">
        <v>6598</v>
      </c>
      <c r="AC210" s="216" t="s">
        <v>6601</v>
      </c>
      <c r="AD210" s="216" t="s">
        <v>2362</v>
      </c>
      <c r="AE210" s="25" t="s">
        <v>6674</v>
      </c>
      <c r="AF210" s="340" t="s">
        <v>7140</v>
      </c>
      <c r="AG210" s="340" t="s">
        <v>7140</v>
      </c>
      <c r="AH210" s="58">
        <v>1.9910000000000001</v>
      </c>
      <c r="AI210" s="370">
        <v>0.10625</v>
      </c>
      <c r="AJ210" s="370"/>
      <c r="AK210" s="370"/>
      <c r="AL210" s="364"/>
    </row>
    <row r="211" spans="1:38" s="165" customFormat="1">
      <c r="A211" s="72"/>
      <c r="B211" s="176" t="s">
        <v>2027</v>
      </c>
      <c r="C211" s="184" t="s">
        <v>1691</v>
      </c>
      <c r="D211" s="178">
        <v>100</v>
      </c>
      <c r="E211" s="176" t="s">
        <v>5</v>
      </c>
      <c r="F211" s="178">
        <v>21</v>
      </c>
      <c r="G211" s="178">
        <f>F211+Q211</f>
        <v>26</v>
      </c>
      <c r="H211" s="185">
        <v>44334</v>
      </c>
      <c r="I211" s="176" t="s">
        <v>6699</v>
      </c>
      <c r="J211" s="176" t="s">
        <v>6700</v>
      </c>
      <c r="K211" s="176" t="s">
        <v>2045</v>
      </c>
      <c r="L211" s="176" t="s">
        <v>2056</v>
      </c>
      <c r="M211" s="176">
        <v>2020</v>
      </c>
      <c r="N211" s="176"/>
      <c r="O211" s="176" t="s">
        <v>6703</v>
      </c>
      <c r="P211" s="179" t="s">
        <v>4</v>
      </c>
      <c r="Q211" s="179">
        <v>5</v>
      </c>
      <c r="R211" s="179" t="s">
        <v>6709</v>
      </c>
      <c r="S211" s="179" t="s">
        <v>1</v>
      </c>
      <c r="T211" s="179" t="s">
        <v>1</v>
      </c>
      <c r="U211" s="179" t="s">
        <v>1</v>
      </c>
      <c r="V211" s="179" t="s">
        <v>1</v>
      </c>
      <c r="W211" s="179" t="s">
        <v>1</v>
      </c>
      <c r="X211" s="179" t="s">
        <v>1</v>
      </c>
      <c r="Y211" s="179" t="s">
        <v>1</v>
      </c>
      <c r="Z211" s="179" t="s">
        <v>1</v>
      </c>
      <c r="AA211" s="179" t="s">
        <v>1</v>
      </c>
      <c r="AB211" s="179" t="s">
        <v>1</v>
      </c>
      <c r="AC211" s="179" t="s">
        <v>1</v>
      </c>
      <c r="AD211" s="179" t="s">
        <v>1</v>
      </c>
      <c r="AE211" s="25" t="s">
        <v>6698</v>
      </c>
      <c r="AF211" s="340" t="s">
        <v>7140</v>
      </c>
      <c r="AG211" s="340" t="s">
        <v>7140</v>
      </c>
      <c r="AH211" s="344">
        <v>1.4322E-2</v>
      </c>
      <c r="AI211" s="358">
        <v>0.10555555555555556</v>
      </c>
      <c r="AJ211" s="358"/>
      <c r="AK211" s="358"/>
      <c r="AL211" s="364"/>
    </row>
    <row r="212" spans="1:38" s="165" customFormat="1">
      <c r="A212" s="72"/>
      <c r="B212" s="176" t="s">
        <v>2032</v>
      </c>
      <c r="C212" s="184" t="s">
        <v>1691</v>
      </c>
      <c r="D212" s="177">
        <v>100</v>
      </c>
      <c r="E212" s="176" t="s">
        <v>5</v>
      </c>
      <c r="F212" s="177">
        <v>30</v>
      </c>
      <c r="G212" s="224">
        <f>F212+Q212</f>
        <v>31.1</v>
      </c>
      <c r="H212" s="185">
        <v>44729</v>
      </c>
      <c r="I212" s="176" t="s">
        <v>6631</v>
      </c>
      <c r="J212" s="176" t="s">
        <v>6632</v>
      </c>
      <c r="K212" s="176" t="s">
        <v>2045</v>
      </c>
      <c r="L212" s="176" t="s">
        <v>2546</v>
      </c>
      <c r="M212" s="176">
        <v>2020</v>
      </c>
      <c r="N212" s="176"/>
      <c r="O212" s="176" t="s">
        <v>6633</v>
      </c>
      <c r="P212" s="179" t="s">
        <v>670</v>
      </c>
      <c r="Q212" s="179">
        <v>1.1000000000000001</v>
      </c>
      <c r="R212" s="179" t="s">
        <v>6635</v>
      </c>
      <c r="S212" s="179" t="s">
        <v>1</v>
      </c>
      <c r="T212" s="179" t="s">
        <v>1</v>
      </c>
      <c r="U212" s="179" t="s">
        <v>1</v>
      </c>
      <c r="V212" s="179" t="s">
        <v>1</v>
      </c>
      <c r="W212" s="179" t="s">
        <v>1</v>
      </c>
      <c r="X212" s="179" t="s">
        <v>1</v>
      </c>
      <c r="Y212" s="179" t="s">
        <v>1</v>
      </c>
      <c r="Z212" s="179" t="s">
        <v>1</v>
      </c>
      <c r="AA212" s="179" t="s">
        <v>1</v>
      </c>
      <c r="AB212" s="176" t="s">
        <v>6598</v>
      </c>
      <c r="AC212" s="176" t="s">
        <v>6606</v>
      </c>
      <c r="AD212" s="176" t="s">
        <v>6606</v>
      </c>
      <c r="AE212" s="186" t="s">
        <v>6630</v>
      </c>
      <c r="AF212" s="340" t="s">
        <v>7140</v>
      </c>
      <c r="AG212" s="340" t="s">
        <v>7140</v>
      </c>
      <c r="AH212" s="344">
        <v>1.2414E-2</v>
      </c>
      <c r="AI212" s="358">
        <v>0.12569444444444444</v>
      </c>
      <c r="AJ212" s="358"/>
      <c r="AK212" s="358"/>
      <c r="AL212" s="364"/>
    </row>
    <row r="213" spans="1:38" s="176" customFormat="1">
      <c r="B213" s="176" t="s">
        <v>2028</v>
      </c>
      <c r="C213" s="184" t="s">
        <v>1691</v>
      </c>
      <c r="D213" s="177">
        <v>100</v>
      </c>
      <c r="E213" s="176" t="s">
        <v>5</v>
      </c>
      <c r="F213" s="224">
        <v>18.5</v>
      </c>
      <c r="G213" s="224">
        <f>F213+Q213</f>
        <v>24.3</v>
      </c>
      <c r="H213" s="185">
        <v>44561</v>
      </c>
      <c r="I213" s="176" t="s">
        <v>6692</v>
      </c>
      <c r="J213" s="176" t="s">
        <v>6693</v>
      </c>
      <c r="K213" s="176" t="s">
        <v>2045</v>
      </c>
      <c r="L213" s="176" t="s">
        <v>2056</v>
      </c>
      <c r="M213" s="176">
        <v>2021</v>
      </c>
      <c r="N213" s="176" t="s">
        <v>6695</v>
      </c>
      <c r="O213" s="176" t="s">
        <v>6696</v>
      </c>
      <c r="P213" s="179" t="s">
        <v>4</v>
      </c>
      <c r="Q213" s="179">
        <v>5.8</v>
      </c>
      <c r="R213" s="179" t="s">
        <v>6697</v>
      </c>
      <c r="S213" s="179" t="s">
        <v>1</v>
      </c>
      <c r="T213" s="179" t="s">
        <v>1</v>
      </c>
      <c r="U213" s="179" t="s">
        <v>1</v>
      </c>
      <c r="V213" s="179" t="s">
        <v>1</v>
      </c>
      <c r="W213" s="179" t="s">
        <v>1</v>
      </c>
      <c r="X213" s="179" t="s">
        <v>1</v>
      </c>
      <c r="Y213" s="179" t="s">
        <v>1</v>
      </c>
      <c r="Z213" s="179" t="s">
        <v>1</v>
      </c>
      <c r="AA213" s="179" t="s">
        <v>1</v>
      </c>
      <c r="AB213" s="176" t="s">
        <v>6598</v>
      </c>
      <c r="AC213" s="176" t="s">
        <v>6601</v>
      </c>
      <c r="AD213" s="176" t="s">
        <v>2362</v>
      </c>
      <c r="AE213" s="186" t="s">
        <v>6694</v>
      </c>
      <c r="AF213" s="340" t="s">
        <v>7140</v>
      </c>
      <c r="AG213" s="340" t="s">
        <v>7140</v>
      </c>
      <c r="AH213" s="344">
        <v>1.7049999999999999E-2</v>
      </c>
      <c r="AI213" s="358">
        <v>7.8472222222222221E-2</v>
      </c>
      <c r="AJ213" s="358"/>
      <c r="AK213" s="358"/>
      <c r="AL213" s="364"/>
    </row>
    <row r="214" spans="1:38" s="165" customFormat="1">
      <c r="A214" s="176"/>
      <c r="B214" s="176" t="s">
        <v>2030</v>
      </c>
      <c r="C214" s="184" t="s">
        <v>1691</v>
      </c>
      <c r="D214" s="177">
        <v>100</v>
      </c>
      <c r="E214" s="176" t="s">
        <v>7</v>
      </c>
      <c r="F214" s="177">
        <v>16</v>
      </c>
      <c r="G214" s="224">
        <f>F214+Q214+T214</f>
        <v>27.3</v>
      </c>
      <c r="H214" s="185">
        <v>44825</v>
      </c>
      <c r="I214" s="176" t="s">
        <v>6673</v>
      </c>
      <c r="J214" s="176" t="s">
        <v>6653</v>
      </c>
      <c r="K214" s="176" t="s">
        <v>2045</v>
      </c>
      <c r="L214" s="176" t="s">
        <v>2056</v>
      </c>
      <c r="M214" s="176">
        <v>2018</v>
      </c>
      <c r="N214" s="176"/>
      <c r="O214" s="176" t="s">
        <v>6654</v>
      </c>
      <c r="P214" s="179" t="s">
        <v>5</v>
      </c>
      <c r="Q214" s="179">
        <v>9.3000000000000007</v>
      </c>
      <c r="R214" s="179" t="s">
        <v>6661</v>
      </c>
      <c r="S214" s="179" t="s">
        <v>4</v>
      </c>
      <c r="T214" s="179">
        <v>2</v>
      </c>
      <c r="U214" s="179" t="s">
        <v>6668</v>
      </c>
      <c r="V214" s="179" t="s">
        <v>1</v>
      </c>
      <c r="W214" s="179" t="s">
        <v>1</v>
      </c>
      <c r="X214" s="179" t="s">
        <v>1</v>
      </c>
      <c r="Y214" s="179" t="s">
        <v>1</v>
      </c>
      <c r="Z214" s="179" t="s">
        <v>1</v>
      </c>
      <c r="AA214" s="179" t="s">
        <v>1</v>
      </c>
      <c r="AB214" s="176" t="s">
        <v>6598</v>
      </c>
      <c r="AC214" s="176" t="s">
        <v>6601</v>
      </c>
      <c r="AD214" s="176" t="s">
        <v>6652</v>
      </c>
      <c r="AE214" s="186" t="s">
        <v>6651</v>
      </c>
      <c r="AF214" s="340" t="s">
        <v>7140</v>
      </c>
      <c r="AG214" s="340" t="s">
        <v>7140</v>
      </c>
      <c r="AH214" s="344">
        <v>2.0152E-2</v>
      </c>
      <c r="AI214" s="358">
        <v>0.14791666666666667</v>
      </c>
      <c r="AJ214" s="358"/>
      <c r="AK214" s="358"/>
      <c r="AL214" s="364"/>
    </row>
    <row r="215" spans="1:38">
      <c r="A215" s="176"/>
      <c r="B215" s="176" t="s">
        <v>548</v>
      </c>
      <c r="C215" s="184" t="s">
        <v>1691</v>
      </c>
      <c r="D215" s="178">
        <v>100</v>
      </c>
      <c r="E215" s="176" t="s">
        <v>7</v>
      </c>
      <c r="F215" s="178">
        <v>20</v>
      </c>
      <c r="G215" s="224"/>
      <c r="H215" s="185">
        <v>45077</v>
      </c>
      <c r="I215" s="176" t="s">
        <v>3069</v>
      </c>
      <c r="J215" s="176" t="s">
        <v>3068</v>
      </c>
      <c r="K215" s="176" t="s">
        <v>2045</v>
      </c>
      <c r="L215" s="176" t="s">
        <v>2062</v>
      </c>
      <c r="M215" s="176">
        <v>2018</v>
      </c>
      <c r="N215" s="176"/>
      <c r="O215" s="176" t="s">
        <v>3067</v>
      </c>
      <c r="P215" s="179" t="s">
        <v>5</v>
      </c>
      <c r="Q215" s="179">
        <v>10.5</v>
      </c>
      <c r="R215" s="179" t="s">
        <v>3066</v>
      </c>
      <c r="S215" s="179" t="s">
        <v>4</v>
      </c>
      <c r="T215" s="179">
        <v>4</v>
      </c>
      <c r="U215" s="179" t="s">
        <v>3065</v>
      </c>
      <c r="V215" s="179" t="s">
        <v>278</v>
      </c>
      <c r="W215" s="179">
        <v>0.5</v>
      </c>
      <c r="X215" s="179" t="s">
        <v>3064</v>
      </c>
      <c r="Y215" s="179" t="s">
        <v>1</v>
      </c>
      <c r="Z215" s="179" t="s">
        <v>1</v>
      </c>
      <c r="AA215" s="179" t="s">
        <v>1</v>
      </c>
      <c r="AB215" s="274" t="s">
        <v>6598</v>
      </c>
      <c r="AC215" s="274" t="s">
        <v>6606</v>
      </c>
      <c r="AD215" s="274" t="s">
        <v>6606</v>
      </c>
      <c r="AE215" s="25" t="s">
        <v>8945</v>
      </c>
      <c r="AF215" s="340" t="s">
        <v>7140</v>
      </c>
      <c r="AG215" s="340" t="s">
        <v>7140</v>
      </c>
      <c r="AH215" s="344">
        <v>5.3870000000000003E-3</v>
      </c>
      <c r="AI215" s="358">
        <v>9.0972222222222218E-2</v>
      </c>
      <c r="AJ215" s="358"/>
      <c r="AK215" s="358"/>
      <c r="AL215" s="364"/>
    </row>
    <row r="216" spans="1:38">
      <c r="A216" s="176"/>
      <c r="B216" s="176" t="s">
        <v>725</v>
      </c>
      <c r="C216" s="184" t="s">
        <v>1691</v>
      </c>
      <c r="D216" s="178">
        <v>100</v>
      </c>
      <c r="E216" s="176" t="s">
        <v>5</v>
      </c>
      <c r="F216" s="178">
        <v>20</v>
      </c>
      <c r="G216" s="224"/>
      <c r="H216" s="185">
        <v>44676</v>
      </c>
      <c r="I216" s="176" t="s">
        <v>3063</v>
      </c>
      <c r="J216" s="176"/>
      <c r="K216" s="176" t="s">
        <v>2045</v>
      </c>
      <c r="L216" s="176" t="s">
        <v>2302</v>
      </c>
      <c r="M216" s="188" t="s">
        <v>2982</v>
      </c>
      <c r="N216" s="176"/>
      <c r="O216" s="176" t="s">
        <v>3062</v>
      </c>
      <c r="P216" s="179" t="s">
        <v>4</v>
      </c>
      <c r="Q216" s="179">
        <v>5</v>
      </c>
      <c r="R216" s="179" t="s">
        <v>3061</v>
      </c>
      <c r="S216" s="179" t="s">
        <v>278</v>
      </c>
      <c r="T216" s="179" t="s">
        <v>1</v>
      </c>
      <c r="U216" s="179" t="s">
        <v>3060</v>
      </c>
      <c r="V216" s="179" t="s">
        <v>1</v>
      </c>
      <c r="W216" s="179" t="s">
        <v>1</v>
      </c>
      <c r="X216" s="179" t="s">
        <v>1</v>
      </c>
      <c r="Y216" s="179" t="s">
        <v>1</v>
      </c>
      <c r="Z216" s="179" t="s">
        <v>1</v>
      </c>
      <c r="AA216" s="179" t="s">
        <v>1</v>
      </c>
      <c r="AB216" s="176" t="s">
        <v>2078</v>
      </c>
      <c r="AC216" s="176"/>
      <c r="AD216" s="176"/>
      <c r="AE216" s="25" t="s">
        <v>5046</v>
      </c>
      <c r="AF216" s="340" t="s">
        <v>7140</v>
      </c>
      <c r="AG216" s="340" t="s">
        <v>7140</v>
      </c>
      <c r="AH216" s="344">
        <v>0.44387900000000002</v>
      </c>
      <c r="AI216" s="358">
        <v>7.7777777777777779E-2</v>
      </c>
      <c r="AJ216" s="358"/>
      <c r="AK216" s="358"/>
      <c r="AL216" s="364"/>
    </row>
    <row r="217" spans="1:38">
      <c r="A217" s="176"/>
      <c r="B217" s="176" t="s">
        <v>416</v>
      </c>
      <c r="C217" s="184" t="s">
        <v>1691</v>
      </c>
      <c r="D217" s="178">
        <v>100</v>
      </c>
      <c r="E217" s="176" t="s">
        <v>18</v>
      </c>
      <c r="F217" s="178">
        <v>23</v>
      </c>
      <c r="G217" s="224"/>
      <c r="H217" s="185">
        <v>44328</v>
      </c>
      <c r="I217" s="176" t="s">
        <v>2395</v>
      </c>
      <c r="J217" s="176" t="s">
        <v>3059</v>
      </c>
      <c r="K217" s="176" t="s">
        <v>2045</v>
      </c>
      <c r="L217" s="176" t="s">
        <v>2395</v>
      </c>
      <c r="M217" s="176">
        <v>2013</v>
      </c>
      <c r="N217" s="176"/>
      <c r="O217" s="176" t="s">
        <v>3058</v>
      </c>
      <c r="P217" s="179" t="s">
        <v>7</v>
      </c>
      <c r="Q217" s="179">
        <v>16</v>
      </c>
      <c r="R217" s="179" t="s">
        <v>3057</v>
      </c>
      <c r="S217" s="179" t="s">
        <v>5</v>
      </c>
      <c r="T217" s="179">
        <v>8</v>
      </c>
      <c r="U217" s="179" t="s">
        <v>3056</v>
      </c>
      <c r="V217" s="179" t="s">
        <v>4</v>
      </c>
      <c r="W217" s="179" t="s">
        <v>1</v>
      </c>
      <c r="X217" s="179" t="s">
        <v>3055</v>
      </c>
      <c r="Y217" s="179" t="s">
        <v>1</v>
      </c>
      <c r="Z217" s="179" t="s">
        <v>1</v>
      </c>
      <c r="AA217" s="179" t="s">
        <v>1</v>
      </c>
      <c r="AB217" s="274" t="s">
        <v>6598</v>
      </c>
      <c r="AC217" s="274" t="s">
        <v>6601</v>
      </c>
      <c r="AD217" s="274" t="s">
        <v>2362</v>
      </c>
      <c r="AE217" s="25" t="s">
        <v>8946</v>
      </c>
      <c r="AF217" s="340" t="s">
        <v>7140</v>
      </c>
      <c r="AG217" s="340" t="s">
        <v>7140</v>
      </c>
      <c r="AH217" s="344">
        <v>5.11E-3</v>
      </c>
      <c r="AI217" s="358">
        <v>6.1111111111111109E-2</v>
      </c>
      <c r="AJ217" s="358"/>
      <c r="AK217" s="358"/>
      <c r="AL217" s="364"/>
    </row>
    <row r="218" spans="1:38">
      <c r="A218" s="176"/>
      <c r="B218" s="176" t="s">
        <v>654</v>
      </c>
      <c r="C218" s="184" t="s">
        <v>1691</v>
      </c>
      <c r="D218" s="178">
        <v>100</v>
      </c>
      <c r="E218" s="176" t="s">
        <v>4</v>
      </c>
      <c r="F218" s="178">
        <v>12.8</v>
      </c>
      <c r="G218" s="224"/>
      <c r="H218" s="185">
        <v>44601</v>
      </c>
      <c r="I218" s="176" t="s">
        <v>3054</v>
      </c>
      <c r="J218" s="176" t="s">
        <v>3053</v>
      </c>
      <c r="K218" s="176" t="s">
        <v>2315</v>
      </c>
      <c r="L218" s="176" t="s">
        <v>2315</v>
      </c>
      <c r="M218" s="176">
        <v>2021</v>
      </c>
      <c r="N218" s="176" t="s">
        <v>3052</v>
      </c>
      <c r="O218" s="176" t="s">
        <v>3051</v>
      </c>
      <c r="P218" s="179" t="s">
        <v>1</v>
      </c>
      <c r="Q218" s="179" t="s">
        <v>1</v>
      </c>
      <c r="R218" s="179" t="s">
        <v>1</v>
      </c>
      <c r="S218" s="179" t="s">
        <v>1</v>
      </c>
      <c r="T218" s="179" t="s">
        <v>1</v>
      </c>
      <c r="U218" s="179" t="s">
        <v>1</v>
      </c>
      <c r="V218" s="179" t="s">
        <v>1</v>
      </c>
      <c r="W218" s="179" t="s">
        <v>1</v>
      </c>
      <c r="X218" s="179" t="s">
        <v>1</v>
      </c>
      <c r="Y218" s="179" t="s">
        <v>1</v>
      </c>
      <c r="Z218" s="179" t="s">
        <v>1</v>
      </c>
      <c r="AA218" s="179" t="s">
        <v>1</v>
      </c>
      <c r="AB218" s="274" t="s">
        <v>6598</v>
      </c>
      <c r="AC218" s="274" t="s">
        <v>6605</v>
      </c>
      <c r="AD218" s="274" t="s">
        <v>2352</v>
      </c>
      <c r="AE218" s="25" t="s">
        <v>8947</v>
      </c>
      <c r="AF218" s="340" t="s">
        <v>7140</v>
      </c>
      <c r="AG218" s="340" t="s">
        <v>7140</v>
      </c>
      <c r="AH218" s="344">
        <v>0</v>
      </c>
      <c r="AI218" s="358">
        <v>0</v>
      </c>
      <c r="AJ218" s="358"/>
      <c r="AK218" s="358"/>
      <c r="AL218" s="364"/>
    </row>
    <row r="219" spans="1:38">
      <c r="A219" s="176"/>
      <c r="B219" s="176" t="s">
        <v>2039</v>
      </c>
      <c r="C219" s="184" t="s">
        <v>1691</v>
      </c>
      <c r="D219" s="178">
        <v>100</v>
      </c>
      <c r="E219" s="176" t="s">
        <v>5</v>
      </c>
      <c r="F219" s="178">
        <v>18</v>
      </c>
      <c r="G219" s="224">
        <f>F219+Q219</f>
        <v>22.3</v>
      </c>
      <c r="H219" s="185">
        <v>43445</v>
      </c>
      <c r="I219" s="176" t="s">
        <v>6383</v>
      </c>
      <c r="J219" s="176" t="s">
        <v>6385</v>
      </c>
      <c r="K219" s="176" t="s">
        <v>2045</v>
      </c>
      <c r="L219" s="176" t="s">
        <v>6384</v>
      </c>
      <c r="M219" s="176">
        <v>2017</v>
      </c>
      <c r="N219" s="176"/>
      <c r="O219" s="176" t="s">
        <v>6386</v>
      </c>
      <c r="P219" s="179" t="s">
        <v>5</v>
      </c>
      <c r="Q219" s="179">
        <v>4.3</v>
      </c>
      <c r="R219" s="179" t="s">
        <v>6390</v>
      </c>
      <c r="S219" s="179" t="s">
        <v>1</v>
      </c>
      <c r="T219" s="179" t="s">
        <v>1</v>
      </c>
      <c r="U219" s="179" t="s">
        <v>1</v>
      </c>
      <c r="V219" s="179" t="s">
        <v>1</v>
      </c>
      <c r="W219" s="179" t="s">
        <v>1</v>
      </c>
      <c r="X219" s="179" t="s">
        <v>1</v>
      </c>
      <c r="Y219" s="179" t="s">
        <v>1</v>
      </c>
      <c r="Z219" s="179" t="s">
        <v>1</v>
      </c>
      <c r="AA219" s="179" t="s">
        <v>1</v>
      </c>
      <c r="AB219" s="179" t="s">
        <v>2152</v>
      </c>
      <c r="AC219" s="179"/>
      <c r="AD219" s="179"/>
      <c r="AE219" s="25" t="s">
        <v>6380</v>
      </c>
      <c r="AF219" s="340" t="s">
        <v>7140</v>
      </c>
      <c r="AG219" s="340" t="s">
        <v>7140</v>
      </c>
      <c r="AH219" s="344">
        <v>0</v>
      </c>
      <c r="AI219" s="358">
        <v>0</v>
      </c>
      <c r="AJ219" s="358"/>
      <c r="AK219" s="358"/>
      <c r="AL219" s="364"/>
    </row>
    <row r="220" spans="1:38">
      <c r="A220" s="176"/>
      <c r="B220" s="176" t="s">
        <v>2038</v>
      </c>
      <c r="C220" s="184" t="s">
        <v>1691</v>
      </c>
      <c r="D220" s="178">
        <v>100</v>
      </c>
      <c r="E220" s="176" t="s">
        <v>7</v>
      </c>
      <c r="F220" s="178">
        <v>35</v>
      </c>
      <c r="G220" s="224">
        <f>F220+Q220+T220</f>
        <v>45</v>
      </c>
      <c r="H220" s="185">
        <v>44468</v>
      </c>
      <c r="I220" s="176" t="s">
        <v>2052</v>
      </c>
      <c r="J220" s="176" t="s">
        <v>6391</v>
      </c>
      <c r="K220" s="176" t="s">
        <v>2045</v>
      </c>
      <c r="L220" s="176" t="s">
        <v>2056</v>
      </c>
      <c r="M220" s="176">
        <v>2018</v>
      </c>
      <c r="N220" s="176"/>
      <c r="O220" s="176" t="s">
        <v>6393</v>
      </c>
      <c r="P220" s="179" t="s">
        <v>5</v>
      </c>
      <c r="Q220" s="179">
        <v>8</v>
      </c>
      <c r="R220" s="179" t="s">
        <v>6397</v>
      </c>
      <c r="S220" s="179" t="s">
        <v>4</v>
      </c>
      <c r="T220" s="179">
        <v>2</v>
      </c>
      <c r="U220" s="179" t="s">
        <v>6400</v>
      </c>
      <c r="V220" s="179" t="s">
        <v>1</v>
      </c>
      <c r="W220" s="179" t="s">
        <v>1</v>
      </c>
      <c r="X220" s="179" t="s">
        <v>1</v>
      </c>
      <c r="Y220" s="179" t="s">
        <v>1</v>
      </c>
      <c r="Z220" s="179" t="s">
        <v>1</v>
      </c>
      <c r="AA220" s="179" t="s">
        <v>1</v>
      </c>
      <c r="AB220" s="176" t="s">
        <v>2048</v>
      </c>
      <c r="AC220" s="176"/>
      <c r="AD220" s="176"/>
      <c r="AE220" s="25" t="s">
        <v>6392</v>
      </c>
      <c r="AF220" s="340" t="s">
        <v>7140</v>
      </c>
      <c r="AG220" s="340" t="s">
        <v>7140</v>
      </c>
      <c r="AH220" s="344">
        <v>2.5527000000000001E-2</v>
      </c>
      <c r="AI220" s="358">
        <v>2.7083333333333334E-2</v>
      </c>
      <c r="AJ220" s="358"/>
      <c r="AK220" s="358"/>
      <c r="AL220" s="364"/>
    </row>
    <row r="221" spans="1:38">
      <c r="B221" s="72" t="s">
        <v>2012</v>
      </c>
      <c r="C221" s="237" t="s">
        <v>1691</v>
      </c>
      <c r="D221" s="72">
        <v>100</v>
      </c>
      <c r="E221" s="238" t="s">
        <v>7</v>
      </c>
      <c r="F221" s="72">
        <v>20</v>
      </c>
      <c r="G221" s="87">
        <f>F221+Q221+T221+Z221</f>
        <v>33.799999999999997</v>
      </c>
      <c r="H221" s="78">
        <v>45001</v>
      </c>
      <c r="I221" s="238" t="s">
        <v>7412</v>
      </c>
      <c r="J221" s="238" t="s">
        <v>7398</v>
      </c>
      <c r="K221" s="238" t="s">
        <v>2045</v>
      </c>
      <c r="L221" s="238" t="s">
        <v>2056</v>
      </c>
      <c r="M221" s="78">
        <v>41879</v>
      </c>
      <c r="O221" s="238" t="s">
        <v>7402</v>
      </c>
      <c r="P221" s="238" t="s">
        <v>5</v>
      </c>
      <c r="Q221" s="76">
        <v>9</v>
      </c>
      <c r="R221" s="238" t="s">
        <v>7406</v>
      </c>
      <c r="S221" s="238" t="s">
        <v>4</v>
      </c>
      <c r="T221" s="76">
        <v>4</v>
      </c>
      <c r="U221" s="238" t="s">
        <v>7408</v>
      </c>
      <c r="V221" s="238" t="s">
        <v>4</v>
      </c>
      <c r="W221" s="238" t="s">
        <v>1</v>
      </c>
      <c r="X221" s="238" t="s">
        <v>7409</v>
      </c>
      <c r="Y221" s="238" t="s">
        <v>7410</v>
      </c>
      <c r="Z221" s="76">
        <v>0.8</v>
      </c>
      <c r="AA221" s="238" t="s">
        <v>7411</v>
      </c>
      <c r="AB221" s="238" t="s">
        <v>6623</v>
      </c>
      <c r="AD221" s="238" t="s">
        <v>2094</v>
      </c>
      <c r="AE221" s="238" t="s">
        <v>7397</v>
      </c>
      <c r="AF221" s="340" t="s">
        <v>7140</v>
      </c>
      <c r="AG221" s="340" t="s">
        <v>7140</v>
      </c>
      <c r="AH221" s="344">
        <v>2.4868999999999999E-2</v>
      </c>
      <c r="AI221" s="337">
        <v>8.2638888888888887E-2</v>
      </c>
      <c r="AJ221" s="337"/>
      <c r="AK221" s="337"/>
      <c r="AL221" s="364"/>
    </row>
    <row r="222" spans="1:38">
      <c r="A222" s="165"/>
      <c r="B222" s="165" t="s">
        <v>2037</v>
      </c>
      <c r="C222" s="166" t="s">
        <v>1691</v>
      </c>
      <c r="D222" s="167">
        <v>100</v>
      </c>
      <c r="E222" s="165" t="s">
        <v>7</v>
      </c>
      <c r="F222" s="167">
        <v>30</v>
      </c>
      <c r="G222" s="225">
        <f>F222+Q222+T222</f>
        <v>43.9</v>
      </c>
      <c r="H222" s="170">
        <v>44881</v>
      </c>
      <c r="I222" s="165" t="s">
        <v>2052</v>
      </c>
      <c r="J222" s="165" t="s">
        <v>6401</v>
      </c>
      <c r="K222" s="165" t="s">
        <v>2045</v>
      </c>
      <c r="L222" s="165" t="s">
        <v>6402</v>
      </c>
      <c r="M222" s="171">
        <v>42948</v>
      </c>
      <c r="N222" s="165" t="s">
        <v>6409</v>
      </c>
      <c r="O222" s="165" t="s">
        <v>6403</v>
      </c>
      <c r="P222" s="169" t="s">
        <v>5</v>
      </c>
      <c r="Q222" s="169">
        <v>11</v>
      </c>
      <c r="R222" s="169" t="s">
        <v>6404</v>
      </c>
      <c r="S222" s="169" t="s">
        <v>4</v>
      </c>
      <c r="T222" s="169">
        <v>2.9</v>
      </c>
      <c r="U222" s="169" t="s">
        <v>6408</v>
      </c>
      <c r="V222" s="169" t="s">
        <v>1</v>
      </c>
      <c r="W222" s="169" t="s">
        <v>1</v>
      </c>
      <c r="X222" s="169" t="s">
        <v>1</v>
      </c>
      <c r="Y222" s="169" t="s">
        <v>1</v>
      </c>
      <c r="Z222" s="169" t="s">
        <v>1</v>
      </c>
      <c r="AA222" s="169" t="s">
        <v>1</v>
      </c>
      <c r="AB222" s="165" t="s">
        <v>2048</v>
      </c>
      <c r="AC222" s="165"/>
      <c r="AD222" s="165"/>
      <c r="AE222" s="25" t="s">
        <v>6381</v>
      </c>
      <c r="AF222" s="340" t="s">
        <v>7140</v>
      </c>
      <c r="AG222" s="340" t="s">
        <v>7140</v>
      </c>
      <c r="AH222" s="344">
        <v>0</v>
      </c>
      <c r="AI222" s="371">
        <v>0.13680555555555557</v>
      </c>
      <c r="AJ222" s="371"/>
      <c r="AK222" s="371"/>
      <c r="AL222" s="364"/>
    </row>
    <row r="223" spans="1:38">
      <c r="A223" s="165"/>
      <c r="B223" s="165" t="s">
        <v>3050</v>
      </c>
      <c r="C223" s="166" t="s">
        <v>1691</v>
      </c>
      <c r="D223" s="167">
        <v>100</v>
      </c>
      <c r="E223" s="165" t="s">
        <v>5</v>
      </c>
      <c r="F223" s="167">
        <v>6.5</v>
      </c>
      <c r="G223" s="225">
        <f>F223+Q223</f>
        <v>10.9</v>
      </c>
      <c r="H223" s="170">
        <v>43069</v>
      </c>
      <c r="I223" s="165" t="s">
        <v>6558</v>
      </c>
      <c r="J223" s="165" t="s">
        <v>3049</v>
      </c>
      <c r="K223" s="165" t="s">
        <v>2308</v>
      </c>
      <c r="L223" s="165" t="s">
        <v>3048</v>
      </c>
      <c r="M223" s="165">
        <v>2017</v>
      </c>
      <c r="N223" s="165"/>
      <c r="O223" s="165" t="s">
        <v>3047</v>
      </c>
      <c r="P223" s="169" t="s">
        <v>5</v>
      </c>
      <c r="Q223" s="169">
        <v>4.4000000000000004</v>
      </c>
      <c r="R223" s="169" t="s">
        <v>3046</v>
      </c>
      <c r="S223" s="169" t="s">
        <v>4</v>
      </c>
      <c r="T223" s="169" t="s">
        <v>1</v>
      </c>
      <c r="U223" s="169" t="s">
        <v>3045</v>
      </c>
      <c r="V223" s="169" t="s">
        <v>1</v>
      </c>
      <c r="W223" s="169" t="s">
        <v>1</v>
      </c>
      <c r="X223" s="169" t="s">
        <v>1</v>
      </c>
      <c r="Y223" s="169" t="s">
        <v>1</v>
      </c>
      <c r="Z223" s="169" t="s">
        <v>1</v>
      </c>
      <c r="AA223" s="169" t="s">
        <v>1</v>
      </c>
      <c r="AB223" s="169" t="s">
        <v>1</v>
      </c>
      <c r="AC223" s="169"/>
      <c r="AD223" s="169"/>
      <c r="AE223" s="25" t="s">
        <v>8948</v>
      </c>
      <c r="AF223" s="340" t="s">
        <v>7140</v>
      </c>
      <c r="AG223" s="340" t="s">
        <v>7140</v>
      </c>
      <c r="AH223" s="372">
        <v>0.72391799999999995</v>
      </c>
      <c r="AI223" s="371">
        <v>0.18402777777777779</v>
      </c>
      <c r="AJ223" s="371"/>
      <c r="AK223" s="371"/>
      <c r="AL223" s="364"/>
    </row>
    <row r="224" spans="1:38">
      <c r="A224" s="165"/>
      <c r="B224" s="165" t="s">
        <v>2031</v>
      </c>
      <c r="C224" s="166" t="s">
        <v>1691</v>
      </c>
      <c r="D224" s="167">
        <v>100</v>
      </c>
      <c r="E224" s="165" t="s">
        <v>5</v>
      </c>
      <c r="F224" s="167">
        <v>23.9</v>
      </c>
      <c r="G224" s="225">
        <f>+Q224+F224</f>
        <v>28.299999999999997</v>
      </c>
      <c r="H224" s="170">
        <v>44719</v>
      </c>
      <c r="I224" s="165" t="s">
        <v>6648</v>
      </c>
      <c r="J224" s="165" t="s">
        <v>6647</v>
      </c>
      <c r="K224" s="165" t="s">
        <v>2045</v>
      </c>
      <c r="L224" s="165" t="s">
        <v>2056</v>
      </c>
      <c r="M224" s="165">
        <v>2021</v>
      </c>
      <c r="N224" s="165" t="s">
        <v>6649</v>
      </c>
      <c r="O224" s="165" t="s">
        <v>6650</v>
      </c>
      <c r="P224" s="169" t="s">
        <v>4</v>
      </c>
      <c r="Q224" s="169">
        <v>4.4000000000000004</v>
      </c>
      <c r="R224" s="169" t="s">
        <v>1</v>
      </c>
      <c r="S224" s="169" t="s">
        <v>1</v>
      </c>
      <c r="T224" s="169" t="s">
        <v>1</v>
      </c>
      <c r="U224" s="169" t="s">
        <v>1</v>
      </c>
      <c r="V224" s="169" t="s">
        <v>1</v>
      </c>
      <c r="W224" s="169" t="s">
        <v>1</v>
      </c>
      <c r="X224" s="169" t="s">
        <v>1</v>
      </c>
      <c r="Y224" s="169" t="s">
        <v>1</v>
      </c>
      <c r="Z224" s="169" t="s">
        <v>1</v>
      </c>
      <c r="AA224" s="169" t="s">
        <v>1</v>
      </c>
      <c r="AB224" s="165" t="s">
        <v>6598</v>
      </c>
      <c r="AC224" s="165" t="s">
        <v>6601</v>
      </c>
      <c r="AD224" s="165" t="s">
        <v>2362</v>
      </c>
      <c r="AE224" s="25" t="s">
        <v>4274</v>
      </c>
      <c r="AF224" s="340" t="s">
        <v>7140</v>
      </c>
      <c r="AG224" s="340" t="s">
        <v>7140</v>
      </c>
      <c r="AH224" s="344">
        <v>1.4652999999999999E-2</v>
      </c>
      <c r="AI224" s="371">
        <v>5.6944444444444443E-2</v>
      </c>
      <c r="AJ224" s="371"/>
      <c r="AK224" s="371"/>
      <c r="AL224" s="364"/>
    </row>
    <row r="225" spans="1:38">
      <c r="A225" s="165"/>
      <c r="B225" s="165" t="s">
        <v>2035</v>
      </c>
      <c r="C225" s="166" t="s">
        <v>1691</v>
      </c>
      <c r="D225" s="167">
        <v>100</v>
      </c>
      <c r="E225" s="165" t="s">
        <v>7</v>
      </c>
      <c r="F225" s="167">
        <v>21</v>
      </c>
      <c r="G225" s="167">
        <f>F225+Q225</f>
        <v>30.1</v>
      </c>
      <c r="H225" s="170">
        <v>44518</v>
      </c>
      <c r="I225" s="165" t="s">
        <v>6537</v>
      </c>
      <c r="J225" s="165" t="s">
        <v>6539</v>
      </c>
      <c r="K225" s="165" t="s">
        <v>2045</v>
      </c>
      <c r="L225" s="165" t="s">
        <v>6540</v>
      </c>
      <c r="M225" s="165">
        <v>2013</v>
      </c>
      <c r="N225" s="165"/>
      <c r="O225" s="165" t="s">
        <v>6541</v>
      </c>
      <c r="P225" s="169" t="s">
        <v>5</v>
      </c>
      <c r="Q225" s="169">
        <v>9.1</v>
      </c>
      <c r="R225" s="169" t="s">
        <v>6544</v>
      </c>
      <c r="S225" s="169" t="s">
        <v>1</v>
      </c>
      <c r="T225" s="169" t="s">
        <v>1</v>
      </c>
      <c r="U225" s="169" t="s">
        <v>1</v>
      </c>
      <c r="V225" s="169" t="s">
        <v>1</v>
      </c>
      <c r="W225" s="169" t="s">
        <v>1</v>
      </c>
      <c r="X225" s="169" t="s">
        <v>1</v>
      </c>
      <c r="Y225" s="169" t="s">
        <v>1</v>
      </c>
      <c r="Z225" s="169" t="s">
        <v>1</v>
      </c>
      <c r="AA225" s="169" t="s">
        <v>1</v>
      </c>
      <c r="AB225" s="165" t="s">
        <v>2055</v>
      </c>
      <c r="AC225" s="165"/>
      <c r="AD225" s="165"/>
      <c r="AE225" s="25" t="s">
        <v>6538</v>
      </c>
      <c r="AF225" s="340" t="s">
        <v>7140</v>
      </c>
      <c r="AG225" s="340" t="s">
        <v>7140</v>
      </c>
      <c r="AH225" s="344">
        <v>0.321772</v>
      </c>
      <c r="AI225" s="371">
        <v>0.18680555555555556</v>
      </c>
      <c r="AJ225" s="371"/>
      <c r="AK225" s="371"/>
      <c r="AL225" s="364"/>
    </row>
    <row r="226" spans="1:38" s="12" customFormat="1">
      <c r="A226" s="165"/>
      <c r="B226" s="176" t="s">
        <v>2023</v>
      </c>
      <c r="C226" s="184" t="s">
        <v>1691</v>
      </c>
      <c r="D226" s="178">
        <v>100</v>
      </c>
      <c r="E226" s="176" t="s">
        <v>5</v>
      </c>
      <c r="F226" s="178">
        <v>15.3</v>
      </c>
      <c r="G226" s="178">
        <f>F226+Q226</f>
        <v>18.8</v>
      </c>
      <c r="H226" s="185">
        <v>44733</v>
      </c>
      <c r="I226" s="176" t="s">
        <v>6723</v>
      </c>
      <c r="J226" s="176" t="s">
        <v>6722</v>
      </c>
      <c r="K226" s="176" t="s">
        <v>2045</v>
      </c>
      <c r="L226" s="176" t="s">
        <v>6412</v>
      </c>
      <c r="M226" s="176">
        <v>2020</v>
      </c>
      <c r="N226" s="176"/>
      <c r="O226" s="176" t="s">
        <v>6724</v>
      </c>
      <c r="P226" s="179" t="s">
        <v>4</v>
      </c>
      <c r="Q226" s="179">
        <v>3.5</v>
      </c>
      <c r="R226" s="179" t="s">
        <v>6726</v>
      </c>
      <c r="S226" s="179" t="s">
        <v>1</v>
      </c>
      <c r="T226" s="179" t="s">
        <v>1</v>
      </c>
      <c r="U226" s="179" t="s">
        <v>1</v>
      </c>
      <c r="V226" s="179" t="s">
        <v>1</v>
      </c>
      <c r="W226" s="179" t="s">
        <v>1</v>
      </c>
      <c r="X226" s="179" t="s">
        <v>1</v>
      </c>
      <c r="Y226" s="179" t="s">
        <v>1</v>
      </c>
      <c r="Z226" s="179" t="s">
        <v>1</v>
      </c>
      <c r="AA226" s="179" t="s">
        <v>1</v>
      </c>
      <c r="AB226" s="176" t="s">
        <v>6598</v>
      </c>
      <c r="AC226" s="176" t="s">
        <v>6601</v>
      </c>
      <c r="AD226" s="176" t="s">
        <v>2362</v>
      </c>
      <c r="AE226" s="25" t="s">
        <v>6721</v>
      </c>
      <c r="AF226" s="340" t="s">
        <v>7140</v>
      </c>
      <c r="AG226" s="340" t="s">
        <v>7140</v>
      </c>
      <c r="AH226" s="344">
        <v>0.30758200000000002</v>
      </c>
      <c r="AI226" s="358">
        <v>8.5416666666666669E-2</v>
      </c>
      <c r="AJ226" s="358"/>
      <c r="AK226" s="358"/>
      <c r="AL226" s="364"/>
    </row>
    <row r="227" spans="1:38" s="12" customFormat="1">
      <c r="A227" s="165"/>
      <c r="B227" s="165" t="s">
        <v>2034</v>
      </c>
      <c r="C227" s="166" t="s">
        <v>1691</v>
      </c>
      <c r="D227" s="167">
        <v>100</v>
      </c>
      <c r="E227" s="165" t="s">
        <v>7</v>
      </c>
      <c r="F227" s="167">
        <v>25</v>
      </c>
      <c r="G227" s="167"/>
      <c r="H227" s="170">
        <v>44572</v>
      </c>
      <c r="I227" s="165" t="s">
        <v>2052</v>
      </c>
      <c r="J227" s="165" t="s">
        <v>6551</v>
      </c>
      <c r="K227" s="165" t="s">
        <v>2045</v>
      </c>
      <c r="L227" s="165" t="s">
        <v>2052</v>
      </c>
      <c r="M227" s="172">
        <v>42767</v>
      </c>
      <c r="N227" s="165"/>
      <c r="O227" s="165" t="s">
        <v>6552</v>
      </c>
      <c r="P227" s="169" t="s">
        <v>5</v>
      </c>
      <c r="Q227" s="169">
        <v>5</v>
      </c>
      <c r="R227" s="169" t="s">
        <v>6555</v>
      </c>
      <c r="S227" s="169" t="s">
        <v>4</v>
      </c>
      <c r="T227" s="169">
        <v>1</v>
      </c>
      <c r="U227" s="169" t="s">
        <v>6557</v>
      </c>
      <c r="V227" s="169" t="s">
        <v>1</v>
      </c>
      <c r="W227" s="169" t="s">
        <v>1</v>
      </c>
      <c r="X227" s="169" t="s">
        <v>1</v>
      </c>
      <c r="Y227" s="169" t="s">
        <v>1</v>
      </c>
      <c r="Z227" s="169" t="s">
        <v>1</v>
      </c>
      <c r="AA227" s="169" t="s">
        <v>1</v>
      </c>
      <c r="AB227" s="165" t="s">
        <v>6548</v>
      </c>
      <c r="AC227" s="165"/>
      <c r="AD227" s="165"/>
      <c r="AE227" s="25" t="s">
        <v>6549</v>
      </c>
      <c r="AF227" s="340" t="s">
        <v>7140</v>
      </c>
      <c r="AG227" s="340" t="s">
        <v>7140</v>
      </c>
      <c r="AH227" s="344">
        <v>3.4282E-2</v>
      </c>
      <c r="AI227" s="371">
        <v>6.25E-2</v>
      </c>
      <c r="AJ227" s="371"/>
      <c r="AK227" s="371"/>
      <c r="AL227" s="364"/>
    </row>
    <row r="228" spans="1:38">
      <c r="A228" s="165"/>
      <c r="B228" s="72" t="s">
        <v>888</v>
      </c>
      <c r="C228" s="73" t="s">
        <v>1691</v>
      </c>
      <c r="D228" s="74">
        <v>80</v>
      </c>
      <c r="E228" s="72" t="s">
        <v>5</v>
      </c>
      <c r="F228" s="74">
        <v>20</v>
      </c>
      <c r="H228" s="77">
        <v>45009</v>
      </c>
      <c r="I228" s="72" t="s">
        <v>3044</v>
      </c>
      <c r="J228" s="72" t="s">
        <v>3043</v>
      </c>
      <c r="K228" s="72" t="s">
        <v>2045</v>
      </c>
      <c r="L228" s="72" t="s">
        <v>2698</v>
      </c>
      <c r="M228" s="72">
        <v>2021</v>
      </c>
      <c r="O228" s="72" t="s">
        <v>3042</v>
      </c>
      <c r="P228" s="76" t="s">
        <v>1</v>
      </c>
      <c r="Q228" s="76" t="s">
        <v>1</v>
      </c>
      <c r="R228" s="76" t="s">
        <v>1</v>
      </c>
      <c r="S228" s="76" t="s">
        <v>1</v>
      </c>
      <c r="T228" s="76" t="s">
        <v>1</v>
      </c>
      <c r="U228" s="76" t="s">
        <v>1</v>
      </c>
      <c r="V228" s="76" t="s">
        <v>1</v>
      </c>
      <c r="W228" s="76" t="s">
        <v>1</v>
      </c>
      <c r="X228" s="76" t="s">
        <v>1</v>
      </c>
      <c r="Y228" s="76" t="s">
        <v>1</v>
      </c>
      <c r="Z228" s="76" t="s">
        <v>1</v>
      </c>
      <c r="AA228" s="76" t="s">
        <v>1</v>
      </c>
      <c r="AB228" s="72" t="s">
        <v>3041</v>
      </c>
      <c r="AE228" s="25" t="s">
        <v>8949</v>
      </c>
      <c r="AF228" s="340" t="s">
        <v>7140</v>
      </c>
      <c r="AG228" s="340" t="s">
        <v>7140</v>
      </c>
      <c r="AH228" s="344">
        <v>6.8024000000000001E-2</v>
      </c>
      <c r="AI228" s="337">
        <v>7.9166666666666663E-2</v>
      </c>
      <c r="AJ228" s="337"/>
      <c r="AK228" s="337"/>
      <c r="AL228" s="364"/>
    </row>
    <row r="229" spans="1:38">
      <c r="A229" s="165"/>
      <c r="B229" s="72" t="s">
        <v>559</v>
      </c>
      <c r="C229" s="73" t="s">
        <v>1691</v>
      </c>
      <c r="D229" s="74">
        <v>80</v>
      </c>
      <c r="E229" s="72" t="s">
        <v>5</v>
      </c>
      <c r="F229" s="74">
        <v>20</v>
      </c>
      <c r="H229" s="77">
        <v>44701</v>
      </c>
      <c r="I229" s="72" t="s">
        <v>3040</v>
      </c>
      <c r="J229" s="72" t="s">
        <v>3039</v>
      </c>
      <c r="K229" s="72" t="s">
        <v>2045</v>
      </c>
      <c r="L229" s="72" t="s">
        <v>3038</v>
      </c>
      <c r="M229" s="72">
        <v>2021</v>
      </c>
      <c r="O229" s="72" t="s">
        <v>3037</v>
      </c>
      <c r="P229" s="76" t="s">
        <v>1</v>
      </c>
      <c r="Q229" s="76" t="s">
        <v>1</v>
      </c>
      <c r="R229" s="76" t="s">
        <v>1</v>
      </c>
      <c r="S229" s="76" t="s">
        <v>1</v>
      </c>
      <c r="T229" s="76" t="s">
        <v>1</v>
      </c>
      <c r="U229" s="76" t="s">
        <v>1</v>
      </c>
      <c r="V229" s="76" t="s">
        <v>1</v>
      </c>
      <c r="W229" s="76" t="s">
        <v>1</v>
      </c>
      <c r="X229" s="76" t="s">
        <v>1</v>
      </c>
      <c r="Y229" s="76" t="s">
        <v>1</v>
      </c>
      <c r="Z229" s="76" t="s">
        <v>1</v>
      </c>
      <c r="AA229" s="76" t="s">
        <v>1</v>
      </c>
      <c r="AB229" s="72" t="s">
        <v>3036</v>
      </c>
      <c r="AE229" s="25" t="s">
        <v>8950</v>
      </c>
      <c r="AF229" s="340" t="s">
        <v>7140</v>
      </c>
      <c r="AG229" s="340" t="s">
        <v>7140</v>
      </c>
      <c r="AH229" s="344">
        <v>3.1050000000000001E-2</v>
      </c>
      <c r="AI229" s="337">
        <v>6.6666666666666666E-2</v>
      </c>
      <c r="AJ229" s="337"/>
      <c r="AK229" s="337"/>
      <c r="AL229" s="364"/>
    </row>
    <row r="230" spans="1:38">
      <c r="A230" s="165"/>
      <c r="B230" s="72" t="s">
        <v>3035</v>
      </c>
      <c r="C230" s="73" t="s">
        <v>1691</v>
      </c>
      <c r="D230" s="74">
        <v>80</v>
      </c>
      <c r="E230" s="72" t="s">
        <v>7</v>
      </c>
      <c r="F230" s="74">
        <v>20</v>
      </c>
      <c r="H230" s="77">
        <v>44756</v>
      </c>
      <c r="I230" s="72" t="s">
        <v>2589</v>
      </c>
      <c r="J230" s="72" t="s">
        <v>3034</v>
      </c>
      <c r="K230" s="72" t="s">
        <v>2308</v>
      </c>
      <c r="L230" s="72" t="s">
        <v>3033</v>
      </c>
      <c r="M230" s="72">
        <v>2015</v>
      </c>
      <c r="N230" s="72" t="s">
        <v>3032</v>
      </c>
      <c r="O230" s="72" t="s">
        <v>3031</v>
      </c>
      <c r="P230" s="76" t="s">
        <v>5</v>
      </c>
      <c r="Q230" s="76">
        <v>5.5</v>
      </c>
      <c r="R230" s="76" t="s">
        <v>3030</v>
      </c>
      <c r="S230" s="76" t="s">
        <v>4</v>
      </c>
      <c r="T230" s="76">
        <v>2</v>
      </c>
      <c r="U230" s="76" t="s">
        <v>3029</v>
      </c>
      <c r="V230" s="76" t="s">
        <v>4</v>
      </c>
      <c r="W230" s="76">
        <v>1.3</v>
      </c>
      <c r="X230" s="76" t="s">
        <v>3028</v>
      </c>
      <c r="Y230" s="76" t="s">
        <v>4</v>
      </c>
      <c r="Z230" s="76">
        <v>0.4</v>
      </c>
      <c r="AA230" s="76" t="s">
        <v>1</v>
      </c>
      <c r="AB230" s="72" t="s">
        <v>2178</v>
      </c>
      <c r="AE230" s="25" t="s">
        <v>8951</v>
      </c>
      <c r="AF230" s="340" t="s">
        <v>7140</v>
      </c>
      <c r="AG230" s="340" t="s">
        <v>7140</v>
      </c>
      <c r="AH230" s="344">
        <v>4.3555000000000003E-2</v>
      </c>
      <c r="AI230" s="337">
        <v>9.0972222222222218E-2</v>
      </c>
      <c r="AJ230" s="337"/>
      <c r="AK230" s="337"/>
      <c r="AL230" s="364"/>
    </row>
    <row r="231" spans="1:38">
      <c r="A231" s="165"/>
      <c r="B231" s="72" t="s">
        <v>456</v>
      </c>
      <c r="C231" s="73" t="s">
        <v>1691</v>
      </c>
      <c r="D231" s="74">
        <v>75</v>
      </c>
      <c r="E231" s="72" t="s">
        <v>7</v>
      </c>
      <c r="F231" s="74">
        <v>26.8</v>
      </c>
      <c r="H231" s="77">
        <v>44600</v>
      </c>
      <c r="I231" s="72" t="s">
        <v>3027</v>
      </c>
      <c r="J231" s="72" t="s">
        <v>3026</v>
      </c>
      <c r="K231" s="72" t="s">
        <v>2045</v>
      </c>
      <c r="L231" s="72" t="s">
        <v>3025</v>
      </c>
      <c r="M231" s="72">
        <v>2012</v>
      </c>
      <c r="O231" s="72" t="s">
        <v>3024</v>
      </c>
      <c r="P231" s="76" t="s">
        <v>5</v>
      </c>
      <c r="Q231" s="76">
        <v>8.3000000000000007</v>
      </c>
      <c r="R231" s="76" t="s">
        <v>3023</v>
      </c>
      <c r="S231" s="76" t="s">
        <v>4</v>
      </c>
      <c r="T231" s="76" t="s">
        <v>1</v>
      </c>
      <c r="U231" s="76" t="s">
        <v>3022</v>
      </c>
      <c r="V231" s="76" t="s">
        <v>1</v>
      </c>
      <c r="W231" s="76" t="s">
        <v>1</v>
      </c>
      <c r="X231" s="76" t="s">
        <v>1</v>
      </c>
      <c r="Y231" s="76" t="s">
        <v>1</v>
      </c>
      <c r="Z231" s="76" t="s">
        <v>1</v>
      </c>
      <c r="AA231" s="76" t="s">
        <v>1</v>
      </c>
      <c r="AB231" s="72" t="s">
        <v>3021</v>
      </c>
      <c r="AE231" s="25" t="s">
        <v>8952</v>
      </c>
      <c r="AF231" s="340" t="s">
        <v>7140</v>
      </c>
      <c r="AG231" s="340" t="s">
        <v>7140</v>
      </c>
      <c r="AH231" s="344">
        <v>0</v>
      </c>
      <c r="AI231" s="337">
        <v>1.3888888888888888E-2</v>
      </c>
      <c r="AJ231" s="337"/>
      <c r="AK231" s="337"/>
      <c r="AL231" s="364"/>
    </row>
    <row r="232" spans="1:38">
      <c r="A232" s="165"/>
      <c r="B232" s="72" t="s">
        <v>3020</v>
      </c>
      <c r="C232" s="73" t="s">
        <v>1691</v>
      </c>
      <c r="D232" s="74">
        <v>75</v>
      </c>
      <c r="E232" s="72" t="s">
        <v>7</v>
      </c>
      <c r="F232" s="74">
        <v>26</v>
      </c>
      <c r="H232" s="77">
        <v>44594</v>
      </c>
      <c r="J232" s="72" t="s">
        <v>3019</v>
      </c>
      <c r="K232" s="72" t="s">
        <v>2045</v>
      </c>
      <c r="L232" s="72" t="s">
        <v>3018</v>
      </c>
      <c r="M232" s="72">
        <v>2015</v>
      </c>
      <c r="O232" s="72" t="s">
        <v>3017</v>
      </c>
      <c r="P232" s="76" t="s">
        <v>7</v>
      </c>
      <c r="Q232" s="76">
        <v>13</v>
      </c>
      <c r="R232" s="76" t="s">
        <v>941</v>
      </c>
      <c r="S232" s="76" t="s">
        <v>5</v>
      </c>
      <c r="T232" s="76">
        <v>5</v>
      </c>
      <c r="U232" s="76" t="s">
        <v>432</v>
      </c>
      <c r="V232" s="76" t="s">
        <v>4</v>
      </c>
      <c r="W232" s="76">
        <v>1.5</v>
      </c>
      <c r="X232" s="76" t="s">
        <v>1</v>
      </c>
      <c r="Y232" s="76" t="s">
        <v>1</v>
      </c>
      <c r="Z232" s="76" t="s">
        <v>1</v>
      </c>
      <c r="AA232" s="76" t="s">
        <v>1</v>
      </c>
      <c r="AB232" s="72" t="s">
        <v>2043</v>
      </c>
      <c r="AE232" s="25" t="s">
        <v>8953</v>
      </c>
      <c r="AF232" s="340" t="s">
        <v>7140</v>
      </c>
      <c r="AG232" s="340" t="s">
        <v>7140</v>
      </c>
      <c r="AH232" s="344">
        <v>0.124857</v>
      </c>
      <c r="AI232" s="337">
        <v>0.17222222222222222</v>
      </c>
      <c r="AJ232" s="337"/>
      <c r="AK232" s="337"/>
      <c r="AL232" s="364"/>
    </row>
    <row r="233" spans="1:38" s="12" customFormat="1">
      <c r="A233" s="165"/>
      <c r="B233" s="72" t="s">
        <v>461</v>
      </c>
      <c r="C233" s="73" t="s">
        <v>1691</v>
      </c>
      <c r="D233" s="74">
        <v>75</v>
      </c>
      <c r="E233" s="72" t="s">
        <v>7</v>
      </c>
      <c r="F233" s="74">
        <v>25.7</v>
      </c>
      <c r="G233" s="74"/>
      <c r="H233" s="27">
        <v>43837</v>
      </c>
      <c r="I233" s="72" t="s">
        <v>3016</v>
      </c>
      <c r="J233" s="72" t="s">
        <v>3015</v>
      </c>
      <c r="K233" s="72" t="s">
        <v>2045</v>
      </c>
      <c r="L233" s="72" t="s">
        <v>2062</v>
      </c>
      <c r="M233" s="72">
        <v>2015</v>
      </c>
      <c r="N233" s="72"/>
      <c r="O233" s="72" t="s">
        <v>3014</v>
      </c>
      <c r="P233" s="76" t="s">
        <v>5</v>
      </c>
      <c r="Q233" s="76">
        <v>21.6</v>
      </c>
      <c r="R233" s="76" t="s">
        <v>3013</v>
      </c>
      <c r="S233" s="76" t="s">
        <v>1</v>
      </c>
      <c r="T233" s="76" t="s">
        <v>1</v>
      </c>
      <c r="U233" s="76" t="s">
        <v>1</v>
      </c>
      <c r="V233" s="76" t="s">
        <v>1</v>
      </c>
      <c r="W233" s="76" t="s">
        <v>1</v>
      </c>
      <c r="X233" s="76" t="s">
        <v>1</v>
      </c>
      <c r="Y233" s="76" t="s">
        <v>1</v>
      </c>
      <c r="Z233" s="76" t="s">
        <v>1</v>
      </c>
      <c r="AA233" s="76" t="s">
        <v>1</v>
      </c>
      <c r="AB233" s="72" t="s">
        <v>3012</v>
      </c>
      <c r="AC233" s="72"/>
      <c r="AD233" s="72"/>
      <c r="AE233" s="25" t="s">
        <v>8954</v>
      </c>
      <c r="AF233" s="340" t="s">
        <v>7140</v>
      </c>
      <c r="AG233" s="340" t="s">
        <v>7140</v>
      </c>
      <c r="AH233" s="344">
        <v>0</v>
      </c>
      <c r="AI233" s="337">
        <v>0</v>
      </c>
      <c r="AJ233" s="337"/>
      <c r="AK233" s="337"/>
      <c r="AL233" s="364"/>
    </row>
    <row r="234" spans="1:38">
      <c r="A234" s="165"/>
      <c r="B234" s="72" t="s">
        <v>351</v>
      </c>
      <c r="C234" s="73" t="s">
        <v>1691</v>
      </c>
      <c r="D234" s="74">
        <v>75</v>
      </c>
      <c r="E234" s="72" t="s">
        <v>7</v>
      </c>
      <c r="F234" s="74">
        <v>22</v>
      </c>
      <c r="H234" s="77">
        <v>44861</v>
      </c>
      <c r="I234" s="72" t="s">
        <v>3011</v>
      </c>
      <c r="J234" s="72" t="s">
        <v>3010</v>
      </c>
      <c r="K234" s="72" t="s">
        <v>2045</v>
      </c>
      <c r="L234" s="72" t="s">
        <v>2062</v>
      </c>
      <c r="M234" s="72">
        <v>2018</v>
      </c>
      <c r="O234" s="72" t="s">
        <v>3009</v>
      </c>
      <c r="P234" s="76" t="s">
        <v>5</v>
      </c>
      <c r="Q234" s="76">
        <v>15</v>
      </c>
      <c r="R234" s="76" t="s">
        <v>3008</v>
      </c>
      <c r="S234" s="76" t="s">
        <v>4</v>
      </c>
      <c r="T234" s="76">
        <v>7</v>
      </c>
      <c r="U234" s="76" t="s">
        <v>352</v>
      </c>
      <c r="V234" s="76" t="s">
        <v>1</v>
      </c>
      <c r="W234" s="76" t="s">
        <v>1</v>
      </c>
      <c r="X234" s="76" t="s">
        <v>1</v>
      </c>
      <c r="Y234" s="76" t="s">
        <v>1</v>
      </c>
      <c r="Z234" s="76" t="s">
        <v>1</v>
      </c>
      <c r="AA234" s="76" t="s">
        <v>1</v>
      </c>
      <c r="AB234" s="72" t="s">
        <v>2078</v>
      </c>
      <c r="AE234" s="25" t="s">
        <v>8955</v>
      </c>
      <c r="AF234" s="340" t="s">
        <v>7140</v>
      </c>
      <c r="AG234" s="340" t="s">
        <v>7140</v>
      </c>
      <c r="AH234" s="344">
        <v>5.2529999999999999E-3</v>
      </c>
      <c r="AI234" s="337">
        <v>2.0833333333333333E-3</v>
      </c>
      <c r="AJ234" s="337"/>
      <c r="AK234" s="337"/>
      <c r="AL234" s="364"/>
    </row>
    <row r="235" spans="1:38" s="165" customFormat="1">
      <c r="A235" s="72"/>
      <c r="B235" s="176" t="s">
        <v>2033</v>
      </c>
      <c r="C235" s="184" t="s">
        <v>1691</v>
      </c>
      <c r="D235" s="177">
        <v>75</v>
      </c>
      <c r="E235" s="176" t="s">
        <v>5</v>
      </c>
      <c r="F235" s="177">
        <v>25</v>
      </c>
      <c r="G235" s="177">
        <f>+F235+Q235</f>
        <v>30</v>
      </c>
      <c r="H235" s="77">
        <v>44454</v>
      </c>
      <c r="I235" s="176" t="s">
        <v>6626</v>
      </c>
      <c r="J235" s="176" t="s">
        <v>6625</v>
      </c>
      <c r="K235" s="176" t="s">
        <v>2045</v>
      </c>
      <c r="L235" s="176" t="s">
        <v>6629</v>
      </c>
      <c r="M235" s="176">
        <v>2020</v>
      </c>
      <c r="N235" s="176"/>
      <c r="O235" s="176" t="s">
        <v>6628</v>
      </c>
      <c r="P235" s="179" t="s">
        <v>4</v>
      </c>
      <c r="Q235" s="179">
        <v>5</v>
      </c>
      <c r="R235" s="179" t="s">
        <v>1000</v>
      </c>
      <c r="S235" s="179" t="s">
        <v>1</v>
      </c>
      <c r="T235" s="179" t="s">
        <v>1</v>
      </c>
      <c r="U235" s="179" t="s">
        <v>1</v>
      </c>
      <c r="V235" s="179" t="s">
        <v>1</v>
      </c>
      <c r="W235" s="179" t="s">
        <v>1</v>
      </c>
      <c r="X235" s="179" t="s">
        <v>1</v>
      </c>
      <c r="Y235" s="179" t="s">
        <v>1</v>
      </c>
      <c r="Z235" s="179" t="s">
        <v>1</v>
      </c>
      <c r="AA235" s="179" t="s">
        <v>1</v>
      </c>
      <c r="AB235" s="176" t="s">
        <v>6598</v>
      </c>
      <c r="AC235" s="176" t="s">
        <v>6601</v>
      </c>
      <c r="AD235" s="176" t="s">
        <v>6609</v>
      </c>
      <c r="AE235" s="186" t="s">
        <v>6627</v>
      </c>
      <c r="AF235" s="340" t="s">
        <v>7140</v>
      </c>
      <c r="AG235" s="340" t="s">
        <v>7140</v>
      </c>
      <c r="AH235" s="344">
        <v>5.2529999999999999E-3</v>
      </c>
      <c r="AI235" s="358">
        <v>0.12291666666666666</v>
      </c>
      <c r="AJ235" s="358"/>
      <c r="AK235" s="358"/>
      <c r="AL235" s="364"/>
    </row>
    <row r="236" spans="1:38">
      <c r="B236" s="72" t="s">
        <v>722</v>
      </c>
      <c r="C236" s="73" t="s">
        <v>1691</v>
      </c>
      <c r="D236" s="74">
        <v>75</v>
      </c>
      <c r="E236" s="72" t="s">
        <v>5</v>
      </c>
      <c r="F236" s="74">
        <v>20</v>
      </c>
      <c r="H236" s="77">
        <v>44903</v>
      </c>
      <c r="I236" s="72" t="s">
        <v>3007</v>
      </c>
      <c r="J236" s="72" t="s">
        <v>3006</v>
      </c>
      <c r="K236" s="72" t="s">
        <v>2045</v>
      </c>
      <c r="L236" s="72" t="s">
        <v>3005</v>
      </c>
      <c r="M236" s="84" t="s">
        <v>2982</v>
      </c>
      <c r="O236" s="72" t="s">
        <v>3004</v>
      </c>
      <c r="P236" s="76" t="s">
        <v>5</v>
      </c>
      <c r="Q236" s="76">
        <v>11</v>
      </c>
      <c r="R236" s="76" t="s">
        <v>3003</v>
      </c>
      <c r="S236" s="76" t="s">
        <v>4</v>
      </c>
      <c r="T236" s="76">
        <v>3</v>
      </c>
      <c r="U236" s="76" t="s">
        <v>3002</v>
      </c>
      <c r="V236" s="76" t="s">
        <v>278</v>
      </c>
      <c r="W236" s="76">
        <v>1.2</v>
      </c>
      <c r="X236" s="76" t="s">
        <v>3001</v>
      </c>
      <c r="Y236" s="76" t="s">
        <v>1</v>
      </c>
      <c r="Z236" s="76" t="s">
        <v>1</v>
      </c>
      <c r="AA236" s="76" t="s">
        <v>1</v>
      </c>
      <c r="AB236" s="72" t="s">
        <v>2043</v>
      </c>
      <c r="AE236" s="25" t="s">
        <v>8956</v>
      </c>
      <c r="AF236" s="340" t="s">
        <v>7140</v>
      </c>
      <c r="AG236" s="340" t="s">
        <v>7140</v>
      </c>
      <c r="AH236" s="344">
        <v>7.6860000000000001E-3</v>
      </c>
      <c r="AI236" s="337">
        <v>3.6805555555555557E-2</v>
      </c>
      <c r="AJ236" s="337"/>
      <c r="AK236" s="337"/>
      <c r="AL236" s="364"/>
    </row>
    <row r="237" spans="1:38">
      <c r="B237" s="72" t="s">
        <v>3000</v>
      </c>
      <c r="C237" s="73" t="s">
        <v>1691</v>
      </c>
      <c r="D237" s="74">
        <v>75</v>
      </c>
      <c r="E237" s="72" t="s">
        <v>5</v>
      </c>
      <c r="F237" s="74">
        <v>20</v>
      </c>
      <c r="H237" s="77">
        <v>44578</v>
      </c>
      <c r="I237" s="72" t="s">
        <v>2873</v>
      </c>
      <c r="K237" s="72" t="s">
        <v>2045</v>
      </c>
      <c r="L237" s="72" t="s">
        <v>2524</v>
      </c>
      <c r="M237" s="78">
        <v>43510</v>
      </c>
      <c r="O237" s="72" t="s">
        <v>2999</v>
      </c>
      <c r="P237" s="76" t="s">
        <v>4</v>
      </c>
      <c r="Q237" s="76">
        <v>6</v>
      </c>
      <c r="R237" s="76" t="s">
        <v>2998</v>
      </c>
      <c r="S237" s="76" t="s">
        <v>4</v>
      </c>
      <c r="T237" s="76" t="s">
        <v>1</v>
      </c>
      <c r="U237" s="76" t="s">
        <v>2997</v>
      </c>
      <c r="V237" s="76" t="s">
        <v>1</v>
      </c>
      <c r="W237" s="76" t="s">
        <v>1</v>
      </c>
      <c r="X237" s="76" t="s">
        <v>1</v>
      </c>
      <c r="Y237" s="76" t="s">
        <v>1</v>
      </c>
      <c r="Z237" s="76" t="s">
        <v>1</v>
      </c>
      <c r="AA237" s="76" t="s">
        <v>1</v>
      </c>
      <c r="AB237" s="72" t="s">
        <v>2435</v>
      </c>
      <c r="AE237" s="25" t="s">
        <v>8957</v>
      </c>
      <c r="AF237" s="340" t="s">
        <v>7140</v>
      </c>
      <c r="AG237" s="340" t="s">
        <v>7140</v>
      </c>
      <c r="AH237" s="344">
        <v>3.8362E-2</v>
      </c>
      <c r="AI237" s="337">
        <v>0.14027777777777778</v>
      </c>
      <c r="AJ237" s="337"/>
      <c r="AK237" s="337"/>
      <c r="AL237" s="364"/>
    </row>
    <row r="238" spans="1:38">
      <c r="B238" s="72" t="s">
        <v>2996</v>
      </c>
      <c r="C238" s="73" t="s">
        <v>1691</v>
      </c>
      <c r="D238" s="74">
        <v>75</v>
      </c>
      <c r="E238" s="72" t="s">
        <v>5</v>
      </c>
      <c r="F238" s="74">
        <v>20</v>
      </c>
      <c r="H238" s="77">
        <v>44602</v>
      </c>
      <c r="I238" s="72" t="s">
        <v>2995</v>
      </c>
      <c r="J238" s="72" t="s">
        <v>2994</v>
      </c>
      <c r="K238" s="72" t="s">
        <v>2045</v>
      </c>
      <c r="L238" s="72" t="s">
        <v>2524</v>
      </c>
      <c r="M238" s="72">
        <v>2019</v>
      </c>
      <c r="O238" s="72" t="s">
        <v>2993</v>
      </c>
      <c r="P238" s="76" t="s">
        <v>1</v>
      </c>
      <c r="Q238" s="76" t="s">
        <v>1</v>
      </c>
      <c r="R238" s="76" t="s">
        <v>1</v>
      </c>
      <c r="S238" s="76" t="s">
        <v>1</v>
      </c>
      <c r="T238" s="76" t="s">
        <v>1</v>
      </c>
      <c r="U238" s="76" t="s">
        <v>1</v>
      </c>
      <c r="V238" s="76" t="s">
        <v>1</v>
      </c>
      <c r="W238" s="76" t="s">
        <v>1</v>
      </c>
      <c r="X238" s="76" t="s">
        <v>1</v>
      </c>
      <c r="Y238" s="76" t="s">
        <v>1</v>
      </c>
      <c r="Z238" s="76" t="s">
        <v>1</v>
      </c>
      <c r="AA238" s="76" t="s">
        <v>1</v>
      </c>
      <c r="AB238" s="72" t="s">
        <v>2078</v>
      </c>
      <c r="AE238" s="25" t="s">
        <v>7784</v>
      </c>
      <c r="AF238" s="340" t="s">
        <v>7140</v>
      </c>
      <c r="AG238" s="340" t="s">
        <v>7140</v>
      </c>
      <c r="AH238" s="344">
        <v>6.6381999999999997E-2</v>
      </c>
      <c r="AI238" s="337">
        <v>0.28333333333333333</v>
      </c>
      <c r="AJ238" s="337"/>
      <c r="AK238" s="337"/>
      <c r="AL238" s="364"/>
    </row>
    <row r="239" spans="1:38">
      <c r="B239" s="12" t="s">
        <v>695</v>
      </c>
      <c r="C239" s="29" t="s">
        <v>1691</v>
      </c>
      <c r="D239" s="15">
        <v>75</v>
      </c>
      <c r="E239" s="12" t="s">
        <v>5</v>
      </c>
      <c r="F239" s="15">
        <v>20</v>
      </c>
      <c r="G239" s="15"/>
      <c r="H239" s="33">
        <v>44392</v>
      </c>
      <c r="I239" s="12" t="s">
        <v>2992</v>
      </c>
      <c r="J239" s="12" t="s">
        <v>2991</v>
      </c>
      <c r="K239" s="32" t="s">
        <v>2045</v>
      </c>
      <c r="L239" s="32" t="s">
        <v>2451</v>
      </c>
      <c r="M239" s="12">
        <v>2019</v>
      </c>
      <c r="N239" s="12"/>
      <c r="O239" s="12" t="s">
        <v>2990</v>
      </c>
      <c r="P239" s="24" t="s">
        <v>4</v>
      </c>
      <c r="Q239" s="24">
        <v>3.4</v>
      </c>
      <c r="R239" s="24" t="s">
        <v>696</v>
      </c>
      <c r="S239" s="24" t="s">
        <v>1</v>
      </c>
      <c r="T239" s="24" t="s">
        <v>1</v>
      </c>
      <c r="U239" s="24" t="s">
        <v>1</v>
      </c>
      <c r="V239" s="24" t="s">
        <v>1</v>
      </c>
      <c r="W239" s="24" t="s">
        <v>1</v>
      </c>
      <c r="X239" s="24" t="s">
        <v>1</v>
      </c>
      <c r="Y239" s="24" t="s">
        <v>1</v>
      </c>
      <c r="Z239" s="24" t="s">
        <v>1</v>
      </c>
      <c r="AA239" s="24" t="s">
        <v>1</v>
      </c>
      <c r="AB239" s="12" t="s">
        <v>2055</v>
      </c>
      <c r="AC239" s="12"/>
      <c r="AD239" s="12"/>
      <c r="AE239" s="25" t="s">
        <v>8958</v>
      </c>
      <c r="AF239" s="340" t="s">
        <v>7140</v>
      </c>
      <c r="AG239" s="340" t="s">
        <v>7140</v>
      </c>
      <c r="AH239" s="344">
        <v>0</v>
      </c>
      <c r="AI239" s="341">
        <v>9.7222222222222224E-2</v>
      </c>
      <c r="AJ239" s="341"/>
      <c r="AK239" s="341"/>
      <c r="AL239" s="364"/>
    </row>
    <row r="240" spans="1:38">
      <c r="B240" s="12" t="s">
        <v>2989</v>
      </c>
      <c r="C240" s="29" t="s">
        <v>1691</v>
      </c>
      <c r="D240" s="15">
        <v>75</v>
      </c>
      <c r="E240" s="12" t="s">
        <v>5</v>
      </c>
      <c r="F240" s="15">
        <v>20</v>
      </c>
      <c r="G240" s="15"/>
      <c r="H240" s="14">
        <v>44614</v>
      </c>
      <c r="I240" s="12" t="s">
        <v>2988</v>
      </c>
      <c r="J240" s="12"/>
      <c r="K240" s="12" t="s">
        <v>2569</v>
      </c>
      <c r="L240" s="12" t="s">
        <v>2987</v>
      </c>
      <c r="M240" s="12">
        <v>2021</v>
      </c>
      <c r="N240" s="12"/>
      <c r="O240" s="12" t="s">
        <v>2986</v>
      </c>
      <c r="P240" s="24" t="s">
        <v>1</v>
      </c>
      <c r="Q240" s="24" t="s">
        <v>1</v>
      </c>
      <c r="R240" s="24" t="s">
        <v>1</v>
      </c>
      <c r="S240" s="24" t="s">
        <v>1</v>
      </c>
      <c r="T240" s="24" t="s">
        <v>1</v>
      </c>
      <c r="U240" s="24" t="s">
        <v>1</v>
      </c>
      <c r="V240" s="24" t="s">
        <v>1</v>
      </c>
      <c r="W240" s="24" t="s">
        <v>1</v>
      </c>
      <c r="X240" s="24" t="s">
        <v>1</v>
      </c>
      <c r="Y240" s="24" t="s">
        <v>1</v>
      </c>
      <c r="Z240" s="24" t="s">
        <v>1</v>
      </c>
      <c r="AA240" s="24" t="s">
        <v>1</v>
      </c>
      <c r="AB240" s="12" t="s">
        <v>2985</v>
      </c>
      <c r="AC240" s="12"/>
      <c r="AD240" s="12"/>
      <c r="AE240" s="37" t="s">
        <v>8959</v>
      </c>
      <c r="AF240" s="366" t="s">
        <v>7140</v>
      </c>
      <c r="AG240" s="366" t="s">
        <v>7140</v>
      </c>
      <c r="AH240" s="372">
        <v>0</v>
      </c>
      <c r="AI240" s="360">
        <v>0.16250000000000001</v>
      </c>
      <c r="AJ240" s="360"/>
      <c r="AK240" s="360"/>
      <c r="AL240" s="364"/>
    </row>
    <row r="241" spans="1:38">
      <c r="B241" s="12" t="s">
        <v>720</v>
      </c>
      <c r="C241" s="73" t="s">
        <v>1691</v>
      </c>
      <c r="D241" s="74">
        <v>75</v>
      </c>
      <c r="E241" s="72" t="s">
        <v>5</v>
      </c>
      <c r="F241" s="74">
        <v>20</v>
      </c>
      <c r="H241" s="27">
        <v>44455</v>
      </c>
      <c r="I241" s="72" t="s">
        <v>2984</v>
      </c>
      <c r="J241" s="72" t="s">
        <v>2983</v>
      </c>
      <c r="K241" s="72" t="s">
        <v>2569</v>
      </c>
      <c r="L241" s="72" t="s">
        <v>2395</v>
      </c>
      <c r="M241" s="86" t="s">
        <v>2982</v>
      </c>
      <c r="O241" s="72" t="s">
        <v>2981</v>
      </c>
      <c r="P241" s="76" t="s">
        <v>4</v>
      </c>
      <c r="Q241" s="76" t="s">
        <v>2980</v>
      </c>
      <c r="R241" s="76" t="s">
        <v>1</v>
      </c>
      <c r="S241" s="76" t="s">
        <v>1</v>
      </c>
      <c r="T241" s="76" t="s">
        <v>1</v>
      </c>
      <c r="U241" s="76" t="s">
        <v>1</v>
      </c>
      <c r="V241" s="76" t="s">
        <v>1</v>
      </c>
      <c r="W241" s="76" t="s">
        <v>1</v>
      </c>
      <c r="X241" s="76" t="s">
        <v>1</v>
      </c>
      <c r="Y241" s="76" t="s">
        <v>1</v>
      </c>
      <c r="Z241" s="76" t="s">
        <v>1</v>
      </c>
      <c r="AA241" s="76" t="s">
        <v>1</v>
      </c>
      <c r="AB241" s="72" t="s">
        <v>2979</v>
      </c>
      <c r="AE241" s="25" t="s">
        <v>8960</v>
      </c>
      <c r="AF241" s="340" t="s">
        <v>7140</v>
      </c>
      <c r="AG241" s="340" t="s">
        <v>7140</v>
      </c>
      <c r="AH241" s="372">
        <v>0.95182800000000001</v>
      </c>
      <c r="AI241" s="337">
        <v>0.40763888888888888</v>
      </c>
      <c r="AJ241" s="337"/>
      <c r="AK241" s="337"/>
      <c r="AL241" s="364"/>
    </row>
    <row r="242" spans="1:38">
      <c r="B242" s="72" t="s">
        <v>1123</v>
      </c>
      <c r="C242" s="73" t="s">
        <v>1691</v>
      </c>
      <c r="D242" s="74">
        <v>75</v>
      </c>
      <c r="E242" s="72" t="s">
        <v>5</v>
      </c>
      <c r="F242" s="74">
        <v>20</v>
      </c>
      <c r="H242" s="27">
        <v>44371</v>
      </c>
      <c r="I242" s="72" t="s">
        <v>2978</v>
      </c>
      <c r="J242" s="72" t="s">
        <v>2977</v>
      </c>
      <c r="K242" s="72" t="s">
        <v>2045</v>
      </c>
      <c r="L242" s="72" t="s">
        <v>2230</v>
      </c>
      <c r="M242" s="86">
        <v>2020</v>
      </c>
      <c r="O242" s="72" t="s">
        <v>2976</v>
      </c>
      <c r="P242" s="76" t="s">
        <v>1</v>
      </c>
      <c r="Q242" s="76" t="s">
        <v>1</v>
      </c>
      <c r="R242" s="76" t="s">
        <v>1</v>
      </c>
      <c r="S242" s="76" t="s">
        <v>1</v>
      </c>
      <c r="T242" s="76" t="s">
        <v>1</v>
      </c>
      <c r="U242" s="76" t="s">
        <v>1</v>
      </c>
      <c r="V242" s="76" t="s">
        <v>1</v>
      </c>
      <c r="W242" s="76" t="s">
        <v>1</v>
      </c>
      <c r="X242" s="76" t="s">
        <v>1</v>
      </c>
      <c r="Y242" s="76" t="s">
        <v>1</v>
      </c>
      <c r="Z242" s="76" t="s">
        <v>1</v>
      </c>
      <c r="AA242" s="76" t="s">
        <v>1</v>
      </c>
      <c r="AB242" s="274" t="s">
        <v>6598</v>
      </c>
      <c r="AC242" s="274" t="s">
        <v>6606</v>
      </c>
      <c r="AD242" s="274" t="s">
        <v>8963</v>
      </c>
      <c r="AE242" s="25" t="s">
        <v>8961</v>
      </c>
      <c r="AF242" s="340" t="s">
        <v>7140</v>
      </c>
      <c r="AG242" s="340" t="s">
        <v>7140</v>
      </c>
      <c r="AH242" s="344">
        <v>8.3510000000000008E-3</v>
      </c>
      <c r="AI242" s="337">
        <v>4.5138888888888888E-2</v>
      </c>
      <c r="AJ242" s="337"/>
      <c r="AK242" s="337"/>
      <c r="AL242" s="364"/>
    </row>
    <row r="243" spans="1:38">
      <c r="B243" s="72" t="s">
        <v>2975</v>
      </c>
      <c r="C243" s="73" t="s">
        <v>1691</v>
      </c>
      <c r="D243" s="74">
        <v>75</v>
      </c>
      <c r="E243" s="72" t="s">
        <v>4</v>
      </c>
      <c r="F243" s="74">
        <v>20</v>
      </c>
      <c r="H243" s="77">
        <v>44594</v>
      </c>
      <c r="I243" s="72" t="s">
        <v>2974</v>
      </c>
      <c r="J243" s="72" t="s">
        <v>2973</v>
      </c>
      <c r="K243" s="72" t="s">
        <v>2349</v>
      </c>
      <c r="L243" s="72" t="s">
        <v>2972</v>
      </c>
      <c r="M243" s="72">
        <v>2021</v>
      </c>
      <c r="O243" s="72" t="s">
        <v>1</v>
      </c>
      <c r="P243" s="72" t="s">
        <v>1</v>
      </c>
      <c r="Q243" s="72" t="s">
        <v>1</v>
      </c>
      <c r="R243" s="72" t="s">
        <v>1</v>
      </c>
      <c r="S243" s="72" t="s">
        <v>1</v>
      </c>
      <c r="T243" s="72" t="s">
        <v>1</v>
      </c>
      <c r="U243" s="72" t="s">
        <v>1</v>
      </c>
      <c r="V243" s="72" t="s">
        <v>1</v>
      </c>
      <c r="W243" s="72" t="s">
        <v>1</v>
      </c>
      <c r="X243" s="72" t="s">
        <v>1</v>
      </c>
      <c r="Y243" s="72" t="s">
        <v>1</v>
      </c>
      <c r="Z243" s="72" t="s">
        <v>1</v>
      </c>
      <c r="AA243" s="72" t="s">
        <v>1</v>
      </c>
      <c r="AB243" s="72" t="s">
        <v>2145</v>
      </c>
      <c r="AE243" s="25" t="s">
        <v>8962</v>
      </c>
      <c r="AF243" s="340" t="s">
        <v>7140</v>
      </c>
      <c r="AG243" s="340" t="s">
        <v>7140</v>
      </c>
      <c r="AH243" s="344">
        <v>0</v>
      </c>
      <c r="AI243" s="337">
        <v>0.20208333333333334</v>
      </c>
      <c r="AJ243" s="337"/>
      <c r="AK243" s="337"/>
      <c r="AL243" s="364"/>
    </row>
    <row r="244" spans="1:38">
      <c r="B244" s="72" t="s">
        <v>2971</v>
      </c>
      <c r="C244" s="73" t="s">
        <v>1691</v>
      </c>
      <c r="D244" s="74">
        <v>75</v>
      </c>
      <c r="E244" s="72" t="s">
        <v>4</v>
      </c>
      <c r="F244" s="74">
        <v>18</v>
      </c>
      <c r="H244" s="77">
        <v>45022</v>
      </c>
      <c r="I244" s="72" t="s">
        <v>2970</v>
      </c>
      <c r="K244" s="72" t="s">
        <v>2045</v>
      </c>
      <c r="L244" s="72" t="s">
        <v>1795</v>
      </c>
      <c r="M244" s="72">
        <v>2022</v>
      </c>
      <c r="N244" s="72" t="s">
        <v>1900</v>
      </c>
      <c r="O244" s="72" t="s">
        <v>2969</v>
      </c>
      <c r="P244" s="76" t="s">
        <v>278</v>
      </c>
      <c r="Q244" s="76">
        <v>2.2999999999999998</v>
      </c>
      <c r="R244" s="76" t="s">
        <v>2968</v>
      </c>
      <c r="S244" s="76" t="s">
        <v>1</v>
      </c>
      <c r="T244" s="76" t="s">
        <v>1</v>
      </c>
      <c r="U244" s="76" t="s">
        <v>1</v>
      </c>
      <c r="V244" s="76" t="s">
        <v>1</v>
      </c>
      <c r="W244" s="76" t="s">
        <v>1</v>
      </c>
      <c r="X244" s="76" t="s">
        <v>1</v>
      </c>
      <c r="Y244" s="76" t="s">
        <v>1</v>
      </c>
      <c r="Z244" s="76" t="s">
        <v>1</v>
      </c>
      <c r="AA244" s="76" t="s">
        <v>1</v>
      </c>
      <c r="AB244" s="72" t="s">
        <v>2048</v>
      </c>
      <c r="AE244" s="25" t="s">
        <v>8964</v>
      </c>
      <c r="AF244" s="340" t="s">
        <v>7140</v>
      </c>
      <c r="AG244" s="340" t="s">
        <v>7140</v>
      </c>
      <c r="AH244" s="344">
        <v>0.15759100000000001</v>
      </c>
      <c r="AI244" s="337">
        <v>0.15833333333333333</v>
      </c>
      <c r="AJ244" s="337"/>
      <c r="AK244" s="337"/>
      <c r="AL244" s="364"/>
    </row>
    <row r="245" spans="1:38">
      <c r="B245" s="12" t="s">
        <v>663</v>
      </c>
      <c r="C245" s="29" t="s">
        <v>1691</v>
      </c>
      <c r="D245" s="15">
        <v>75</v>
      </c>
      <c r="E245" s="12" t="s">
        <v>5</v>
      </c>
      <c r="F245" s="15">
        <v>17</v>
      </c>
      <c r="G245" s="15"/>
      <c r="H245" s="14">
        <v>44679</v>
      </c>
      <c r="I245" s="12" t="s">
        <v>2967</v>
      </c>
      <c r="J245" s="12" t="s">
        <v>2966</v>
      </c>
      <c r="K245" s="12" t="s">
        <v>2569</v>
      </c>
      <c r="L245" s="12" t="s">
        <v>2395</v>
      </c>
      <c r="M245" s="12">
        <v>2019</v>
      </c>
      <c r="O245" s="72" t="s">
        <v>2965</v>
      </c>
      <c r="P245" s="76" t="s">
        <v>4</v>
      </c>
      <c r="Q245" s="76">
        <v>4.5</v>
      </c>
      <c r="R245" s="76" t="s">
        <v>2964</v>
      </c>
      <c r="S245" s="76" t="s">
        <v>1</v>
      </c>
      <c r="T245" s="76" t="s">
        <v>1</v>
      </c>
      <c r="U245" s="76" t="s">
        <v>1</v>
      </c>
      <c r="V245" s="76" t="s">
        <v>1</v>
      </c>
      <c r="W245" s="76" t="s">
        <v>1</v>
      </c>
      <c r="X245" s="76" t="s">
        <v>1</v>
      </c>
      <c r="Y245" s="76" t="s">
        <v>1</v>
      </c>
      <c r="Z245" s="76" t="s">
        <v>1</v>
      </c>
      <c r="AA245" s="76" t="s">
        <v>1</v>
      </c>
      <c r="AB245" s="72" t="s">
        <v>2362</v>
      </c>
      <c r="AE245" s="25" t="s">
        <v>8965</v>
      </c>
      <c r="AF245" s="340" t="s">
        <v>7140</v>
      </c>
      <c r="AG245" s="340" t="s">
        <v>7140</v>
      </c>
      <c r="AH245" s="344">
        <v>1.1568999999999999E-2</v>
      </c>
      <c r="AI245" s="337">
        <v>1.5277777777777777E-2</v>
      </c>
      <c r="AJ245" s="337"/>
      <c r="AK245" s="337"/>
      <c r="AL245" s="364"/>
    </row>
    <row r="246" spans="1:38">
      <c r="B246" s="12" t="s">
        <v>2963</v>
      </c>
      <c r="C246" s="29" t="s">
        <v>1691</v>
      </c>
      <c r="D246" s="15">
        <v>75</v>
      </c>
      <c r="E246" s="12" t="s">
        <v>4</v>
      </c>
      <c r="F246" s="15">
        <v>16</v>
      </c>
      <c r="G246" s="15"/>
      <c r="H246" s="33">
        <v>44434</v>
      </c>
      <c r="I246" s="12" t="s">
        <v>2962</v>
      </c>
      <c r="J246" s="12" t="s">
        <v>2961</v>
      </c>
      <c r="K246" s="12" t="s">
        <v>2308</v>
      </c>
      <c r="L246" s="12" t="s">
        <v>2698</v>
      </c>
      <c r="M246" s="12">
        <v>2020</v>
      </c>
      <c r="N246" s="12"/>
      <c r="O246" s="12" t="s">
        <v>2960</v>
      </c>
      <c r="P246" s="24" t="s">
        <v>278</v>
      </c>
      <c r="Q246" s="24" t="s">
        <v>1</v>
      </c>
      <c r="R246" s="24" t="s">
        <v>2959</v>
      </c>
      <c r="S246" s="24" t="s">
        <v>1</v>
      </c>
      <c r="T246" s="24" t="s">
        <v>1</v>
      </c>
      <c r="U246" s="24" t="s">
        <v>1</v>
      </c>
      <c r="V246" s="24" t="s">
        <v>1</v>
      </c>
      <c r="W246" s="24" t="s">
        <v>1</v>
      </c>
      <c r="X246" s="24" t="s">
        <v>1</v>
      </c>
      <c r="Y246" s="24" t="s">
        <v>1</v>
      </c>
      <c r="Z246" s="24" t="s">
        <v>1</v>
      </c>
      <c r="AA246" s="24" t="s">
        <v>1</v>
      </c>
      <c r="AB246" s="12" t="s">
        <v>2435</v>
      </c>
      <c r="AC246" s="12"/>
      <c r="AD246" s="12"/>
      <c r="AE246" s="37" t="s">
        <v>8966</v>
      </c>
      <c r="AF246" s="366" t="s">
        <v>7140</v>
      </c>
      <c r="AG246" s="366" t="s">
        <v>7140</v>
      </c>
      <c r="AH246" s="372">
        <v>1.0897E-2</v>
      </c>
      <c r="AI246" s="360">
        <v>4.791666666666667E-2</v>
      </c>
      <c r="AJ246" s="360"/>
      <c r="AK246" s="360"/>
      <c r="AL246" s="364"/>
    </row>
    <row r="247" spans="1:38" s="176" customFormat="1">
      <c r="A247" s="72"/>
      <c r="B247" s="72" t="s">
        <v>848</v>
      </c>
      <c r="C247" s="73" t="s">
        <v>1691</v>
      </c>
      <c r="D247" s="74">
        <v>75</v>
      </c>
      <c r="E247" s="72" t="s">
        <v>4</v>
      </c>
      <c r="F247" s="74">
        <v>16</v>
      </c>
      <c r="G247" s="74"/>
      <c r="H247" s="27">
        <v>44298</v>
      </c>
      <c r="I247" s="72"/>
      <c r="J247" s="72" t="s">
        <v>2958</v>
      </c>
      <c r="K247" s="72" t="s">
        <v>2045</v>
      </c>
      <c r="L247" s="72" t="s">
        <v>2126</v>
      </c>
      <c r="M247" s="72">
        <v>2019</v>
      </c>
      <c r="N247" s="72"/>
      <c r="O247" s="72" t="s">
        <v>2957</v>
      </c>
      <c r="P247" s="76" t="s">
        <v>4</v>
      </c>
      <c r="Q247" s="76" t="s">
        <v>1</v>
      </c>
      <c r="R247" s="76" t="s">
        <v>2956</v>
      </c>
      <c r="S247" s="76" t="s">
        <v>1</v>
      </c>
      <c r="T247" s="76" t="s">
        <v>1</v>
      </c>
      <c r="U247" s="76" t="s">
        <v>1</v>
      </c>
      <c r="V247" s="76" t="s">
        <v>1</v>
      </c>
      <c r="W247" s="76" t="s">
        <v>1</v>
      </c>
      <c r="X247" s="76" t="s">
        <v>1</v>
      </c>
      <c r="Y247" s="76" t="s">
        <v>1</v>
      </c>
      <c r="Z247" s="76" t="s">
        <v>1</v>
      </c>
      <c r="AA247" s="76" t="s">
        <v>1</v>
      </c>
      <c r="AB247" s="72" t="s">
        <v>2362</v>
      </c>
      <c r="AC247" s="72"/>
      <c r="AD247" s="72"/>
      <c r="AE247" s="25" t="s">
        <v>8967</v>
      </c>
      <c r="AF247" s="340" t="s">
        <v>7140</v>
      </c>
      <c r="AG247" s="340" t="s">
        <v>7140</v>
      </c>
      <c r="AH247" s="344">
        <v>0.51750399999999996</v>
      </c>
      <c r="AI247" s="337">
        <v>0.15277777777777779</v>
      </c>
      <c r="AJ247" s="337"/>
      <c r="AK247" s="337"/>
      <c r="AL247" s="364"/>
    </row>
    <row r="248" spans="1:38">
      <c r="B248" s="72" t="s">
        <v>2017</v>
      </c>
      <c r="C248" s="215" t="s">
        <v>1691</v>
      </c>
      <c r="D248" s="74">
        <v>75</v>
      </c>
      <c r="E248" s="216" t="s">
        <v>5</v>
      </c>
      <c r="F248" s="74">
        <v>10</v>
      </c>
      <c r="G248" s="74">
        <v>14</v>
      </c>
      <c r="H248" s="77">
        <v>44504</v>
      </c>
      <c r="I248" s="216" t="s">
        <v>7260</v>
      </c>
      <c r="J248" s="216" t="s">
        <v>7259</v>
      </c>
      <c r="K248" s="216" t="s">
        <v>2045</v>
      </c>
      <c r="L248" s="216" t="s">
        <v>2056</v>
      </c>
      <c r="M248" s="72">
        <v>2019</v>
      </c>
      <c r="N248" s="72" t="s">
        <v>7269</v>
      </c>
      <c r="O248" s="72" t="s">
        <v>7270</v>
      </c>
      <c r="P248" s="76" t="s">
        <v>4</v>
      </c>
      <c r="Q248" s="76">
        <v>4</v>
      </c>
      <c r="R248" s="76" t="s">
        <v>7271</v>
      </c>
      <c r="S248" s="76" t="s">
        <v>1</v>
      </c>
      <c r="T248" s="76" t="s">
        <v>1</v>
      </c>
      <c r="U248" s="76" t="s">
        <v>1</v>
      </c>
      <c r="V248" s="76" t="s">
        <v>1</v>
      </c>
      <c r="W248" s="76" t="s">
        <v>1</v>
      </c>
      <c r="X248" s="76" t="s">
        <v>1</v>
      </c>
      <c r="Y248" s="76" t="s">
        <v>1</v>
      </c>
      <c r="Z248" s="76" t="s">
        <v>1</v>
      </c>
      <c r="AA248" s="76" t="s">
        <v>1</v>
      </c>
      <c r="AB248" s="216" t="s">
        <v>6598</v>
      </c>
      <c r="AC248" s="216" t="s">
        <v>6600</v>
      </c>
      <c r="AD248" s="216" t="s">
        <v>2900</v>
      </c>
      <c r="AE248" s="25" t="s">
        <v>7258</v>
      </c>
      <c r="AF248" s="340" t="s">
        <v>7140</v>
      </c>
      <c r="AG248" s="340" t="s">
        <v>7140</v>
      </c>
      <c r="AH248" s="344">
        <v>4.7799000000000001E-2</v>
      </c>
      <c r="AI248" s="337">
        <v>1.1111111111111112E-2</v>
      </c>
      <c r="AJ248" s="337"/>
      <c r="AK248" s="337"/>
      <c r="AL248" s="364"/>
    </row>
    <row r="249" spans="1:38">
      <c r="B249" s="72" t="s">
        <v>289</v>
      </c>
      <c r="C249" s="73" t="s">
        <v>1691</v>
      </c>
      <c r="D249" s="74">
        <v>75</v>
      </c>
      <c r="E249" s="72" t="s">
        <v>5</v>
      </c>
      <c r="F249" s="74">
        <v>30</v>
      </c>
      <c r="H249" s="77">
        <v>44474</v>
      </c>
      <c r="I249" s="72" t="s">
        <v>2955</v>
      </c>
      <c r="J249" s="72" t="s">
        <v>2954</v>
      </c>
      <c r="K249" s="72" t="s">
        <v>2045</v>
      </c>
      <c r="L249" s="72" t="s">
        <v>2079</v>
      </c>
      <c r="M249" s="72">
        <v>2017</v>
      </c>
      <c r="O249" s="72" t="s">
        <v>2953</v>
      </c>
      <c r="P249" s="76" t="s">
        <v>4</v>
      </c>
      <c r="Q249" s="76">
        <v>15</v>
      </c>
      <c r="R249" s="76" t="s">
        <v>2952</v>
      </c>
      <c r="S249" s="76" t="s">
        <v>1</v>
      </c>
      <c r="T249" s="76" t="s">
        <v>1</v>
      </c>
      <c r="U249" s="76" t="s">
        <v>1</v>
      </c>
      <c r="V249" s="76" t="s">
        <v>1</v>
      </c>
      <c r="W249" s="76" t="s">
        <v>1</v>
      </c>
      <c r="X249" s="76" t="s">
        <v>1</v>
      </c>
      <c r="Y249" s="76" t="s">
        <v>1</v>
      </c>
      <c r="Z249" s="76" t="s">
        <v>1</v>
      </c>
      <c r="AA249" s="76" t="s">
        <v>1</v>
      </c>
      <c r="AB249" s="72" t="s">
        <v>2951</v>
      </c>
      <c r="AE249" s="25" t="s">
        <v>8968</v>
      </c>
      <c r="AF249" s="340" t="s">
        <v>7140</v>
      </c>
      <c r="AG249" s="340" t="s">
        <v>7140</v>
      </c>
      <c r="AH249" s="344">
        <v>1.0876E-2</v>
      </c>
      <c r="AI249" s="337">
        <v>0.11041666666666666</v>
      </c>
      <c r="AJ249" s="337"/>
      <c r="AK249" s="337"/>
      <c r="AL249" s="364"/>
    </row>
    <row r="250" spans="1:38" s="12" customFormat="1">
      <c r="A250" s="72"/>
      <c r="B250" s="72" t="s">
        <v>1122</v>
      </c>
      <c r="C250" s="73" t="s">
        <v>1691</v>
      </c>
      <c r="D250" s="74">
        <v>75</v>
      </c>
      <c r="E250" s="72" t="s">
        <v>5</v>
      </c>
      <c r="F250" s="74">
        <v>15</v>
      </c>
      <c r="G250" s="74"/>
      <c r="H250" s="77">
        <v>44468</v>
      </c>
      <c r="I250" s="12" t="s">
        <v>2950</v>
      </c>
      <c r="J250" s="72"/>
      <c r="K250" s="72" t="s">
        <v>2045</v>
      </c>
      <c r="L250" s="72" t="s">
        <v>2456</v>
      </c>
      <c r="M250" s="72">
        <v>2021</v>
      </c>
      <c r="N250" s="72"/>
      <c r="O250" s="72" t="s">
        <v>2949</v>
      </c>
      <c r="P250" s="76" t="s">
        <v>1</v>
      </c>
      <c r="Q250" s="76" t="s">
        <v>1</v>
      </c>
      <c r="R250" s="76" t="s">
        <v>1</v>
      </c>
      <c r="S250" s="76" t="s">
        <v>1</v>
      </c>
      <c r="T250" s="76" t="s">
        <v>1</v>
      </c>
      <c r="U250" s="76" t="s">
        <v>1</v>
      </c>
      <c r="V250" s="76" t="s">
        <v>1</v>
      </c>
      <c r="W250" s="76" t="s">
        <v>1</v>
      </c>
      <c r="X250" s="76" t="s">
        <v>1</v>
      </c>
      <c r="Y250" s="76" t="s">
        <v>1</v>
      </c>
      <c r="Z250" s="76" t="s">
        <v>1</v>
      </c>
      <c r="AA250" s="76" t="s">
        <v>1</v>
      </c>
      <c r="AB250" s="72" t="s">
        <v>2904</v>
      </c>
      <c r="AC250" s="72"/>
      <c r="AD250" s="72"/>
      <c r="AE250" s="25" t="s">
        <v>8969</v>
      </c>
      <c r="AF250" s="340" t="s">
        <v>7140</v>
      </c>
      <c r="AG250" s="340" t="s">
        <v>7140</v>
      </c>
      <c r="AH250" s="344">
        <v>5.0000000000000001E-3</v>
      </c>
      <c r="AI250" s="337">
        <v>5.4166666666666669E-2</v>
      </c>
      <c r="AJ250" s="337"/>
      <c r="AK250" s="337"/>
      <c r="AL250" s="364"/>
    </row>
    <row r="251" spans="1:38">
      <c r="B251" s="72" t="s">
        <v>2948</v>
      </c>
      <c r="C251" s="73" t="s">
        <v>1691</v>
      </c>
      <c r="D251" s="74">
        <v>75</v>
      </c>
      <c r="E251" s="72" t="s">
        <v>5</v>
      </c>
      <c r="F251" s="74">
        <v>13</v>
      </c>
      <c r="H251" s="77">
        <v>44516</v>
      </c>
      <c r="I251" s="72" t="s">
        <v>2947</v>
      </c>
      <c r="J251" s="72" t="s">
        <v>2946</v>
      </c>
      <c r="K251" s="72" t="s">
        <v>2045</v>
      </c>
      <c r="L251" s="72" t="s">
        <v>2945</v>
      </c>
      <c r="M251" s="72">
        <v>2017</v>
      </c>
      <c r="O251" s="72" t="s">
        <v>2944</v>
      </c>
      <c r="P251" s="76" t="s">
        <v>4</v>
      </c>
      <c r="Q251" s="76">
        <v>2.5</v>
      </c>
      <c r="R251" s="76" t="s">
        <v>2943</v>
      </c>
      <c r="S251" s="76" t="s">
        <v>4</v>
      </c>
      <c r="T251" s="76" t="s">
        <v>1</v>
      </c>
      <c r="U251" s="76" t="s">
        <v>2942</v>
      </c>
      <c r="V251" s="76" t="s">
        <v>1</v>
      </c>
      <c r="W251" s="76" t="s">
        <v>1</v>
      </c>
      <c r="X251" s="76" t="s">
        <v>1</v>
      </c>
      <c r="Y251" s="76" t="s">
        <v>1</v>
      </c>
      <c r="Z251" s="76" t="s">
        <v>1</v>
      </c>
      <c r="AA251" s="76" t="s">
        <v>1</v>
      </c>
      <c r="AB251" s="72" t="s">
        <v>2048</v>
      </c>
      <c r="AE251" s="25" t="s">
        <v>8970</v>
      </c>
      <c r="AF251" s="340" t="s">
        <v>7140</v>
      </c>
      <c r="AG251" s="340" t="s">
        <v>7140</v>
      </c>
      <c r="AH251" s="344">
        <v>4.8756000000000001E-2</v>
      </c>
      <c r="AI251" s="337">
        <v>3.5416666666666666E-2</v>
      </c>
      <c r="AJ251" s="337"/>
      <c r="AK251" s="337"/>
      <c r="AL251" s="364"/>
    </row>
    <row r="252" spans="1:38">
      <c r="B252" s="72" t="s">
        <v>2008</v>
      </c>
      <c r="C252" s="237" t="s">
        <v>1691</v>
      </c>
      <c r="D252" s="72">
        <v>75</v>
      </c>
      <c r="E252" s="238" t="s">
        <v>5</v>
      </c>
      <c r="F252" s="87">
        <v>11.5</v>
      </c>
      <c r="G252" s="87">
        <f>F252+Q252</f>
        <v>18.5</v>
      </c>
      <c r="H252" s="78">
        <v>45063</v>
      </c>
      <c r="I252" s="238" t="s">
        <v>7438</v>
      </c>
      <c r="J252" s="238" t="s">
        <v>7437</v>
      </c>
      <c r="K252" s="238" t="s">
        <v>2045</v>
      </c>
      <c r="L252" s="238" t="s">
        <v>2169</v>
      </c>
      <c r="M252" s="78">
        <v>43497</v>
      </c>
      <c r="N252" s="238" t="s">
        <v>7439</v>
      </c>
      <c r="O252" s="238" t="s">
        <v>7440</v>
      </c>
      <c r="P252" s="238" t="s">
        <v>4</v>
      </c>
      <c r="Q252" s="156">
        <v>7</v>
      </c>
      <c r="R252" s="238" t="s">
        <v>7443</v>
      </c>
      <c r="S252" s="238" t="s">
        <v>7410</v>
      </c>
      <c r="T252" s="238" t="s">
        <v>1</v>
      </c>
      <c r="U252" s="238" t="s">
        <v>7444</v>
      </c>
      <c r="V252" s="238" t="s">
        <v>1</v>
      </c>
      <c r="W252" s="238" t="s">
        <v>1</v>
      </c>
      <c r="X252" s="238" t="s">
        <v>1</v>
      </c>
      <c r="Y252" s="238" t="s">
        <v>1</v>
      </c>
      <c r="Z252" s="238" t="s">
        <v>1</v>
      </c>
      <c r="AA252" s="238" t="s">
        <v>1</v>
      </c>
      <c r="AB252" s="238" t="s">
        <v>6755</v>
      </c>
      <c r="AD252" s="238" t="s">
        <v>2851</v>
      </c>
      <c r="AE252" s="25" t="s">
        <v>7436</v>
      </c>
      <c r="AF252" s="340" t="s">
        <v>7140</v>
      </c>
      <c r="AG252" s="340" t="s">
        <v>7140</v>
      </c>
      <c r="AH252" s="344">
        <v>0</v>
      </c>
      <c r="AI252" s="337">
        <v>0</v>
      </c>
      <c r="AJ252" s="337"/>
      <c r="AK252" s="337"/>
      <c r="AL252" s="364"/>
    </row>
    <row r="253" spans="1:38" s="12" customFormat="1">
      <c r="A253" s="72"/>
      <c r="B253" s="72" t="s">
        <v>2941</v>
      </c>
      <c r="C253" s="73" t="s">
        <v>1691</v>
      </c>
      <c r="D253" s="74">
        <v>60</v>
      </c>
      <c r="E253" s="72" t="s">
        <v>5</v>
      </c>
      <c r="F253" s="74">
        <v>21.7</v>
      </c>
      <c r="G253" s="74"/>
      <c r="H253" s="77">
        <v>44909</v>
      </c>
      <c r="I253" s="72" t="s">
        <v>2940</v>
      </c>
      <c r="J253" s="72"/>
      <c r="K253" s="72" t="s">
        <v>2100</v>
      </c>
      <c r="L253" s="72" t="s">
        <v>2939</v>
      </c>
      <c r="M253" s="72">
        <v>2022</v>
      </c>
      <c r="N253" s="72"/>
      <c r="O253" s="72" t="s">
        <v>2938</v>
      </c>
      <c r="P253" s="76" t="s">
        <v>1</v>
      </c>
      <c r="Q253" s="76" t="s">
        <v>1</v>
      </c>
      <c r="R253" s="76" t="s">
        <v>1</v>
      </c>
      <c r="S253" s="76" t="s">
        <v>1</v>
      </c>
      <c r="T253" s="76" t="s">
        <v>1</v>
      </c>
      <c r="U253" s="76" t="s">
        <v>1</v>
      </c>
      <c r="V253" s="76" t="s">
        <v>1</v>
      </c>
      <c r="W253" s="76" t="s">
        <v>1</v>
      </c>
      <c r="X253" s="76" t="s">
        <v>1</v>
      </c>
      <c r="Y253" s="76" t="s">
        <v>1</v>
      </c>
      <c r="Z253" s="76" t="s">
        <v>1</v>
      </c>
      <c r="AA253" s="76" t="s">
        <v>1</v>
      </c>
      <c r="AB253" s="72" t="s">
        <v>2277</v>
      </c>
      <c r="AC253" s="72"/>
      <c r="AD253" s="72"/>
      <c r="AE253" s="25" t="s">
        <v>8971</v>
      </c>
      <c r="AF253" s="340" t="s">
        <v>7140</v>
      </c>
      <c r="AG253" s="340" t="s">
        <v>7140</v>
      </c>
      <c r="AH253" s="344">
        <v>6.1120000000000002E-3</v>
      </c>
      <c r="AI253" s="337">
        <v>1.4583333333333334E-2</v>
      </c>
      <c r="AJ253" s="337"/>
      <c r="AK253" s="337"/>
      <c r="AL253" s="364"/>
    </row>
    <row r="254" spans="1:38" s="12" customFormat="1">
      <c r="A254" s="72"/>
      <c r="B254" s="72" t="s">
        <v>302</v>
      </c>
      <c r="C254" s="73" t="s">
        <v>1691</v>
      </c>
      <c r="D254" s="74">
        <v>60</v>
      </c>
      <c r="E254" s="72" t="s">
        <v>5</v>
      </c>
      <c r="F254" s="74">
        <v>10</v>
      </c>
      <c r="G254" s="74"/>
      <c r="H254" s="77">
        <v>44637</v>
      </c>
      <c r="I254" s="72" t="s">
        <v>2937</v>
      </c>
      <c r="J254" s="72" t="s">
        <v>2936</v>
      </c>
      <c r="K254" s="72" t="s">
        <v>2045</v>
      </c>
      <c r="L254" s="72" t="s">
        <v>2935</v>
      </c>
      <c r="M254" s="72">
        <v>2014</v>
      </c>
      <c r="N254" s="72"/>
      <c r="O254" s="72" t="s">
        <v>2934</v>
      </c>
      <c r="P254" s="76" t="s">
        <v>4</v>
      </c>
      <c r="Q254" s="76">
        <v>4.5</v>
      </c>
      <c r="R254" s="76" t="s">
        <v>2933</v>
      </c>
      <c r="S254" s="76" t="s">
        <v>4</v>
      </c>
      <c r="T254" s="76">
        <v>1.8</v>
      </c>
      <c r="U254" s="76" t="s">
        <v>2932</v>
      </c>
      <c r="V254" s="76" t="s">
        <v>1</v>
      </c>
      <c r="W254" s="76" t="s">
        <v>1</v>
      </c>
      <c r="X254" s="76" t="s">
        <v>1</v>
      </c>
      <c r="Y254" s="76" t="s">
        <v>1</v>
      </c>
      <c r="Z254" s="76" t="s">
        <v>1</v>
      </c>
      <c r="AA254" s="76" t="s">
        <v>1</v>
      </c>
      <c r="AB254" s="72" t="s">
        <v>2048</v>
      </c>
      <c r="AC254" s="72"/>
      <c r="AD254" s="72"/>
      <c r="AE254" s="25" t="s">
        <v>8972</v>
      </c>
      <c r="AF254" s="340" t="s">
        <v>7140</v>
      </c>
      <c r="AG254" s="340" t="s">
        <v>7140</v>
      </c>
      <c r="AH254" s="344">
        <v>3.1357999999999997E-2</v>
      </c>
      <c r="AI254" s="337">
        <v>9.4444444444444442E-2</v>
      </c>
      <c r="AJ254" s="337"/>
      <c r="AK254" s="337"/>
      <c r="AL254" s="364"/>
    </row>
    <row r="255" spans="1:38" s="176" customFormat="1">
      <c r="A255" s="72"/>
      <c r="B255" s="72" t="s">
        <v>2049</v>
      </c>
      <c r="C255" s="73" t="s">
        <v>1691</v>
      </c>
      <c r="D255" s="74">
        <v>50</v>
      </c>
      <c r="E255" s="72" t="s">
        <v>5</v>
      </c>
      <c r="F255" s="74">
        <v>25</v>
      </c>
      <c r="G255" s="74">
        <f>F255+Z255</f>
        <v>30</v>
      </c>
      <c r="H255" s="77">
        <v>44594</v>
      </c>
      <c r="I255" s="134" t="s">
        <v>6288</v>
      </c>
      <c r="J255" s="134" t="s">
        <v>6286</v>
      </c>
      <c r="K255" s="134" t="s">
        <v>2100</v>
      </c>
      <c r="L255" s="134" t="s">
        <v>2079</v>
      </c>
      <c r="M255" s="83">
        <v>42887</v>
      </c>
      <c r="N255" s="72"/>
      <c r="O255" s="134" t="s">
        <v>6289</v>
      </c>
      <c r="P255" s="139" t="s">
        <v>4</v>
      </c>
      <c r="Q255" s="139" t="s">
        <v>1</v>
      </c>
      <c r="R255" s="139" t="s">
        <v>6295</v>
      </c>
      <c r="S255" s="145" t="s">
        <v>4</v>
      </c>
      <c r="T255" s="145" t="s">
        <v>1</v>
      </c>
      <c r="U255" s="139" t="s">
        <v>6296</v>
      </c>
      <c r="V255" s="139" t="s">
        <v>278</v>
      </c>
      <c r="W255" s="145" t="s">
        <v>1</v>
      </c>
      <c r="X255" s="139" t="s">
        <v>6297</v>
      </c>
      <c r="Y255" s="139" t="s">
        <v>4</v>
      </c>
      <c r="Z255" s="76">
        <v>5</v>
      </c>
      <c r="AA255" s="139" t="s">
        <v>6298</v>
      </c>
      <c r="AB255" s="72" t="s">
        <v>2048</v>
      </c>
      <c r="AC255" s="72"/>
      <c r="AD255" s="72"/>
      <c r="AE255" s="25" t="s">
        <v>2047</v>
      </c>
      <c r="AF255" s="340" t="s">
        <v>7140</v>
      </c>
      <c r="AG255" s="340" t="s">
        <v>7140</v>
      </c>
      <c r="AH255" s="344">
        <v>1.1686E-2</v>
      </c>
      <c r="AI255" s="337">
        <v>1.5972222222222221E-2</v>
      </c>
      <c r="AJ255" s="337"/>
      <c r="AK255" s="337"/>
      <c r="AL255" s="364"/>
    </row>
    <row r="256" spans="1:38" s="176" customFormat="1">
      <c r="A256" s="72"/>
      <c r="B256" s="72" t="s">
        <v>2931</v>
      </c>
      <c r="C256" s="73" t="s">
        <v>1691</v>
      </c>
      <c r="D256" s="74">
        <v>50</v>
      </c>
      <c r="E256" s="72" t="s">
        <v>5</v>
      </c>
      <c r="F256" s="74">
        <v>20.9</v>
      </c>
      <c r="G256" s="74"/>
      <c r="H256" s="77">
        <v>44411</v>
      </c>
      <c r="I256" s="72" t="s">
        <v>2930</v>
      </c>
      <c r="J256" s="72" t="s">
        <v>2929</v>
      </c>
      <c r="K256" s="72" t="s">
        <v>2045</v>
      </c>
      <c r="L256" s="72" t="s">
        <v>2928</v>
      </c>
      <c r="M256" s="72">
        <v>2018</v>
      </c>
      <c r="N256" s="72"/>
      <c r="O256" s="72" t="s">
        <v>2927</v>
      </c>
      <c r="P256" s="76" t="s">
        <v>4</v>
      </c>
      <c r="Q256" s="76">
        <v>1.5</v>
      </c>
      <c r="R256" s="76" t="s">
        <v>2926</v>
      </c>
      <c r="S256" s="76" t="s">
        <v>1</v>
      </c>
      <c r="T256" s="76" t="s">
        <v>1</v>
      </c>
      <c r="U256" s="76" t="s">
        <v>1</v>
      </c>
      <c r="V256" s="76" t="s">
        <v>1</v>
      </c>
      <c r="W256" s="76" t="s">
        <v>1</v>
      </c>
      <c r="X256" s="76" t="s">
        <v>1</v>
      </c>
      <c r="Y256" s="76" t="s">
        <v>1</v>
      </c>
      <c r="Z256" s="76" t="s">
        <v>1</v>
      </c>
      <c r="AA256" s="76" t="s">
        <v>1</v>
      </c>
      <c r="AB256" s="72" t="s">
        <v>2198</v>
      </c>
      <c r="AC256" s="72"/>
      <c r="AD256" s="72"/>
      <c r="AE256" s="25" t="s">
        <v>8973</v>
      </c>
      <c r="AF256" s="340" t="s">
        <v>7140</v>
      </c>
      <c r="AG256" s="340" t="s">
        <v>7140</v>
      </c>
      <c r="AH256" s="344">
        <v>2.8752E-2</v>
      </c>
      <c r="AI256" s="337">
        <v>8.7499999999999994E-2</v>
      </c>
      <c r="AJ256" s="337"/>
      <c r="AK256" s="337"/>
      <c r="AL256" s="364"/>
    </row>
    <row r="257" spans="1:38" s="176" customFormat="1">
      <c r="A257" s="72"/>
      <c r="B257" s="72" t="s">
        <v>1094</v>
      </c>
      <c r="C257" s="73" t="s">
        <v>1691</v>
      </c>
      <c r="D257" s="74">
        <v>50</v>
      </c>
      <c r="E257" s="72" t="s">
        <v>4</v>
      </c>
      <c r="F257" s="15">
        <v>18.5</v>
      </c>
      <c r="G257" s="15"/>
      <c r="H257" s="77">
        <v>45050</v>
      </c>
      <c r="I257" s="72" t="s">
        <v>2925</v>
      </c>
      <c r="J257" s="72" t="s">
        <v>2924</v>
      </c>
      <c r="K257" s="72" t="s">
        <v>2045</v>
      </c>
      <c r="L257" s="72" t="s">
        <v>2056</v>
      </c>
      <c r="M257" s="72">
        <v>2023</v>
      </c>
      <c r="N257" s="72"/>
      <c r="O257" s="72" t="s">
        <v>2923</v>
      </c>
      <c r="P257" s="76" t="s">
        <v>1</v>
      </c>
      <c r="Q257" s="76" t="s">
        <v>1</v>
      </c>
      <c r="R257" s="76" t="s">
        <v>1</v>
      </c>
      <c r="S257" s="76" t="s">
        <v>1</v>
      </c>
      <c r="T257" s="76" t="s">
        <v>1</v>
      </c>
      <c r="U257" s="76" t="s">
        <v>1</v>
      </c>
      <c r="V257" s="76" t="s">
        <v>1</v>
      </c>
      <c r="W257" s="76" t="s">
        <v>1</v>
      </c>
      <c r="X257" s="76" t="s">
        <v>1</v>
      </c>
      <c r="Y257" s="76" t="s">
        <v>1</v>
      </c>
      <c r="Z257" s="76" t="s">
        <v>1</v>
      </c>
      <c r="AA257" s="76" t="s">
        <v>1</v>
      </c>
      <c r="AB257" s="72" t="s">
        <v>2362</v>
      </c>
      <c r="AC257" s="72"/>
      <c r="AD257" s="72"/>
      <c r="AE257" s="25" t="s">
        <v>8974</v>
      </c>
      <c r="AF257" s="340" t="s">
        <v>7140</v>
      </c>
      <c r="AG257" s="340" t="s">
        <v>7140</v>
      </c>
      <c r="AH257" s="344">
        <v>1.4761E-2</v>
      </c>
      <c r="AI257" s="337">
        <v>1.3194444444444444E-2</v>
      </c>
      <c r="AJ257" s="337"/>
      <c r="AK257" s="337"/>
      <c r="AL257" s="364"/>
    </row>
    <row r="258" spans="1:38" s="176" customFormat="1">
      <c r="A258" s="72"/>
      <c r="B258" s="72" t="s">
        <v>2025</v>
      </c>
      <c r="C258" s="73" t="s">
        <v>1691</v>
      </c>
      <c r="D258" s="74">
        <v>50</v>
      </c>
      <c r="E258" s="72" t="s">
        <v>5</v>
      </c>
      <c r="F258" s="74">
        <v>18</v>
      </c>
      <c r="G258" s="74"/>
      <c r="H258" s="77">
        <v>44866</v>
      </c>
      <c r="I258" s="72" t="s">
        <v>4370</v>
      </c>
      <c r="J258" s="72" t="s">
        <v>4369</v>
      </c>
      <c r="K258" s="72" t="s">
        <v>2045</v>
      </c>
      <c r="L258" s="72" t="s">
        <v>2056</v>
      </c>
      <c r="M258" s="72">
        <v>2021</v>
      </c>
      <c r="N258" s="72"/>
      <c r="O258" s="72" t="s">
        <v>4371</v>
      </c>
      <c r="P258" s="76" t="s">
        <v>4</v>
      </c>
      <c r="Q258" s="76">
        <v>5.0999999999999996</v>
      </c>
      <c r="R258" s="76" t="s">
        <v>4373</v>
      </c>
      <c r="S258" s="76" t="s">
        <v>1</v>
      </c>
      <c r="T258" s="76" t="s">
        <v>1</v>
      </c>
      <c r="U258" s="76" t="s">
        <v>1</v>
      </c>
      <c r="V258" s="76" t="s">
        <v>1</v>
      </c>
      <c r="W258" s="76" t="s">
        <v>1</v>
      </c>
      <c r="X258" s="76" t="s">
        <v>1</v>
      </c>
      <c r="Y258" s="76" t="s">
        <v>1</v>
      </c>
      <c r="Z258" s="76" t="s">
        <v>1</v>
      </c>
      <c r="AA258" s="76" t="s">
        <v>1</v>
      </c>
      <c r="AB258" s="72" t="s">
        <v>2048</v>
      </c>
      <c r="AC258" s="72"/>
      <c r="AD258" s="72"/>
      <c r="AE258" s="25" t="s">
        <v>4368</v>
      </c>
      <c r="AF258" s="340" t="s">
        <v>7140</v>
      </c>
      <c r="AG258" s="340" t="s">
        <v>7140</v>
      </c>
      <c r="AH258" s="344">
        <v>0.112607</v>
      </c>
      <c r="AI258" s="337">
        <v>5.4166666666666669E-2</v>
      </c>
      <c r="AJ258" s="337"/>
      <c r="AK258" s="337"/>
      <c r="AL258" s="364"/>
    </row>
    <row r="259" spans="1:38" s="176" customFormat="1">
      <c r="A259" s="72"/>
      <c r="B259" s="72" t="s">
        <v>465</v>
      </c>
      <c r="C259" s="73" t="s">
        <v>1691</v>
      </c>
      <c r="D259" s="74">
        <v>50</v>
      </c>
      <c r="E259" s="72" t="s">
        <v>5</v>
      </c>
      <c r="F259" s="74">
        <v>15.5</v>
      </c>
      <c r="G259" s="74"/>
      <c r="H259" s="77">
        <v>44727</v>
      </c>
      <c r="I259" s="72" t="s">
        <v>2922</v>
      </c>
      <c r="J259" s="72" t="s">
        <v>2921</v>
      </c>
      <c r="K259" s="72" t="s">
        <v>2045</v>
      </c>
      <c r="L259" s="72" t="s">
        <v>2237</v>
      </c>
      <c r="M259" s="72">
        <v>2013</v>
      </c>
      <c r="N259" s="72"/>
      <c r="O259" s="72" t="s">
        <v>2920</v>
      </c>
      <c r="P259" s="76" t="s">
        <v>5</v>
      </c>
      <c r="Q259" s="76">
        <v>12</v>
      </c>
      <c r="R259" s="82" t="s">
        <v>2919</v>
      </c>
      <c r="S259" s="76" t="s">
        <v>4</v>
      </c>
      <c r="T259" s="76">
        <v>2</v>
      </c>
      <c r="U259" s="76" t="s">
        <v>1097</v>
      </c>
      <c r="V259" s="76" t="s">
        <v>1</v>
      </c>
      <c r="W259" s="76" t="s">
        <v>1</v>
      </c>
      <c r="X259" s="76" t="s">
        <v>1</v>
      </c>
      <c r="Y259" s="76" t="s">
        <v>1</v>
      </c>
      <c r="Z259" s="76" t="s">
        <v>1</v>
      </c>
      <c r="AA259" s="76" t="s">
        <v>1</v>
      </c>
      <c r="AB259" s="72" t="s">
        <v>2078</v>
      </c>
      <c r="AC259" s="72"/>
      <c r="AD259" s="72"/>
      <c r="AE259" s="25" t="s">
        <v>8975</v>
      </c>
      <c r="AF259" s="340" t="s">
        <v>7140</v>
      </c>
      <c r="AG259" s="340" t="s">
        <v>7140</v>
      </c>
      <c r="AH259" s="60">
        <v>1.0649999999999999</v>
      </c>
      <c r="AI259" s="337">
        <v>6.458333333333334E-2</v>
      </c>
      <c r="AJ259" s="337"/>
      <c r="AK259" s="337"/>
      <c r="AL259" s="364"/>
    </row>
    <row r="260" spans="1:38" s="176" customFormat="1">
      <c r="A260" s="72"/>
      <c r="B260" s="72" t="s">
        <v>355</v>
      </c>
      <c r="C260" s="73" t="s">
        <v>1691</v>
      </c>
      <c r="D260" s="74">
        <v>50</v>
      </c>
      <c r="E260" s="72" t="s">
        <v>5</v>
      </c>
      <c r="F260" s="74">
        <v>16</v>
      </c>
      <c r="G260" s="74"/>
      <c r="H260" s="77">
        <v>44663</v>
      </c>
      <c r="I260" s="72" t="s">
        <v>2918</v>
      </c>
      <c r="J260" s="72" t="s">
        <v>2917</v>
      </c>
      <c r="K260" s="72" t="s">
        <v>2045</v>
      </c>
      <c r="L260" s="72" t="s">
        <v>2226</v>
      </c>
      <c r="M260" s="72">
        <v>2019</v>
      </c>
      <c r="N260" s="72"/>
      <c r="O260" s="72" t="s">
        <v>2916</v>
      </c>
      <c r="P260" s="76" t="s">
        <v>4</v>
      </c>
      <c r="Q260" s="76">
        <v>12</v>
      </c>
      <c r="R260" s="76" t="s">
        <v>2915</v>
      </c>
      <c r="S260" s="76" t="s">
        <v>1</v>
      </c>
      <c r="T260" s="76" t="s">
        <v>1</v>
      </c>
      <c r="U260" s="76" t="s">
        <v>1</v>
      </c>
      <c r="V260" s="76" t="s">
        <v>1</v>
      </c>
      <c r="W260" s="76" t="s">
        <v>1</v>
      </c>
      <c r="X260" s="76" t="s">
        <v>1</v>
      </c>
      <c r="Y260" s="76" t="s">
        <v>1</v>
      </c>
      <c r="Z260" s="76" t="s">
        <v>1</v>
      </c>
      <c r="AA260" s="76" t="s">
        <v>1</v>
      </c>
      <c r="AB260" s="72" t="s">
        <v>2078</v>
      </c>
      <c r="AC260" s="72"/>
      <c r="AD260" s="72"/>
      <c r="AE260" s="25" t="s">
        <v>8976</v>
      </c>
      <c r="AF260" s="340" t="s">
        <v>7140</v>
      </c>
      <c r="AG260" s="340" t="s">
        <v>7140</v>
      </c>
      <c r="AH260" s="344">
        <v>0</v>
      </c>
      <c r="AI260" s="337">
        <v>0.1986111111111111</v>
      </c>
      <c r="AJ260" s="337"/>
      <c r="AK260" s="337"/>
      <c r="AL260" s="364"/>
    </row>
    <row r="261" spans="1:38" s="176" customFormat="1">
      <c r="B261" s="176" t="s">
        <v>2018</v>
      </c>
      <c r="C261" s="184" t="s">
        <v>1691</v>
      </c>
      <c r="D261" s="178">
        <v>50</v>
      </c>
      <c r="E261" s="176" t="s">
        <v>5</v>
      </c>
      <c r="F261" s="178">
        <v>16</v>
      </c>
      <c r="G261" s="178" t="e">
        <f>F261+Companies!Q247</f>
        <v>#VALUE!</v>
      </c>
      <c r="H261" s="185">
        <v>44966</v>
      </c>
      <c r="I261" s="176" t="s">
        <v>7035</v>
      </c>
      <c r="J261" s="176" t="s">
        <v>7033</v>
      </c>
      <c r="K261" s="176" t="s">
        <v>2045</v>
      </c>
      <c r="L261" s="176" t="s">
        <v>2265</v>
      </c>
      <c r="M261" s="176">
        <v>2020</v>
      </c>
      <c r="O261" s="176" t="s">
        <v>7034</v>
      </c>
      <c r="P261" s="179" t="s">
        <v>4</v>
      </c>
      <c r="Q261" s="179">
        <v>4.8</v>
      </c>
      <c r="R261" s="179" t="s">
        <v>7036</v>
      </c>
      <c r="S261" s="179" t="s">
        <v>1</v>
      </c>
      <c r="T261" s="179" t="s">
        <v>1</v>
      </c>
      <c r="U261" s="179" t="s">
        <v>1</v>
      </c>
      <c r="V261" s="179" t="s">
        <v>1</v>
      </c>
      <c r="W261" s="179" t="s">
        <v>1</v>
      </c>
      <c r="X261" s="179" t="s">
        <v>1</v>
      </c>
      <c r="Y261" s="179" t="s">
        <v>1</v>
      </c>
      <c r="Z261" s="179" t="s">
        <v>1</v>
      </c>
      <c r="AA261" s="179" t="s">
        <v>1</v>
      </c>
      <c r="AB261" s="176" t="s">
        <v>6598</v>
      </c>
      <c r="AC261" s="176" t="s">
        <v>6601</v>
      </c>
      <c r="AD261" s="176" t="s">
        <v>2362</v>
      </c>
      <c r="AE261" s="25" t="s">
        <v>7032</v>
      </c>
      <c r="AF261" s="340" t="s">
        <v>7140</v>
      </c>
      <c r="AG261" s="340" t="s">
        <v>7140</v>
      </c>
      <c r="AH261" s="344">
        <v>4.0409E-2</v>
      </c>
      <c r="AI261" s="358">
        <v>0.16597222222222222</v>
      </c>
      <c r="AJ261" s="358"/>
      <c r="AK261" s="358"/>
      <c r="AL261" s="364"/>
    </row>
    <row r="262" spans="1:38" s="176" customFormat="1">
      <c r="A262" s="72"/>
      <c r="B262" s="72" t="s">
        <v>298</v>
      </c>
      <c r="C262" s="73" t="s">
        <v>1691</v>
      </c>
      <c r="D262" s="74">
        <v>50</v>
      </c>
      <c r="E262" s="72" t="s">
        <v>5</v>
      </c>
      <c r="F262" s="74">
        <v>15</v>
      </c>
      <c r="G262" s="74"/>
      <c r="H262" s="77">
        <v>44314</v>
      </c>
      <c r="I262" s="72" t="s">
        <v>2914</v>
      </c>
      <c r="J262" s="72" t="s">
        <v>2913</v>
      </c>
      <c r="K262" s="72" t="s">
        <v>2045</v>
      </c>
      <c r="L262" s="72" t="s">
        <v>2912</v>
      </c>
      <c r="M262" s="72">
        <v>2017</v>
      </c>
      <c r="N262" s="72"/>
      <c r="O262" s="72" t="s">
        <v>2911</v>
      </c>
      <c r="P262" s="76" t="s">
        <v>278</v>
      </c>
      <c r="Q262" s="76" t="s">
        <v>1</v>
      </c>
      <c r="R262" s="76" t="s">
        <v>2910</v>
      </c>
      <c r="S262" s="76" t="s">
        <v>1</v>
      </c>
      <c r="T262" s="76" t="s">
        <v>1</v>
      </c>
      <c r="U262" s="76" t="s">
        <v>1</v>
      </c>
      <c r="V262" s="76" t="s">
        <v>1</v>
      </c>
      <c r="W262" s="76" t="s">
        <v>1</v>
      </c>
      <c r="X262" s="76" t="s">
        <v>1</v>
      </c>
      <c r="Y262" s="76" t="s">
        <v>1</v>
      </c>
      <c r="Z262" s="76" t="s">
        <v>1</v>
      </c>
      <c r="AA262" s="76" t="s">
        <v>1</v>
      </c>
      <c r="AB262" s="72" t="s">
        <v>2909</v>
      </c>
      <c r="AC262" s="72"/>
      <c r="AD262" s="72"/>
      <c r="AE262" s="25" t="s">
        <v>8977</v>
      </c>
      <c r="AF262" s="340" t="s">
        <v>7140</v>
      </c>
      <c r="AG262" s="340" t="s">
        <v>7140</v>
      </c>
      <c r="AH262" s="344">
        <v>0.50762099999999999</v>
      </c>
      <c r="AI262" s="337">
        <v>0.12847222222222221</v>
      </c>
      <c r="AJ262" s="337"/>
      <c r="AK262" s="337"/>
      <c r="AL262" s="364"/>
    </row>
    <row r="263" spans="1:38">
      <c r="B263" s="12" t="s">
        <v>2908</v>
      </c>
      <c r="C263" s="29" t="s">
        <v>1691</v>
      </c>
      <c r="D263" s="15">
        <v>50</v>
      </c>
      <c r="E263" s="12" t="s">
        <v>5</v>
      </c>
      <c r="F263" s="15">
        <v>11</v>
      </c>
      <c r="G263" s="15"/>
      <c r="H263" s="14">
        <v>45070</v>
      </c>
      <c r="I263" s="12" t="s">
        <v>2095</v>
      </c>
      <c r="J263" s="12"/>
      <c r="K263" s="32" t="s">
        <v>2045</v>
      </c>
      <c r="L263" s="32" t="s">
        <v>2456</v>
      </c>
      <c r="M263" s="12">
        <v>2018</v>
      </c>
      <c r="N263" s="12"/>
      <c r="O263" s="12" t="s">
        <v>2907</v>
      </c>
      <c r="P263" s="24" t="s">
        <v>4</v>
      </c>
      <c r="Q263" s="24" t="s">
        <v>1</v>
      </c>
      <c r="R263" s="24" t="s">
        <v>2906</v>
      </c>
      <c r="S263" s="24" t="s">
        <v>278</v>
      </c>
      <c r="T263" s="24" t="s">
        <v>1</v>
      </c>
      <c r="U263" s="24" t="s">
        <v>2905</v>
      </c>
      <c r="V263" s="76" t="s">
        <v>1</v>
      </c>
      <c r="W263" s="76" t="s">
        <v>1</v>
      </c>
      <c r="X263" s="76" t="s">
        <v>1</v>
      </c>
      <c r="Y263" s="76" t="s">
        <v>1</v>
      </c>
      <c r="Z263" s="76" t="s">
        <v>1</v>
      </c>
      <c r="AA263" s="76" t="s">
        <v>1</v>
      </c>
      <c r="AB263" s="12" t="s">
        <v>2904</v>
      </c>
      <c r="AC263" s="12"/>
      <c r="AD263" s="12"/>
      <c r="AE263" s="37" t="s">
        <v>8978</v>
      </c>
      <c r="AF263" s="366" t="s">
        <v>7140</v>
      </c>
      <c r="AG263" s="366" t="s">
        <v>7140</v>
      </c>
      <c r="AH263" s="372">
        <v>0.23879800000000001</v>
      </c>
      <c r="AI263" s="360">
        <v>2.7083333333333334E-2</v>
      </c>
      <c r="AJ263" s="360"/>
      <c r="AK263" s="360"/>
      <c r="AL263" s="364"/>
    </row>
    <row r="264" spans="1:38">
      <c r="B264" s="72" t="s">
        <v>682</v>
      </c>
      <c r="C264" s="73" t="s">
        <v>1691</v>
      </c>
      <c r="D264" s="74">
        <v>50</v>
      </c>
      <c r="E264" s="72" t="s">
        <v>5</v>
      </c>
      <c r="F264" s="74">
        <v>15</v>
      </c>
      <c r="H264" s="77">
        <v>44838</v>
      </c>
      <c r="I264" s="72" t="s">
        <v>2903</v>
      </c>
      <c r="J264" s="72" t="s">
        <v>2902</v>
      </c>
      <c r="K264" s="72" t="s">
        <v>2045</v>
      </c>
      <c r="L264" s="72" t="s">
        <v>2733</v>
      </c>
      <c r="M264" s="72">
        <v>2020</v>
      </c>
      <c r="O264" s="72" t="s">
        <v>2901</v>
      </c>
      <c r="P264" s="76" t="s">
        <v>1</v>
      </c>
      <c r="Q264" s="76" t="s">
        <v>1</v>
      </c>
      <c r="R264" s="76" t="s">
        <v>1</v>
      </c>
      <c r="S264" s="76" t="s">
        <v>1</v>
      </c>
      <c r="T264" s="76" t="s">
        <v>1</v>
      </c>
      <c r="U264" s="76" t="s">
        <v>1</v>
      </c>
      <c r="V264" s="76" t="s">
        <v>1</v>
      </c>
      <c r="W264" s="76" t="s">
        <v>1</v>
      </c>
      <c r="X264" s="76" t="s">
        <v>1</v>
      </c>
      <c r="Y264" s="76" t="s">
        <v>1</v>
      </c>
      <c r="Z264" s="76" t="s">
        <v>1</v>
      </c>
      <c r="AA264" s="76" t="s">
        <v>1</v>
      </c>
      <c r="AB264" s="72" t="s">
        <v>2900</v>
      </c>
      <c r="AE264" s="373" t="s">
        <v>8979</v>
      </c>
      <c r="AF264" s="340" t="s">
        <v>7140</v>
      </c>
      <c r="AG264" s="340" t="s">
        <v>7140</v>
      </c>
      <c r="AH264" s="344">
        <v>0.119543</v>
      </c>
      <c r="AI264" s="337">
        <v>3.1944444444444442E-2</v>
      </c>
      <c r="AJ264" s="337"/>
      <c r="AK264" s="337"/>
      <c r="AL264" s="364"/>
    </row>
    <row r="265" spans="1:38">
      <c r="B265" s="12" t="s">
        <v>716</v>
      </c>
      <c r="C265" s="29" t="s">
        <v>1691</v>
      </c>
      <c r="D265" s="15">
        <v>50</v>
      </c>
      <c r="E265" s="12" t="s">
        <v>5</v>
      </c>
      <c r="F265" s="15">
        <v>12.5</v>
      </c>
      <c r="G265" s="15"/>
      <c r="H265" s="14">
        <v>44784</v>
      </c>
      <c r="I265" s="12" t="s">
        <v>2899</v>
      </c>
      <c r="J265" s="12" t="s">
        <v>2898</v>
      </c>
      <c r="K265" s="12" t="s">
        <v>2045</v>
      </c>
      <c r="L265" s="12" t="s">
        <v>2062</v>
      </c>
      <c r="M265" s="31">
        <v>2018</v>
      </c>
      <c r="N265" s="12"/>
      <c r="O265" s="12" t="s">
        <v>2897</v>
      </c>
      <c r="P265" s="24" t="s">
        <v>5</v>
      </c>
      <c r="Q265" s="24">
        <v>10</v>
      </c>
      <c r="R265" s="24" t="s">
        <v>2896</v>
      </c>
      <c r="S265" s="24" t="s">
        <v>278</v>
      </c>
      <c r="T265" s="24" t="s">
        <v>1</v>
      </c>
      <c r="U265" s="24" t="s">
        <v>2895</v>
      </c>
      <c r="V265" s="24" t="s">
        <v>4</v>
      </c>
      <c r="W265" s="24" t="s">
        <v>1</v>
      </c>
      <c r="X265" s="24" t="s">
        <v>2894</v>
      </c>
      <c r="Y265" s="24" t="s">
        <v>1</v>
      </c>
      <c r="Z265" s="24" t="s">
        <v>1</v>
      </c>
      <c r="AA265" s="24" t="s">
        <v>1</v>
      </c>
      <c r="AB265" s="12" t="s">
        <v>2893</v>
      </c>
      <c r="AC265" s="12"/>
      <c r="AD265" s="12"/>
      <c r="AE265" s="37" t="s">
        <v>8980</v>
      </c>
      <c r="AF265" s="366" t="s">
        <v>7140</v>
      </c>
      <c r="AG265" s="366" t="s">
        <v>7140</v>
      </c>
      <c r="AH265" s="372">
        <v>6.0565000000000001E-2</v>
      </c>
      <c r="AI265" s="360">
        <v>3.3333333333333333E-2</v>
      </c>
      <c r="AJ265" s="360"/>
      <c r="AK265" s="360"/>
      <c r="AL265" s="364"/>
    </row>
    <row r="266" spans="1:38" s="12" customFormat="1">
      <c r="A266" s="72"/>
      <c r="B266" s="12" t="s">
        <v>680</v>
      </c>
      <c r="C266" s="29" t="s">
        <v>1691</v>
      </c>
      <c r="D266" s="15">
        <v>50</v>
      </c>
      <c r="E266" s="12" t="s">
        <v>4</v>
      </c>
      <c r="F266" s="15">
        <v>5.3</v>
      </c>
      <c r="G266" s="15"/>
      <c r="H266" s="14">
        <v>45069</v>
      </c>
      <c r="I266" s="12" t="s">
        <v>2892</v>
      </c>
      <c r="J266" s="12" t="s">
        <v>2891</v>
      </c>
      <c r="K266" s="12" t="s">
        <v>2045</v>
      </c>
      <c r="L266" s="12" t="s">
        <v>2302</v>
      </c>
      <c r="M266" s="30">
        <v>44531</v>
      </c>
      <c r="O266" s="12" t="s">
        <v>2890</v>
      </c>
      <c r="P266" s="24" t="s">
        <v>278</v>
      </c>
      <c r="Q266" s="24" t="s">
        <v>1</v>
      </c>
      <c r="R266" s="24" t="s">
        <v>681</v>
      </c>
      <c r="S266" s="24" t="s">
        <v>1</v>
      </c>
      <c r="T266" s="24" t="s">
        <v>1</v>
      </c>
      <c r="U266" s="24" t="s">
        <v>1</v>
      </c>
      <c r="V266" s="24" t="s">
        <v>1</v>
      </c>
      <c r="W266" s="24" t="s">
        <v>1</v>
      </c>
      <c r="X266" s="24" t="s">
        <v>1</v>
      </c>
      <c r="Y266" s="24" t="s">
        <v>1</v>
      </c>
      <c r="Z266" s="24" t="s">
        <v>1</v>
      </c>
      <c r="AA266" s="24" t="s">
        <v>1</v>
      </c>
      <c r="AB266" s="12" t="s">
        <v>2889</v>
      </c>
      <c r="AE266" s="37" t="s">
        <v>8981</v>
      </c>
      <c r="AF266" s="340" t="s">
        <v>7140</v>
      </c>
      <c r="AG266" s="340" t="s">
        <v>7140</v>
      </c>
      <c r="AH266" s="372">
        <v>5.8719E-2</v>
      </c>
      <c r="AI266" s="360">
        <v>3.5416666666666666E-2</v>
      </c>
      <c r="AJ266" s="360"/>
      <c r="AK266" s="360"/>
      <c r="AL266" s="364"/>
    </row>
    <row r="267" spans="1:38">
      <c r="A267" s="176"/>
      <c r="B267" s="176" t="s">
        <v>678</v>
      </c>
      <c r="C267" s="184" t="s">
        <v>1691</v>
      </c>
      <c r="D267" s="178">
        <v>50</v>
      </c>
      <c r="E267" s="176" t="s">
        <v>4</v>
      </c>
      <c r="F267" s="178">
        <v>15</v>
      </c>
      <c r="G267" s="178"/>
      <c r="H267" s="185">
        <v>44691</v>
      </c>
      <c r="I267" s="176" t="s">
        <v>2873</v>
      </c>
      <c r="J267" s="176" t="s">
        <v>2888</v>
      </c>
      <c r="K267" s="176" t="s">
        <v>2045</v>
      </c>
      <c r="L267" s="176" t="s">
        <v>2630</v>
      </c>
      <c r="M267" s="191">
        <v>44362</v>
      </c>
      <c r="N267" s="176"/>
      <c r="O267" s="176" t="s">
        <v>2887</v>
      </c>
      <c r="P267" s="179" t="s">
        <v>1</v>
      </c>
      <c r="Q267" s="179" t="s">
        <v>1</v>
      </c>
      <c r="R267" s="179" t="s">
        <v>1</v>
      </c>
      <c r="S267" s="179" t="s">
        <v>1</v>
      </c>
      <c r="T267" s="179" t="s">
        <v>1</v>
      </c>
      <c r="U267" s="179" t="s">
        <v>1</v>
      </c>
      <c r="V267" s="179" t="s">
        <v>1</v>
      </c>
      <c r="W267" s="179" t="s">
        <v>1</v>
      </c>
      <c r="X267" s="179" t="s">
        <v>1</v>
      </c>
      <c r="Y267" s="179" t="s">
        <v>1</v>
      </c>
      <c r="Z267" s="179" t="s">
        <v>1</v>
      </c>
      <c r="AA267" s="179" t="s">
        <v>1</v>
      </c>
      <c r="AB267" s="176" t="s">
        <v>2152</v>
      </c>
      <c r="AC267" s="176"/>
      <c r="AD267" s="176"/>
      <c r="AE267" s="25" t="s">
        <v>8982</v>
      </c>
      <c r="AF267" s="340" t="s">
        <v>7140</v>
      </c>
      <c r="AG267" s="340" t="s">
        <v>7140</v>
      </c>
      <c r="AH267" s="344">
        <v>0</v>
      </c>
      <c r="AI267" s="358">
        <v>3.125E-2</v>
      </c>
      <c r="AJ267" s="358"/>
      <c r="AK267" s="358"/>
      <c r="AL267" s="364"/>
    </row>
    <row r="268" spans="1:38">
      <c r="A268" s="176"/>
      <c r="B268" s="176" t="s">
        <v>676</v>
      </c>
      <c r="C268" s="184" t="s">
        <v>1691</v>
      </c>
      <c r="D268" s="178">
        <v>50</v>
      </c>
      <c r="E268" s="176" t="s">
        <v>5</v>
      </c>
      <c r="F268" s="178">
        <v>15</v>
      </c>
      <c r="G268" s="178"/>
      <c r="H268" s="185">
        <v>44482</v>
      </c>
      <c r="I268" s="176" t="s">
        <v>2886</v>
      </c>
      <c r="J268" s="176" t="s">
        <v>2885</v>
      </c>
      <c r="K268" s="176" t="s">
        <v>2045</v>
      </c>
      <c r="L268" s="176" t="s">
        <v>2056</v>
      </c>
      <c r="M268" s="176">
        <v>2020</v>
      </c>
      <c r="N268" s="176"/>
      <c r="O268" s="176" t="s">
        <v>2884</v>
      </c>
      <c r="P268" s="179" t="s">
        <v>4</v>
      </c>
      <c r="Q268" s="179">
        <v>4.5</v>
      </c>
      <c r="R268" s="179" t="s">
        <v>2883</v>
      </c>
      <c r="S268" s="179" t="s">
        <v>278</v>
      </c>
      <c r="T268" s="179">
        <v>0.125</v>
      </c>
      <c r="U268" s="179" t="s">
        <v>1068</v>
      </c>
      <c r="V268" s="179" t="s">
        <v>1</v>
      </c>
      <c r="W268" s="179" t="s">
        <v>1</v>
      </c>
      <c r="X268" s="179" t="s">
        <v>1</v>
      </c>
      <c r="Y268" s="179" t="s">
        <v>1</v>
      </c>
      <c r="Z268" s="179" t="s">
        <v>1</v>
      </c>
      <c r="AA268" s="179" t="s">
        <v>1</v>
      </c>
      <c r="AB268" s="176" t="s">
        <v>2094</v>
      </c>
      <c r="AC268" s="176"/>
      <c r="AD268" s="176"/>
      <c r="AE268" s="25" t="s">
        <v>8983</v>
      </c>
      <c r="AF268" s="340" t="s">
        <v>7140</v>
      </c>
      <c r="AG268" s="340" t="s">
        <v>7140</v>
      </c>
      <c r="AH268" s="344">
        <v>0.160469</v>
      </c>
      <c r="AI268" s="358">
        <v>0.15416666666666667</v>
      </c>
      <c r="AJ268" s="358"/>
      <c r="AK268" s="358"/>
      <c r="AL268" s="364"/>
    </row>
    <row r="269" spans="1:38">
      <c r="A269" s="176"/>
      <c r="B269" s="176" t="s">
        <v>672</v>
      </c>
      <c r="C269" s="184" t="s">
        <v>1691</v>
      </c>
      <c r="D269" s="178">
        <v>50</v>
      </c>
      <c r="E269" s="176" t="s">
        <v>5</v>
      </c>
      <c r="F269" s="178">
        <v>14.5</v>
      </c>
      <c r="G269" s="178"/>
      <c r="H269" s="185">
        <v>44389</v>
      </c>
      <c r="I269" s="176" t="s">
        <v>2882</v>
      </c>
      <c r="J269" s="176" t="s">
        <v>2881</v>
      </c>
      <c r="K269" s="176" t="s">
        <v>2045</v>
      </c>
      <c r="L269" s="176" t="s">
        <v>2056</v>
      </c>
      <c r="M269" s="176">
        <v>2019</v>
      </c>
      <c r="N269" s="176"/>
      <c r="O269" s="176" t="s">
        <v>2880</v>
      </c>
      <c r="P269" s="179" t="s">
        <v>4</v>
      </c>
      <c r="Q269" s="179">
        <v>3</v>
      </c>
      <c r="R269" s="179" t="s">
        <v>2879</v>
      </c>
      <c r="S269" s="179" t="s">
        <v>278</v>
      </c>
      <c r="T269" s="179" t="s">
        <v>1</v>
      </c>
      <c r="U269" s="179" t="s">
        <v>2878</v>
      </c>
      <c r="V269" s="179" t="s">
        <v>1</v>
      </c>
      <c r="W269" s="179" t="s">
        <v>1</v>
      </c>
      <c r="X269" s="179" t="s">
        <v>1</v>
      </c>
      <c r="Y269" s="179" t="s">
        <v>1</v>
      </c>
      <c r="Z269" s="179" t="s">
        <v>1</v>
      </c>
      <c r="AA269" s="179" t="s">
        <v>1</v>
      </c>
      <c r="AB269" s="176" t="s">
        <v>2362</v>
      </c>
      <c r="AC269" s="176"/>
      <c r="AD269" s="176"/>
      <c r="AE269" s="25" t="s">
        <v>8984</v>
      </c>
      <c r="AF269" s="340" t="s">
        <v>7140</v>
      </c>
      <c r="AG269" s="340" t="s">
        <v>7140</v>
      </c>
      <c r="AH269" s="344">
        <v>0.122166</v>
      </c>
      <c r="AI269" s="358">
        <v>0.16666666666666666</v>
      </c>
      <c r="AJ269" s="358"/>
      <c r="AK269" s="358"/>
      <c r="AL269" s="364"/>
    </row>
    <row r="270" spans="1:38">
      <c r="A270" s="176"/>
      <c r="B270" s="176" t="s">
        <v>776</v>
      </c>
      <c r="C270" s="184" t="s">
        <v>1691</v>
      </c>
      <c r="D270" s="178">
        <v>50</v>
      </c>
      <c r="E270" s="176" t="s">
        <v>4</v>
      </c>
      <c r="F270" s="178">
        <v>15</v>
      </c>
      <c r="G270" s="178"/>
      <c r="H270" s="185">
        <v>44999</v>
      </c>
      <c r="I270" s="176" t="s">
        <v>2877</v>
      </c>
      <c r="J270" s="176" t="s">
        <v>2876</v>
      </c>
      <c r="K270" s="176" t="s">
        <v>2045</v>
      </c>
      <c r="L270" s="176" t="s">
        <v>2056</v>
      </c>
      <c r="M270" s="176">
        <v>2021</v>
      </c>
      <c r="N270" s="176" t="s">
        <v>2875</v>
      </c>
      <c r="O270" s="176" t="s">
        <v>1</v>
      </c>
      <c r="P270" s="179" t="s">
        <v>278</v>
      </c>
      <c r="Q270" s="179">
        <v>4.5</v>
      </c>
      <c r="R270" s="179" t="s">
        <v>2874</v>
      </c>
      <c r="S270" s="179" t="s">
        <v>1</v>
      </c>
      <c r="T270" s="179" t="s">
        <v>1</v>
      </c>
      <c r="U270" s="179" t="s">
        <v>1</v>
      </c>
      <c r="V270" s="179" t="s">
        <v>1</v>
      </c>
      <c r="W270" s="179" t="s">
        <v>1</v>
      </c>
      <c r="X270" s="179" t="s">
        <v>1</v>
      </c>
      <c r="Y270" s="179" t="s">
        <v>1</v>
      </c>
      <c r="Z270" s="179" t="s">
        <v>1</v>
      </c>
      <c r="AA270" s="179" t="s">
        <v>1</v>
      </c>
      <c r="AB270" s="176" t="s">
        <v>2362</v>
      </c>
      <c r="AC270" s="176"/>
      <c r="AD270" s="176"/>
      <c r="AE270" s="25" t="s">
        <v>8985</v>
      </c>
      <c r="AF270" s="340" t="s">
        <v>7140</v>
      </c>
      <c r="AG270" s="340" t="s">
        <v>7140</v>
      </c>
      <c r="AH270" s="344">
        <v>1.7027E-2</v>
      </c>
      <c r="AI270" s="358">
        <v>1.5972222222222221E-2</v>
      </c>
      <c r="AJ270" s="358"/>
      <c r="AK270" s="358"/>
      <c r="AL270" s="364"/>
    </row>
    <row r="271" spans="1:38">
      <c r="A271" s="176"/>
      <c r="B271" s="176" t="s">
        <v>669</v>
      </c>
      <c r="C271" s="184" t="s">
        <v>1691</v>
      </c>
      <c r="D271" s="178">
        <v>50</v>
      </c>
      <c r="E271" s="176" t="s">
        <v>5</v>
      </c>
      <c r="F271" s="178">
        <v>14</v>
      </c>
      <c r="G271" s="178"/>
      <c r="H271" s="185">
        <v>44705</v>
      </c>
      <c r="I271" s="176" t="s">
        <v>2873</v>
      </c>
      <c r="J271" s="176" t="s">
        <v>2872</v>
      </c>
      <c r="K271" s="176" t="s">
        <v>2045</v>
      </c>
      <c r="L271" s="176" t="s">
        <v>2630</v>
      </c>
      <c r="M271" s="176">
        <v>2019</v>
      </c>
      <c r="N271" s="176"/>
      <c r="O271" s="176" t="s">
        <v>2871</v>
      </c>
      <c r="P271" s="179" t="s">
        <v>4</v>
      </c>
      <c r="Q271" s="179">
        <v>5</v>
      </c>
      <c r="R271" s="179" t="s">
        <v>2870</v>
      </c>
      <c r="S271" s="179" t="s">
        <v>278</v>
      </c>
      <c r="T271" s="179">
        <v>0.62</v>
      </c>
      <c r="U271" s="179" t="s">
        <v>2869</v>
      </c>
      <c r="V271" s="179" t="s">
        <v>1</v>
      </c>
      <c r="W271" s="179" t="s">
        <v>1</v>
      </c>
      <c r="X271" s="179" t="s">
        <v>1</v>
      </c>
      <c r="Y271" s="179" t="s">
        <v>1</v>
      </c>
      <c r="Z271" s="179" t="s">
        <v>1</v>
      </c>
      <c r="AA271" s="179" t="s">
        <v>1</v>
      </c>
      <c r="AB271" s="176" t="s">
        <v>2690</v>
      </c>
      <c r="AC271" s="176"/>
      <c r="AD271" s="176"/>
      <c r="AE271" s="25" t="s">
        <v>8986</v>
      </c>
      <c r="AF271" s="340" t="s">
        <v>7140</v>
      </c>
      <c r="AG271" s="340" t="s">
        <v>7140</v>
      </c>
      <c r="AH271" s="344">
        <v>4.2744999999999998E-2</v>
      </c>
      <c r="AI271" s="341">
        <v>0.19930555555555557</v>
      </c>
      <c r="AJ271" s="341"/>
      <c r="AK271" s="341"/>
      <c r="AL271" s="364"/>
    </row>
    <row r="272" spans="1:38">
      <c r="A272" s="176"/>
      <c r="B272" s="176" t="s">
        <v>2868</v>
      </c>
      <c r="C272" s="184" t="s">
        <v>1691</v>
      </c>
      <c r="D272" s="178">
        <v>50</v>
      </c>
      <c r="E272" s="176" t="s">
        <v>5</v>
      </c>
      <c r="F272" s="178">
        <v>13.6</v>
      </c>
      <c r="G272" s="178"/>
      <c r="H272" s="185">
        <v>44134</v>
      </c>
      <c r="I272" s="176" t="s">
        <v>2867</v>
      </c>
      <c r="J272" s="176" t="s">
        <v>2866</v>
      </c>
      <c r="K272" s="176" t="s">
        <v>2045</v>
      </c>
      <c r="L272" s="176" t="s">
        <v>2850</v>
      </c>
      <c r="M272" s="176">
        <v>2016</v>
      </c>
      <c r="N272" s="176"/>
      <c r="O272" s="176" t="s">
        <v>2865</v>
      </c>
      <c r="P272" s="179" t="s">
        <v>5</v>
      </c>
      <c r="Q272" s="179">
        <v>6</v>
      </c>
      <c r="R272" s="179" t="s">
        <v>2864</v>
      </c>
      <c r="S272" s="179" t="s">
        <v>4</v>
      </c>
      <c r="T272" s="179">
        <v>5</v>
      </c>
      <c r="U272" s="179" t="s">
        <v>2864</v>
      </c>
      <c r="V272" s="179" t="s">
        <v>4</v>
      </c>
      <c r="W272" s="179">
        <v>3</v>
      </c>
      <c r="X272" s="179" t="s">
        <v>2863</v>
      </c>
      <c r="Y272" s="179" t="s">
        <v>4</v>
      </c>
      <c r="Z272" s="179">
        <v>2</v>
      </c>
      <c r="AA272" s="179" t="s">
        <v>2863</v>
      </c>
      <c r="AB272" s="176" t="s">
        <v>2206</v>
      </c>
      <c r="AC272" s="176"/>
      <c r="AD272" s="176"/>
      <c r="AE272" s="25" t="s">
        <v>8987</v>
      </c>
      <c r="AF272" s="340" t="s">
        <v>7140</v>
      </c>
      <c r="AG272" s="340" t="s">
        <v>7140</v>
      </c>
      <c r="AH272" s="344">
        <v>6.5459999999999997E-3</v>
      </c>
      <c r="AI272" s="358">
        <v>0.05</v>
      </c>
      <c r="AJ272" s="358"/>
      <c r="AK272" s="358"/>
      <c r="AL272" s="364"/>
    </row>
    <row r="273" spans="1:38">
      <c r="A273" s="176"/>
      <c r="B273" s="176" t="s">
        <v>2862</v>
      </c>
      <c r="C273" s="184" t="s">
        <v>1691</v>
      </c>
      <c r="D273" s="178">
        <v>50</v>
      </c>
      <c r="E273" s="176" t="s">
        <v>4</v>
      </c>
      <c r="F273" s="178">
        <v>13.75</v>
      </c>
      <c r="G273" s="178"/>
      <c r="H273" s="185">
        <v>45014</v>
      </c>
      <c r="I273" s="176" t="s">
        <v>2861</v>
      </c>
      <c r="J273" s="176" t="s">
        <v>2860</v>
      </c>
      <c r="K273" s="176" t="s">
        <v>2569</v>
      </c>
      <c r="L273" s="176" t="s">
        <v>2859</v>
      </c>
      <c r="M273" s="176">
        <v>2021</v>
      </c>
      <c r="N273" s="176" t="s">
        <v>2858</v>
      </c>
      <c r="O273" s="176" t="s">
        <v>1</v>
      </c>
      <c r="P273" s="179" t="s">
        <v>4</v>
      </c>
      <c r="Q273" s="179">
        <v>5.4</v>
      </c>
      <c r="R273" s="179" t="s">
        <v>1</v>
      </c>
      <c r="S273" s="179" t="s">
        <v>1</v>
      </c>
      <c r="T273" s="179" t="s">
        <v>1</v>
      </c>
      <c r="U273" s="179" t="s">
        <v>1</v>
      </c>
      <c r="V273" s="179" t="s">
        <v>1</v>
      </c>
      <c r="W273" s="179" t="s">
        <v>1</v>
      </c>
      <c r="X273" s="179" t="s">
        <v>1</v>
      </c>
      <c r="Y273" s="179" t="s">
        <v>1</v>
      </c>
      <c r="Z273" s="179" t="s">
        <v>1</v>
      </c>
      <c r="AA273" s="179" t="s">
        <v>1</v>
      </c>
      <c r="AB273" s="176" t="s">
        <v>2094</v>
      </c>
      <c r="AC273" s="176"/>
      <c r="AD273" s="176"/>
      <c r="AE273" s="25" t="s">
        <v>8988</v>
      </c>
      <c r="AF273" s="340" t="s">
        <v>7140</v>
      </c>
      <c r="AG273" s="340" t="s">
        <v>7140</v>
      </c>
      <c r="AH273" s="344">
        <v>1.0267E-2</v>
      </c>
      <c r="AI273" s="358">
        <v>0.16041666666666668</v>
      </c>
      <c r="AJ273" s="358"/>
      <c r="AK273" s="358"/>
      <c r="AL273" s="364"/>
    </row>
    <row r="274" spans="1:38">
      <c r="A274" s="176"/>
      <c r="B274" s="176" t="s">
        <v>666</v>
      </c>
      <c r="C274" s="184" t="s">
        <v>1691</v>
      </c>
      <c r="D274" s="178">
        <v>50</v>
      </c>
      <c r="E274" s="176" t="s">
        <v>5</v>
      </c>
      <c r="F274" s="178">
        <v>12.7</v>
      </c>
      <c r="G274" s="178"/>
      <c r="H274" s="185">
        <v>44952</v>
      </c>
      <c r="I274" s="176" t="s">
        <v>2857</v>
      </c>
      <c r="J274" s="176" t="s">
        <v>2856</v>
      </c>
      <c r="K274" s="176" t="s">
        <v>2045</v>
      </c>
      <c r="L274" s="176" t="s">
        <v>2527</v>
      </c>
      <c r="M274" s="176">
        <v>2021</v>
      </c>
      <c r="N274" s="176"/>
      <c r="O274" s="176" t="s">
        <v>2855</v>
      </c>
      <c r="P274" s="179" t="s">
        <v>4</v>
      </c>
      <c r="Q274" s="179">
        <v>5</v>
      </c>
      <c r="R274" s="179" t="s">
        <v>667</v>
      </c>
      <c r="S274" s="179" t="s">
        <v>1</v>
      </c>
      <c r="T274" s="179" t="s">
        <v>1</v>
      </c>
      <c r="U274" s="179" t="s">
        <v>1</v>
      </c>
      <c r="V274" s="179" t="s">
        <v>1</v>
      </c>
      <c r="W274" s="179" t="s">
        <v>1</v>
      </c>
      <c r="X274" s="179" t="s">
        <v>1</v>
      </c>
      <c r="Y274" s="179" t="s">
        <v>1</v>
      </c>
      <c r="Z274" s="179" t="s">
        <v>1</v>
      </c>
      <c r="AA274" s="179" t="s">
        <v>1</v>
      </c>
      <c r="AB274" s="176" t="s">
        <v>2055</v>
      </c>
      <c r="AC274" s="176"/>
      <c r="AD274" s="176"/>
      <c r="AE274" s="25" t="s">
        <v>8989</v>
      </c>
      <c r="AF274" s="340" t="s">
        <v>7140</v>
      </c>
      <c r="AG274" s="340" t="s">
        <v>7140</v>
      </c>
      <c r="AH274" s="344">
        <v>7.0535E-2</v>
      </c>
      <c r="AI274" s="358">
        <v>0.10138888888888889</v>
      </c>
      <c r="AJ274" s="358"/>
      <c r="AK274" s="358"/>
      <c r="AL274" s="364"/>
    </row>
    <row r="275" spans="1:38" s="176" customFormat="1">
      <c r="A275" s="72"/>
      <c r="B275" s="12" t="s">
        <v>661</v>
      </c>
      <c r="C275" s="29" t="s">
        <v>1691</v>
      </c>
      <c r="D275" s="15">
        <v>50</v>
      </c>
      <c r="E275" s="12" t="s">
        <v>4</v>
      </c>
      <c r="F275" s="15">
        <v>13</v>
      </c>
      <c r="G275" s="15"/>
      <c r="H275" s="14">
        <v>44896</v>
      </c>
      <c r="I275" s="12" t="s">
        <v>2854</v>
      </c>
      <c r="J275" s="72" t="s">
        <v>2853</v>
      </c>
      <c r="K275" s="12" t="s">
        <v>2045</v>
      </c>
      <c r="L275" s="12" t="s">
        <v>2451</v>
      </c>
      <c r="M275" s="12">
        <v>2019</v>
      </c>
      <c r="N275" s="72"/>
      <c r="O275" s="72" t="s">
        <v>2852</v>
      </c>
      <c r="P275" s="76" t="s">
        <v>278</v>
      </c>
      <c r="Q275" s="76">
        <v>1</v>
      </c>
      <c r="R275" s="76" t="s">
        <v>1</v>
      </c>
      <c r="S275" s="76" t="s">
        <v>1</v>
      </c>
      <c r="T275" s="76" t="s">
        <v>1</v>
      </c>
      <c r="U275" s="76" t="s">
        <v>1</v>
      </c>
      <c r="V275" s="76" t="s">
        <v>1</v>
      </c>
      <c r="W275" s="76" t="s">
        <v>1</v>
      </c>
      <c r="X275" s="76" t="s">
        <v>1</v>
      </c>
      <c r="Y275" s="76" t="s">
        <v>1</v>
      </c>
      <c r="Z275" s="76" t="s">
        <v>1</v>
      </c>
      <c r="AA275" s="76" t="s">
        <v>1</v>
      </c>
      <c r="AB275" s="72" t="s">
        <v>2851</v>
      </c>
      <c r="AC275" s="72"/>
      <c r="AD275" s="72"/>
      <c r="AE275" s="25" t="s">
        <v>8990</v>
      </c>
      <c r="AF275" s="340" t="s">
        <v>7140</v>
      </c>
      <c r="AG275" s="340" t="s">
        <v>7140</v>
      </c>
      <c r="AH275" s="344">
        <v>1.5398999999999999E-2</v>
      </c>
      <c r="AI275" s="337">
        <v>0.14583333333333334</v>
      </c>
      <c r="AJ275" s="337"/>
      <c r="AK275" s="337"/>
      <c r="AL275" s="364"/>
    </row>
    <row r="276" spans="1:38" s="176" customFormat="1">
      <c r="A276" s="72"/>
      <c r="B276" s="72" t="s">
        <v>656</v>
      </c>
      <c r="C276" s="73" t="s">
        <v>1691</v>
      </c>
      <c r="D276" s="74">
        <v>50</v>
      </c>
      <c r="E276" s="72" t="s">
        <v>5</v>
      </c>
      <c r="F276" s="74">
        <v>12.6</v>
      </c>
      <c r="G276" s="74"/>
      <c r="H276" s="77">
        <v>44579</v>
      </c>
      <c r="I276" s="72" t="s">
        <v>2850</v>
      </c>
      <c r="J276" s="72" t="s">
        <v>2849</v>
      </c>
      <c r="K276" s="72" t="s">
        <v>2045</v>
      </c>
      <c r="L276" s="72" t="s">
        <v>2056</v>
      </c>
      <c r="M276" s="72">
        <v>2020</v>
      </c>
      <c r="N276" s="72"/>
      <c r="O276" s="72" t="s">
        <v>2848</v>
      </c>
      <c r="P276" s="76" t="s">
        <v>4</v>
      </c>
      <c r="Q276" s="76">
        <v>3</v>
      </c>
      <c r="R276" s="76" t="s">
        <v>2847</v>
      </c>
      <c r="S276" s="72" t="s">
        <v>1</v>
      </c>
      <c r="T276" s="72" t="s">
        <v>1</v>
      </c>
      <c r="U276" s="72" t="s">
        <v>1</v>
      </c>
      <c r="V276" s="72" t="s">
        <v>1</v>
      </c>
      <c r="W276" s="72" t="s">
        <v>1</v>
      </c>
      <c r="X276" s="72" t="s">
        <v>1</v>
      </c>
      <c r="Y276" s="72" t="s">
        <v>1</v>
      </c>
      <c r="Z276" s="72" t="s">
        <v>1</v>
      </c>
      <c r="AA276" s="72" t="s">
        <v>1</v>
      </c>
      <c r="AB276" s="72" t="s">
        <v>2362</v>
      </c>
      <c r="AC276" s="72"/>
      <c r="AD276" s="72"/>
      <c r="AE276" s="25" t="s">
        <v>8991</v>
      </c>
      <c r="AF276" s="340" t="s">
        <v>7140</v>
      </c>
      <c r="AG276" s="340" t="s">
        <v>7140</v>
      </c>
      <c r="AH276" s="344">
        <v>0</v>
      </c>
      <c r="AI276" s="337">
        <v>1.6666666666666666E-2</v>
      </c>
      <c r="AJ276" s="337"/>
      <c r="AK276" s="337"/>
      <c r="AL276" s="364"/>
    </row>
    <row r="277" spans="1:38" s="176" customFormat="1">
      <c r="A277" s="72"/>
      <c r="B277" s="72" t="s">
        <v>688</v>
      </c>
      <c r="C277" s="73" t="s">
        <v>1691</v>
      </c>
      <c r="D277" s="74">
        <v>50</v>
      </c>
      <c r="E277" s="72" t="s">
        <v>5</v>
      </c>
      <c r="F277" s="74">
        <v>12.5</v>
      </c>
      <c r="G277" s="74"/>
      <c r="H277" s="77">
        <v>45005</v>
      </c>
      <c r="I277" s="72" t="s">
        <v>2846</v>
      </c>
      <c r="J277" s="72"/>
      <c r="K277" s="72" t="s">
        <v>2045</v>
      </c>
      <c r="L277" s="72" t="s">
        <v>2056</v>
      </c>
      <c r="M277" s="72">
        <v>2021</v>
      </c>
      <c r="N277" s="72"/>
      <c r="O277" s="72" t="s">
        <v>2845</v>
      </c>
      <c r="P277" s="76" t="s">
        <v>4</v>
      </c>
      <c r="Q277" s="76">
        <v>5</v>
      </c>
      <c r="R277" s="76" t="s">
        <v>698</v>
      </c>
      <c r="S277" s="76" t="s">
        <v>1</v>
      </c>
      <c r="T277" s="76" t="s">
        <v>1</v>
      </c>
      <c r="U277" s="76" t="s">
        <v>1</v>
      </c>
      <c r="V277" s="76" t="s">
        <v>1</v>
      </c>
      <c r="W277" s="76" t="s">
        <v>1</v>
      </c>
      <c r="X277" s="76" t="s">
        <v>1</v>
      </c>
      <c r="Y277" s="76" t="s">
        <v>1</v>
      </c>
      <c r="Z277" s="76" t="s">
        <v>1</v>
      </c>
      <c r="AA277" s="76" t="s">
        <v>1</v>
      </c>
      <c r="AB277" s="72" t="s">
        <v>2646</v>
      </c>
      <c r="AC277" s="72"/>
      <c r="AD277" s="72"/>
      <c r="AE277" s="25" t="s">
        <v>8992</v>
      </c>
      <c r="AF277" s="340" t="s">
        <v>7140</v>
      </c>
      <c r="AG277" s="340" t="s">
        <v>7140</v>
      </c>
      <c r="AH277" s="344">
        <v>1.455E-2</v>
      </c>
      <c r="AI277" s="337">
        <v>0.10972222222222222</v>
      </c>
      <c r="AJ277" s="337"/>
      <c r="AK277" s="337"/>
      <c r="AL277" s="364"/>
    </row>
    <row r="278" spans="1:38" s="176" customFormat="1">
      <c r="A278" s="72"/>
      <c r="B278" s="72" t="s">
        <v>773</v>
      </c>
      <c r="C278" s="73" t="s">
        <v>1691</v>
      </c>
      <c r="D278" s="74">
        <v>50</v>
      </c>
      <c r="E278" s="72" t="s">
        <v>5</v>
      </c>
      <c r="F278" s="74">
        <v>12.8</v>
      </c>
      <c r="G278" s="74"/>
      <c r="H278" s="77">
        <v>44698</v>
      </c>
      <c r="I278" s="72" t="s">
        <v>2841</v>
      </c>
      <c r="J278" s="72"/>
      <c r="K278" s="72" t="s">
        <v>2045</v>
      </c>
      <c r="L278" s="72" t="s">
        <v>2056</v>
      </c>
      <c r="M278" s="72">
        <v>2020</v>
      </c>
      <c r="N278" s="72"/>
      <c r="O278" s="72" t="s">
        <v>2840</v>
      </c>
      <c r="P278" s="76" t="s">
        <v>4</v>
      </c>
      <c r="Q278" s="76">
        <v>5.5</v>
      </c>
      <c r="R278" s="76" t="s">
        <v>2839</v>
      </c>
      <c r="S278" s="72" t="s">
        <v>1</v>
      </c>
      <c r="T278" s="72" t="s">
        <v>1</v>
      </c>
      <c r="U278" s="72" t="s">
        <v>1</v>
      </c>
      <c r="V278" s="72" t="s">
        <v>1</v>
      </c>
      <c r="W278" s="72" t="s">
        <v>1</v>
      </c>
      <c r="X278" s="72" t="s">
        <v>1</v>
      </c>
      <c r="Y278" s="72" t="s">
        <v>1</v>
      </c>
      <c r="Z278" s="72" t="s">
        <v>1</v>
      </c>
      <c r="AA278" s="72" t="s">
        <v>1</v>
      </c>
      <c r="AB278" s="72" t="s">
        <v>2362</v>
      </c>
      <c r="AC278" s="72"/>
      <c r="AD278" s="72"/>
      <c r="AE278" s="25" t="s">
        <v>8994</v>
      </c>
      <c r="AF278" s="340" t="s">
        <v>7140</v>
      </c>
      <c r="AG278" s="340" t="s">
        <v>7140</v>
      </c>
      <c r="AH278" s="344">
        <v>1.5869999999999999E-2</v>
      </c>
      <c r="AI278" s="337">
        <v>9.166666666666666E-2</v>
      </c>
      <c r="AJ278" s="337"/>
      <c r="AK278" s="337"/>
      <c r="AL278" s="364"/>
    </row>
    <row r="279" spans="1:38" s="176" customFormat="1">
      <c r="A279" s="72"/>
      <c r="B279" s="72" t="s">
        <v>644</v>
      </c>
      <c r="C279" s="73" t="s">
        <v>1691</v>
      </c>
      <c r="D279" s="74">
        <v>50</v>
      </c>
      <c r="E279" s="72" t="s">
        <v>5</v>
      </c>
      <c r="F279" s="74">
        <v>12.5</v>
      </c>
      <c r="G279" s="74"/>
      <c r="H279" s="77">
        <v>43391</v>
      </c>
      <c r="I279" s="72" t="s">
        <v>2838</v>
      </c>
      <c r="J279" s="72" t="s">
        <v>2837</v>
      </c>
      <c r="K279" s="72" t="s">
        <v>2045</v>
      </c>
      <c r="L279" s="72" t="s">
        <v>2056</v>
      </c>
      <c r="M279" s="72">
        <v>2018</v>
      </c>
      <c r="N279" s="72"/>
      <c r="O279" s="72" t="s">
        <v>2836</v>
      </c>
      <c r="P279" s="76" t="s">
        <v>4</v>
      </c>
      <c r="Q279" s="76">
        <v>2</v>
      </c>
      <c r="R279" s="76" t="s">
        <v>816</v>
      </c>
      <c r="S279" s="76" t="s">
        <v>1</v>
      </c>
      <c r="T279" s="76" t="s">
        <v>1</v>
      </c>
      <c r="U279" s="76" t="s">
        <v>1</v>
      </c>
      <c r="V279" s="76" t="s">
        <v>1</v>
      </c>
      <c r="W279" s="76" t="s">
        <v>1</v>
      </c>
      <c r="X279" s="76" t="s">
        <v>1</v>
      </c>
      <c r="Y279" s="76" t="s">
        <v>1</v>
      </c>
      <c r="Z279" s="76" t="s">
        <v>1</v>
      </c>
      <c r="AA279" s="76" t="s">
        <v>1</v>
      </c>
      <c r="AB279" s="72" t="s">
        <v>2835</v>
      </c>
      <c r="AC279" s="72"/>
      <c r="AD279" s="72"/>
      <c r="AE279" s="25" t="s">
        <v>8995</v>
      </c>
      <c r="AF279" s="340" t="s">
        <v>7140</v>
      </c>
      <c r="AG279" s="340" t="s">
        <v>7140</v>
      </c>
      <c r="AH279" s="344">
        <v>2.2218000000000002E-2</v>
      </c>
      <c r="AI279" s="337">
        <v>0.25138888888888888</v>
      </c>
      <c r="AJ279" s="337"/>
      <c r="AK279" s="337"/>
      <c r="AL279" s="364"/>
    </row>
    <row r="280" spans="1:38" s="176" customFormat="1">
      <c r="A280" s="72"/>
      <c r="B280" s="72" t="s">
        <v>646</v>
      </c>
      <c r="C280" s="73" t="s">
        <v>1691</v>
      </c>
      <c r="D280" s="74">
        <v>50</v>
      </c>
      <c r="E280" s="72" t="s">
        <v>5</v>
      </c>
      <c r="F280" s="74">
        <v>13</v>
      </c>
      <c r="G280" s="74"/>
      <c r="H280" s="77">
        <v>44642</v>
      </c>
      <c r="I280" s="72" t="s">
        <v>2834</v>
      </c>
      <c r="J280" s="72" t="s">
        <v>2833</v>
      </c>
      <c r="K280" s="72" t="s">
        <v>2045</v>
      </c>
      <c r="L280" s="72" t="s">
        <v>2056</v>
      </c>
      <c r="M280" s="72">
        <v>2019</v>
      </c>
      <c r="N280" s="72"/>
      <c r="O280" s="72" t="s">
        <v>2832</v>
      </c>
      <c r="P280" s="76" t="s">
        <v>4</v>
      </c>
      <c r="Q280" s="76">
        <v>3.5</v>
      </c>
      <c r="R280" s="76" t="s">
        <v>2831</v>
      </c>
      <c r="S280" s="76" t="s">
        <v>278</v>
      </c>
      <c r="T280" s="76">
        <v>1</v>
      </c>
      <c r="U280" s="76" t="s">
        <v>2830</v>
      </c>
      <c r="V280" s="76" t="s">
        <v>1</v>
      </c>
      <c r="W280" s="76" t="s">
        <v>1</v>
      </c>
      <c r="X280" s="76" t="s">
        <v>1</v>
      </c>
      <c r="Y280" s="76" t="s">
        <v>1</v>
      </c>
      <c r="Z280" s="76" t="s">
        <v>1</v>
      </c>
      <c r="AA280" s="76" t="s">
        <v>1</v>
      </c>
      <c r="AB280" s="72" t="s">
        <v>2829</v>
      </c>
      <c r="AC280" s="72"/>
      <c r="AD280" s="72"/>
      <c r="AE280" s="25" t="s">
        <v>8996</v>
      </c>
      <c r="AF280" s="340" t="s">
        <v>7140</v>
      </c>
      <c r="AG280" s="340" t="s">
        <v>7140</v>
      </c>
      <c r="AH280" s="344">
        <v>0</v>
      </c>
      <c r="AI280" s="337">
        <v>6.5277777777777782E-2</v>
      </c>
      <c r="AJ280" s="337"/>
      <c r="AK280" s="337"/>
      <c r="AL280" s="364"/>
    </row>
    <row r="281" spans="1:38" s="176" customFormat="1">
      <c r="A281" s="72"/>
      <c r="B281" s="72" t="s">
        <v>651</v>
      </c>
      <c r="C281" s="73" t="s">
        <v>1691</v>
      </c>
      <c r="D281" s="74">
        <v>50</v>
      </c>
      <c r="E281" s="72" t="s">
        <v>4</v>
      </c>
      <c r="F281" s="74">
        <v>12.25</v>
      </c>
      <c r="G281" s="74"/>
      <c r="H281" s="77">
        <v>44622</v>
      </c>
      <c r="I281" s="72" t="s">
        <v>2828</v>
      </c>
      <c r="J281" s="72" t="s">
        <v>2827</v>
      </c>
      <c r="K281" s="72" t="s">
        <v>2045</v>
      </c>
      <c r="L281" s="72" t="s">
        <v>2056</v>
      </c>
      <c r="M281" s="72">
        <v>2019</v>
      </c>
      <c r="N281" s="72" t="s">
        <v>2826</v>
      </c>
      <c r="O281" s="72" t="s">
        <v>2825</v>
      </c>
      <c r="P281" s="76" t="s">
        <v>4</v>
      </c>
      <c r="Q281" s="76">
        <v>3.8</v>
      </c>
      <c r="R281" s="76" t="s">
        <v>1</v>
      </c>
      <c r="S281" s="76" t="s">
        <v>1</v>
      </c>
      <c r="T281" s="76" t="s">
        <v>1</v>
      </c>
      <c r="U281" s="76" t="s">
        <v>1</v>
      </c>
      <c r="V281" s="76" t="s">
        <v>1</v>
      </c>
      <c r="W281" s="76" t="s">
        <v>1</v>
      </c>
      <c r="X281" s="76" t="s">
        <v>1</v>
      </c>
      <c r="Y281" s="76" t="s">
        <v>1</v>
      </c>
      <c r="Z281" s="76" t="s">
        <v>1</v>
      </c>
      <c r="AA281" s="76" t="s">
        <v>1</v>
      </c>
      <c r="AB281" s="72" t="s">
        <v>2362</v>
      </c>
      <c r="AC281" s="72"/>
      <c r="AD281" s="72"/>
      <c r="AE281" s="25" t="s">
        <v>8997</v>
      </c>
      <c r="AF281" s="340" t="s">
        <v>7140</v>
      </c>
      <c r="AG281" s="340" t="s">
        <v>7140</v>
      </c>
      <c r="AH281" s="344">
        <v>0</v>
      </c>
      <c r="AI281" s="337">
        <v>3.125E-2</v>
      </c>
      <c r="AJ281" s="337"/>
      <c r="AK281" s="337"/>
      <c r="AL281" s="364"/>
    </row>
    <row r="282" spans="1:38" s="176" customFormat="1">
      <c r="A282" s="72"/>
      <c r="B282" s="72" t="s">
        <v>516</v>
      </c>
      <c r="C282" s="73" t="s">
        <v>1691</v>
      </c>
      <c r="D282" s="74">
        <v>50</v>
      </c>
      <c r="E282" s="72" t="s">
        <v>5</v>
      </c>
      <c r="F282" s="74">
        <v>12</v>
      </c>
      <c r="G282" s="74"/>
      <c r="H282" s="77">
        <v>44340</v>
      </c>
      <c r="I282" s="72" t="s">
        <v>2824</v>
      </c>
      <c r="J282" s="72" t="s">
        <v>2823</v>
      </c>
      <c r="K282" s="72" t="s">
        <v>2045</v>
      </c>
      <c r="L282" s="72" t="s">
        <v>2079</v>
      </c>
      <c r="M282" s="72">
        <v>2014</v>
      </c>
      <c r="N282" s="72"/>
      <c r="O282" s="72" t="s">
        <v>2822</v>
      </c>
      <c r="P282" s="76" t="s">
        <v>4</v>
      </c>
      <c r="Q282" s="76">
        <v>4</v>
      </c>
      <c r="R282" s="76" t="s">
        <v>2821</v>
      </c>
      <c r="S282" s="76" t="s">
        <v>4</v>
      </c>
      <c r="T282" s="76">
        <v>1.7</v>
      </c>
      <c r="U282" s="76" t="s">
        <v>2820</v>
      </c>
      <c r="V282" s="76" t="s">
        <v>4</v>
      </c>
      <c r="W282" s="76" t="s">
        <v>1</v>
      </c>
      <c r="X282" s="76" t="s">
        <v>2819</v>
      </c>
      <c r="Y282" s="76" t="s">
        <v>4</v>
      </c>
      <c r="Z282" s="76" t="s">
        <v>1</v>
      </c>
      <c r="AA282" s="76" t="s">
        <v>2818</v>
      </c>
      <c r="AB282" s="72" t="s">
        <v>2817</v>
      </c>
      <c r="AC282" s="72"/>
      <c r="AD282" s="72"/>
      <c r="AE282" s="25" t="s">
        <v>8998</v>
      </c>
      <c r="AF282" s="340" t="s">
        <v>7140</v>
      </c>
      <c r="AG282" s="340" t="s">
        <v>7140</v>
      </c>
      <c r="AH282" s="344">
        <v>0.53059000000000001</v>
      </c>
      <c r="AI282" s="337">
        <v>0.21180555555555555</v>
      </c>
      <c r="AJ282" s="337"/>
      <c r="AK282" s="337"/>
      <c r="AL282" s="364"/>
    </row>
    <row r="283" spans="1:38" s="176" customFormat="1">
      <c r="A283" s="72"/>
      <c r="B283" s="72" t="s">
        <v>649</v>
      </c>
      <c r="C283" s="73" t="s">
        <v>1691</v>
      </c>
      <c r="D283" s="74">
        <v>50</v>
      </c>
      <c r="E283" s="72" t="s">
        <v>5</v>
      </c>
      <c r="F283" s="74">
        <v>12</v>
      </c>
      <c r="G283" s="74"/>
      <c r="H283" s="77">
        <v>44677</v>
      </c>
      <c r="I283" s="72" t="s">
        <v>2816</v>
      </c>
      <c r="J283" s="72" t="s">
        <v>2815</v>
      </c>
      <c r="K283" s="72" t="s">
        <v>2045</v>
      </c>
      <c r="L283" s="72" t="s">
        <v>2056</v>
      </c>
      <c r="M283" s="72">
        <v>2019</v>
      </c>
      <c r="N283" s="72"/>
      <c r="O283" s="72" t="s">
        <v>2814</v>
      </c>
      <c r="P283" s="76" t="s">
        <v>4</v>
      </c>
      <c r="Q283" s="76">
        <v>8</v>
      </c>
      <c r="R283" s="72" t="s">
        <v>2813</v>
      </c>
      <c r="S283" s="76" t="s">
        <v>1</v>
      </c>
      <c r="T283" s="76" t="s">
        <v>1</v>
      </c>
      <c r="U283" s="76" t="s">
        <v>1</v>
      </c>
      <c r="V283" s="76" t="s">
        <v>1</v>
      </c>
      <c r="W283" s="76" t="s">
        <v>1</v>
      </c>
      <c r="X283" s="76" t="s">
        <v>1</v>
      </c>
      <c r="Y283" s="76" t="s">
        <v>1</v>
      </c>
      <c r="Z283" s="76" t="s">
        <v>1</v>
      </c>
      <c r="AA283" s="76" t="s">
        <v>1</v>
      </c>
      <c r="AB283" s="72" t="s">
        <v>2362</v>
      </c>
      <c r="AC283" s="72"/>
      <c r="AD283" s="72"/>
      <c r="AE283" s="25" t="s">
        <v>8999</v>
      </c>
      <c r="AF283" s="340" t="s">
        <v>7140</v>
      </c>
      <c r="AG283" s="340" t="s">
        <v>7140</v>
      </c>
      <c r="AH283" s="344">
        <v>9.0003E-2</v>
      </c>
      <c r="AI283" s="337">
        <v>0.12291666666666666</v>
      </c>
      <c r="AJ283" s="337"/>
      <c r="AK283" s="337"/>
      <c r="AL283" s="364"/>
    </row>
    <row r="284" spans="1:38" s="176" customFormat="1">
      <c r="A284" s="72"/>
      <c r="B284" s="72" t="s">
        <v>642</v>
      </c>
      <c r="C284" s="73" t="s">
        <v>1691</v>
      </c>
      <c r="D284" s="74">
        <v>50</v>
      </c>
      <c r="E284" s="72" t="s">
        <v>5</v>
      </c>
      <c r="F284" s="74">
        <v>12</v>
      </c>
      <c r="G284" s="74"/>
      <c r="H284" s="77">
        <v>44860</v>
      </c>
      <c r="I284" s="72" t="s">
        <v>2395</v>
      </c>
      <c r="J284" s="72" t="s">
        <v>2812</v>
      </c>
      <c r="K284" s="72" t="s">
        <v>2045</v>
      </c>
      <c r="L284" s="72" t="s">
        <v>2056</v>
      </c>
      <c r="M284" s="72">
        <v>2020</v>
      </c>
      <c r="N284" s="72" t="s">
        <v>2811</v>
      </c>
      <c r="O284" s="72" t="s">
        <v>2810</v>
      </c>
      <c r="P284" s="76" t="s">
        <v>4</v>
      </c>
      <c r="Q284" s="76">
        <v>2.8</v>
      </c>
      <c r="R284" s="76" t="s">
        <v>2809</v>
      </c>
      <c r="S284" s="76" t="s">
        <v>1</v>
      </c>
      <c r="T284" s="76" t="s">
        <v>1</v>
      </c>
      <c r="U284" s="76" t="s">
        <v>1</v>
      </c>
      <c r="V284" s="76" t="s">
        <v>1</v>
      </c>
      <c r="W284" s="76" t="s">
        <v>1</v>
      </c>
      <c r="X284" s="76" t="s">
        <v>1</v>
      </c>
      <c r="Y284" s="76" t="s">
        <v>1</v>
      </c>
      <c r="Z284" s="76" t="s">
        <v>1</v>
      </c>
      <c r="AA284" s="76" t="s">
        <v>1</v>
      </c>
      <c r="AB284" s="72" t="s">
        <v>2808</v>
      </c>
      <c r="AC284" s="72"/>
      <c r="AD284" s="72"/>
      <c r="AE284" s="25" t="s">
        <v>9000</v>
      </c>
      <c r="AF284" s="340" t="s">
        <v>7140</v>
      </c>
      <c r="AG284" s="340" t="s">
        <v>7140</v>
      </c>
      <c r="AH284" s="344">
        <v>1.0652999999999999E-2</v>
      </c>
      <c r="AI284" s="337">
        <v>2.2916666666666665E-2</v>
      </c>
      <c r="AJ284" s="337"/>
      <c r="AK284" s="337"/>
      <c r="AL284" s="364"/>
    </row>
    <row r="285" spans="1:38" s="176" customFormat="1">
      <c r="A285" s="72"/>
      <c r="B285" s="72" t="s">
        <v>652</v>
      </c>
      <c r="C285" s="73" t="s">
        <v>1691</v>
      </c>
      <c r="D285" s="74">
        <v>50</v>
      </c>
      <c r="E285" s="72" t="s">
        <v>5</v>
      </c>
      <c r="F285" s="74">
        <v>12</v>
      </c>
      <c r="G285" s="74"/>
      <c r="H285" s="77">
        <v>44971</v>
      </c>
      <c r="I285" s="72" t="s">
        <v>2807</v>
      </c>
      <c r="J285" s="72" t="s">
        <v>2806</v>
      </c>
      <c r="K285" s="72" t="s">
        <v>2045</v>
      </c>
      <c r="L285" s="72" t="s">
        <v>2056</v>
      </c>
      <c r="M285" s="72">
        <v>2022</v>
      </c>
      <c r="N285" s="72"/>
      <c r="O285" s="72" t="s">
        <v>2805</v>
      </c>
      <c r="P285" s="76" t="s">
        <v>4</v>
      </c>
      <c r="Q285" s="76">
        <v>5</v>
      </c>
      <c r="R285" s="76" t="s">
        <v>2804</v>
      </c>
      <c r="S285" s="76" t="s">
        <v>1</v>
      </c>
      <c r="T285" s="76" t="s">
        <v>1</v>
      </c>
      <c r="U285" s="76" t="s">
        <v>1</v>
      </c>
      <c r="V285" s="76" t="s">
        <v>1</v>
      </c>
      <c r="W285" s="76" t="s">
        <v>1</v>
      </c>
      <c r="X285" s="76" t="s">
        <v>1</v>
      </c>
      <c r="Y285" s="76" t="s">
        <v>1</v>
      </c>
      <c r="Z285" s="76" t="s">
        <v>1</v>
      </c>
      <c r="AA285" s="76" t="s">
        <v>1</v>
      </c>
      <c r="AB285" s="72" t="s">
        <v>2122</v>
      </c>
      <c r="AC285" s="72"/>
      <c r="AD285" s="72"/>
      <c r="AE285" s="25" t="s">
        <v>9001</v>
      </c>
      <c r="AF285" s="340" t="s">
        <v>7140</v>
      </c>
      <c r="AG285" s="340" t="s">
        <v>7140</v>
      </c>
      <c r="AH285" s="344">
        <v>2.4145E-2</v>
      </c>
      <c r="AI285" s="337">
        <v>0.15555555555555556</v>
      </c>
      <c r="AJ285" s="337"/>
      <c r="AK285" s="337"/>
      <c r="AL285" s="364"/>
    </row>
    <row r="286" spans="1:38" s="176" customFormat="1">
      <c r="B286" s="176" t="s">
        <v>719</v>
      </c>
      <c r="C286" s="184" t="s">
        <v>1691</v>
      </c>
      <c r="D286" s="178">
        <v>50</v>
      </c>
      <c r="E286" s="176" t="s">
        <v>5</v>
      </c>
      <c r="F286" s="178">
        <v>11</v>
      </c>
      <c r="G286" s="178"/>
      <c r="H286" s="185">
        <v>44483</v>
      </c>
      <c r="I286" s="176" t="s">
        <v>2803</v>
      </c>
      <c r="J286" s="176" t="s">
        <v>2802</v>
      </c>
      <c r="K286" s="176" t="s">
        <v>2045</v>
      </c>
      <c r="L286" s="176" t="s">
        <v>2123</v>
      </c>
      <c r="M286" s="176">
        <v>2020</v>
      </c>
      <c r="O286" s="176" t="s">
        <v>2801</v>
      </c>
      <c r="P286" s="179" t="s">
        <v>4</v>
      </c>
      <c r="Q286" s="179">
        <v>2.9</v>
      </c>
      <c r="R286" s="179" t="s">
        <v>2800</v>
      </c>
      <c r="S286" s="179" t="s">
        <v>278</v>
      </c>
      <c r="T286" s="179" t="s">
        <v>1</v>
      </c>
      <c r="U286" s="179" t="s">
        <v>2799</v>
      </c>
      <c r="V286" s="179" t="s">
        <v>1</v>
      </c>
      <c r="W286" s="179" t="s">
        <v>1</v>
      </c>
      <c r="X286" s="179" t="s">
        <v>1</v>
      </c>
      <c r="Y286" s="179" t="s">
        <v>1</v>
      </c>
      <c r="Z286" s="179" t="s">
        <v>1</v>
      </c>
      <c r="AA286" s="179" t="s">
        <v>1</v>
      </c>
      <c r="AB286" s="176" t="s">
        <v>2798</v>
      </c>
      <c r="AE286" s="25" t="s">
        <v>9002</v>
      </c>
      <c r="AF286" s="340" t="s">
        <v>7140</v>
      </c>
      <c r="AG286" s="340" t="s">
        <v>7140</v>
      </c>
      <c r="AH286" s="372">
        <v>2.714</v>
      </c>
      <c r="AI286" s="358">
        <v>0.1763888888888889</v>
      </c>
      <c r="AJ286" s="358"/>
      <c r="AK286" s="358"/>
      <c r="AL286" s="364"/>
    </row>
    <row r="287" spans="1:38" s="176" customFormat="1">
      <c r="B287" s="176" t="s">
        <v>6758</v>
      </c>
      <c r="C287" s="184" t="s">
        <v>1691</v>
      </c>
      <c r="D287" s="178">
        <v>50</v>
      </c>
      <c r="E287" s="176" t="s">
        <v>5</v>
      </c>
      <c r="F287" s="178">
        <v>11</v>
      </c>
      <c r="G287" s="178">
        <f>F287</f>
        <v>11</v>
      </c>
      <c r="H287" s="27">
        <v>43215</v>
      </c>
      <c r="I287" s="176" t="s">
        <v>6759</v>
      </c>
      <c r="J287" s="176" t="s">
        <v>6757</v>
      </c>
      <c r="K287" s="176" t="s">
        <v>2045</v>
      </c>
      <c r="L287" s="176" t="s">
        <v>2056</v>
      </c>
      <c r="M287" s="176">
        <v>2016</v>
      </c>
      <c r="O287" s="176" t="s">
        <v>6760</v>
      </c>
      <c r="P287" s="179" t="s">
        <v>1</v>
      </c>
      <c r="Q287" s="179" t="s">
        <v>1</v>
      </c>
      <c r="R287" s="179" t="s">
        <v>1</v>
      </c>
      <c r="S287" s="179" t="s">
        <v>1</v>
      </c>
      <c r="T287" s="179" t="s">
        <v>1</v>
      </c>
      <c r="U287" s="179" t="s">
        <v>1</v>
      </c>
      <c r="V287" s="179" t="s">
        <v>1</v>
      </c>
      <c r="W287" s="179" t="s">
        <v>1</v>
      </c>
      <c r="X287" s="179" t="s">
        <v>1</v>
      </c>
      <c r="Y287" s="179" t="s">
        <v>1</v>
      </c>
      <c r="Z287" s="179" t="s">
        <v>1</v>
      </c>
      <c r="AA287" s="179" t="s">
        <v>1</v>
      </c>
      <c r="AB287" s="176" t="s">
        <v>6755</v>
      </c>
      <c r="AC287" s="176" t="s">
        <v>2851</v>
      </c>
      <c r="AD287" s="176" t="s">
        <v>2851</v>
      </c>
      <c r="AE287" s="25" t="s">
        <v>6756</v>
      </c>
      <c r="AF287" s="340" t="s">
        <v>7140</v>
      </c>
      <c r="AG287" s="340" t="s">
        <v>7140</v>
      </c>
      <c r="AH287" s="344">
        <v>3.5320999999999998E-2</v>
      </c>
      <c r="AI287" s="358">
        <v>0.15486111111111112</v>
      </c>
      <c r="AJ287" s="358"/>
      <c r="AK287" s="358"/>
      <c r="AL287" s="364"/>
    </row>
    <row r="288" spans="1:38" s="176" customFormat="1">
      <c r="B288" s="176" t="s">
        <v>2797</v>
      </c>
      <c r="C288" s="184" t="s">
        <v>1691</v>
      </c>
      <c r="D288" s="178">
        <v>50</v>
      </c>
      <c r="E288" s="176" t="s">
        <v>5</v>
      </c>
      <c r="F288" s="178">
        <v>11</v>
      </c>
      <c r="G288" s="178"/>
      <c r="H288" s="185">
        <v>44959</v>
      </c>
      <c r="I288" s="176" t="s">
        <v>2796</v>
      </c>
      <c r="J288" s="176" t="s">
        <v>2795</v>
      </c>
      <c r="K288" s="176" t="s">
        <v>2045</v>
      </c>
      <c r="L288" s="176" t="s">
        <v>2123</v>
      </c>
      <c r="M288" s="176">
        <v>2020</v>
      </c>
      <c r="O288" s="176" t="s">
        <v>2794</v>
      </c>
      <c r="P288" s="179" t="s">
        <v>4</v>
      </c>
      <c r="Q288" s="179">
        <v>2.2000000000000002</v>
      </c>
      <c r="R288" s="179" t="s">
        <v>2793</v>
      </c>
      <c r="S288" s="179" t="s">
        <v>1</v>
      </c>
      <c r="T288" s="179" t="s">
        <v>1</v>
      </c>
      <c r="U288" s="179" t="s">
        <v>1</v>
      </c>
      <c r="V288" s="179" t="s">
        <v>1</v>
      </c>
      <c r="W288" s="179" t="s">
        <v>1</v>
      </c>
      <c r="X288" s="179" t="s">
        <v>1</v>
      </c>
      <c r="Y288" s="179" t="s">
        <v>1</v>
      </c>
      <c r="Z288" s="179" t="s">
        <v>1</v>
      </c>
      <c r="AA288" s="179" t="s">
        <v>1</v>
      </c>
      <c r="AB288" s="176" t="s">
        <v>2055</v>
      </c>
      <c r="AE288" s="25" t="s">
        <v>9003</v>
      </c>
      <c r="AF288" s="340" t="s">
        <v>7140</v>
      </c>
      <c r="AG288" s="340" t="s">
        <v>7140</v>
      </c>
      <c r="AH288" s="344">
        <v>6.8808999999999995E-2</v>
      </c>
      <c r="AI288" s="358">
        <v>5.9722222222222225E-2</v>
      </c>
      <c r="AJ288" s="358"/>
      <c r="AK288" s="358"/>
      <c r="AL288" s="364"/>
    </row>
    <row r="289" spans="2:38" s="12" customFormat="1">
      <c r="B289" s="12" t="s">
        <v>2792</v>
      </c>
      <c r="C289" s="29" t="s">
        <v>1691</v>
      </c>
      <c r="D289" s="15">
        <v>50</v>
      </c>
      <c r="E289" s="12" t="s">
        <v>5</v>
      </c>
      <c r="F289" s="15">
        <v>10.6</v>
      </c>
      <c r="G289" s="15"/>
      <c r="H289" s="14">
        <v>44819</v>
      </c>
      <c r="I289" s="12" t="s">
        <v>2791</v>
      </c>
      <c r="J289" s="12" t="s">
        <v>2790</v>
      </c>
      <c r="K289" s="12" t="s">
        <v>2045</v>
      </c>
      <c r="L289" s="12" t="s">
        <v>2302</v>
      </c>
      <c r="M289" s="12">
        <v>2019</v>
      </c>
      <c r="O289" s="12" t="s">
        <v>2789</v>
      </c>
      <c r="P289" s="24" t="s">
        <v>4</v>
      </c>
      <c r="Q289" s="24">
        <v>1.5</v>
      </c>
      <c r="R289" s="24" t="s">
        <v>2788</v>
      </c>
      <c r="S289" s="24" t="s">
        <v>278</v>
      </c>
      <c r="T289" s="24">
        <v>0.1</v>
      </c>
      <c r="U289" s="24" t="s">
        <v>639</v>
      </c>
      <c r="V289" s="24" t="s">
        <v>1</v>
      </c>
      <c r="W289" s="24" t="s">
        <v>1</v>
      </c>
      <c r="X289" s="24" t="s">
        <v>1</v>
      </c>
      <c r="Y289" s="24" t="s">
        <v>1</v>
      </c>
      <c r="Z289" s="24" t="s">
        <v>1</v>
      </c>
      <c r="AA289" s="24" t="s">
        <v>1</v>
      </c>
      <c r="AB289" s="12" t="s">
        <v>2048</v>
      </c>
      <c r="AE289" s="25" t="s">
        <v>9004</v>
      </c>
      <c r="AF289" s="340" t="s">
        <v>7140</v>
      </c>
      <c r="AG289" s="340" t="s">
        <v>7140</v>
      </c>
      <c r="AH289" s="372">
        <v>4.4817999999999997E-2</v>
      </c>
      <c r="AI289" s="360">
        <v>5.5555555555555552E-2</v>
      </c>
      <c r="AJ289" s="360"/>
      <c r="AK289" s="360"/>
      <c r="AL289" s="364"/>
    </row>
    <row r="290" spans="2:38" s="176" customFormat="1">
      <c r="B290" s="176" t="s">
        <v>635</v>
      </c>
      <c r="C290" s="184" t="s">
        <v>1691</v>
      </c>
      <c r="D290" s="178">
        <v>50</v>
      </c>
      <c r="E290" s="176" t="s">
        <v>4</v>
      </c>
      <c r="F290" s="178">
        <v>10.6</v>
      </c>
      <c r="G290" s="178"/>
      <c r="H290" s="185">
        <v>45007</v>
      </c>
      <c r="I290" s="176" t="s">
        <v>2787</v>
      </c>
      <c r="J290" s="176" t="s">
        <v>2786</v>
      </c>
      <c r="K290" s="176" t="s">
        <v>2045</v>
      </c>
      <c r="L290" s="176" t="s">
        <v>2237</v>
      </c>
      <c r="M290" s="176">
        <v>2022</v>
      </c>
      <c r="O290" s="176" t="s">
        <v>2785</v>
      </c>
      <c r="P290" s="179" t="s">
        <v>1</v>
      </c>
      <c r="Q290" s="179" t="s">
        <v>1</v>
      </c>
      <c r="R290" s="179" t="s">
        <v>1</v>
      </c>
      <c r="S290" s="179" t="s">
        <v>1</v>
      </c>
      <c r="T290" s="179" t="s">
        <v>1</v>
      </c>
      <c r="U290" s="179" t="s">
        <v>1</v>
      </c>
      <c r="V290" s="179" t="s">
        <v>1</v>
      </c>
      <c r="W290" s="179" t="s">
        <v>1</v>
      </c>
      <c r="X290" s="179" t="s">
        <v>1</v>
      </c>
      <c r="Y290" s="179" t="s">
        <v>1</v>
      </c>
      <c r="Z290" s="179" t="s">
        <v>1</v>
      </c>
      <c r="AA290" s="179" t="s">
        <v>1</v>
      </c>
      <c r="AB290" s="176" t="s">
        <v>2078</v>
      </c>
      <c r="AE290" s="25" t="s">
        <v>9075</v>
      </c>
      <c r="AF290" s="340" t="s">
        <v>7140</v>
      </c>
      <c r="AG290" s="340" t="s">
        <v>7140</v>
      </c>
      <c r="AH290" s="58"/>
      <c r="AL290" s="364"/>
    </row>
    <row r="291" spans="2:38" s="176" customFormat="1">
      <c r="B291" s="176" t="s">
        <v>632</v>
      </c>
      <c r="C291" s="184" t="s">
        <v>1691</v>
      </c>
      <c r="D291" s="178">
        <v>50</v>
      </c>
      <c r="E291" s="176" t="s">
        <v>4</v>
      </c>
      <c r="F291" s="178">
        <v>10.5</v>
      </c>
      <c r="G291" s="178"/>
      <c r="H291" s="185">
        <v>44984</v>
      </c>
      <c r="I291" s="176" t="s">
        <v>2095</v>
      </c>
      <c r="J291" s="176" t="s">
        <v>2784</v>
      </c>
      <c r="K291" s="176" t="s">
        <v>2045</v>
      </c>
      <c r="L291" s="176" t="s">
        <v>2456</v>
      </c>
      <c r="M291" s="176">
        <v>2019</v>
      </c>
      <c r="O291" s="176" t="s">
        <v>2783</v>
      </c>
      <c r="P291" s="179" t="s">
        <v>4</v>
      </c>
      <c r="Q291" s="179">
        <v>3</v>
      </c>
      <c r="R291" s="179" t="s">
        <v>2782</v>
      </c>
      <c r="S291" s="179" t="s">
        <v>4</v>
      </c>
      <c r="T291" s="179">
        <v>2</v>
      </c>
      <c r="U291" s="179" t="s">
        <v>2781</v>
      </c>
      <c r="V291" s="179" t="s">
        <v>278</v>
      </c>
      <c r="W291" s="179">
        <v>0.6</v>
      </c>
      <c r="X291" s="179" t="s">
        <v>1</v>
      </c>
      <c r="Y291" s="179" t="s">
        <v>1</v>
      </c>
      <c r="Z291" s="179" t="s">
        <v>1</v>
      </c>
      <c r="AA291" s="179" t="s">
        <v>1</v>
      </c>
      <c r="AB291" s="176" t="s">
        <v>2094</v>
      </c>
      <c r="AE291" s="25" t="s">
        <v>9076</v>
      </c>
      <c r="AF291" s="340" t="s">
        <v>7140</v>
      </c>
      <c r="AG291" s="340" t="s">
        <v>7140</v>
      </c>
      <c r="AH291" s="58"/>
      <c r="AL291" s="364"/>
    </row>
    <row r="292" spans="2:38">
      <c r="B292" s="72" t="s">
        <v>2013</v>
      </c>
      <c r="C292" s="237" t="s">
        <v>1691</v>
      </c>
      <c r="D292" s="72">
        <v>50</v>
      </c>
      <c r="E292" s="238" t="s">
        <v>4</v>
      </c>
      <c r="F292" s="72">
        <v>11</v>
      </c>
      <c r="G292" s="72">
        <f>F292</f>
        <v>11</v>
      </c>
      <c r="H292" s="78">
        <v>44686</v>
      </c>
      <c r="I292" s="238" t="s">
        <v>7390</v>
      </c>
      <c r="J292" s="238" t="s">
        <v>7387</v>
      </c>
      <c r="K292" s="238" t="s">
        <v>2045</v>
      </c>
      <c r="L292" s="238" t="s">
        <v>3257</v>
      </c>
      <c r="M292" s="72">
        <v>2020</v>
      </c>
      <c r="O292" s="238" t="s">
        <v>7391</v>
      </c>
      <c r="P292" s="238" t="s">
        <v>1</v>
      </c>
      <c r="Q292" s="238" t="s">
        <v>1</v>
      </c>
      <c r="R292" s="238" t="s">
        <v>1</v>
      </c>
      <c r="S292" s="238" t="s">
        <v>1</v>
      </c>
      <c r="T292" s="238" t="s">
        <v>1</v>
      </c>
      <c r="U292" s="238" t="s">
        <v>1</v>
      </c>
      <c r="V292" s="238" t="s">
        <v>1</v>
      </c>
      <c r="W292" s="238" t="s">
        <v>1</v>
      </c>
      <c r="X292" s="238" t="s">
        <v>1</v>
      </c>
      <c r="Y292" s="238" t="s">
        <v>1</v>
      </c>
      <c r="Z292" s="238" t="s">
        <v>1</v>
      </c>
      <c r="AA292" s="238" t="s">
        <v>1</v>
      </c>
      <c r="AB292" s="238" t="s">
        <v>6622</v>
      </c>
      <c r="AD292" s="238" t="s">
        <v>2145</v>
      </c>
      <c r="AE292" s="238" t="s">
        <v>7386</v>
      </c>
      <c r="AF292" s="340" t="s">
        <v>7140</v>
      </c>
      <c r="AG292" s="340" t="s">
        <v>7140</v>
      </c>
      <c r="AH292" s="72"/>
      <c r="AL292" s="364"/>
    </row>
    <row r="293" spans="2:38">
      <c r="B293" s="507" t="s">
        <v>15566</v>
      </c>
      <c r="C293" s="508" t="s">
        <v>1691</v>
      </c>
      <c r="D293" s="72"/>
      <c r="E293" s="238"/>
      <c r="F293" s="72"/>
      <c r="G293" s="72"/>
      <c r="H293" s="78"/>
      <c r="I293" s="507" t="s">
        <v>2854</v>
      </c>
      <c r="J293" s="238"/>
      <c r="K293" s="507" t="s">
        <v>2045</v>
      </c>
      <c r="L293" s="507" t="s">
        <v>2451</v>
      </c>
      <c r="O293" s="238"/>
      <c r="P293" s="238"/>
      <c r="Q293" s="238"/>
      <c r="R293" s="238"/>
      <c r="S293" s="238"/>
      <c r="T293" s="238"/>
      <c r="U293" s="238"/>
      <c r="V293" s="238"/>
      <c r="W293" s="238"/>
      <c r="X293" s="238"/>
      <c r="Y293" s="238"/>
      <c r="Z293" s="238"/>
      <c r="AA293" s="238"/>
      <c r="AB293" s="238"/>
      <c r="AD293" s="238"/>
      <c r="AE293" s="25" t="s">
        <v>15567</v>
      </c>
      <c r="AF293" s="340"/>
      <c r="AG293" s="340"/>
      <c r="AH293" s="72"/>
      <c r="AL293" s="364"/>
    </row>
    <row r="294" spans="2:38" s="176" customFormat="1">
      <c r="B294" s="176" t="s">
        <v>573</v>
      </c>
      <c r="C294" s="184" t="s">
        <v>1691</v>
      </c>
      <c r="D294" s="178">
        <v>50</v>
      </c>
      <c r="E294" s="176" t="s">
        <v>4</v>
      </c>
      <c r="F294" s="178">
        <v>10</v>
      </c>
      <c r="G294" s="178"/>
      <c r="H294" s="185">
        <v>44887</v>
      </c>
      <c r="I294" s="176" t="s">
        <v>2780</v>
      </c>
      <c r="J294" s="176" t="s">
        <v>2779</v>
      </c>
      <c r="K294" s="176" t="s">
        <v>2045</v>
      </c>
      <c r="L294" s="176" t="s">
        <v>2062</v>
      </c>
      <c r="M294" s="176">
        <v>2021</v>
      </c>
      <c r="O294" s="176" t="s">
        <v>2778</v>
      </c>
      <c r="P294" s="179" t="s">
        <v>1</v>
      </c>
      <c r="Q294" s="179" t="s">
        <v>1</v>
      </c>
      <c r="R294" s="179" t="s">
        <v>1</v>
      </c>
      <c r="S294" s="179" t="s">
        <v>1</v>
      </c>
      <c r="T294" s="179" t="s">
        <v>1</v>
      </c>
      <c r="U294" s="179" t="s">
        <v>1</v>
      </c>
      <c r="V294" s="179" t="s">
        <v>1</v>
      </c>
      <c r="W294" s="179" t="s">
        <v>1</v>
      </c>
      <c r="X294" s="179" t="s">
        <v>1</v>
      </c>
      <c r="Y294" s="179" t="s">
        <v>1</v>
      </c>
      <c r="Z294" s="179" t="s">
        <v>1</v>
      </c>
      <c r="AA294" s="179" t="s">
        <v>1</v>
      </c>
      <c r="AB294" s="176" t="s">
        <v>2055</v>
      </c>
      <c r="AF294" s="340" t="s">
        <v>7140</v>
      </c>
      <c r="AG294" s="340" t="s">
        <v>7140</v>
      </c>
      <c r="AH294" s="58"/>
      <c r="AL294" s="364"/>
    </row>
    <row r="295" spans="2:38" s="176" customFormat="1">
      <c r="B295" s="176" t="s">
        <v>771</v>
      </c>
      <c r="C295" s="184" t="s">
        <v>1691</v>
      </c>
      <c r="D295" s="178">
        <v>50</v>
      </c>
      <c r="E295" s="176" t="s">
        <v>4</v>
      </c>
      <c r="F295" s="178">
        <v>10</v>
      </c>
      <c r="G295" s="178"/>
      <c r="H295" s="185">
        <v>44858</v>
      </c>
      <c r="I295" s="176" t="s">
        <v>2777</v>
      </c>
      <c r="J295" s="176" t="s">
        <v>2776</v>
      </c>
      <c r="K295" s="176" t="s">
        <v>2308</v>
      </c>
      <c r="L295" s="176" t="s">
        <v>2775</v>
      </c>
      <c r="M295" s="176">
        <v>2021</v>
      </c>
      <c r="O295" s="176" t="s">
        <v>2774</v>
      </c>
      <c r="P295" s="179" t="s">
        <v>4</v>
      </c>
      <c r="Q295" s="179">
        <v>4.5999999999999996</v>
      </c>
      <c r="R295" s="179" t="s">
        <v>2773</v>
      </c>
      <c r="S295" s="179" t="s">
        <v>1</v>
      </c>
      <c r="T295" s="179" t="s">
        <v>1</v>
      </c>
      <c r="U295" s="179" t="s">
        <v>1</v>
      </c>
      <c r="V295" s="179" t="s">
        <v>1</v>
      </c>
      <c r="W295" s="179" t="s">
        <v>1</v>
      </c>
      <c r="X295" s="179" t="s">
        <v>1</v>
      </c>
      <c r="Y295" s="179" t="s">
        <v>1</v>
      </c>
      <c r="Z295" s="179" t="s">
        <v>1</v>
      </c>
      <c r="AA295" s="179" t="s">
        <v>1</v>
      </c>
      <c r="AB295" s="176" t="s">
        <v>2772</v>
      </c>
      <c r="AF295" s="340" t="s">
        <v>7140</v>
      </c>
      <c r="AG295" s="340" t="s">
        <v>7140</v>
      </c>
      <c r="AH295" s="58"/>
      <c r="AL295" s="364"/>
    </row>
    <row r="296" spans="2:38" s="238" customFormat="1">
      <c r="B296" s="238" t="s">
        <v>2007</v>
      </c>
      <c r="C296" s="237" t="s">
        <v>1691</v>
      </c>
      <c r="D296" s="238">
        <v>50</v>
      </c>
      <c r="E296" s="238" t="s">
        <v>5</v>
      </c>
      <c r="F296" s="238">
        <v>10</v>
      </c>
      <c r="G296" s="238">
        <v>10</v>
      </c>
      <c r="H296" s="155">
        <v>44307</v>
      </c>
      <c r="I296" s="238" t="s">
        <v>7567</v>
      </c>
      <c r="J296" s="238" t="s">
        <v>7566</v>
      </c>
      <c r="K296" s="238" t="s">
        <v>2045</v>
      </c>
      <c r="L296" s="238" t="s">
        <v>2265</v>
      </c>
      <c r="M296" s="158">
        <v>44105</v>
      </c>
      <c r="O296" s="238" t="s">
        <v>7568</v>
      </c>
      <c r="P296" s="238" t="s">
        <v>1</v>
      </c>
      <c r="Q296" s="238" t="s">
        <v>1</v>
      </c>
      <c r="R296" s="238" t="s">
        <v>1</v>
      </c>
      <c r="S296" s="238" t="s">
        <v>1</v>
      </c>
      <c r="T296" s="238" t="s">
        <v>1</v>
      </c>
      <c r="U296" s="238" t="s">
        <v>1</v>
      </c>
      <c r="V296" s="238" t="s">
        <v>1</v>
      </c>
      <c r="W296" s="238" t="s">
        <v>1</v>
      </c>
      <c r="X296" s="238" t="s">
        <v>1</v>
      </c>
      <c r="Y296" s="238" t="s">
        <v>1</v>
      </c>
      <c r="Z296" s="238" t="s">
        <v>1</v>
      </c>
      <c r="AA296" s="238" t="s">
        <v>1</v>
      </c>
      <c r="AB296" s="238" t="s">
        <v>6598</v>
      </c>
      <c r="AC296" s="238" t="s">
        <v>6601</v>
      </c>
      <c r="AD296" s="238" t="s">
        <v>2362</v>
      </c>
      <c r="AE296" s="251" t="s">
        <v>7565</v>
      </c>
      <c r="AF296" s="340" t="s">
        <v>7140</v>
      </c>
      <c r="AG296" s="340" t="s">
        <v>7140</v>
      </c>
      <c r="AL296" s="364"/>
    </row>
    <row r="297" spans="2:38" s="176" customFormat="1">
      <c r="B297" s="176" t="s">
        <v>408</v>
      </c>
      <c r="C297" s="184" t="s">
        <v>1691</v>
      </c>
      <c r="D297" s="178">
        <v>50</v>
      </c>
      <c r="E297" s="176" t="s">
        <v>5</v>
      </c>
      <c r="F297" s="178">
        <v>10</v>
      </c>
      <c r="G297" s="178"/>
      <c r="H297" s="185">
        <v>44740</v>
      </c>
      <c r="I297" s="176" t="s">
        <v>2771</v>
      </c>
      <c r="J297" s="176" t="s">
        <v>2770</v>
      </c>
      <c r="K297" s="176" t="s">
        <v>2045</v>
      </c>
      <c r="L297" s="176" t="s">
        <v>2393</v>
      </c>
      <c r="M297" s="176">
        <v>2016</v>
      </c>
      <c r="O297" s="176" t="s">
        <v>2769</v>
      </c>
      <c r="P297" s="179" t="s">
        <v>4</v>
      </c>
      <c r="Q297" s="179">
        <v>4</v>
      </c>
      <c r="R297" s="179" t="s">
        <v>2768</v>
      </c>
      <c r="S297" s="179" t="s">
        <v>1</v>
      </c>
      <c r="T297" s="179" t="s">
        <v>1</v>
      </c>
      <c r="U297" s="179" t="s">
        <v>1</v>
      </c>
      <c r="V297" s="179" t="s">
        <v>1</v>
      </c>
      <c r="W297" s="179" t="s">
        <v>1</v>
      </c>
      <c r="X297" s="179" t="s">
        <v>1</v>
      </c>
      <c r="Y297" s="179" t="s">
        <v>1</v>
      </c>
      <c r="Z297" s="179" t="s">
        <v>1</v>
      </c>
      <c r="AA297" s="179" t="s">
        <v>1</v>
      </c>
      <c r="AB297" s="176" t="s">
        <v>2085</v>
      </c>
      <c r="AF297" s="340" t="s">
        <v>7140</v>
      </c>
      <c r="AG297" s="340" t="s">
        <v>7140</v>
      </c>
      <c r="AH297" s="58"/>
      <c r="AL297" s="364"/>
    </row>
    <row r="298" spans="2:38" s="12" customFormat="1">
      <c r="B298" s="12" t="s">
        <v>2009</v>
      </c>
      <c r="C298" s="29" t="s">
        <v>1691</v>
      </c>
      <c r="D298" s="12">
        <v>50</v>
      </c>
      <c r="E298" s="12" t="s">
        <v>5</v>
      </c>
      <c r="F298" s="12">
        <v>10</v>
      </c>
      <c r="G298" s="12">
        <f>F298</f>
        <v>10</v>
      </c>
      <c r="H298" s="249">
        <v>44384</v>
      </c>
      <c r="I298" s="12" t="s">
        <v>2594</v>
      </c>
      <c r="J298" s="12" t="s">
        <v>7429</v>
      </c>
      <c r="K298" s="12" t="s">
        <v>2045</v>
      </c>
      <c r="L298" s="12" t="s">
        <v>3331</v>
      </c>
      <c r="M298" s="249">
        <v>43101</v>
      </c>
      <c r="O298" s="12" t="s">
        <v>7431</v>
      </c>
      <c r="P298" s="12" t="s">
        <v>1</v>
      </c>
      <c r="Q298" s="12" t="s">
        <v>1</v>
      </c>
      <c r="R298" s="12" t="s">
        <v>1</v>
      </c>
      <c r="S298" s="12" t="s">
        <v>1</v>
      </c>
      <c r="T298" s="12" t="s">
        <v>1</v>
      </c>
      <c r="U298" s="12" t="s">
        <v>1</v>
      </c>
      <c r="V298" s="12" t="s">
        <v>1</v>
      </c>
      <c r="W298" s="12" t="s">
        <v>1</v>
      </c>
      <c r="X298" s="12" t="s">
        <v>1</v>
      </c>
      <c r="Y298" s="12" t="s">
        <v>1</v>
      </c>
      <c r="Z298" s="12" t="s">
        <v>1</v>
      </c>
      <c r="AA298" s="12" t="s">
        <v>1</v>
      </c>
      <c r="AB298" s="12" t="s">
        <v>6598</v>
      </c>
      <c r="AC298" s="12" t="s">
        <v>6600</v>
      </c>
      <c r="AD298" s="12" t="s">
        <v>2900</v>
      </c>
      <c r="AE298" s="12" t="s">
        <v>7428</v>
      </c>
      <c r="AF298" s="340" t="s">
        <v>7140</v>
      </c>
      <c r="AG298" s="340" t="s">
        <v>7140</v>
      </c>
      <c r="AL298" s="364"/>
    </row>
    <row r="299" spans="2:38" s="176" customFormat="1">
      <c r="B299" s="176" t="s">
        <v>565</v>
      </c>
      <c r="C299" s="184" t="s">
        <v>1691</v>
      </c>
      <c r="D299" s="178">
        <v>50</v>
      </c>
      <c r="E299" s="176" t="s">
        <v>4</v>
      </c>
      <c r="F299" s="178">
        <v>9</v>
      </c>
      <c r="G299" s="178"/>
      <c r="H299" s="185">
        <v>44859</v>
      </c>
      <c r="I299" s="176" t="s">
        <v>2767</v>
      </c>
      <c r="J299" s="176" t="s">
        <v>2766</v>
      </c>
      <c r="K299" s="176" t="s">
        <v>2045</v>
      </c>
      <c r="L299" s="176" t="s">
        <v>2765</v>
      </c>
      <c r="M299" s="176">
        <v>2021</v>
      </c>
      <c r="N299" s="176" t="s">
        <v>2764</v>
      </c>
      <c r="O299" s="176" t="s">
        <v>2763</v>
      </c>
      <c r="P299" s="179" t="s">
        <v>1</v>
      </c>
      <c r="Q299" s="179" t="s">
        <v>1</v>
      </c>
      <c r="R299" s="179" t="s">
        <v>1</v>
      </c>
      <c r="S299" s="179" t="s">
        <v>1</v>
      </c>
      <c r="T299" s="179" t="s">
        <v>1</v>
      </c>
      <c r="U299" s="179" t="s">
        <v>1</v>
      </c>
      <c r="V299" s="179" t="s">
        <v>1</v>
      </c>
      <c r="W299" s="179" t="s">
        <v>1</v>
      </c>
      <c r="X299" s="179" t="s">
        <v>1</v>
      </c>
      <c r="Y299" s="179" t="s">
        <v>1</v>
      </c>
      <c r="Z299" s="179" t="s">
        <v>1</v>
      </c>
      <c r="AA299" s="179" t="s">
        <v>1</v>
      </c>
      <c r="AB299" s="176" t="s">
        <v>2078</v>
      </c>
      <c r="AF299" s="340" t="s">
        <v>7140</v>
      </c>
      <c r="AG299" s="340" t="s">
        <v>7140</v>
      </c>
      <c r="AH299" s="58"/>
      <c r="AL299" s="364"/>
    </row>
    <row r="300" spans="2:38">
      <c r="B300" s="72" t="s">
        <v>2010</v>
      </c>
      <c r="C300" s="237" t="s">
        <v>1691</v>
      </c>
      <c r="D300" s="72">
        <v>50</v>
      </c>
      <c r="E300" s="238" t="s">
        <v>5</v>
      </c>
      <c r="F300" s="72">
        <v>9</v>
      </c>
      <c r="G300" s="87">
        <f>F300+Q300</f>
        <v>11.5</v>
      </c>
      <c r="H300" s="78">
        <v>44540</v>
      </c>
      <c r="I300" s="238" t="s">
        <v>7416</v>
      </c>
      <c r="J300" s="238" t="s">
        <v>7418</v>
      </c>
      <c r="K300" s="238" t="s">
        <v>2045</v>
      </c>
      <c r="L300" s="238" t="s">
        <v>7416</v>
      </c>
      <c r="M300" s="72">
        <v>2016</v>
      </c>
      <c r="N300" s="238" t="s">
        <v>7420</v>
      </c>
      <c r="O300" s="238" t="s">
        <v>7419</v>
      </c>
      <c r="P300" s="238" t="s">
        <v>4</v>
      </c>
      <c r="Q300" s="72">
        <v>2.5</v>
      </c>
      <c r="R300" s="238" t="s">
        <v>7425</v>
      </c>
      <c r="S300" s="238" t="s">
        <v>1</v>
      </c>
      <c r="T300" s="238" t="s">
        <v>1</v>
      </c>
      <c r="U300" s="238" t="s">
        <v>1</v>
      </c>
      <c r="V300" s="238" t="s">
        <v>1</v>
      </c>
      <c r="W300" s="238" t="s">
        <v>1</v>
      </c>
      <c r="X300" s="238" t="s">
        <v>1</v>
      </c>
      <c r="Y300" s="238" t="s">
        <v>1</v>
      </c>
      <c r="Z300" s="238" t="s">
        <v>1</v>
      </c>
      <c r="AA300" s="238" t="s">
        <v>1</v>
      </c>
      <c r="AB300" s="238" t="s">
        <v>6598</v>
      </c>
      <c r="AC300" s="238" t="s">
        <v>6601</v>
      </c>
      <c r="AD300" s="238" t="s">
        <v>2654</v>
      </c>
      <c r="AE300" s="238" t="s">
        <v>7417</v>
      </c>
      <c r="AF300" s="340" t="s">
        <v>7140</v>
      </c>
      <c r="AG300" s="340" t="s">
        <v>7140</v>
      </c>
      <c r="AH300" s="72"/>
      <c r="AL300" s="364"/>
    </row>
    <row r="301" spans="2:38" s="176" customFormat="1">
      <c r="B301" s="176" t="s">
        <v>428</v>
      </c>
      <c r="C301" s="184" t="s">
        <v>1691</v>
      </c>
      <c r="D301" s="178">
        <v>50</v>
      </c>
      <c r="E301" s="176" t="s">
        <v>5</v>
      </c>
      <c r="F301" s="178">
        <v>8.5</v>
      </c>
      <c r="G301" s="178"/>
      <c r="H301" s="185">
        <v>44307</v>
      </c>
      <c r="I301" s="176" t="s">
        <v>2762</v>
      </c>
      <c r="J301" s="176" t="s">
        <v>2761</v>
      </c>
      <c r="K301" s="176" t="s">
        <v>2045</v>
      </c>
      <c r="L301" s="176" t="s">
        <v>2760</v>
      </c>
      <c r="M301" s="176">
        <v>2016</v>
      </c>
      <c r="O301" s="176" t="s">
        <v>2759</v>
      </c>
      <c r="P301" s="179" t="s">
        <v>4</v>
      </c>
      <c r="Q301" s="179">
        <v>4.4000000000000004</v>
      </c>
      <c r="R301" s="179" t="s">
        <v>1</v>
      </c>
      <c r="S301" s="179" t="s">
        <v>1</v>
      </c>
      <c r="T301" s="179" t="s">
        <v>1</v>
      </c>
      <c r="U301" s="179" t="s">
        <v>1</v>
      </c>
      <c r="V301" s="179" t="s">
        <v>1</v>
      </c>
      <c r="W301" s="179" t="s">
        <v>1</v>
      </c>
      <c r="X301" s="179" t="s">
        <v>1</v>
      </c>
      <c r="Y301" s="179" t="s">
        <v>1</v>
      </c>
      <c r="Z301" s="179" t="s">
        <v>1</v>
      </c>
      <c r="AA301" s="179" t="s">
        <v>1</v>
      </c>
      <c r="AB301" s="176" t="s">
        <v>2051</v>
      </c>
      <c r="AF301" s="340" t="s">
        <v>7140</v>
      </c>
      <c r="AG301" s="340" t="s">
        <v>7140</v>
      </c>
      <c r="AH301" s="58"/>
      <c r="AL301" s="364"/>
    </row>
    <row r="302" spans="2:38" s="176" customFormat="1">
      <c r="B302" s="176" t="s">
        <v>580</v>
      </c>
      <c r="C302" s="184" t="s">
        <v>1691</v>
      </c>
      <c r="D302" s="178">
        <v>50</v>
      </c>
      <c r="E302" s="176" t="s">
        <v>4</v>
      </c>
      <c r="F302" s="178">
        <v>8</v>
      </c>
      <c r="G302" s="178"/>
      <c r="H302" s="185">
        <v>44711</v>
      </c>
      <c r="I302" s="176" t="s">
        <v>2758</v>
      </c>
      <c r="J302" s="176" t="s">
        <v>2757</v>
      </c>
      <c r="K302" s="176" t="s">
        <v>2045</v>
      </c>
      <c r="L302" s="176" t="s">
        <v>2237</v>
      </c>
      <c r="M302" s="176">
        <v>2021</v>
      </c>
      <c r="N302" s="176" t="s">
        <v>2756</v>
      </c>
      <c r="O302" s="176" t="s">
        <v>2755</v>
      </c>
      <c r="P302" s="179" t="s">
        <v>1</v>
      </c>
      <c r="Q302" s="179" t="s">
        <v>1</v>
      </c>
      <c r="R302" s="179" t="s">
        <v>1</v>
      </c>
      <c r="S302" s="179" t="s">
        <v>1</v>
      </c>
      <c r="T302" s="179" t="s">
        <v>1</v>
      </c>
      <c r="U302" s="179" t="s">
        <v>1</v>
      </c>
      <c r="V302" s="179" t="s">
        <v>1</v>
      </c>
      <c r="W302" s="179" t="s">
        <v>1</v>
      </c>
      <c r="X302" s="179" t="s">
        <v>1</v>
      </c>
      <c r="Y302" s="179" t="s">
        <v>1</v>
      </c>
      <c r="Z302" s="179" t="s">
        <v>1</v>
      </c>
      <c r="AA302" s="179" t="s">
        <v>1</v>
      </c>
      <c r="AB302" s="176" t="s">
        <v>2078</v>
      </c>
      <c r="AF302" s="340" t="s">
        <v>7140</v>
      </c>
      <c r="AG302" s="340" t="s">
        <v>7140</v>
      </c>
      <c r="AH302" s="58"/>
      <c r="AL302" s="364"/>
    </row>
    <row r="303" spans="2:38" s="176" customFormat="1">
      <c r="B303" s="176" t="s">
        <v>2754</v>
      </c>
      <c r="C303" s="184" t="s">
        <v>1691</v>
      </c>
      <c r="D303" s="178">
        <v>50</v>
      </c>
      <c r="E303" s="176" t="s">
        <v>5</v>
      </c>
      <c r="F303" s="178">
        <v>8</v>
      </c>
      <c r="G303" s="178"/>
      <c r="H303" s="185">
        <v>45020</v>
      </c>
      <c r="I303" s="176" t="s">
        <v>2753</v>
      </c>
      <c r="K303" s="176" t="s">
        <v>2045</v>
      </c>
      <c r="L303" s="176" t="s">
        <v>2302</v>
      </c>
      <c r="M303" s="176">
        <v>2019</v>
      </c>
      <c r="O303" s="176" t="s">
        <v>2752</v>
      </c>
      <c r="P303" s="179" t="s">
        <v>1</v>
      </c>
      <c r="Q303" s="179" t="s">
        <v>1</v>
      </c>
      <c r="R303" s="179" t="s">
        <v>1</v>
      </c>
      <c r="S303" s="179" t="s">
        <v>1</v>
      </c>
      <c r="T303" s="179" t="s">
        <v>1</v>
      </c>
      <c r="U303" s="179" t="s">
        <v>1</v>
      </c>
      <c r="V303" s="179" t="s">
        <v>1</v>
      </c>
      <c r="W303" s="179" t="s">
        <v>1</v>
      </c>
      <c r="X303" s="179" t="s">
        <v>1</v>
      </c>
      <c r="Y303" s="179" t="s">
        <v>1</v>
      </c>
      <c r="Z303" s="179" t="s">
        <v>1</v>
      </c>
      <c r="AA303" s="179" t="s">
        <v>1</v>
      </c>
      <c r="AB303" s="176" t="s">
        <v>2751</v>
      </c>
      <c r="AF303" s="340" t="s">
        <v>7140</v>
      </c>
      <c r="AG303" s="340" t="s">
        <v>7140</v>
      </c>
      <c r="AH303" s="58"/>
      <c r="AL303" s="364"/>
    </row>
    <row r="304" spans="2:38" s="274" customFormat="1">
      <c r="B304" s="392" t="s">
        <v>9674</v>
      </c>
      <c r="C304" s="393" t="s">
        <v>1691</v>
      </c>
      <c r="D304" s="324">
        <v>50</v>
      </c>
      <c r="E304" s="392" t="s">
        <v>7</v>
      </c>
      <c r="F304" s="324">
        <v>6.5</v>
      </c>
      <c r="G304" s="324">
        <f>+F304+Q304+T304</f>
        <v>14</v>
      </c>
      <c r="H304" s="395">
        <v>45106</v>
      </c>
      <c r="I304" s="392" t="s">
        <v>9680</v>
      </c>
      <c r="J304" s="392" t="s">
        <v>9675</v>
      </c>
      <c r="K304" s="392" t="s">
        <v>2045</v>
      </c>
      <c r="L304" s="392" t="s">
        <v>2056</v>
      </c>
      <c r="M304" s="274">
        <v>2016</v>
      </c>
      <c r="O304" s="392" t="s">
        <v>9677</v>
      </c>
      <c r="P304" s="392" t="s">
        <v>5</v>
      </c>
      <c r="Q304" s="274">
        <v>6</v>
      </c>
      <c r="R304" s="392" t="s">
        <v>9679</v>
      </c>
      <c r="S304" s="392" t="s">
        <v>4</v>
      </c>
      <c r="T304" s="274">
        <v>1.5</v>
      </c>
      <c r="U304" s="392" t="s">
        <v>9681</v>
      </c>
      <c r="V304" s="392" t="s">
        <v>1</v>
      </c>
      <c r="W304" s="392" t="s">
        <v>1</v>
      </c>
      <c r="X304" s="392" t="s">
        <v>1</v>
      </c>
      <c r="Y304" s="392" t="s">
        <v>1</v>
      </c>
      <c r="Z304" s="392" t="s">
        <v>1</v>
      </c>
      <c r="AA304" s="392" t="s">
        <v>1</v>
      </c>
      <c r="AB304" s="392" t="s">
        <v>2595</v>
      </c>
      <c r="AC304" s="392" t="s">
        <v>2595</v>
      </c>
      <c r="AD304" s="392" t="s">
        <v>6641</v>
      </c>
      <c r="AE304" s="274" t="s">
        <v>9676</v>
      </c>
    </row>
    <row r="305" spans="2:38">
      <c r="B305" s="72" t="s">
        <v>2004</v>
      </c>
      <c r="C305" s="237" t="s">
        <v>1691</v>
      </c>
      <c r="D305" s="72">
        <v>50</v>
      </c>
      <c r="E305" s="238" t="s">
        <v>4</v>
      </c>
      <c r="F305" s="72">
        <v>7</v>
      </c>
      <c r="G305" s="72">
        <f>F305+Q305</f>
        <v>9</v>
      </c>
      <c r="H305" s="78">
        <v>44763</v>
      </c>
      <c r="I305" s="238" t="s">
        <v>7614</v>
      </c>
      <c r="J305" s="238" t="s">
        <v>7612</v>
      </c>
      <c r="K305" s="238" t="s">
        <v>2308</v>
      </c>
      <c r="L305" s="238" t="s">
        <v>7613</v>
      </c>
      <c r="M305" s="78">
        <v>43879</v>
      </c>
      <c r="N305" s="238" t="s">
        <v>7618</v>
      </c>
      <c r="O305" s="238" t="s">
        <v>7615</v>
      </c>
      <c r="P305" s="238" t="s">
        <v>278</v>
      </c>
      <c r="Q305" s="156">
        <v>2</v>
      </c>
      <c r="R305" s="238" t="s">
        <v>7619</v>
      </c>
      <c r="S305" s="238" t="s">
        <v>1</v>
      </c>
      <c r="T305" s="238" t="s">
        <v>1</v>
      </c>
      <c r="U305" s="238" t="s">
        <v>1</v>
      </c>
      <c r="V305" s="238" t="s">
        <v>1</v>
      </c>
      <c r="W305" s="238" t="s">
        <v>1</v>
      </c>
      <c r="X305" s="238" t="s">
        <v>1</v>
      </c>
      <c r="Y305" s="238" t="s">
        <v>1</v>
      </c>
      <c r="Z305" s="238" t="s">
        <v>1</v>
      </c>
      <c r="AA305" s="238" t="s">
        <v>1</v>
      </c>
      <c r="AB305" s="165" t="s">
        <v>6598</v>
      </c>
      <c r="AC305" s="238" t="s">
        <v>6606</v>
      </c>
      <c r="AD305" s="238" t="s">
        <v>7610</v>
      </c>
      <c r="AE305" s="25" t="s">
        <v>7611</v>
      </c>
      <c r="AF305" s="340" t="s">
        <v>7140</v>
      </c>
      <c r="AG305" s="340" t="s">
        <v>7140</v>
      </c>
      <c r="AH305" s="72"/>
      <c r="AL305" s="364"/>
    </row>
    <row r="306" spans="2:38">
      <c r="B306" s="72" t="s">
        <v>2006</v>
      </c>
      <c r="C306" s="237" t="s">
        <v>1691</v>
      </c>
      <c r="D306" s="72">
        <v>50</v>
      </c>
      <c r="E306" s="238" t="s">
        <v>4</v>
      </c>
      <c r="F306" s="252">
        <v>6.6</v>
      </c>
      <c r="G306" s="252">
        <f>F306+T306+W306</f>
        <v>9.3000000000000007</v>
      </c>
      <c r="H306" s="78">
        <v>44562</v>
      </c>
      <c r="I306" s="238" t="s">
        <v>7574</v>
      </c>
      <c r="J306" s="238" t="s">
        <v>7572</v>
      </c>
      <c r="K306" s="238" t="s">
        <v>2045</v>
      </c>
      <c r="L306" s="238" t="s">
        <v>7573</v>
      </c>
      <c r="M306" s="72">
        <v>2019</v>
      </c>
      <c r="N306" s="238" t="s">
        <v>7575</v>
      </c>
      <c r="O306" s="238" t="s">
        <v>7576</v>
      </c>
      <c r="P306" s="238" t="s">
        <v>4</v>
      </c>
      <c r="Q306" s="238" t="s">
        <v>1</v>
      </c>
      <c r="R306" s="238" t="s">
        <v>7577</v>
      </c>
      <c r="S306" s="238" t="s">
        <v>4</v>
      </c>
      <c r="T306" s="72">
        <v>2.2000000000000002</v>
      </c>
      <c r="U306" s="238" t="s">
        <v>7578</v>
      </c>
      <c r="V306" s="238" t="s">
        <v>7410</v>
      </c>
      <c r="W306" s="72">
        <v>0.5</v>
      </c>
      <c r="X306" s="238" t="s">
        <v>2696</v>
      </c>
      <c r="Y306" s="238" t="s">
        <v>1</v>
      </c>
      <c r="Z306" s="238" t="s">
        <v>1</v>
      </c>
      <c r="AA306" s="238" t="s">
        <v>1</v>
      </c>
      <c r="AB306" s="165" t="s">
        <v>6598</v>
      </c>
      <c r="AC306" s="165" t="s">
        <v>6601</v>
      </c>
      <c r="AD306" s="165" t="s">
        <v>2362</v>
      </c>
      <c r="AE306" s="25" t="s">
        <v>7571</v>
      </c>
      <c r="AF306" s="340" t="s">
        <v>7140</v>
      </c>
      <c r="AG306" s="340" t="s">
        <v>7140</v>
      </c>
      <c r="AH306" s="72"/>
      <c r="AL306" s="364"/>
    </row>
    <row r="307" spans="2:38" s="176" customFormat="1">
      <c r="B307" s="176" t="s">
        <v>593</v>
      </c>
      <c r="C307" s="184" t="s">
        <v>1691</v>
      </c>
      <c r="D307" s="178">
        <v>50</v>
      </c>
      <c r="E307" s="176" t="s">
        <v>4</v>
      </c>
      <c r="F307" s="178">
        <v>6.8</v>
      </c>
      <c r="G307" s="178"/>
      <c r="H307" s="185">
        <v>44964</v>
      </c>
      <c r="I307" s="176" t="s">
        <v>2750</v>
      </c>
      <c r="J307" s="176" t="s">
        <v>2749</v>
      </c>
      <c r="K307" s="176" t="s">
        <v>2045</v>
      </c>
      <c r="L307" s="176" t="s">
        <v>2748</v>
      </c>
      <c r="M307" s="176">
        <v>2021</v>
      </c>
      <c r="O307" s="176" t="s">
        <v>2747</v>
      </c>
      <c r="P307" s="179" t="s">
        <v>4</v>
      </c>
      <c r="Q307" s="179">
        <v>1.6</v>
      </c>
      <c r="R307" s="179" t="s">
        <v>2746</v>
      </c>
      <c r="S307" s="179" t="s">
        <v>1</v>
      </c>
      <c r="T307" s="179" t="s">
        <v>1</v>
      </c>
      <c r="U307" s="179" t="s">
        <v>1</v>
      </c>
      <c r="V307" s="179" t="s">
        <v>1</v>
      </c>
      <c r="W307" s="179" t="s">
        <v>1</v>
      </c>
      <c r="X307" s="179" t="s">
        <v>1</v>
      </c>
      <c r="Y307" s="179" t="s">
        <v>1</v>
      </c>
      <c r="Z307" s="179" t="s">
        <v>1</v>
      </c>
      <c r="AA307" s="179" t="s">
        <v>1</v>
      </c>
      <c r="AB307" s="176" t="s">
        <v>2745</v>
      </c>
      <c r="AF307" s="340" t="s">
        <v>7140</v>
      </c>
      <c r="AG307" s="340" t="s">
        <v>7140</v>
      </c>
      <c r="AH307" s="58"/>
      <c r="AL307" s="364"/>
    </row>
    <row r="308" spans="2:38" s="176" customFormat="1">
      <c r="B308" s="176" t="s">
        <v>439</v>
      </c>
      <c r="C308" s="184" t="s">
        <v>1691</v>
      </c>
      <c r="D308" s="178">
        <v>50</v>
      </c>
      <c r="E308" s="176" t="s">
        <v>4</v>
      </c>
      <c r="F308" s="178">
        <v>7</v>
      </c>
      <c r="G308" s="178"/>
      <c r="H308" s="185">
        <v>44602</v>
      </c>
      <c r="I308" s="176" t="s">
        <v>2744</v>
      </c>
      <c r="J308" s="176" t="s">
        <v>2743</v>
      </c>
      <c r="K308" s="176" t="s">
        <v>2045</v>
      </c>
      <c r="L308" s="176" t="s">
        <v>2319</v>
      </c>
      <c r="M308" s="176">
        <v>2019</v>
      </c>
      <c r="O308" s="176" t="s">
        <v>2742</v>
      </c>
      <c r="P308" s="179" t="s">
        <v>278</v>
      </c>
      <c r="Q308" s="179">
        <v>1.1000000000000001</v>
      </c>
      <c r="R308" s="179" t="s">
        <v>440</v>
      </c>
      <c r="S308" s="179" t="s">
        <v>1</v>
      </c>
      <c r="T308" s="179" t="s">
        <v>1</v>
      </c>
      <c r="U308" s="179" t="s">
        <v>1</v>
      </c>
      <c r="V308" s="179" t="s">
        <v>1</v>
      </c>
      <c r="W308" s="179" t="s">
        <v>1</v>
      </c>
      <c r="X308" s="179" t="s">
        <v>1</v>
      </c>
      <c r="Y308" s="179" t="s">
        <v>1</v>
      </c>
      <c r="Z308" s="179" t="s">
        <v>1</v>
      </c>
      <c r="AA308" s="179" t="s">
        <v>1</v>
      </c>
      <c r="AB308" s="176" t="s">
        <v>2152</v>
      </c>
      <c r="AF308" s="340" t="s">
        <v>7140</v>
      </c>
      <c r="AG308" s="340" t="s">
        <v>7140</v>
      </c>
      <c r="AH308" s="58"/>
      <c r="AL308" s="364"/>
    </row>
    <row r="309" spans="2:38" s="176" customFormat="1">
      <c r="B309" s="176" t="s">
        <v>829</v>
      </c>
      <c r="C309" s="184" t="s">
        <v>1691</v>
      </c>
      <c r="D309" s="178">
        <v>50</v>
      </c>
      <c r="E309" s="176" t="s">
        <v>4</v>
      </c>
      <c r="F309" s="178">
        <v>4.5</v>
      </c>
      <c r="G309" s="178"/>
      <c r="H309" s="185">
        <v>45056</v>
      </c>
      <c r="I309" s="176" t="s">
        <v>2741</v>
      </c>
      <c r="J309" s="176" t="s">
        <v>2740</v>
      </c>
      <c r="K309" s="176" t="s">
        <v>2045</v>
      </c>
      <c r="L309" s="176" t="s">
        <v>2739</v>
      </c>
      <c r="M309" s="176">
        <v>2022</v>
      </c>
      <c r="O309" s="176" t="s">
        <v>2738</v>
      </c>
      <c r="P309" s="179" t="s">
        <v>1</v>
      </c>
      <c r="Q309" s="179" t="s">
        <v>1</v>
      </c>
      <c r="R309" s="179" t="s">
        <v>1</v>
      </c>
      <c r="S309" s="179" t="s">
        <v>1</v>
      </c>
      <c r="T309" s="179" t="s">
        <v>1</v>
      </c>
      <c r="U309" s="179" t="s">
        <v>1</v>
      </c>
      <c r="V309" s="179" t="s">
        <v>1</v>
      </c>
      <c r="W309" s="179" t="s">
        <v>1</v>
      </c>
      <c r="X309" s="179" t="s">
        <v>1</v>
      </c>
      <c r="Y309" s="179" t="s">
        <v>1</v>
      </c>
      <c r="Z309" s="179" t="s">
        <v>1</v>
      </c>
      <c r="AA309" s="179" t="s">
        <v>1</v>
      </c>
      <c r="AB309" s="176" t="s">
        <v>2043</v>
      </c>
      <c r="AF309" s="340" t="s">
        <v>7140</v>
      </c>
      <c r="AG309" s="340" t="s">
        <v>7140</v>
      </c>
      <c r="AH309" s="58"/>
      <c r="AL309" s="364"/>
    </row>
    <row r="310" spans="2:38" s="176" customFormat="1">
      <c r="B310" s="176" t="s">
        <v>709</v>
      </c>
      <c r="C310" s="184" t="s">
        <v>1691</v>
      </c>
      <c r="D310" s="178">
        <v>50</v>
      </c>
      <c r="E310" s="176" t="s">
        <v>4</v>
      </c>
      <c r="F310" s="178">
        <v>5.5</v>
      </c>
      <c r="G310" s="178"/>
      <c r="H310" s="185">
        <v>45092</v>
      </c>
      <c r="I310" s="176" t="s">
        <v>2737</v>
      </c>
      <c r="K310" s="176" t="s">
        <v>2045</v>
      </c>
      <c r="L310" s="176" t="s">
        <v>2056</v>
      </c>
      <c r="M310" s="191">
        <v>44176</v>
      </c>
      <c r="O310" s="176" t="s">
        <v>2736</v>
      </c>
      <c r="P310" s="179" t="s">
        <v>278</v>
      </c>
      <c r="Q310" s="179">
        <v>0.125</v>
      </c>
      <c r="R310" s="179" t="s">
        <v>2696</v>
      </c>
      <c r="S310" s="179" t="s">
        <v>1</v>
      </c>
      <c r="T310" s="179" t="s">
        <v>1</v>
      </c>
      <c r="U310" s="179" t="s">
        <v>1</v>
      </c>
      <c r="V310" s="179" t="s">
        <v>1</v>
      </c>
      <c r="W310" s="179" t="s">
        <v>1</v>
      </c>
      <c r="X310" s="179" t="s">
        <v>1</v>
      </c>
      <c r="Y310" s="179" t="s">
        <v>1</v>
      </c>
      <c r="Z310" s="179" t="s">
        <v>1</v>
      </c>
      <c r="AA310" s="179" t="s">
        <v>1</v>
      </c>
      <c r="AB310" s="176" t="s">
        <v>2362</v>
      </c>
      <c r="AF310" s="340" t="s">
        <v>7140</v>
      </c>
      <c r="AG310" s="340" t="s">
        <v>7140</v>
      </c>
      <c r="AH310" s="58"/>
      <c r="AL310" s="364"/>
    </row>
    <row r="311" spans="2:38" s="176" customFormat="1">
      <c r="B311" s="176" t="s">
        <v>562</v>
      </c>
      <c r="C311" s="184" t="s">
        <v>1691</v>
      </c>
      <c r="D311" s="178">
        <v>50</v>
      </c>
      <c r="E311" s="176" t="s">
        <v>4</v>
      </c>
      <c r="F311" s="178">
        <v>5.6</v>
      </c>
      <c r="G311" s="178"/>
      <c r="H311" s="185">
        <v>45048</v>
      </c>
      <c r="I311" s="176" t="s">
        <v>2735</v>
      </c>
      <c r="J311" s="176" t="s">
        <v>2734</v>
      </c>
      <c r="K311" s="176" t="s">
        <v>2045</v>
      </c>
      <c r="L311" s="176" t="s">
        <v>2733</v>
      </c>
      <c r="M311" s="176">
        <v>2022</v>
      </c>
      <c r="N311" s="176" t="s">
        <v>2732</v>
      </c>
      <c r="O311" s="176" t="s">
        <v>2731</v>
      </c>
      <c r="P311" s="179" t="s">
        <v>1</v>
      </c>
      <c r="Q311" s="179" t="s">
        <v>1</v>
      </c>
      <c r="R311" s="179" t="s">
        <v>1</v>
      </c>
      <c r="S311" s="179" t="s">
        <v>1</v>
      </c>
      <c r="T311" s="179" t="s">
        <v>1</v>
      </c>
      <c r="U311" s="179" t="s">
        <v>1</v>
      </c>
      <c r="V311" s="179" t="s">
        <v>1</v>
      </c>
      <c r="W311" s="179" t="s">
        <v>1</v>
      </c>
      <c r="X311" s="179" t="s">
        <v>1</v>
      </c>
      <c r="Y311" s="179" t="s">
        <v>1</v>
      </c>
      <c r="Z311" s="179" t="s">
        <v>1</v>
      </c>
      <c r="AA311" s="179" t="s">
        <v>1</v>
      </c>
      <c r="AB311" s="176" t="s">
        <v>2048</v>
      </c>
      <c r="AF311" s="340" t="s">
        <v>7140</v>
      </c>
      <c r="AG311" s="340" t="s">
        <v>7140</v>
      </c>
      <c r="AH311" s="58"/>
      <c r="AL311" s="364"/>
    </row>
    <row r="312" spans="2:38" s="176" customFormat="1">
      <c r="B312" s="176" t="s">
        <v>591</v>
      </c>
      <c r="C312" s="184" t="s">
        <v>1691</v>
      </c>
      <c r="D312" s="178">
        <v>50</v>
      </c>
      <c r="E312" s="176" t="s">
        <v>4</v>
      </c>
      <c r="F312" s="178">
        <v>6</v>
      </c>
      <c r="G312" s="178"/>
      <c r="H312" s="185">
        <v>44852</v>
      </c>
      <c r="I312" s="176" t="s">
        <v>2730</v>
      </c>
      <c r="J312" s="176" t="s">
        <v>2729</v>
      </c>
      <c r="K312" s="176" t="s">
        <v>2045</v>
      </c>
      <c r="L312" s="176" t="s">
        <v>2728</v>
      </c>
      <c r="M312" s="176">
        <v>2022</v>
      </c>
      <c r="O312" s="176" t="s">
        <v>2727</v>
      </c>
      <c r="P312" s="179" t="s">
        <v>1</v>
      </c>
      <c r="Q312" s="179" t="s">
        <v>1</v>
      </c>
      <c r="R312" s="179" t="s">
        <v>1</v>
      </c>
      <c r="S312" s="179" t="s">
        <v>1</v>
      </c>
      <c r="T312" s="179" t="s">
        <v>1</v>
      </c>
      <c r="U312" s="179" t="s">
        <v>1</v>
      </c>
      <c r="V312" s="179" t="s">
        <v>1</v>
      </c>
      <c r="W312" s="179" t="s">
        <v>1</v>
      </c>
      <c r="X312" s="179" t="s">
        <v>1</v>
      </c>
      <c r="Y312" s="179" t="s">
        <v>1</v>
      </c>
      <c r="Z312" s="179" t="s">
        <v>1</v>
      </c>
      <c r="AA312" s="179" t="s">
        <v>1</v>
      </c>
      <c r="AB312" s="176" t="s">
        <v>2152</v>
      </c>
      <c r="AF312" s="340" t="s">
        <v>7140</v>
      </c>
      <c r="AG312" s="340" t="s">
        <v>7140</v>
      </c>
      <c r="AH312" s="58"/>
      <c r="AL312" s="364"/>
    </row>
    <row r="313" spans="2:38" s="176" customFormat="1">
      <c r="B313" s="176" t="s">
        <v>469</v>
      </c>
      <c r="C313" s="184" t="s">
        <v>1691</v>
      </c>
      <c r="D313" s="178">
        <v>50</v>
      </c>
      <c r="E313" s="176" t="s">
        <v>4</v>
      </c>
      <c r="F313" s="178">
        <v>6</v>
      </c>
      <c r="G313" s="178"/>
      <c r="H313" s="185">
        <v>45104</v>
      </c>
      <c r="I313" s="176" t="s">
        <v>2726</v>
      </c>
      <c r="K313" s="176" t="s">
        <v>2045</v>
      </c>
      <c r="L313" s="176" t="s">
        <v>2725</v>
      </c>
      <c r="M313" s="176">
        <v>2023</v>
      </c>
      <c r="N313" s="176" t="s">
        <v>1900</v>
      </c>
      <c r="O313" s="176" t="s">
        <v>2724</v>
      </c>
      <c r="P313" s="179" t="s">
        <v>1</v>
      </c>
      <c r="Q313" s="179" t="s">
        <v>1</v>
      </c>
      <c r="R313" s="179" t="s">
        <v>1</v>
      </c>
      <c r="S313" s="179" t="s">
        <v>1</v>
      </c>
      <c r="T313" s="179" t="s">
        <v>1</v>
      </c>
      <c r="U313" s="179" t="s">
        <v>1</v>
      </c>
      <c r="V313" s="179" t="s">
        <v>1</v>
      </c>
      <c r="W313" s="179" t="s">
        <v>1</v>
      </c>
      <c r="X313" s="179" t="s">
        <v>1</v>
      </c>
      <c r="Y313" s="179" t="s">
        <v>1</v>
      </c>
      <c r="Z313" s="179" t="s">
        <v>1</v>
      </c>
      <c r="AA313" s="179" t="s">
        <v>1</v>
      </c>
      <c r="AB313" s="176" t="s">
        <v>2145</v>
      </c>
      <c r="AF313" s="340" t="s">
        <v>7140</v>
      </c>
      <c r="AG313" s="340" t="s">
        <v>7140</v>
      </c>
      <c r="AH313" s="58"/>
      <c r="AL313" s="364"/>
    </row>
    <row r="314" spans="2:38" s="176" customFormat="1">
      <c r="B314" s="176" t="s">
        <v>596</v>
      </c>
      <c r="C314" s="184" t="s">
        <v>1691</v>
      </c>
      <c r="D314" s="178">
        <v>50</v>
      </c>
      <c r="E314" s="176" t="s">
        <v>4</v>
      </c>
      <c r="F314" s="178">
        <v>6</v>
      </c>
      <c r="G314" s="178"/>
      <c r="H314" s="185">
        <v>44781</v>
      </c>
      <c r="I314" s="176" t="s">
        <v>2723</v>
      </c>
      <c r="J314" s="176" t="s">
        <v>2722</v>
      </c>
      <c r="K314" s="176" t="s">
        <v>2045</v>
      </c>
      <c r="L314" s="176" t="s">
        <v>2721</v>
      </c>
      <c r="M314" s="176">
        <v>2021</v>
      </c>
      <c r="O314" s="176" t="s">
        <v>2720</v>
      </c>
      <c r="P314" s="179" t="s">
        <v>278</v>
      </c>
      <c r="Q314" s="179">
        <v>1</v>
      </c>
      <c r="R314" s="179" t="s">
        <v>2719</v>
      </c>
      <c r="S314" s="179" t="s">
        <v>1</v>
      </c>
      <c r="T314" s="179" t="s">
        <v>1</v>
      </c>
      <c r="U314" s="179" t="s">
        <v>1</v>
      </c>
      <c r="V314" s="179" t="s">
        <v>1</v>
      </c>
      <c r="W314" s="179" t="s">
        <v>1</v>
      </c>
      <c r="X314" s="179" t="s">
        <v>1</v>
      </c>
      <c r="Y314" s="179" t="s">
        <v>1</v>
      </c>
      <c r="Z314" s="179" t="s">
        <v>1</v>
      </c>
      <c r="AA314" s="179" t="s">
        <v>1</v>
      </c>
      <c r="AB314" s="176" t="s">
        <v>2122</v>
      </c>
      <c r="AF314" s="340" t="s">
        <v>7140</v>
      </c>
      <c r="AG314" s="340" t="s">
        <v>7140</v>
      </c>
      <c r="AH314" s="58"/>
      <c r="AL314" s="364"/>
    </row>
    <row r="315" spans="2:38" s="176" customFormat="1">
      <c r="B315" s="176" t="s">
        <v>541</v>
      </c>
      <c r="C315" s="184" t="s">
        <v>1691</v>
      </c>
      <c r="D315" s="178">
        <v>50</v>
      </c>
      <c r="E315" s="176" t="s">
        <v>5</v>
      </c>
      <c r="F315" s="178">
        <v>5</v>
      </c>
      <c r="G315" s="178"/>
      <c r="H315" s="185">
        <v>44514</v>
      </c>
      <c r="I315" s="176" t="s">
        <v>2718</v>
      </c>
      <c r="J315" s="176" t="s">
        <v>2717</v>
      </c>
      <c r="K315" s="176" t="s">
        <v>2045</v>
      </c>
      <c r="L315" s="176" t="s">
        <v>2142</v>
      </c>
      <c r="M315" s="176">
        <v>2018</v>
      </c>
      <c r="O315" s="176" t="s">
        <v>2716</v>
      </c>
      <c r="P315" s="179" t="s">
        <v>4</v>
      </c>
      <c r="Q315" s="179" t="s">
        <v>1</v>
      </c>
      <c r="R315" s="179" t="s">
        <v>2715</v>
      </c>
      <c r="S315" s="179" t="s">
        <v>1</v>
      </c>
      <c r="T315" s="179" t="s">
        <v>1</v>
      </c>
      <c r="U315" s="179" t="s">
        <v>1</v>
      </c>
      <c r="V315" s="179" t="s">
        <v>1</v>
      </c>
      <c r="W315" s="179" t="s">
        <v>1</v>
      </c>
      <c r="X315" s="179" t="s">
        <v>1</v>
      </c>
      <c r="Y315" s="179" t="s">
        <v>1</v>
      </c>
      <c r="Z315" s="179" t="s">
        <v>1</v>
      </c>
      <c r="AA315" s="179" t="s">
        <v>1</v>
      </c>
      <c r="AB315" s="176" t="s">
        <v>2094</v>
      </c>
      <c r="AF315" s="340" t="s">
        <v>7140</v>
      </c>
      <c r="AG315" s="340" t="s">
        <v>7140</v>
      </c>
      <c r="AH315" s="58"/>
      <c r="AL315" s="364"/>
    </row>
    <row r="316" spans="2:38" s="176" customFormat="1">
      <c r="B316" s="176" t="s">
        <v>2714</v>
      </c>
      <c r="C316" s="184" t="s">
        <v>1691</v>
      </c>
      <c r="D316" s="178">
        <v>50</v>
      </c>
      <c r="E316" s="176" t="s">
        <v>7</v>
      </c>
      <c r="F316" s="178">
        <v>5</v>
      </c>
      <c r="G316" s="178"/>
      <c r="H316" s="177" t="s">
        <v>1</v>
      </c>
      <c r="I316" s="176" t="s">
        <v>2713</v>
      </c>
      <c r="K316" s="176" t="s">
        <v>2045</v>
      </c>
      <c r="L316" s="176" t="s">
        <v>2302</v>
      </c>
      <c r="M316" s="191">
        <v>40483</v>
      </c>
      <c r="O316" s="176" t="s">
        <v>7</v>
      </c>
      <c r="P316" s="179" t="s">
        <v>1</v>
      </c>
      <c r="Q316" s="179" t="s">
        <v>1</v>
      </c>
      <c r="R316" s="179" t="s">
        <v>5</v>
      </c>
      <c r="S316" s="179" t="s">
        <v>1</v>
      </c>
      <c r="T316" s="179" t="s">
        <v>1</v>
      </c>
      <c r="U316" s="179" t="s">
        <v>1</v>
      </c>
      <c r="V316" s="179" t="s">
        <v>1</v>
      </c>
      <c r="W316" s="179" t="s">
        <v>1</v>
      </c>
      <c r="X316" s="179" t="s">
        <v>1</v>
      </c>
      <c r="Y316" s="179" t="s">
        <v>1</v>
      </c>
      <c r="Z316" s="179" t="s">
        <v>1</v>
      </c>
      <c r="AA316" s="179" t="s">
        <v>1</v>
      </c>
      <c r="AB316" s="176" t="s">
        <v>2712</v>
      </c>
      <c r="AF316" s="340" t="s">
        <v>7140</v>
      </c>
      <c r="AG316" s="340" t="s">
        <v>7140</v>
      </c>
      <c r="AH316" s="58"/>
      <c r="AL316" s="364"/>
    </row>
    <row r="317" spans="2:38" s="176" customFormat="1">
      <c r="B317" s="176" t="s">
        <v>703</v>
      </c>
      <c r="C317" s="184" t="s">
        <v>1691</v>
      </c>
      <c r="D317" s="178">
        <v>50</v>
      </c>
      <c r="E317" s="176" t="s">
        <v>5</v>
      </c>
      <c r="F317" s="178">
        <v>6</v>
      </c>
      <c r="G317" s="178"/>
      <c r="H317" s="185">
        <v>44917</v>
      </c>
      <c r="I317" s="176" t="s">
        <v>2711</v>
      </c>
      <c r="K317" s="176" t="s">
        <v>2045</v>
      </c>
      <c r="L317" s="176" t="s">
        <v>2626</v>
      </c>
      <c r="O317" s="176" t="s">
        <v>2710</v>
      </c>
      <c r="P317" s="179" t="s">
        <v>4</v>
      </c>
      <c r="Q317" s="179">
        <v>5.9</v>
      </c>
      <c r="R317" s="179" t="s">
        <v>2709</v>
      </c>
      <c r="S317" s="179" t="s">
        <v>4</v>
      </c>
      <c r="T317" s="179" t="s">
        <v>1</v>
      </c>
      <c r="U317" s="179" t="s">
        <v>2708</v>
      </c>
      <c r="V317" s="179" t="s">
        <v>4</v>
      </c>
      <c r="W317" s="179">
        <v>3.6</v>
      </c>
      <c r="X317" s="179" t="s">
        <v>2707</v>
      </c>
      <c r="Y317" s="179" t="s">
        <v>1</v>
      </c>
      <c r="Z317" s="179" t="s">
        <v>1</v>
      </c>
      <c r="AA317" s="179" t="s">
        <v>1</v>
      </c>
      <c r="AB317" s="176" t="s">
        <v>2706</v>
      </c>
      <c r="AF317" s="340" t="s">
        <v>7140</v>
      </c>
      <c r="AG317" s="340" t="s">
        <v>7140</v>
      </c>
      <c r="AH317" s="58"/>
      <c r="AL317" s="364"/>
    </row>
    <row r="318" spans="2:38" s="176" customFormat="1">
      <c r="B318" s="176" t="s">
        <v>332</v>
      </c>
      <c r="C318" s="184" t="s">
        <v>1691</v>
      </c>
      <c r="D318" s="178">
        <v>50</v>
      </c>
      <c r="E318" s="176" t="s">
        <v>2705</v>
      </c>
      <c r="F318" s="178">
        <v>2.5</v>
      </c>
      <c r="G318" s="178"/>
      <c r="H318" s="185">
        <v>44805</v>
      </c>
      <c r="I318" s="176" t="s">
        <v>2704</v>
      </c>
      <c r="J318" s="176" t="s">
        <v>2703</v>
      </c>
      <c r="K318" s="176" t="s">
        <v>2045</v>
      </c>
      <c r="L318" s="176" t="s">
        <v>2393</v>
      </c>
      <c r="M318" s="176">
        <v>2020</v>
      </c>
      <c r="N318" s="176" t="s">
        <v>2702</v>
      </c>
      <c r="O318" s="176" t="s">
        <v>1</v>
      </c>
      <c r="P318" s="179" t="s">
        <v>4</v>
      </c>
      <c r="Q318" s="179">
        <v>5.0999999999999996</v>
      </c>
      <c r="R318" s="179" t="s">
        <v>2701</v>
      </c>
      <c r="S318" s="179" t="s">
        <v>1</v>
      </c>
      <c r="T318" s="179" t="s">
        <v>1</v>
      </c>
      <c r="U318" s="179" t="s">
        <v>1</v>
      </c>
      <c r="V318" s="179" t="s">
        <v>1</v>
      </c>
      <c r="W318" s="179" t="s">
        <v>1</v>
      </c>
      <c r="X318" s="179" t="s">
        <v>1</v>
      </c>
      <c r="Y318" s="179" t="s">
        <v>1</v>
      </c>
      <c r="Z318" s="179" t="s">
        <v>1</v>
      </c>
      <c r="AA318" s="179" t="s">
        <v>1</v>
      </c>
      <c r="AB318" s="176" t="s">
        <v>2459</v>
      </c>
      <c r="AF318" s="340" t="s">
        <v>7140</v>
      </c>
      <c r="AG318" s="340" t="s">
        <v>7140</v>
      </c>
      <c r="AH318" s="58"/>
      <c r="AL318" s="364"/>
    </row>
    <row r="319" spans="2:38" s="176" customFormat="1">
      <c r="B319" s="176" t="s">
        <v>699</v>
      </c>
      <c r="C319" s="184" t="s">
        <v>1691</v>
      </c>
      <c r="D319" s="178">
        <v>50</v>
      </c>
      <c r="E319" s="176" t="s">
        <v>4</v>
      </c>
      <c r="F319" s="178">
        <v>2.5</v>
      </c>
      <c r="G319" s="178"/>
      <c r="H319" s="185">
        <v>44469</v>
      </c>
      <c r="I319" s="176" t="s">
        <v>2700</v>
      </c>
      <c r="J319" s="176" t="s">
        <v>2699</v>
      </c>
      <c r="K319" s="176" t="s">
        <v>2045</v>
      </c>
      <c r="L319" s="176" t="s">
        <v>2698</v>
      </c>
      <c r="M319" s="190">
        <v>44211</v>
      </c>
      <c r="O319" s="176" t="s">
        <v>2697</v>
      </c>
      <c r="P319" s="179" t="s">
        <v>278</v>
      </c>
      <c r="Q319" s="179" t="s">
        <v>1</v>
      </c>
      <c r="R319" s="179" t="s">
        <v>2696</v>
      </c>
      <c r="S319" s="179" t="s">
        <v>1</v>
      </c>
      <c r="T319" s="179" t="s">
        <v>1</v>
      </c>
      <c r="U319" s="179" t="s">
        <v>1</v>
      </c>
      <c r="V319" s="179" t="s">
        <v>1</v>
      </c>
      <c r="W319" s="179" t="s">
        <v>1</v>
      </c>
      <c r="X319" s="179" t="s">
        <v>1</v>
      </c>
      <c r="Y319" s="179" t="s">
        <v>1</v>
      </c>
      <c r="Z319" s="179" t="s">
        <v>1</v>
      </c>
      <c r="AA319" s="179" t="s">
        <v>1</v>
      </c>
      <c r="AB319" s="176" t="s">
        <v>2362</v>
      </c>
      <c r="AF319" s="340" t="s">
        <v>7140</v>
      </c>
      <c r="AG319" s="340" t="s">
        <v>7140</v>
      </c>
      <c r="AH319" s="58"/>
      <c r="AL319" s="364"/>
    </row>
    <row r="320" spans="2:38" s="176" customFormat="1">
      <c r="B320" s="176" t="s">
        <v>2695</v>
      </c>
      <c r="C320" s="184" t="s">
        <v>1691</v>
      </c>
      <c r="D320" s="178">
        <v>50</v>
      </c>
      <c r="E320" s="176" t="s">
        <v>4</v>
      </c>
      <c r="F320" s="178">
        <v>1.5</v>
      </c>
      <c r="G320" s="178"/>
      <c r="H320" s="185">
        <v>45061</v>
      </c>
      <c r="I320" s="176" t="s">
        <v>2694</v>
      </c>
      <c r="J320" s="176" t="s">
        <v>2693</v>
      </c>
      <c r="K320" s="176" t="s">
        <v>2308</v>
      </c>
      <c r="L320" s="176" t="s">
        <v>2692</v>
      </c>
      <c r="M320" s="176">
        <v>2023</v>
      </c>
      <c r="O320" s="176" t="s">
        <v>2691</v>
      </c>
      <c r="P320" s="179" t="s">
        <v>1</v>
      </c>
      <c r="Q320" s="179" t="s">
        <v>1</v>
      </c>
      <c r="R320" s="179" t="s">
        <v>1</v>
      </c>
      <c r="S320" s="179" t="s">
        <v>1</v>
      </c>
      <c r="T320" s="179" t="s">
        <v>1</v>
      </c>
      <c r="U320" s="179" t="s">
        <v>1</v>
      </c>
      <c r="V320" s="179" t="s">
        <v>1</v>
      </c>
      <c r="W320" s="179" t="s">
        <v>1</v>
      </c>
      <c r="X320" s="179" t="s">
        <v>1</v>
      </c>
      <c r="Y320" s="179" t="s">
        <v>1</v>
      </c>
      <c r="Z320" s="179" t="s">
        <v>1</v>
      </c>
      <c r="AA320" s="179" t="s">
        <v>1</v>
      </c>
      <c r="AB320" s="176" t="s">
        <v>2690</v>
      </c>
      <c r="AF320" s="340" t="s">
        <v>7140</v>
      </c>
      <c r="AG320" s="340" t="s">
        <v>7140</v>
      </c>
      <c r="AH320" s="58"/>
      <c r="AL320" s="364"/>
    </row>
    <row r="321" spans="1:38" s="176" customFormat="1">
      <c r="B321" s="176" t="s">
        <v>2689</v>
      </c>
      <c r="C321" s="184" t="s">
        <v>1691</v>
      </c>
      <c r="D321" s="178">
        <v>50</v>
      </c>
      <c r="E321" s="176" t="s">
        <v>4</v>
      </c>
      <c r="F321" s="178">
        <v>0.5</v>
      </c>
      <c r="G321" s="178"/>
      <c r="H321" s="185">
        <v>45021</v>
      </c>
      <c r="I321" s="176" t="s">
        <v>2688</v>
      </c>
      <c r="K321" s="176" t="s">
        <v>2045</v>
      </c>
      <c r="L321" s="176" t="s">
        <v>2687</v>
      </c>
      <c r="M321" s="176">
        <v>2022</v>
      </c>
      <c r="N321" s="176" t="s">
        <v>1706</v>
      </c>
      <c r="O321" s="176" t="s">
        <v>1068</v>
      </c>
      <c r="P321" s="179" t="s">
        <v>4</v>
      </c>
      <c r="Q321" s="179">
        <v>0.56999999999999995</v>
      </c>
      <c r="R321" s="179" t="s">
        <v>775</v>
      </c>
      <c r="S321" s="179" t="s">
        <v>1</v>
      </c>
      <c r="T321" s="179" t="s">
        <v>1</v>
      </c>
      <c r="U321" s="179" t="s">
        <v>1</v>
      </c>
      <c r="V321" s="179" t="s">
        <v>1</v>
      </c>
      <c r="W321" s="179" t="s">
        <v>1</v>
      </c>
      <c r="X321" s="179" t="s">
        <v>1</v>
      </c>
      <c r="Y321" s="179" t="s">
        <v>1</v>
      </c>
      <c r="Z321" s="179" t="s">
        <v>1</v>
      </c>
      <c r="AA321" s="179" t="s">
        <v>1</v>
      </c>
      <c r="AB321" s="176" t="s">
        <v>2686</v>
      </c>
      <c r="AF321" s="340" t="s">
        <v>7140</v>
      </c>
      <c r="AG321" s="340" t="s">
        <v>7140</v>
      </c>
      <c r="AH321" s="58"/>
      <c r="AL321" s="364"/>
    </row>
    <row r="322" spans="1:38">
      <c r="A322" s="176"/>
      <c r="B322" s="176" t="s">
        <v>2685</v>
      </c>
      <c r="C322" s="184" t="s">
        <v>1691</v>
      </c>
      <c r="D322" s="178">
        <v>50</v>
      </c>
      <c r="E322" s="176" t="s">
        <v>278</v>
      </c>
      <c r="F322" s="178">
        <v>0.5</v>
      </c>
      <c r="G322" s="74">
        <f>F322</f>
        <v>0.5</v>
      </c>
      <c r="H322" s="185">
        <v>45021</v>
      </c>
      <c r="I322" s="176" t="s">
        <v>2684</v>
      </c>
      <c r="J322" s="176" t="s">
        <v>2683</v>
      </c>
      <c r="K322" s="176" t="s">
        <v>2045</v>
      </c>
      <c r="L322" s="176" t="s">
        <v>2524</v>
      </c>
      <c r="M322" s="191">
        <v>42609</v>
      </c>
      <c r="N322" s="176" t="s">
        <v>1909</v>
      </c>
      <c r="O322" s="176" t="s">
        <v>2682</v>
      </c>
      <c r="P322" s="179" t="s">
        <v>1</v>
      </c>
      <c r="Q322" s="179" t="s">
        <v>1</v>
      </c>
      <c r="R322" s="179" t="s">
        <v>1</v>
      </c>
      <c r="S322" s="179" t="s">
        <v>1</v>
      </c>
      <c r="T322" s="179" t="s">
        <v>1</v>
      </c>
      <c r="U322" s="179" t="s">
        <v>1</v>
      </c>
      <c r="V322" s="179" t="s">
        <v>1</v>
      </c>
      <c r="W322" s="179" t="s">
        <v>1</v>
      </c>
      <c r="X322" s="179" t="s">
        <v>1</v>
      </c>
      <c r="Y322" s="179" t="s">
        <v>1</v>
      </c>
      <c r="Z322" s="179" t="s">
        <v>1</v>
      </c>
      <c r="AA322" s="179" t="s">
        <v>1</v>
      </c>
      <c r="AB322" s="176" t="s">
        <v>2362</v>
      </c>
      <c r="AC322" s="176"/>
      <c r="AD322" s="176"/>
      <c r="AE322" s="25" t="s">
        <v>5140</v>
      </c>
      <c r="AF322" s="63">
        <v>2.7959999999999998</v>
      </c>
      <c r="AG322" s="68">
        <v>0.20208333333333331</v>
      </c>
      <c r="AH322" s="63">
        <v>1.998</v>
      </c>
      <c r="AI322" s="68">
        <v>0.14097222222222222</v>
      </c>
      <c r="AJ322" s="68"/>
      <c r="AK322" s="68"/>
      <c r="AL322" s="364">
        <f t="shared" ref="AL322:AL323" si="4">+AH322/AF322-1</f>
        <v>-0.28540772532188841</v>
      </c>
    </row>
    <row r="323" spans="1:38">
      <c r="A323" s="176"/>
      <c r="B323" s="176" t="s">
        <v>2657</v>
      </c>
      <c r="C323" s="184" t="s">
        <v>1691</v>
      </c>
      <c r="D323" s="178">
        <v>30</v>
      </c>
      <c r="E323" s="176" t="s">
        <v>4</v>
      </c>
      <c r="F323" s="178">
        <v>6</v>
      </c>
      <c r="G323" s="74">
        <f>F323</f>
        <v>6</v>
      </c>
      <c r="H323" s="185">
        <v>45070</v>
      </c>
      <c r="I323" s="176" t="s">
        <v>2656</v>
      </c>
      <c r="J323" s="176" t="s">
        <v>2655</v>
      </c>
      <c r="K323" s="176" t="s">
        <v>2308</v>
      </c>
      <c r="L323" s="176" t="s">
        <v>2524</v>
      </c>
      <c r="M323" s="176">
        <v>2021</v>
      </c>
      <c r="N323" s="176"/>
      <c r="O323" s="176" t="s">
        <v>1</v>
      </c>
      <c r="P323" s="176" t="s">
        <v>1</v>
      </c>
      <c r="Q323" s="176" t="s">
        <v>1</v>
      </c>
      <c r="R323" s="176" t="s">
        <v>1</v>
      </c>
      <c r="S323" s="176" t="s">
        <v>1</v>
      </c>
      <c r="T323" s="176" t="s">
        <v>1</v>
      </c>
      <c r="U323" s="176" t="s">
        <v>1</v>
      </c>
      <c r="V323" s="176" t="s">
        <v>1</v>
      </c>
      <c r="W323" s="176" t="s">
        <v>1</v>
      </c>
      <c r="X323" s="176" t="s">
        <v>1</v>
      </c>
      <c r="Y323" s="176" t="s">
        <v>1</v>
      </c>
      <c r="Z323" s="176" t="s">
        <v>1</v>
      </c>
      <c r="AA323" s="176" t="s">
        <v>1</v>
      </c>
      <c r="AB323" s="176" t="s">
        <v>6598</v>
      </c>
      <c r="AC323" s="176" t="s">
        <v>6601</v>
      </c>
      <c r="AD323" s="176" t="s">
        <v>2654</v>
      </c>
      <c r="AE323" s="25" t="s">
        <v>5026</v>
      </c>
      <c r="AF323" s="63">
        <v>2.4209999999999998</v>
      </c>
      <c r="AG323" s="68">
        <v>0.1173611111111111</v>
      </c>
      <c r="AH323" s="63">
        <v>2.2679999999999998</v>
      </c>
      <c r="AI323" s="358">
        <v>0.14027777777777778</v>
      </c>
      <c r="AJ323" s="358"/>
      <c r="AK323" s="358"/>
      <c r="AL323" s="364">
        <f t="shared" si="4"/>
        <v>-6.3197026022304814E-2</v>
      </c>
    </row>
    <row r="324" spans="1:38" s="176" customFormat="1">
      <c r="B324" s="176" t="s">
        <v>2681</v>
      </c>
      <c r="C324" s="184" t="s">
        <v>1691</v>
      </c>
      <c r="D324" s="178">
        <v>40</v>
      </c>
      <c r="E324" s="176" t="s">
        <v>7</v>
      </c>
      <c r="F324" s="178">
        <v>5</v>
      </c>
      <c r="G324" s="178"/>
      <c r="H324" s="185">
        <v>44008</v>
      </c>
      <c r="I324" s="176" t="s">
        <v>2680</v>
      </c>
      <c r="J324" s="176" t="s">
        <v>2679</v>
      </c>
      <c r="K324" s="176" t="s">
        <v>2045</v>
      </c>
      <c r="L324" s="176" t="s">
        <v>2100</v>
      </c>
      <c r="M324" s="176">
        <v>2016</v>
      </c>
      <c r="N324" s="176" t="s">
        <v>2678</v>
      </c>
      <c r="O324" s="176" t="s">
        <v>2677</v>
      </c>
      <c r="P324" s="179" t="s">
        <v>7</v>
      </c>
      <c r="Q324" s="179">
        <v>14</v>
      </c>
      <c r="R324" s="179" t="s">
        <v>2676</v>
      </c>
      <c r="S324" s="179" t="s">
        <v>5</v>
      </c>
      <c r="T324" s="179">
        <v>4</v>
      </c>
      <c r="U324" s="179" t="s">
        <v>2675</v>
      </c>
      <c r="V324" s="179" t="s">
        <v>4</v>
      </c>
      <c r="W324" s="179">
        <v>0.6</v>
      </c>
      <c r="X324" s="179" t="s">
        <v>2674</v>
      </c>
      <c r="Y324" s="179" t="s">
        <v>1</v>
      </c>
      <c r="Z324" s="179" t="s">
        <v>1</v>
      </c>
      <c r="AA324" s="179" t="s">
        <v>1</v>
      </c>
      <c r="AB324" s="176" t="s">
        <v>2673</v>
      </c>
      <c r="AF324" s="340" t="s">
        <v>7140</v>
      </c>
      <c r="AG324" s="340" t="s">
        <v>7140</v>
      </c>
      <c r="AH324" s="58"/>
      <c r="AL324" s="364"/>
    </row>
    <row r="325" spans="1:38" s="176" customFormat="1">
      <c r="B325" s="176" t="s">
        <v>2672</v>
      </c>
      <c r="C325" s="184" t="s">
        <v>1691</v>
      </c>
      <c r="D325" s="178">
        <v>40</v>
      </c>
      <c r="E325" s="176" t="s">
        <v>4</v>
      </c>
      <c r="F325" s="178">
        <v>10</v>
      </c>
      <c r="G325" s="178"/>
      <c r="H325" s="185">
        <v>45026</v>
      </c>
      <c r="I325" s="176" t="s">
        <v>2671</v>
      </c>
      <c r="K325" s="176" t="s">
        <v>2315</v>
      </c>
      <c r="L325" s="176" t="s">
        <v>2315</v>
      </c>
      <c r="M325" s="176">
        <v>2023</v>
      </c>
      <c r="O325" s="176" t="s">
        <v>1</v>
      </c>
      <c r="P325" s="176" t="s">
        <v>1</v>
      </c>
      <c r="Q325" s="176" t="s">
        <v>1</v>
      </c>
      <c r="R325" s="176" t="s">
        <v>1</v>
      </c>
      <c r="S325" s="176" t="s">
        <v>1</v>
      </c>
      <c r="T325" s="176" t="s">
        <v>1</v>
      </c>
      <c r="U325" s="176" t="s">
        <v>1</v>
      </c>
      <c r="V325" s="176" t="s">
        <v>1</v>
      </c>
      <c r="W325" s="176" t="s">
        <v>1</v>
      </c>
      <c r="X325" s="176" t="s">
        <v>1</v>
      </c>
      <c r="Y325" s="176" t="s">
        <v>1</v>
      </c>
      <c r="Z325" s="176" t="s">
        <v>1</v>
      </c>
      <c r="AA325" s="176" t="s">
        <v>1</v>
      </c>
      <c r="AB325" s="176" t="s">
        <v>1</v>
      </c>
      <c r="AF325" s="340" t="s">
        <v>7140</v>
      </c>
      <c r="AG325" s="340" t="s">
        <v>7140</v>
      </c>
      <c r="AH325" s="58"/>
      <c r="AL325" s="364"/>
    </row>
    <row r="326" spans="1:38" s="176" customFormat="1">
      <c r="B326" s="176" t="s">
        <v>624</v>
      </c>
      <c r="C326" s="184" t="s">
        <v>1691</v>
      </c>
      <c r="D326" s="178">
        <v>40</v>
      </c>
      <c r="E326" s="176" t="s">
        <v>5</v>
      </c>
      <c r="F326" s="178">
        <v>10</v>
      </c>
      <c r="G326" s="178"/>
      <c r="H326" s="185">
        <v>44930</v>
      </c>
      <c r="I326" s="176" t="s">
        <v>2670</v>
      </c>
      <c r="J326" s="176" t="s">
        <v>2669</v>
      </c>
      <c r="K326" s="176" t="s">
        <v>2045</v>
      </c>
      <c r="L326" s="176" t="s">
        <v>2668</v>
      </c>
      <c r="M326" s="176">
        <v>2020</v>
      </c>
      <c r="O326" s="176" t="s">
        <v>2667</v>
      </c>
      <c r="P326" s="179" t="s">
        <v>4</v>
      </c>
      <c r="Q326" s="179">
        <v>2</v>
      </c>
      <c r="R326" s="179" t="s">
        <v>1</v>
      </c>
      <c r="S326" s="179" t="s">
        <v>1</v>
      </c>
      <c r="T326" s="179" t="s">
        <v>1</v>
      </c>
      <c r="U326" s="179" t="s">
        <v>1</v>
      </c>
      <c r="V326" s="179" t="s">
        <v>1</v>
      </c>
      <c r="W326" s="179" t="s">
        <v>1</v>
      </c>
      <c r="X326" s="179" t="s">
        <v>1</v>
      </c>
      <c r="Y326" s="179" t="s">
        <v>1</v>
      </c>
      <c r="Z326" s="179" t="s">
        <v>1</v>
      </c>
      <c r="AA326" s="179" t="s">
        <v>1</v>
      </c>
      <c r="AB326" s="176" t="s">
        <v>2595</v>
      </c>
      <c r="AF326" s="340" t="s">
        <v>7140</v>
      </c>
      <c r="AG326" s="340" t="s">
        <v>7140</v>
      </c>
      <c r="AH326" s="58"/>
      <c r="AL326" s="364"/>
    </row>
    <row r="327" spans="1:38" s="176" customFormat="1">
      <c r="B327" s="176" t="s">
        <v>2666</v>
      </c>
      <c r="C327" s="184" t="s">
        <v>1691</v>
      </c>
      <c r="D327" s="178">
        <v>40</v>
      </c>
      <c r="E327" s="176" t="s">
        <v>5</v>
      </c>
      <c r="F327" s="178">
        <v>10</v>
      </c>
      <c r="G327" s="178"/>
      <c r="H327" s="185">
        <v>44825</v>
      </c>
      <c r="I327" s="176" t="s">
        <v>2665</v>
      </c>
      <c r="K327" s="176" t="s">
        <v>2045</v>
      </c>
      <c r="L327" s="176" t="s">
        <v>2524</v>
      </c>
      <c r="M327" s="176">
        <v>2020</v>
      </c>
      <c r="O327" s="176" t="s">
        <v>2664</v>
      </c>
      <c r="P327" s="179" t="s">
        <v>4</v>
      </c>
      <c r="Q327" s="179">
        <v>1.5</v>
      </c>
      <c r="R327" s="179" t="s">
        <v>2663</v>
      </c>
      <c r="S327" s="179" t="s">
        <v>1</v>
      </c>
      <c r="T327" s="179" t="s">
        <v>1</v>
      </c>
      <c r="U327" s="179" t="s">
        <v>1</v>
      </c>
      <c r="V327" s="179" t="s">
        <v>1</v>
      </c>
      <c r="W327" s="179" t="s">
        <v>1</v>
      </c>
      <c r="X327" s="179" t="s">
        <v>1</v>
      </c>
      <c r="Y327" s="179" t="s">
        <v>1</v>
      </c>
      <c r="Z327" s="179" t="s">
        <v>1</v>
      </c>
      <c r="AA327" s="179" t="s">
        <v>1</v>
      </c>
      <c r="AB327" s="176" t="s">
        <v>2662</v>
      </c>
      <c r="AE327" s="25" t="s">
        <v>5141</v>
      </c>
      <c r="AF327" s="340" t="s">
        <v>7140</v>
      </c>
      <c r="AG327" s="340" t="s">
        <v>7140</v>
      </c>
      <c r="AH327" s="58"/>
      <c r="AL327" s="364"/>
    </row>
    <row r="328" spans="1:38" s="176" customFormat="1">
      <c r="B328" s="176" t="s">
        <v>630</v>
      </c>
      <c r="C328" s="184" t="s">
        <v>1691</v>
      </c>
      <c r="D328" s="178">
        <v>40</v>
      </c>
      <c r="E328" s="176" t="s">
        <v>5</v>
      </c>
      <c r="F328" s="178">
        <v>10</v>
      </c>
      <c r="G328" s="178"/>
      <c r="H328" s="185">
        <v>43887</v>
      </c>
      <c r="I328" s="176" t="s">
        <v>2661</v>
      </c>
      <c r="J328" s="176" t="s">
        <v>2660</v>
      </c>
      <c r="K328" s="176" t="s">
        <v>2045</v>
      </c>
      <c r="L328" s="176" t="s">
        <v>2630</v>
      </c>
      <c r="M328" s="176">
        <v>2019</v>
      </c>
      <c r="O328" s="176" t="s">
        <v>631</v>
      </c>
      <c r="P328" s="179" t="s">
        <v>5</v>
      </c>
      <c r="Q328" s="179">
        <v>9</v>
      </c>
      <c r="R328" s="179" t="s">
        <v>2659</v>
      </c>
      <c r="S328" s="179" t="s">
        <v>4</v>
      </c>
      <c r="T328" s="179">
        <v>2.4</v>
      </c>
      <c r="U328" s="179" t="s">
        <v>2658</v>
      </c>
      <c r="V328" s="179" t="s">
        <v>1</v>
      </c>
      <c r="W328" s="179" t="s">
        <v>1</v>
      </c>
      <c r="X328" s="179" t="s">
        <v>1</v>
      </c>
      <c r="Y328" s="179" t="s">
        <v>1</v>
      </c>
      <c r="Z328" s="179" t="s">
        <v>1</v>
      </c>
      <c r="AA328" s="179" t="s">
        <v>1</v>
      </c>
      <c r="AB328" s="176" t="s">
        <v>6598</v>
      </c>
      <c r="AC328" s="176" t="s">
        <v>6601</v>
      </c>
      <c r="AD328" s="176" t="s">
        <v>6608</v>
      </c>
      <c r="AF328" s="340" t="s">
        <v>7140</v>
      </c>
      <c r="AG328" s="340" t="s">
        <v>7140</v>
      </c>
      <c r="AH328" s="58"/>
      <c r="AL328" s="364"/>
    </row>
    <row r="329" spans="1:38">
      <c r="B329" s="72" t="s">
        <v>2014</v>
      </c>
      <c r="C329" s="237" t="s">
        <v>1691</v>
      </c>
      <c r="D329" s="74">
        <v>30</v>
      </c>
      <c r="E329" s="239" t="s">
        <v>4</v>
      </c>
      <c r="F329" s="74">
        <v>12</v>
      </c>
      <c r="G329" s="74">
        <f>F329</f>
        <v>12</v>
      </c>
      <c r="H329" s="77">
        <v>43872</v>
      </c>
      <c r="I329" s="238" t="s">
        <v>7363</v>
      </c>
      <c r="J329" s="238" t="s">
        <v>7359</v>
      </c>
      <c r="K329" s="238" t="s">
        <v>2045</v>
      </c>
      <c r="L329" s="238" t="s">
        <v>3236</v>
      </c>
      <c r="M329" s="83">
        <v>43160</v>
      </c>
      <c r="O329" s="238" t="s">
        <v>7361</v>
      </c>
      <c r="P329" s="240" t="s">
        <v>1</v>
      </c>
      <c r="Q329" s="240" t="s">
        <v>1</v>
      </c>
      <c r="R329" s="240" t="s">
        <v>1</v>
      </c>
      <c r="S329" s="240" t="s">
        <v>1</v>
      </c>
      <c r="T329" s="240" t="s">
        <v>1</v>
      </c>
      <c r="U329" s="240" t="s">
        <v>1</v>
      </c>
      <c r="V329" s="240" t="s">
        <v>1</v>
      </c>
      <c r="W329" s="240" t="s">
        <v>1</v>
      </c>
      <c r="X329" s="240" t="s">
        <v>1</v>
      </c>
      <c r="Y329" s="240" t="s">
        <v>1</v>
      </c>
      <c r="Z329" s="240" t="s">
        <v>1</v>
      </c>
      <c r="AA329" s="240" t="s">
        <v>1</v>
      </c>
      <c r="AB329" s="238" t="s">
        <v>6598</v>
      </c>
      <c r="AC329" s="238" t="s">
        <v>6600</v>
      </c>
      <c r="AD329" s="238" t="s">
        <v>7357</v>
      </c>
      <c r="AE329" s="238" t="s">
        <v>7358</v>
      </c>
      <c r="AF329" s="340" t="s">
        <v>7140</v>
      </c>
      <c r="AG329" s="340" t="s">
        <v>7140</v>
      </c>
      <c r="AL329" s="364"/>
    </row>
    <row r="330" spans="1:38" s="176" customFormat="1">
      <c r="B330" s="176" t="s">
        <v>2653</v>
      </c>
      <c r="C330" s="184" t="s">
        <v>1691</v>
      </c>
      <c r="D330" s="178">
        <v>30</v>
      </c>
      <c r="E330" s="176" t="s">
        <v>278</v>
      </c>
      <c r="F330" s="178">
        <v>0.5</v>
      </c>
      <c r="G330" s="178"/>
      <c r="H330" s="185">
        <v>45021</v>
      </c>
      <c r="I330" s="176" t="s">
        <v>2652</v>
      </c>
      <c r="J330" s="176" t="s">
        <v>2651</v>
      </c>
      <c r="K330" s="176" t="s">
        <v>2045</v>
      </c>
      <c r="L330" s="176" t="s">
        <v>2062</v>
      </c>
      <c r="M330" s="176">
        <v>2021</v>
      </c>
      <c r="N330" s="176" t="s">
        <v>1706</v>
      </c>
      <c r="O330" s="176" t="s">
        <v>1068</v>
      </c>
      <c r="P330" s="179" t="s">
        <v>1</v>
      </c>
      <c r="Q330" s="179" t="s">
        <v>1</v>
      </c>
      <c r="R330" s="179" t="s">
        <v>1</v>
      </c>
      <c r="S330" s="179" t="s">
        <v>1</v>
      </c>
      <c r="T330" s="179" t="s">
        <v>1</v>
      </c>
      <c r="U330" s="179" t="s">
        <v>1</v>
      </c>
      <c r="V330" s="179" t="s">
        <v>1</v>
      </c>
      <c r="W330" s="179" t="s">
        <v>1</v>
      </c>
      <c r="X330" s="179" t="s">
        <v>1</v>
      </c>
      <c r="Y330" s="179" t="s">
        <v>1</v>
      </c>
      <c r="Z330" s="179" t="s">
        <v>1</v>
      </c>
      <c r="AA330" s="179" t="s">
        <v>1</v>
      </c>
      <c r="AB330" s="176" t="s">
        <v>6598</v>
      </c>
      <c r="AC330" s="176" t="s">
        <v>6601</v>
      </c>
      <c r="AD330" s="176" t="s">
        <v>2362</v>
      </c>
      <c r="AF330" s="340" t="s">
        <v>7140</v>
      </c>
      <c r="AG330" s="340" t="s">
        <v>7140</v>
      </c>
      <c r="AH330" s="58"/>
      <c r="AL330" s="364"/>
    </row>
    <row r="331" spans="1:38" s="176" customFormat="1">
      <c r="B331" s="176" t="s">
        <v>807</v>
      </c>
      <c r="C331" s="184" t="s">
        <v>1691</v>
      </c>
      <c r="D331" s="178">
        <v>30</v>
      </c>
      <c r="E331" s="176" t="s">
        <v>4</v>
      </c>
      <c r="F331" s="178">
        <v>5</v>
      </c>
      <c r="G331" s="178"/>
      <c r="H331" s="185">
        <v>45062</v>
      </c>
      <c r="I331" s="176" t="s">
        <v>2650</v>
      </c>
      <c r="K331" s="176" t="s">
        <v>2045</v>
      </c>
      <c r="L331" s="176" t="s">
        <v>2237</v>
      </c>
      <c r="M331" s="176">
        <v>2023</v>
      </c>
      <c r="O331" s="176" t="s">
        <v>2649</v>
      </c>
      <c r="P331" s="179" t="s">
        <v>1</v>
      </c>
      <c r="Q331" s="179" t="s">
        <v>1</v>
      </c>
      <c r="R331" s="179" t="s">
        <v>1</v>
      </c>
      <c r="S331" s="179" t="s">
        <v>1</v>
      </c>
      <c r="T331" s="179" t="s">
        <v>1</v>
      </c>
      <c r="U331" s="179" t="s">
        <v>1</v>
      </c>
      <c r="V331" s="179" t="s">
        <v>1</v>
      </c>
      <c r="W331" s="179" t="s">
        <v>1</v>
      </c>
      <c r="X331" s="179" t="s">
        <v>1</v>
      </c>
      <c r="Y331" s="179" t="s">
        <v>1</v>
      </c>
      <c r="Z331" s="179" t="s">
        <v>1</v>
      </c>
      <c r="AA331" s="179" t="s">
        <v>1</v>
      </c>
      <c r="AB331" s="176" t="s">
        <v>6598</v>
      </c>
      <c r="AC331" s="176" t="s">
        <v>6601</v>
      </c>
      <c r="AD331" s="176" t="s">
        <v>6609</v>
      </c>
      <c r="AF331" s="340" t="s">
        <v>7140</v>
      </c>
      <c r="AG331" s="340" t="s">
        <v>7140</v>
      </c>
      <c r="AH331" s="58"/>
      <c r="AL331" s="364"/>
    </row>
    <row r="332" spans="1:38" s="176" customFormat="1">
      <c r="B332" s="176" t="s">
        <v>765</v>
      </c>
      <c r="C332" s="184" t="s">
        <v>1691</v>
      </c>
      <c r="D332" s="178">
        <v>30</v>
      </c>
      <c r="E332" s="176" t="s">
        <v>4</v>
      </c>
      <c r="F332" s="178">
        <v>4</v>
      </c>
      <c r="G332" s="178"/>
      <c r="H332" s="185">
        <v>45026</v>
      </c>
      <c r="I332" s="176" t="s">
        <v>2062</v>
      </c>
      <c r="J332" s="176" t="s">
        <v>2648</v>
      </c>
      <c r="K332" s="176" t="s">
        <v>2045</v>
      </c>
      <c r="L332" s="176" t="s">
        <v>2062</v>
      </c>
      <c r="M332" s="176">
        <v>2021</v>
      </c>
      <c r="O332" s="176" t="s">
        <v>2647</v>
      </c>
      <c r="P332" s="179" t="s">
        <v>1</v>
      </c>
      <c r="Q332" s="179" t="s">
        <v>1</v>
      </c>
      <c r="R332" s="179" t="s">
        <v>1</v>
      </c>
      <c r="S332" s="179" t="s">
        <v>1</v>
      </c>
      <c r="T332" s="179" t="s">
        <v>1</v>
      </c>
      <c r="U332" s="179" t="s">
        <v>1</v>
      </c>
      <c r="V332" s="179" t="s">
        <v>1</v>
      </c>
      <c r="W332" s="179" t="s">
        <v>1</v>
      </c>
      <c r="X332" s="179" t="s">
        <v>1</v>
      </c>
      <c r="Y332" s="179" t="s">
        <v>1</v>
      </c>
      <c r="Z332" s="179" t="s">
        <v>1</v>
      </c>
      <c r="AA332" s="179" t="s">
        <v>1</v>
      </c>
      <c r="AB332" s="176" t="s">
        <v>6598</v>
      </c>
      <c r="AC332" s="176" t="s">
        <v>6602</v>
      </c>
      <c r="AD332" s="176" t="s">
        <v>3955</v>
      </c>
      <c r="AF332" s="340" t="s">
        <v>7140</v>
      </c>
      <c r="AG332" s="340" t="s">
        <v>7140</v>
      </c>
      <c r="AH332" s="58"/>
      <c r="AL332" s="364"/>
    </row>
    <row r="333" spans="1:38" s="176" customFormat="1">
      <c r="B333" s="176" t="s">
        <v>336</v>
      </c>
      <c r="C333" s="184" t="s">
        <v>1691</v>
      </c>
      <c r="D333" s="178">
        <v>30</v>
      </c>
      <c r="E333" s="176" t="s">
        <v>4</v>
      </c>
      <c r="F333" s="178">
        <v>3</v>
      </c>
      <c r="G333" s="178"/>
      <c r="H333" s="185">
        <v>44327</v>
      </c>
      <c r="I333" s="176" t="s">
        <v>2645</v>
      </c>
      <c r="J333" s="176" t="s">
        <v>2644</v>
      </c>
      <c r="K333" s="176" t="s">
        <v>2045</v>
      </c>
      <c r="L333" s="176" t="s">
        <v>2643</v>
      </c>
      <c r="M333" s="176">
        <v>2021</v>
      </c>
      <c r="O333" s="176" t="s">
        <v>2642</v>
      </c>
      <c r="P333" s="179" t="s">
        <v>278</v>
      </c>
      <c r="Q333" s="179">
        <v>1.2</v>
      </c>
      <c r="R333" s="179" t="s">
        <v>2641</v>
      </c>
      <c r="S333" s="179" t="s">
        <v>1</v>
      </c>
      <c r="T333" s="179" t="s">
        <v>1</v>
      </c>
      <c r="U333" s="179" t="s">
        <v>1</v>
      </c>
      <c r="V333" s="179" t="s">
        <v>1</v>
      </c>
      <c r="W333" s="179" t="s">
        <v>1</v>
      </c>
      <c r="X333" s="179" t="s">
        <v>1</v>
      </c>
      <c r="Y333" s="179" t="s">
        <v>1</v>
      </c>
      <c r="Z333" s="179" t="s">
        <v>1</v>
      </c>
      <c r="AA333" s="179" t="s">
        <v>1</v>
      </c>
      <c r="AB333" s="176" t="s">
        <v>6598</v>
      </c>
      <c r="AC333" s="176" t="s">
        <v>6606</v>
      </c>
      <c r="AD333" s="176" t="s">
        <v>6606</v>
      </c>
      <c r="AF333" s="340" t="s">
        <v>7140</v>
      </c>
      <c r="AG333" s="340" t="s">
        <v>7140</v>
      </c>
      <c r="AH333" s="58"/>
      <c r="AL333" s="364"/>
    </row>
    <row r="334" spans="1:38" s="176" customFormat="1">
      <c r="B334" s="176" t="s">
        <v>2640</v>
      </c>
      <c r="C334" s="184" t="s">
        <v>1691</v>
      </c>
      <c r="D334" s="178">
        <v>30</v>
      </c>
      <c r="E334" s="176" t="s">
        <v>278</v>
      </c>
      <c r="F334" s="178">
        <v>3</v>
      </c>
      <c r="G334" s="178"/>
      <c r="H334" s="185">
        <v>45044</v>
      </c>
      <c r="I334" s="176" t="s">
        <v>2639</v>
      </c>
      <c r="J334" s="176" t="s">
        <v>2638</v>
      </c>
      <c r="K334" s="176" t="s">
        <v>2045</v>
      </c>
      <c r="L334" s="176" t="s">
        <v>2637</v>
      </c>
      <c r="M334" s="190">
        <v>44986</v>
      </c>
      <c r="O334" s="176" t="s">
        <v>1</v>
      </c>
      <c r="P334" s="176" t="s">
        <v>1</v>
      </c>
      <c r="Q334" s="176" t="s">
        <v>1</v>
      </c>
      <c r="R334" s="176" t="s">
        <v>1</v>
      </c>
      <c r="S334" s="176" t="s">
        <v>1</v>
      </c>
      <c r="T334" s="176" t="s">
        <v>1</v>
      </c>
      <c r="U334" s="176" t="s">
        <v>1</v>
      </c>
      <c r="V334" s="176" t="s">
        <v>1</v>
      </c>
      <c r="W334" s="176" t="s">
        <v>1</v>
      </c>
      <c r="X334" s="176" t="s">
        <v>1</v>
      </c>
      <c r="Y334" s="176" t="s">
        <v>1</v>
      </c>
      <c r="Z334" s="176" t="s">
        <v>1</v>
      </c>
      <c r="AA334" s="176" t="s">
        <v>1</v>
      </c>
      <c r="AB334" s="176" t="s">
        <v>6598</v>
      </c>
      <c r="AC334" s="176" t="s">
        <v>6601</v>
      </c>
      <c r="AD334" s="176" t="s">
        <v>2362</v>
      </c>
      <c r="AF334" s="340" t="s">
        <v>7140</v>
      </c>
      <c r="AG334" s="340" t="s">
        <v>7140</v>
      </c>
      <c r="AH334" s="58"/>
      <c r="AL334" s="364"/>
    </row>
    <row r="335" spans="1:38" s="176" customFormat="1">
      <c r="B335" s="176" t="s">
        <v>2016</v>
      </c>
      <c r="C335" s="184" t="s">
        <v>1691</v>
      </c>
      <c r="D335" s="178">
        <v>30</v>
      </c>
      <c r="E335" s="176" t="s">
        <v>5</v>
      </c>
      <c r="F335" s="178">
        <v>8</v>
      </c>
      <c r="G335" s="178">
        <v>13</v>
      </c>
      <c r="H335" s="185">
        <v>44663</v>
      </c>
      <c r="I335" s="176" t="s">
        <v>7275</v>
      </c>
      <c r="J335" s="176" t="s">
        <v>7276</v>
      </c>
      <c r="K335" s="176" t="s">
        <v>2045</v>
      </c>
      <c r="L335" s="176" t="s">
        <v>2056</v>
      </c>
      <c r="M335" s="190">
        <v>44663</v>
      </c>
      <c r="O335" s="176" t="s">
        <v>7277</v>
      </c>
      <c r="P335" s="176" t="s">
        <v>5</v>
      </c>
      <c r="Q335" s="179">
        <v>3</v>
      </c>
      <c r="R335" s="176" t="s">
        <v>7278</v>
      </c>
      <c r="S335" s="176" t="s">
        <v>4</v>
      </c>
      <c r="T335" s="179">
        <v>1.7</v>
      </c>
      <c r="U335" s="176" t="s">
        <v>7279</v>
      </c>
      <c r="V335" s="176" t="s">
        <v>1</v>
      </c>
      <c r="W335" s="176" t="s">
        <v>1</v>
      </c>
      <c r="X335" s="176" t="s">
        <v>1</v>
      </c>
      <c r="Y335" s="176" t="s">
        <v>1</v>
      </c>
      <c r="Z335" s="176" t="s">
        <v>1</v>
      </c>
      <c r="AA335" s="176" t="s">
        <v>1</v>
      </c>
      <c r="AB335" s="176" t="s">
        <v>2581</v>
      </c>
      <c r="AC335" s="176" t="s">
        <v>7280</v>
      </c>
      <c r="AD335" s="176" t="s">
        <v>7281</v>
      </c>
      <c r="AE335" s="25" t="s">
        <v>7282</v>
      </c>
      <c r="AF335" s="340" t="s">
        <v>7140</v>
      </c>
      <c r="AG335" s="340" t="s">
        <v>7140</v>
      </c>
      <c r="AH335" s="58"/>
      <c r="AL335" s="364"/>
    </row>
    <row r="336" spans="1:38" s="176" customFormat="1">
      <c r="B336" s="176" t="s">
        <v>2015</v>
      </c>
      <c r="C336" s="184" t="s">
        <v>1691</v>
      </c>
      <c r="D336" s="178">
        <v>30</v>
      </c>
      <c r="E336" s="176" t="s">
        <v>4</v>
      </c>
      <c r="F336" s="178">
        <v>8</v>
      </c>
      <c r="G336" s="178">
        <v>11</v>
      </c>
      <c r="H336" s="185">
        <v>44880</v>
      </c>
      <c r="I336" s="176" t="s">
        <v>7283</v>
      </c>
      <c r="J336" s="176" t="s">
        <v>7284</v>
      </c>
      <c r="K336" s="176" t="s">
        <v>2045</v>
      </c>
      <c r="L336" s="176" t="s">
        <v>2698</v>
      </c>
      <c r="M336" s="190">
        <v>44880</v>
      </c>
      <c r="O336" s="176" t="s">
        <v>7285</v>
      </c>
      <c r="P336" s="176" t="s">
        <v>4</v>
      </c>
      <c r="Q336" s="179">
        <v>3</v>
      </c>
      <c r="R336" s="176" t="s">
        <v>7286</v>
      </c>
      <c r="S336" s="176" t="s">
        <v>1</v>
      </c>
      <c r="T336" s="176" t="s">
        <v>1</v>
      </c>
      <c r="U336" s="176" t="s">
        <v>1</v>
      </c>
      <c r="V336" s="176" t="s">
        <v>1</v>
      </c>
      <c r="W336" s="176" t="s">
        <v>1</v>
      </c>
      <c r="X336" s="176" t="s">
        <v>1</v>
      </c>
      <c r="Y336" s="176" t="s">
        <v>1</v>
      </c>
      <c r="Z336" s="176" t="s">
        <v>1</v>
      </c>
      <c r="AA336" s="176" t="s">
        <v>1</v>
      </c>
      <c r="AB336" s="176" t="s">
        <v>6598</v>
      </c>
      <c r="AC336" s="176" t="s">
        <v>6601</v>
      </c>
      <c r="AD336" s="176" t="s">
        <v>2362</v>
      </c>
      <c r="AE336" s="25" t="s">
        <v>7287</v>
      </c>
      <c r="AF336" s="340" t="s">
        <v>7140</v>
      </c>
      <c r="AG336" s="340" t="s">
        <v>7140</v>
      </c>
      <c r="AH336" s="58"/>
      <c r="AL336" s="364"/>
    </row>
    <row r="337" spans="1:38">
      <c r="A337" s="176"/>
      <c r="B337" s="176" t="s">
        <v>745</v>
      </c>
      <c r="C337" s="184" t="s">
        <v>1691</v>
      </c>
      <c r="D337" s="178">
        <v>25</v>
      </c>
      <c r="E337" s="176" t="s">
        <v>4</v>
      </c>
      <c r="F337" s="178">
        <v>2.6</v>
      </c>
      <c r="G337" s="74">
        <f>+F337</f>
        <v>2.6</v>
      </c>
      <c r="H337" s="185">
        <v>44994</v>
      </c>
      <c r="I337" s="176" t="s">
        <v>5159</v>
      </c>
      <c r="J337" s="176" t="s">
        <v>2636</v>
      </c>
      <c r="K337" s="176" t="s">
        <v>2308</v>
      </c>
      <c r="L337" s="176" t="s">
        <v>2635</v>
      </c>
      <c r="M337" s="191">
        <v>44013</v>
      </c>
      <c r="N337" s="176"/>
      <c r="O337" s="176" t="s">
        <v>2634</v>
      </c>
      <c r="P337" s="179" t="s">
        <v>4</v>
      </c>
      <c r="Q337" s="179" t="s">
        <v>2633</v>
      </c>
      <c r="R337" s="179"/>
      <c r="S337" s="179" t="s">
        <v>278</v>
      </c>
      <c r="T337" s="179" t="s">
        <v>1</v>
      </c>
      <c r="U337" s="179" t="s">
        <v>748</v>
      </c>
      <c r="V337" s="176" t="s">
        <v>1</v>
      </c>
      <c r="W337" s="176" t="s">
        <v>1</v>
      </c>
      <c r="X337" s="176" t="s">
        <v>1</v>
      </c>
      <c r="Y337" s="176" t="s">
        <v>1</v>
      </c>
      <c r="Z337" s="176" t="s">
        <v>1</v>
      </c>
      <c r="AA337" s="176" t="s">
        <v>1</v>
      </c>
      <c r="AB337" s="176" t="s">
        <v>6598</v>
      </c>
      <c r="AC337" s="176" t="s">
        <v>6606</v>
      </c>
      <c r="AD337" s="176" t="s">
        <v>6606</v>
      </c>
      <c r="AE337" s="25" t="s">
        <v>5160</v>
      </c>
      <c r="AF337" s="63">
        <v>0.93803700000000001</v>
      </c>
      <c r="AG337" s="68">
        <v>0.23333333333333331</v>
      </c>
      <c r="AH337" s="63">
        <v>0.85072199999999998</v>
      </c>
      <c r="AI337" s="68">
        <v>0.19375000000000001</v>
      </c>
      <c r="AJ337" s="68"/>
      <c r="AK337" s="68"/>
      <c r="AL337" s="364">
        <f t="shared" ref="AL337" si="5">+AH337/AF337-1</f>
        <v>-9.3082682239613135E-2</v>
      </c>
    </row>
    <row r="338" spans="1:38" s="176" customFormat="1">
      <c r="B338" s="176" t="s">
        <v>2632</v>
      </c>
      <c r="C338" s="184" t="s">
        <v>1691</v>
      </c>
      <c r="D338" s="178">
        <v>25</v>
      </c>
      <c r="E338" s="176" t="s">
        <v>1</v>
      </c>
      <c r="F338" s="178" t="s">
        <v>1</v>
      </c>
      <c r="G338" s="178"/>
      <c r="H338" s="177" t="s">
        <v>1</v>
      </c>
      <c r="I338" s="176" t="s">
        <v>2631</v>
      </c>
      <c r="K338" s="176" t="s">
        <v>2045</v>
      </c>
      <c r="L338" s="176" t="s">
        <v>2630</v>
      </c>
      <c r="M338" s="176">
        <v>2020</v>
      </c>
      <c r="O338" s="176" t="s">
        <v>1</v>
      </c>
      <c r="P338" s="176" t="s">
        <v>1</v>
      </c>
      <c r="Q338" s="176" t="s">
        <v>1</v>
      </c>
      <c r="R338" s="176" t="s">
        <v>1</v>
      </c>
      <c r="S338" s="176" t="s">
        <v>1</v>
      </c>
      <c r="T338" s="176" t="s">
        <v>1</v>
      </c>
      <c r="U338" s="176" t="s">
        <v>1</v>
      </c>
      <c r="V338" s="176" t="s">
        <v>1</v>
      </c>
      <c r="W338" s="176" t="s">
        <v>1</v>
      </c>
      <c r="X338" s="176" t="s">
        <v>1</v>
      </c>
      <c r="Y338" s="176" t="s">
        <v>1</v>
      </c>
      <c r="Z338" s="176" t="s">
        <v>1</v>
      </c>
      <c r="AA338" s="176" t="s">
        <v>1</v>
      </c>
      <c r="AB338" s="176" t="s">
        <v>2629</v>
      </c>
      <c r="AF338" s="340" t="s">
        <v>7140</v>
      </c>
      <c r="AG338" s="340" t="s">
        <v>7140</v>
      </c>
      <c r="AH338" s="58"/>
      <c r="AL338" s="364"/>
    </row>
    <row r="339" spans="1:38" s="274" customFormat="1">
      <c r="B339" s="274" t="s">
        <v>1575</v>
      </c>
      <c r="C339" s="393" t="s">
        <v>1691</v>
      </c>
      <c r="D339" s="324">
        <v>25</v>
      </c>
      <c r="E339" s="392" t="s">
        <v>4</v>
      </c>
      <c r="F339" s="324">
        <v>4</v>
      </c>
      <c r="G339" s="324">
        <f>+F339</f>
        <v>4</v>
      </c>
      <c r="H339" s="325">
        <v>44827</v>
      </c>
      <c r="I339" s="392" t="s">
        <v>9731</v>
      </c>
      <c r="J339" s="392" t="s">
        <v>9728</v>
      </c>
      <c r="K339" s="392" t="s">
        <v>2045</v>
      </c>
      <c r="L339" s="392" t="s">
        <v>2630</v>
      </c>
      <c r="M339" s="274">
        <v>2021</v>
      </c>
      <c r="N339" s="392" t="s">
        <v>9733</v>
      </c>
      <c r="O339" s="392" t="s">
        <v>9732</v>
      </c>
      <c r="P339" s="392" t="s">
        <v>1</v>
      </c>
      <c r="Q339" s="392" t="s">
        <v>1</v>
      </c>
      <c r="R339" s="392" t="s">
        <v>1</v>
      </c>
      <c r="S339" s="392" t="s">
        <v>1</v>
      </c>
      <c r="T339" s="392" t="s">
        <v>1</v>
      </c>
      <c r="U339" s="392" t="s">
        <v>1</v>
      </c>
      <c r="V339" s="392" t="s">
        <v>1</v>
      </c>
      <c r="W339" s="392" t="s">
        <v>1</v>
      </c>
      <c r="X339" s="392" t="s">
        <v>1</v>
      </c>
      <c r="Y339" s="392" t="s">
        <v>1</v>
      </c>
      <c r="Z339" s="392" t="s">
        <v>1</v>
      </c>
      <c r="AA339" s="392" t="s">
        <v>1</v>
      </c>
      <c r="AB339" s="392" t="s">
        <v>6598</v>
      </c>
      <c r="AC339" s="392" t="s">
        <v>6606</v>
      </c>
      <c r="AD339" s="392" t="s">
        <v>6606</v>
      </c>
      <c r="AE339" s="25" t="s">
        <v>9729</v>
      </c>
    </row>
    <row r="340" spans="1:38" s="176" customFormat="1">
      <c r="B340" s="176" t="s">
        <v>341</v>
      </c>
      <c r="C340" s="184" t="s">
        <v>1691</v>
      </c>
      <c r="D340" s="178">
        <v>20</v>
      </c>
      <c r="E340" s="176" t="s">
        <v>4</v>
      </c>
      <c r="F340" s="178">
        <v>3.5</v>
      </c>
      <c r="G340" s="178"/>
      <c r="H340" s="185">
        <v>44636</v>
      </c>
      <c r="I340" s="176" t="s">
        <v>2628</v>
      </c>
      <c r="J340" s="176" t="s">
        <v>2627</v>
      </c>
      <c r="K340" s="176" t="s">
        <v>2045</v>
      </c>
      <c r="L340" s="176" t="s">
        <v>2626</v>
      </c>
      <c r="M340" s="176">
        <v>2019</v>
      </c>
      <c r="O340" s="176" t="s">
        <v>2625</v>
      </c>
      <c r="P340" s="179" t="s">
        <v>278</v>
      </c>
      <c r="Q340" s="179">
        <v>0.75</v>
      </c>
      <c r="R340" s="179" t="s">
        <v>2624</v>
      </c>
      <c r="S340" s="179" t="s">
        <v>278</v>
      </c>
      <c r="T340" s="179">
        <v>0.12</v>
      </c>
      <c r="U340" s="179" t="s">
        <v>639</v>
      </c>
      <c r="V340" s="179" t="s">
        <v>1</v>
      </c>
      <c r="W340" s="179" t="s">
        <v>1</v>
      </c>
      <c r="X340" s="179" t="s">
        <v>1</v>
      </c>
      <c r="Y340" s="179" t="s">
        <v>1</v>
      </c>
      <c r="Z340" s="179" t="s">
        <v>1</v>
      </c>
      <c r="AA340" s="179" t="s">
        <v>1</v>
      </c>
      <c r="AB340" s="176" t="s">
        <v>6598</v>
      </c>
      <c r="AC340" s="176" t="s">
        <v>6600</v>
      </c>
      <c r="AD340" s="176" t="s">
        <v>2900</v>
      </c>
      <c r="AF340" s="340" t="s">
        <v>7140</v>
      </c>
      <c r="AG340" s="340" t="s">
        <v>7140</v>
      </c>
      <c r="AH340" s="58"/>
      <c r="AL340" s="364"/>
    </row>
    <row r="341" spans="1:38" s="176" customFormat="1">
      <c r="B341" s="176" t="s">
        <v>2623</v>
      </c>
      <c r="C341" s="184" t="s">
        <v>1691</v>
      </c>
      <c r="D341" s="178">
        <v>20</v>
      </c>
      <c r="E341" s="176" t="s">
        <v>4</v>
      </c>
      <c r="F341" s="178">
        <v>4</v>
      </c>
      <c r="G341" s="178"/>
      <c r="H341" s="185">
        <v>44332</v>
      </c>
      <c r="J341" s="176" t="s">
        <v>2622</v>
      </c>
      <c r="K341" s="176" t="s">
        <v>2045</v>
      </c>
      <c r="L341" s="176" t="s">
        <v>2524</v>
      </c>
      <c r="M341" s="176">
        <v>2018</v>
      </c>
      <c r="O341" s="176" t="s">
        <v>487</v>
      </c>
      <c r="P341" s="179" t="s">
        <v>4</v>
      </c>
      <c r="Q341" s="179">
        <v>2</v>
      </c>
      <c r="R341" s="179" t="s">
        <v>2621</v>
      </c>
      <c r="S341" s="179" t="s">
        <v>278</v>
      </c>
      <c r="T341" s="179" t="s">
        <v>1</v>
      </c>
      <c r="U341" s="179" t="s">
        <v>2620</v>
      </c>
      <c r="V341" s="179" t="s">
        <v>1</v>
      </c>
      <c r="W341" s="179" t="s">
        <v>1</v>
      </c>
      <c r="X341" s="179" t="s">
        <v>1</v>
      </c>
      <c r="Y341" s="179" t="s">
        <v>1</v>
      </c>
      <c r="Z341" s="179" t="s">
        <v>1</v>
      </c>
      <c r="AA341" s="179" t="s">
        <v>1</v>
      </c>
      <c r="AB341" s="176" t="s">
        <v>6624</v>
      </c>
      <c r="AD341" s="176" t="s">
        <v>2904</v>
      </c>
      <c r="AE341" s="25" t="s">
        <v>5142</v>
      </c>
      <c r="AF341" s="340" t="s">
        <v>7140</v>
      </c>
      <c r="AG341" s="340" t="s">
        <v>7140</v>
      </c>
      <c r="AH341" s="58"/>
      <c r="AL341" s="364"/>
    </row>
    <row r="342" spans="1:38" s="176" customFormat="1">
      <c r="B342" s="176" t="s">
        <v>509</v>
      </c>
      <c r="C342" s="184" t="s">
        <v>1691</v>
      </c>
      <c r="D342" s="178">
        <v>20</v>
      </c>
      <c r="E342" s="176" t="s">
        <v>4</v>
      </c>
      <c r="F342" s="178">
        <v>3</v>
      </c>
      <c r="G342" s="178"/>
      <c r="H342" s="185">
        <v>45037</v>
      </c>
      <c r="I342" s="176" t="s">
        <v>2619</v>
      </c>
      <c r="J342" s="176" t="s">
        <v>2618</v>
      </c>
      <c r="K342" s="176" t="s">
        <v>2045</v>
      </c>
      <c r="L342" s="176" t="s">
        <v>2617</v>
      </c>
      <c r="M342" s="176">
        <v>2021</v>
      </c>
      <c r="O342" s="176" t="s">
        <v>2616</v>
      </c>
      <c r="P342" s="179" t="s">
        <v>278</v>
      </c>
      <c r="Q342" s="179">
        <v>1.2</v>
      </c>
      <c r="R342" s="179" t="s">
        <v>2615</v>
      </c>
      <c r="S342" s="179" t="s">
        <v>1</v>
      </c>
      <c r="T342" s="179" t="s">
        <v>1</v>
      </c>
      <c r="U342" s="179" t="s">
        <v>1</v>
      </c>
      <c r="V342" s="179" t="s">
        <v>1</v>
      </c>
      <c r="W342" s="179" t="s">
        <v>1</v>
      </c>
      <c r="X342" s="179" t="s">
        <v>1</v>
      </c>
      <c r="Y342" s="179" t="s">
        <v>1</v>
      </c>
      <c r="Z342" s="179" t="s">
        <v>1</v>
      </c>
      <c r="AA342" s="179" t="s">
        <v>1</v>
      </c>
      <c r="AB342" s="176" t="s">
        <v>6598</v>
      </c>
      <c r="AC342" s="176" t="s">
        <v>6605</v>
      </c>
      <c r="AD342" s="176" t="s">
        <v>2352</v>
      </c>
      <c r="AF342" s="340" t="s">
        <v>7140</v>
      </c>
      <c r="AG342" s="340" t="s">
        <v>7140</v>
      </c>
      <c r="AH342" s="58"/>
      <c r="AL342" s="364"/>
    </row>
    <row r="343" spans="1:38" s="176" customFormat="1">
      <c r="B343" s="176" t="s">
        <v>283</v>
      </c>
      <c r="C343" s="184" t="s">
        <v>1691</v>
      </c>
      <c r="D343" s="178">
        <v>20</v>
      </c>
      <c r="E343" s="176" t="s">
        <v>4</v>
      </c>
      <c r="F343" s="178">
        <v>2.6</v>
      </c>
      <c r="G343" s="178"/>
      <c r="H343" s="185">
        <v>45008</v>
      </c>
      <c r="J343" s="176" t="s">
        <v>2614</v>
      </c>
      <c r="K343" s="176" t="s">
        <v>2045</v>
      </c>
      <c r="L343" s="176" t="s">
        <v>2302</v>
      </c>
      <c r="M343" s="176">
        <v>2019</v>
      </c>
      <c r="O343" s="176" t="s">
        <v>2613</v>
      </c>
      <c r="P343" s="179" t="s">
        <v>1</v>
      </c>
      <c r="Q343" s="179" t="s">
        <v>1</v>
      </c>
      <c r="R343" s="179" t="s">
        <v>1</v>
      </c>
      <c r="S343" s="179" t="s">
        <v>1</v>
      </c>
      <c r="T343" s="179" t="s">
        <v>1</v>
      </c>
      <c r="U343" s="179" t="s">
        <v>1</v>
      </c>
      <c r="V343" s="179" t="s">
        <v>1</v>
      </c>
      <c r="W343" s="179" t="s">
        <v>1</v>
      </c>
      <c r="X343" s="179" t="s">
        <v>1</v>
      </c>
      <c r="Y343" s="179" t="s">
        <v>1</v>
      </c>
      <c r="Z343" s="179" t="s">
        <v>1</v>
      </c>
      <c r="AA343" s="179" t="s">
        <v>1</v>
      </c>
      <c r="AB343" s="176" t="s">
        <v>6598</v>
      </c>
      <c r="AC343" s="176" t="s">
        <v>6600</v>
      </c>
      <c r="AD343" s="176" t="s">
        <v>6646</v>
      </c>
      <c r="AF343" s="340" t="s">
        <v>7140</v>
      </c>
      <c r="AG343" s="340" t="s">
        <v>7140</v>
      </c>
      <c r="AH343" s="58"/>
      <c r="AL343" s="364"/>
    </row>
    <row r="344" spans="1:38" s="176" customFormat="1">
      <c r="B344" s="176" t="s">
        <v>277</v>
      </c>
      <c r="C344" s="184" t="s">
        <v>1691</v>
      </c>
      <c r="D344" s="178">
        <v>20</v>
      </c>
      <c r="E344" s="176" t="s">
        <v>4</v>
      </c>
      <c r="F344" s="178">
        <v>0.125</v>
      </c>
      <c r="G344" s="178"/>
      <c r="H344" s="185">
        <v>44265</v>
      </c>
      <c r="I344" s="176" t="s">
        <v>2612</v>
      </c>
      <c r="J344" s="176" t="s">
        <v>2611</v>
      </c>
      <c r="K344" s="176" t="s">
        <v>2045</v>
      </c>
      <c r="L344" s="176" t="s">
        <v>2071</v>
      </c>
      <c r="M344" s="176">
        <v>2020</v>
      </c>
      <c r="O344" s="176" t="s">
        <v>2610</v>
      </c>
      <c r="P344" s="179" t="s">
        <v>278</v>
      </c>
      <c r="Q344" s="179">
        <v>0.2</v>
      </c>
      <c r="R344" s="179" t="s">
        <v>2609</v>
      </c>
      <c r="S344" s="179" t="s">
        <v>1</v>
      </c>
      <c r="T344" s="179" t="s">
        <v>1</v>
      </c>
      <c r="U344" s="179" t="s">
        <v>1</v>
      </c>
      <c r="V344" s="179" t="s">
        <v>1</v>
      </c>
      <c r="W344" s="179" t="s">
        <v>1</v>
      </c>
      <c r="X344" s="179" t="s">
        <v>1</v>
      </c>
      <c r="Y344" s="179" t="s">
        <v>1</v>
      </c>
      <c r="Z344" s="179" t="s">
        <v>1</v>
      </c>
      <c r="AA344" s="179" t="s">
        <v>1</v>
      </c>
      <c r="AB344" s="176" t="s">
        <v>6598</v>
      </c>
      <c r="AC344" s="176" t="s">
        <v>2690</v>
      </c>
      <c r="AD344" s="176" t="s">
        <v>6645</v>
      </c>
      <c r="AE344" s="25" t="s">
        <v>2608</v>
      </c>
      <c r="AF344" s="340" t="s">
        <v>7140</v>
      </c>
      <c r="AG344" s="340" t="s">
        <v>7140</v>
      </c>
      <c r="AH344" s="59"/>
      <c r="AL344" s="364"/>
    </row>
    <row r="345" spans="1:38">
      <c r="B345" s="238" t="s">
        <v>7580</v>
      </c>
      <c r="C345" s="237" t="s">
        <v>1691</v>
      </c>
      <c r="D345" s="72">
        <v>20</v>
      </c>
      <c r="E345" s="238" t="s">
        <v>4</v>
      </c>
      <c r="F345" s="72">
        <v>2.2000000000000002</v>
      </c>
      <c r="G345" s="72">
        <f>F345</f>
        <v>2.2000000000000002</v>
      </c>
      <c r="H345" s="78">
        <v>43544</v>
      </c>
      <c r="I345" s="238" t="s">
        <v>7585</v>
      </c>
      <c r="J345" s="238" t="s">
        <v>7582</v>
      </c>
      <c r="K345" s="238" t="s">
        <v>2045</v>
      </c>
      <c r="L345" s="238" t="s">
        <v>3387</v>
      </c>
      <c r="M345" s="72">
        <v>2014</v>
      </c>
      <c r="O345" s="238" t="s">
        <v>7584</v>
      </c>
      <c r="P345" s="238" t="s">
        <v>1</v>
      </c>
      <c r="Q345" s="238" t="s">
        <v>1</v>
      </c>
      <c r="R345" s="238" t="s">
        <v>1</v>
      </c>
      <c r="S345" s="238" t="s">
        <v>1</v>
      </c>
      <c r="T345" s="238" t="s">
        <v>1</v>
      </c>
      <c r="U345" s="238" t="s">
        <v>1</v>
      </c>
      <c r="V345" s="238" t="s">
        <v>1</v>
      </c>
      <c r="W345" s="238" t="s">
        <v>1</v>
      </c>
      <c r="X345" s="238" t="s">
        <v>1</v>
      </c>
      <c r="Y345" s="238" t="s">
        <v>1</v>
      </c>
      <c r="Z345" s="238" t="s">
        <v>1</v>
      </c>
      <c r="AA345" s="238" t="s">
        <v>1</v>
      </c>
      <c r="AB345" s="165" t="s">
        <v>6598</v>
      </c>
      <c r="AC345" s="165" t="s">
        <v>6601</v>
      </c>
      <c r="AD345" s="238" t="s">
        <v>6618</v>
      </c>
      <c r="AE345" s="25" t="s">
        <v>7581</v>
      </c>
      <c r="AF345" s="340" t="s">
        <v>7140</v>
      </c>
      <c r="AG345" s="340" t="s">
        <v>7140</v>
      </c>
      <c r="AH345" s="72"/>
      <c r="AL345" s="364"/>
    </row>
    <row r="346" spans="1:38" s="176" customFormat="1">
      <c r="B346" s="176" t="s">
        <v>2607</v>
      </c>
      <c r="C346" s="184" t="s">
        <v>1691</v>
      </c>
      <c r="D346" s="178">
        <v>20</v>
      </c>
      <c r="E346" s="178" t="s">
        <v>1</v>
      </c>
      <c r="F346" s="178" t="s">
        <v>1</v>
      </c>
      <c r="G346" s="178"/>
      <c r="H346" s="178" t="s">
        <v>1</v>
      </c>
      <c r="I346" s="176" t="s">
        <v>2606</v>
      </c>
      <c r="J346" s="176" t="s">
        <v>2605</v>
      </c>
      <c r="K346" s="176" t="s">
        <v>2045</v>
      </c>
      <c r="L346" s="176" t="s">
        <v>2349</v>
      </c>
      <c r="M346" s="176">
        <v>2021</v>
      </c>
      <c r="N346" s="176" t="s">
        <v>2604</v>
      </c>
      <c r="O346" s="176" t="s">
        <v>1</v>
      </c>
      <c r="P346" s="176" t="s">
        <v>1</v>
      </c>
      <c r="Q346" s="176" t="s">
        <v>1</v>
      </c>
      <c r="R346" s="176" t="s">
        <v>1</v>
      </c>
      <c r="S346" s="176" t="s">
        <v>1</v>
      </c>
      <c r="T346" s="176" t="s">
        <v>1</v>
      </c>
      <c r="U346" s="176" t="s">
        <v>1</v>
      </c>
      <c r="V346" s="176" t="s">
        <v>1</v>
      </c>
      <c r="W346" s="176" t="s">
        <v>1</v>
      </c>
      <c r="X346" s="176" t="s">
        <v>1</v>
      </c>
      <c r="Y346" s="176" t="s">
        <v>1</v>
      </c>
      <c r="Z346" s="176" t="s">
        <v>1</v>
      </c>
      <c r="AA346" s="176" t="s">
        <v>1</v>
      </c>
      <c r="AB346" s="176" t="s">
        <v>6598</v>
      </c>
      <c r="AC346" s="176" t="s">
        <v>6601</v>
      </c>
      <c r="AD346" s="176" t="s">
        <v>6609</v>
      </c>
      <c r="AE346" s="25" t="s">
        <v>2603</v>
      </c>
      <c r="AF346" s="340" t="s">
        <v>7140</v>
      </c>
      <c r="AG346" s="340" t="s">
        <v>7140</v>
      </c>
      <c r="AH346" s="59"/>
      <c r="AL346" s="364"/>
    </row>
    <row r="347" spans="1:38" s="176" customFormat="1">
      <c r="B347" s="176" t="s">
        <v>2602</v>
      </c>
      <c r="C347" s="184" t="s">
        <v>1691</v>
      </c>
      <c r="D347" s="178">
        <v>20</v>
      </c>
      <c r="E347" s="178" t="s">
        <v>1</v>
      </c>
      <c r="F347" s="178" t="s">
        <v>1</v>
      </c>
      <c r="G347" s="178"/>
      <c r="H347" s="178" t="s">
        <v>1</v>
      </c>
      <c r="I347" s="176" t="s">
        <v>2601</v>
      </c>
      <c r="K347" s="176" t="s">
        <v>2045</v>
      </c>
      <c r="L347" s="176" t="s">
        <v>2600</v>
      </c>
      <c r="M347" s="177" t="s">
        <v>1</v>
      </c>
      <c r="O347" s="176" t="s">
        <v>1</v>
      </c>
      <c r="P347" s="176" t="s">
        <v>1</v>
      </c>
      <c r="Q347" s="176" t="s">
        <v>1</v>
      </c>
      <c r="R347" s="176" t="s">
        <v>1</v>
      </c>
      <c r="S347" s="176" t="s">
        <v>1</v>
      </c>
      <c r="T347" s="176" t="s">
        <v>1</v>
      </c>
      <c r="U347" s="176" t="s">
        <v>1</v>
      </c>
      <c r="V347" s="176" t="s">
        <v>1</v>
      </c>
      <c r="W347" s="176" t="s">
        <v>1</v>
      </c>
      <c r="X347" s="176" t="s">
        <v>1</v>
      </c>
      <c r="Y347" s="176" t="s">
        <v>1</v>
      </c>
      <c r="Z347" s="176" t="s">
        <v>1</v>
      </c>
      <c r="AA347" s="176" t="s">
        <v>1</v>
      </c>
      <c r="AB347" s="176" t="s">
        <v>2074</v>
      </c>
      <c r="AD347" s="176" t="s">
        <v>2081</v>
      </c>
      <c r="AE347" s="25" t="s">
        <v>2599</v>
      </c>
      <c r="AF347" s="340" t="s">
        <v>7140</v>
      </c>
      <c r="AG347" s="340" t="s">
        <v>7140</v>
      </c>
      <c r="AH347" s="59"/>
      <c r="AL347" s="364"/>
    </row>
    <row r="348" spans="1:38" s="176" customFormat="1">
      <c r="B348" s="176" t="s">
        <v>4226</v>
      </c>
      <c r="C348" s="184" t="s">
        <v>1691</v>
      </c>
      <c r="D348" s="178">
        <v>20</v>
      </c>
      <c r="E348" s="189" t="s">
        <v>278</v>
      </c>
      <c r="F348" s="178">
        <v>1</v>
      </c>
      <c r="G348" s="178"/>
      <c r="H348" s="185">
        <v>44752</v>
      </c>
      <c r="I348" s="176" t="s">
        <v>4228</v>
      </c>
      <c r="J348" s="176" t="s">
        <v>4227</v>
      </c>
      <c r="K348" s="176" t="s">
        <v>1</v>
      </c>
      <c r="L348" s="176" t="s">
        <v>1</v>
      </c>
      <c r="M348" s="176">
        <v>2022</v>
      </c>
      <c r="O348" s="176" t="s">
        <v>1</v>
      </c>
      <c r="P348" s="176" t="s">
        <v>1</v>
      </c>
      <c r="Q348" s="176" t="s">
        <v>1</v>
      </c>
      <c r="R348" s="176" t="s">
        <v>1</v>
      </c>
      <c r="S348" s="176" t="s">
        <v>1</v>
      </c>
      <c r="T348" s="176" t="s">
        <v>1</v>
      </c>
      <c r="U348" s="176" t="s">
        <v>1</v>
      </c>
      <c r="V348" s="176" t="s">
        <v>1</v>
      </c>
      <c r="W348" s="176" t="s">
        <v>1</v>
      </c>
      <c r="X348" s="176" t="s">
        <v>1</v>
      </c>
      <c r="Y348" s="176" t="s">
        <v>1</v>
      </c>
      <c r="Z348" s="176" t="s">
        <v>1</v>
      </c>
      <c r="AA348" s="176" t="s">
        <v>1</v>
      </c>
      <c r="AB348" s="176" t="s">
        <v>6598</v>
      </c>
      <c r="AC348" s="176" t="s">
        <v>6606</v>
      </c>
      <c r="AD348" s="176" t="s">
        <v>6606</v>
      </c>
      <c r="AE348" s="25" t="s">
        <v>5016</v>
      </c>
      <c r="AF348" s="340" t="s">
        <v>7140</v>
      </c>
      <c r="AG348" s="340" t="s">
        <v>7140</v>
      </c>
      <c r="AH348" s="59"/>
      <c r="AL348" s="364"/>
    </row>
    <row r="349" spans="1:38">
      <c r="A349" s="176"/>
      <c r="B349" s="176" t="s">
        <v>2598</v>
      </c>
      <c r="C349" s="184" t="s">
        <v>1691</v>
      </c>
      <c r="D349" s="178">
        <v>20</v>
      </c>
      <c r="E349" s="176" t="s">
        <v>278</v>
      </c>
      <c r="F349" s="178">
        <v>1.7</v>
      </c>
      <c r="G349" s="178"/>
      <c r="H349" s="185">
        <v>44852</v>
      </c>
      <c r="I349" s="176" t="s">
        <v>2597</v>
      </c>
      <c r="J349" s="176"/>
      <c r="K349" s="176" t="s">
        <v>2045</v>
      </c>
      <c r="L349" s="176" t="s">
        <v>2569</v>
      </c>
      <c r="M349" s="176">
        <v>2021</v>
      </c>
      <c r="N349" s="176"/>
      <c r="O349" s="176" t="s">
        <v>2596</v>
      </c>
      <c r="P349" s="179" t="s">
        <v>1</v>
      </c>
      <c r="Q349" s="179" t="s">
        <v>1</v>
      </c>
      <c r="R349" s="179" t="s">
        <v>1</v>
      </c>
      <c r="S349" s="179" t="s">
        <v>1</v>
      </c>
      <c r="T349" s="179" t="s">
        <v>1</v>
      </c>
      <c r="U349" s="179" t="s">
        <v>1</v>
      </c>
      <c r="V349" s="179" t="s">
        <v>1</v>
      </c>
      <c r="W349" s="179" t="s">
        <v>1</v>
      </c>
      <c r="X349" s="179" t="s">
        <v>1</v>
      </c>
      <c r="Y349" s="179" t="s">
        <v>1</v>
      </c>
      <c r="Z349" s="179" t="s">
        <v>1</v>
      </c>
      <c r="AA349" s="179" t="s">
        <v>1</v>
      </c>
      <c r="AB349" s="176" t="s">
        <v>2595</v>
      </c>
      <c r="AC349" s="176"/>
      <c r="AD349" s="176"/>
      <c r="AE349" s="176"/>
      <c r="AF349" s="340" t="s">
        <v>7140</v>
      </c>
      <c r="AG349" s="340" t="s">
        <v>7140</v>
      </c>
      <c r="AI349" s="176"/>
      <c r="AJ349" s="176"/>
      <c r="AK349" s="176"/>
      <c r="AL349" s="364"/>
    </row>
    <row r="350" spans="1:38">
      <c r="A350" s="176"/>
      <c r="B350" s="176" t="s">
        <v>2026</v>
      </c>
      <c r="C350" s="184" t="s">
        <v>1691</v>
      </c>
      <c r="D350" s="178">
        <v>20</v>
      </c>
      <c r="E350" s="176" t="s">
        <v>1</v>
      </c>
      <c r="F350" s="178" t="s">
        <v>1</v>
      </c>
      <c r="G350" s="178" t="s">
        <v>1</v>
      </c>
      <c r="H350" s="178" t="s">
        <v>1</v>
      </c>
      <c r="I350" s="176" t="s">
        <v>6715</v>
      </c>
      <c r="J350" s="176" t="s">
        <v>6712</v>
      </c>
      <c r="K350" s="176" t="s">
        <v>2045</v>
      </c>
      <c r="L350" s="176" t="s">
        <v>2630</v>
      </c>
      <c r="M350" s="176">
        <v>2016</v>
      </c>
      <c r="N350" s="176"/>
      <c r="O350" s="176" t="s">
        <v>1</v>
      </c>
      <c r="P350" s="176" t="s">
        <v>1</v>
      </c>
      <c r="Q350" s="176" t="s">
        <v>1</v>
      </c>
      <c r="R350" s="176" t="s">
        <v>1</v>
      </c>
      <c r="S350" s="176" t="s">
        <v>1</v>
      </c>
      <c r="T350" s="176" t="s">
        <v>1</v>
      </c>
      <c r="U350" s="176" t="s">
        <v>1</v>
      </c>
      <c r="V350" s="176" t="s">
        <v>1</v>
      </c>
      <c r="W350" s="176" t="s">
        <v>1</v>
      </c>
      <c r="X350" s="176" t="s">
        <v>1</v>
      </c>
      <c r="Y350" s="176" t="s">
        <v>1</v>
      </c>
      <c r="Z350" s="176" t="s">
        <v>1</v>
      </c>
      <c r="AA350" s="176" t="s">
        <v>1</v>
      </c>
      <c r="AB350" s="176" t="s">
        <v>6598</v>
      </c>
      <c r="AC350" s="176" t="s">
        <v>6601</v>
      </c>
      <c r="AD350" s="176" t="s">
        <v>6713</v>
      </c>
      <c r="AE350" s="25" t="s">
        <v>6714</v>
      </c>
      <c r="AF350" s="340" t="s">
        <v>7140</v>
      </c>
      <c r="AG350" s="340" t="s">
        <v>7140</v>
      </c>
      <c r="AI350" s="176"/>
      <c r="AJ350" s="176"/>
      <c r="AK350" s="176"/>
      <c r="AL350" s="364"/>
    </row>
    <row r="351" spans="1:38">
      <c r="A351" s="176"/>
      <c r="B351" s="176" t="s">
        <v>2024</v>
      </c>
      <c r="C351" s="184" t="s">
        <v>1691</v>
      </c>
      <c r="D351" s="178">
        <v>20</v>
      </c>
      <c r="E351" s="178" t="s">
        <v>1</v>
      </c>
      <c r="F351" s="178" t="s">
        <v>1</v>
      </c>
      <c r="G351" s="178" t="s">
        <v>1</v>
      </c>
      <c r="H351" s="178" t="s">
        <v>1</v>
      </c>
      <c r="I351" s="176" t="s">
        <v>6717</v>
      </c>
      <c r="J351" s="176" t="s">
        <v>6720</v>
      </c>
      <c r="K351" s="176" t="s">
        <v>2045</v>
      </c>
      <c r="L351" s="176" t="s">
        <v>6718</v>
      </c>
      <c r="M351" s="176">
        <v>2021</v>
      </c>
      <c r="N351" s="176"/>
      <c r="O351" s="176" t="s">
        <v>1</v>
      </c>
      <c r="P351" s="176" t="s">
        <v>1</v>
      </c>
      <c r="Q351" s="176" t="s">
        <v>1</v>
      </c>
      <c r="R351" s="176" t="s">
        <v>1</v>
      </c>
      <c r="S351" s="176" t="s">
        <v>1</v>
      </c>
      <c r="T351" s="176" t="s">
        <v>1</v>
      </c>
      <c r="U351" s="176" t="s">
        <v>1</v>
      </c>
      <c r="V351" s="176" t="s">
        <v>1</v>
      </c>
      <c r="W351" s="176" t="s">
        <v>1</v>
      </c>
      <c r="X351" s="176" t="s">
        <v>1</v>
      </c>
      <c r="Y351" s="176" t="s">
        <v>1</v>
      </c>
      <c r="Z351" s="176" t="s">
        <v>1</v>
      </c>
      <c r="AA351" s="176" t="s">
        <v>1</v>
      </c>
      <c r="AB351" s="176" t="s">
        <v>6598</v>
      </c>
      <c r="AC351" s="176" t="s">
        <v>6601</v>
      </c>
      <c r="AD351" s="176" t="s">
        <v>6608</v>
      </c>
      <c r="AE351" s="25" t="s">
        <v>6719</v>
      </c>
      <c r="AF351" s="340" t="s">
        <v>7140</v>
      </c>
      <c r="AG351" s="340" t="s">
        <v>7140</v>
      </c>
      <c r="AI351" s="176"/>
      <c r="AJ351" s="176"/>
      <c r="AK351" s="176"/>
      <c r="AL351" s="364"/>
    </row>
    <row r="352" spans="1:38">
      <c r="B352" s="72" t="s">
        <v>2005</v>
      </c>
      <c r="C352" s="237" t="s">
        <v>1691</v>
      </c>
      <c r="D352" s="238">
        <v>20</v>
      </c>
      <c r="E352" s="238" t="s">
        <v>4</v>
      </c>
      <c r="F352" s="238" t="s">
        <v>1</v>
      </c>
      <c r="G352" s="238" t="s">
        <v>1</v>
      </c>
      <c r="H352" s="78">
        <v>42744</v>
      </c>
      <c r="I352" s="238" t="s">
        <v>7587</v>
      </c>
      <c r="J352" s="238" t="s">
        <v>7589</v>
      </c>
      <c r="K352" s="238" t="s">
        <v>2045</v>
      </c>
      <c r="L352" s="238" t="s">
        <v>2142</v>
      </c>
      <c r="M352" s="72">
        <v>2011</v>
      </c>
      <c r="O352" s="238" t="s">
        <v>1</v>
      </c>
      <c r="P352" s="238" t="s">
        <v>1</v>
      </c>
      <c r="Q352" s="238" t="s">
        <v>1</v>
      </c>
      <c r="R352" s="238" t="s">
        <v>1</v>
      </c>
      <c r="S352" s="238" t="s">
        <v>1</v>
      </c>
      <c r="T352" s="238" t="s">
        <v>1</v>
      </c>
      <c r="U352" s="238" t="s">
        <v>1</v>
      </c>
      <c r="V352" s="238" t="s">
        <v>1</v>
      </c>
      <c r="W352" s="238" t="s">
        <v>1</v>
      </c>
      <c r="X352" s="238" t="s">
        <v>1</v>
      </c>
      <c r="Y352" s="238" t="s">
        <v>1</v>
      </c>
      <c r="Z352" s="238" t="s">
        <v>1</v>
      </c>
      <c r="AA352" s="238" t="s">
        <v>1</v>
      </c>
      <c r="AB352" s="165" t="s">
        <v>6598</v>
      </c>
      <c r="AC352" s="165" t="s">
        <v>6601</v>
      </c>
      <c r="AD352" s="238" t="s">
        <v>6609</v>
      </c>
      <c r="AE352" s="25" t="s">
        <v>7588</v>
      </c>
      <c r="AF352" s="340" t="s">
        <v>7140</v>
      </c>
      <c r="AG352" s="340" t="s">
        <v>7140</v>
      </c>
      <c r="AH352" s="72"/>
      <c r="AL352" s="364"/>
    </row>
    <row r="353" spans="1:38">
      <c r="A353" s="176"/>
      <c r="B353" s="176" t="s">
        <v>122</v>
      </c>
      <c r="C353" s="184" t="s">
        <v>1691</v>
      </c>
      <c r="D353" s="178">
        <v>10</v>
      </c>
      <c r="E353" s="176" t="s">
        <v>4</v>
      </c>
      <c r="F353" s="178">
        <v>2</v>
      </c>
      <c r="G353" s="178"/>
      <c r="H353" s="185">
        <v>44658</v>
      </c>
      <c r="I353" s="176" t="s">
        <v>2594</v>
      </c>
      <c r="J353" s="176" t="s">
        <v>2593</v>
      </c>
      <c r="K353" s="176" t="s">
        <v>2045</v>
      </c>
      <c r="L353" s="176" t="s">
        <v>2524</v>
      </c>
      <c r="M353" s="176">
        <v>2019</v>
      </c>
      <c r="N353" s="176"/>
      <c r="O353" s="176" t="s">
        <v>2592</v>
      </c>
      <c r="P353" s="179" t="s">
        <v>4</v>
      </c>
      <c r="Q353" s="179">
        <v>4.5</v>
      </c>
      <c r="R353" s="179" t="s">
        <v>2591</v>
      </c>
      <c r="S353" s="179" t="s">
        <v>4</v>
      </c>
      <c r="T353" s="179">
        <v>0.35</v>
      </c>
      <c r="U353" s="179" t="s">
        <v>123</v>
      </c>
      <c r="V353" s="179" t="s">
        <v>1</v>
      </c>
      <c r="W353" s="179" t="s">
        <v>1</v>
      </c>
      <c r="X353" s="179" t="s">
        <v>1</v>
      </c>
      <c r="Y353" s="179" t="s">
        <v>1</v>
      </c>
      <c r="Z353" s="179" t="s">
        <v>1</v>
      </c>
      <c r="AA353" s="179" t="s">
        <v>1</v>
      </c>
      <c r="AB353" s="176" t="s">
        <v>6598</v>
      </c>
      <c r="AC353" s="176" t="s">
        <v>6601</v>
      </c>
      <c r="AD353" s="176" t="s">
        <v>6644</v>
      </c>
      <c r="AE353" s="25" t="s">
        <v>4467</v>
      </c>
      <c r="AF353" s="340" t="s">
        <v>7140</v>
      </c>
      <c r="AG353" s="340" t="s">
        <v>7140</v>
      </c>
      <c r="AH353" s="59"/>
      <c r="AI353" s="176"/>
      <c r="AJ353" s="176"/>
      <c r="AK353" s="176"/>
      <c r="AL353" s="364"/>
    </row>
    <row r="354" spans="1:38">
      <c r="A354" s="176"/>
      <c r="B354" s="176" t="s">
        <v>2590</v>
      </c>
      <c r="C354" s="184" t="s">
        <v>1691</v>
      </c>
      <c r="D354" s="178">
        <v>10</v>
      </c>
      <c r="E354" s="176" t="s">
        <v>4</v>
      </c>
      <c r="F354" s="178">
        <v>3</v>
      </c>
      <c r="G354" s="178"/>
      <c r="H354" s="185">
        <v>44348</v>
      </c>
      <c r="I354" s="176" t="s">
        <v>2589</v>
      </c>
      <c r="J354" s="176"/>
      <c r="K354" s="176" t="s">
        <v>2308</v>
      </c>
      <c r="L354" s="176" t="s">
        <v>2062</v>
      </c>
      <c r="M354" s="190">
        <v>44166</v>
      </c>
      <c r="N354" s="176"/>
      <c r="O354" s="176" t="s">
        <v>2588</v>
      </c>
      <c r="P354" s="179" t="s">
        <v>278</v>
      </c>
      <c r="Q354" s="179">
        <v>0.5</v>
      </c>
      <c r="R354" s="179" t="s">
        <v>1</v>
      </c>
      <c r="S354" s="179" t="s">
        <v>1</v>
      </c>
      <c r="T354" s="179" t="s">
        <v>1</v>
      </c>
      <c r="U354" s="179" t="s">
        <v>1</v>
      </c>
      <c r="V354" s="179" t="s">
        <v>1</v>
      </c>
      <c r="W354" s="179" t="s">
        <v>1</v>
      </c>
      <c r="X354" s="179" t="s">
        <v>1</v>
      </c>
      <c r="Y354" s="179" t="s">
        <v>1</v>
      </c>
      <c r="Z354" s="179" t="s">
        <v>1</v>
      </c>
      <c r="AA354" s="179" t="s">
        <v>1</v>
      </c>
      <c r="AB354" s="176" t="s">
        <v>6643</v>
      </c>
      <c r="AC354" s="176"/>
      <c r="AD354" s="176" t="s">
        <v>6642</v>
      </c>
      <c r="AE354" s="176"/>
      <c r="AF354" s="340" t="s">
        <v>7140</v>
      </c>
      <c r="AG354" s="340" t="s">
        <v>7140</v>
      </c>
      <c r="AI354" s="176"/>
      <c r="AJ354" s="176"/>
      <c r="AK354" s="176"/>
      <c r="AL354" s="364"/>
    </row>
    <row r="355" spans="1:38">
      <c r="B355" s="72" t="s">
        <v>2011</v>
      </c>
      <c r="C355" s="237" t="s">
        <v>1691</v>
      </c>
      <c r="D355" s="72">
        <v>10</v>
      </c>
      <c r="E355" s="238" t="s">
        <v>4</v>
      </c>
      <c r="F355" s="87">
        <v>0.97</v>
      </c>
      <c r="G355" s="248">
        <f>F355</f>
        <v>0.97</v>
      </c>
      <c r="H355" s="78">
        <v>44068</v>
      </c>
      <c r="I355" s="238" t="s">
        <v>2850</v>
      </c>
      <c r="J355" s="238" t="s">
        <v>7413</v>
      </c>
      <c r="K355" s="238" t="s">
        <v>2045</v>
      </c>
      <c r="L355" s="238" t="s">
        <v>2056</v>
      </c>
      <c r="M355" s="78">
        <v>43219</v>
      </c>
      <c r="N355" s="238"/>
      <c r="O355" s="238" t="s">
        <v>7414</v>
      </c>
      <c r="P355" s="238" t="s">
        <v>4</v>
      </c>
      <c r="Q355" s="238" t="s">
        <v>1</v>
      </c>
      <c r="R355" s="238" t="s">
        <v>774</v>
      </c>
      <c r="S355" s="238" t="s">
        <v>1</v>
      </c>
      <c r="T355" s="238" t="s">
        <v>1</v>
      </c>
      <c r="U355" s="238" t="s">
        <v>1</v>
      </c>
      <c r="V355" s="238" t="s">
        <v>1</v>
      </c>
      <c r="W355" s="238" t="s">
        <v>1</v>
      </c>
      <c r="X355" s="238" t="s">
        <v>1</v>
      </c>
      <c r="Y355" s="238" t="s">
        <v>1</v>
      </c>
      <c r="Z355" s="238" t="s">
        <v>1</v>
      </c>
      <c r="AA355" s="238" t="s">
        <v>1</v>
      </c>
      <c r="AB355" s="165" t="s">
        <v>6598</v>
      </c>
      <c r="AC355" s="165" t="s">
        <v>6601</v>
      </c>
      <c r="AD355" s="238" t="s">
        <v>6608</v>
      </c>
      <c r="AE355" s="238" t="s">
        <v>7415</v>
      </c>
      <c r="AF355" s="340" t="s">
        <v>7140</v>
      </c>
      <c r="AG355" s="340" t="s">
        <v>7140</v>
      </c>
      <c r="AH355" s="72"/>
      <c r="AL355" s="364"/>
    </row>
    <row r="356" spans="1:38">
      <c r="A356" s="176"/>
      <c r="B356" s="176" t="s">
        <v>2587</v>
      </c>
      <c r="C356" s="184" t="s">
        <v>1691</v>
      </c>
      <c r="D356" s="178">
        <v>4</v>
      </c>
      <c r="E356" s="176" t="s">
        <v>4</v>
      </c>
      <c r="F356" s="178">
        <v>0.21</v>
      </c>
      <c r="G356" s="178"/>
      <c r="H356" s="185">
        <v>44682</v>
      </c>
      <c r="I356" s="176" t="s">
        <v>2586</v>
      </c>
      <c r="J356" s="176" t="s">
        <v>2585</v>
      </c>
      <c r="K356" s="176" t="s">
        <v>2308</v>
      </c>
      <c r="L356" s="176" t="s">
        <v>2579</v>
      </c>
      <c r="M356" s="176">
        <v>2021</v>
      </c>
      <c r="N356" s="176"/>
      <c r="O356" s="176" t="s">
        <v>2584</v>
      </c>
      <c r="P356" s="179" t="s">
        <v>1</v>
      </c>
      <c r="Q356" s="179" t="s">
        <v>1</v>
      </c>
      <c r="R356" s="179" t="s">
        <v>1</v>
      </c>
      <c r="S356" s="179" t="s">
        <v>1</v>
      </c>
      <c r="T356" s="179" t="s">
        <v>1</v>
      </c>
      <c r="U356" s="179" t="s">
        <v>1</v>
      </c>
      <c r="V356" s="179" t="s">
        <v>1</v>
      </c>
      <c r="W356" s="179" t="s">
        <v>1</v>
      </c>
      <c r="X356" s="179" t="s">
        <v>1</v>
      </c>
      <c r="Y356" s="179" t="s">
        <v>1</v>
      </c>
      <c r="Z356" s="179" t="s">
        <v>1</v>
      </c>
      <c r="AA356" s="179" t="s">
        <v>1</v>
      </c>
      <c r="AB356" s="176" t="s">
        <v>2595</v>
      </c>
      <c r="AC356" s="176"/>
      <c r="AD356" s="176" t="s">
        <v>6641</v>
      </c>
      <c r="AE356" s="176"/>
      <c r="AF356" s="340" t="s">
        <v>7140</v>
      </c>
      <c r="AG356" s="340" t="s">
        <v>7140</v>
      </c>
      <c r="AI356" s="176"/>
      <c r="AJ356" s="176"/>
      <c r="AK356" s="176"/>
      <c r="AL356" s="364"/>
    </row>
    <row r="357" spans="1:38">
      <c r="A357" s="176"/>
      <c r="B357" s="176" t="s">
        <v>2583</v>
      </c>
      <c r="C357" s="184" t="s">
        <v>1691</v>
      </c>
      <c r="D357" s="178">
        <v>0.5</v>
      </c>
      <c r="E357" s="176" t="s">
        <v>278</v>
      </c>
      <c r="F357" s="178">
        <v>0.5</v>
      </c>
      <c r="G357" s="178"/>
      <c r="H357" s="185">
        <v>43173</v>
      </c>
      <c r="I357" s="176" t="s">
        <v>2146</v>
      </c>
      <c r="J357" s="176" t="s">
        <v>1</v>
      </c>
      <c r="K357" s="176" t="s">
        <v>1</v>
      </c>
      <c r="L357" s="176" t="s">
        <v>1</v>
      </c>
      <c r="M357" s="177" t="s">
        <v>1</v>
      </c>
      <c r="N357" s="176"/>
      <c r="O357" s="176" t="s">
        <v>2582</v>
      </c>
      <c r="P357" s="179" t="s">
        <v>1</v>
      </c>
      <c r="Q357" s="179" t="s">
        <v>1</v>
      </c>
      <c r="R357" s="179" t="s">
        <v>1</v>
      </c>
      <c r="S357" s="179" t="s">
        <v>1</v>
      </c>
      <c r="T357" s="179" t="s">
        <v>1</v>
      </c>
      <c r="U357" s="179" t="s">
        <v>1</v>
      </c>
      <c r="V357" s="179" t="s">
        <v>1</v>
      </c>
      <c r="W357" s="179" t="s">
        <v>1</v>
      </c>
      <c r="X357" s="179" t="s">
        <v>1</v>
      </c>
      <c r="Y357" s="179" t="s">
        <v>1</v>
      </c>
      <c r="Z357" s="179" t="s">
        <v>1</v>
      </c>
      <c r="AA357" s="179" t="s">
        <v>1</v>
      </c>
      <c r="AB357" s="176" t="s">
        <v>2581</v>
      </c>
      <c r="AC357" s="176"/>
      <c r="AD357" s="176"/>
      <c r="AE357" s="176"/>
      <c r="AF357" s="340" t="s">
        <v>7140</v>
      </c>
      <c r="AG357" s="340" t="s">
        <v>7140</v>
      </c>
      <c r="AI357" s="176"/>
      <c r="AJ357" s="176"/>
      <c r="AK357" s="176"/>
      <c r="AL357" s="364"/>
    </row>
    <row r="358" spans="1:38">
      <c r="B358" s="72" t="s">
        <v>2574</v>
      </c>
      <c r="C358" s="73" t="s">
        <v>1691</v>
      </c>
      <c r="D358" s="74" t="s">
        <v>1</v>
      </c>
      <c r="E358" s="74" t="s">
        <v>1</v>
      </c>
      <c r="F358" s="74" t="s">
        <v>1</v>
      </c>
      <c r="H358" s="74" t="s">
        <v>1</v>
      </c>
      <c r="K358" s="72" t="s">
        <v>2308</v>
      </c>
      <c r="L358" s="72" t="s">
        <v>2561</v>
      </c>
      <c r="M358" s="72">
        <v>2023</v>
      </c>
      <c r="O358" s="72" t="s">
        <v>1</v>
      </c>
      <c r="P358" s="72" t="s">
        <v>1</v>
      </c>
      <c r="Q358" s="72" t="s">
        <v>1</v>
      </c>
      <c r="R358" s="72" t="s">
        <v>1</v>
      </c>
      <c r="S358" s="72" t="s">
        <v>1</v>
      </c>
      <c r="T358" s="72" t="s">
        <v>1</v>
      </c>
      <c r="U358" s="72" t="s">
        <v>1</v>
      </c>
      <c r="V358" s="72" t="s">
        <v>1</v>
      </c>
      <c r="W358" s="72" t="s">
        <v>1</v>
      </c>
      <c r="X358" s="72" t="s">
        <v>1</v>
      </c>
      <c r="Y358" s="72" t="s">
        <v>1</v>
      </c>
      <c r="Z358" s="72" t="s">
        <v>1</v>
      </c>
      <c r="AA358" s="72" t="s">
        <v>1</v>
      </c>
      <c r="AF358" s="340" t="s">
        <v>7140</v>
      </c>
      <c r="AG358" s="340" t="s">
        <v>7140</v>
      </c>
      <c r="AL358" s="364"/>
    </row>
    <row r="359" spans="1:38">
      <c r="B359" s="72" t="s">
        <v>2571</v>
      </c>
      <c r="C359" s="73" t="s">
        <v>1691</v>
      </c>
      <c r="D359" s="74" t="s">
        <v>1</v>
      </c>
      <c r="E359" s="74" t="s">
        <v>1</v>
      </c>
      <c r="F359" s="74" t="s">
        <v>1</v>
      </c>
      <c r="H359" s="74" t="s">
        <v>1</v>
      </c>
      <c r="I359" s="72" t="s">
        <v>2570</v>
      </c>
      <c r="K359" s="72" t="s">
        <v>2308</v>
      </c>
      <c r="L359" s="72" t="s">
        <v>2569</v>
      </c>
      <c r="M359" s="72">
        <v>2023</v>
      </c>
      <c r="O359" s="72" t="s">
        <v>1</v>
      </c>
      <c r="P359" s="72" t="s">
        <v>1</v>
      </c>
      <c r="Q359" s="72" t="s">
        <v>1</v>
      </c>
      <c r="R359" s="72" t="s">
        <v>1</v>
      </c>
      <c r="S359" s="72" t="s">
        <v>1</v>
      </c>
      <c r="T359" s="72" t="s">
        <v>1</v>
      </c>
      <c r="U359" s="72" t="s">
        <v>1</v>
      </c>
      <c r="V359" s="72" t="s">
        <v>1</v>
      </c>
      <c r="W359" s="72" t="s">
        <v>1</v>
      </c>
      <c r="X359" s="72" t="s">
        <v>1</v>
      </c>
      <c r="Y359" s="72" t="s">
        <v>1</v>
      </c>
      <c r="Z359" s="72" t="s">
        <v>1</v>
      </c>
      <c r="AA359" s="72" t="s">
        <v>1</v>
      </c>
      <c r="AB359" s="72" t="s">
        <v>1</v>
      </c>
      <c r="AF359" s="340" t="s">
        <v>7140</v>
      </c>
      <c r="AG359" s="340" t="s">
        <v>7140</v>
      </c>
      <c r="AL359" s="364"/>
    </row>
    <row r="360" spans="1:38">
      <c r="B360" s="72" t="s">
        <v>2565</v>
      </c>
      <c r="C360" s="73" t="s">
        <v>1691</v>
      </c>
      <c r="D360" s="74" t="s">
        <v>1</v>
      </c>
      <c r="E360" s="74" t="s">
        <v>1</v>
      </c>
      <c r="F360" s="74" t="s">
        <v>1</v>
      </c>
      <c r="H360" s="74" t="s">
        <v>1</v>
      </c>
      <c r="I360" s="72" t="s">
        <v>2564</v>
      </c>
      <c r="K360" s="72" t="s">
        <v>2045</v>
      </c>
      <c r="L360" s="72" t="s">
        <v>2546</v>
      </c>
      <c r="M360" s="75" t="s">
        <v>1</v>
      </c>
      <c r="O360" s="76" t="s">
        <v>1</v>
      </c>
      <c r="P360" s="76" t="s">
        <v>1</v>
      </c>
      <c r="Q360" s="76" t="s">
        <v>1</v>
      </c>
      <c r="R360" s="76" t="s">
        <v>1</v>
      </c>
      <c r="S360" s="76" t="s">
        <v>1</v>
      </c>
      <c r="T360" s="76" t="s">
        <v>1</v>
      </c>
      <c r="U360" s="76" t="s">
        <v>1</v>
      </c>
      <c r="V360" s="76" t="s">
        <v>1</v>
      </c>
      <c r="W360" s="76" t="s">
        <v>1</v>
      </c>
      <c r="X360" s="76" t="s">
        <v>1</v>
      </c>
      <c r="Y360" s="76" t="s">
        <v>1</v>
      </c>
      <c r="Z360" s="76" t="s">
        <v>1</v>
      </c>
      <c r="AA360" s="76" t="s">
        <v>1</v>
      </c>
      <c r="AB360" s="76" t="s">
        <v>1</v>
      </c>
      <c r="AC360" s="76"/>
      <c r="AD360" s="76"/>
      <c r="AF360" s="340" t="s">
        <v>7140</v>
      </c>
      <c r="AG360" s="340" t="s">
        <v>7140</v>
      </c>
      <c r="AL360" s="364"/>
    </row>
    <row r="361" spans="1:38">
      <c r="B361" s="72" t="s">
        <v>2560</v>
      </c>
      <c r="C361" s="73" t="s">
        <v>1691</v>
      </c>
      <c r="D361" s="74" t="s">
        <v>1</v>
      </c>
      <c r="E361" s="74" t="s">
        <v>1</v>
      </c>
      <c r="F361" s="74" t="s">
        <v>1</v>
      </c>
      <c r="H361" s="74" t="s">
        <v>1</v>
      </c>
      <c r="K361" s="72" t="s">
        <v>2559</v>
      </c>
      <c r="L361" s="72" t="s">
        <v>2559</v>
      </c>
      <c r="M361" s="74" t="s">
        <v>1</v>
      </c>
      <c r="O361" s="80" t="s">
        <v>1</v>
      </c>
      <c r="P361" s="80" t="s">
        <v>1</v>
      </c>
      <c r="Q361" s="80" t="s">
        <v>1</v>
      </c>
      <c r="R361" s="80" t="s">
        <v>1</v>
      </c>
      <c r="S361" s="80" t="s">
        <v>1</v>
      </c>
      <c r="T361" s="80" t="s">
        <v>1</v>
      </c>
      <c r="U361" s="80" t="s">
        <v>1</v>
      </c>
      <c r="V361" s="80" t="s">
        <v>1</v>
      </c>
      <c r="W361" s="80" t="s">
        <v>1</v>
      </c>
      <c r="X361" s="80" t="s">
        <v>1</v>
      </c>
      <c r="Y361" s="80" t="s">
        <v>1</v>
      </c>
      <c r="Z361" s="80" t="s">
        <v>1</v>
      </c>
      <c r="AA361" s="80" t="s">
        <v>1</v>
      </c>
      <c r="AB361" s="80" t="s">
        <v>1</v>
      </c>
      <c r="AC361" s="80"/>
      <c r="AD361" s="80"/>
      <c r="AE361" s="74"/>
      <c r="AF361" s="340" t="s">
        <v>7140</v>
      </c>
      <c r="AG361" s="340" t="s">
        <v>7140</v>
      </c>
      <c r="AH361" s="61"/>
      <c r="AL361" s="364"/>
    </row>
    <row r="362" spans="1:38">
      <c r="B362" s="72" t="s">
        <v>2558</v>
      </c>
      <c r="C362" s="73" t="s">
        <v>1691</v>
      </c>
      <c r="D362" s="74" t="s">
        <v>1</v>
      </c>
      <c r="E362" s="74" t="s">
        <v>1</v>
      </c>
      <c r="F362" s="74" t="s">
        <v>1</v>
      </c>
      <c r="H362" s="74" t="s">
        <v>1</v>
      </c>
      <c r="I362" s="72" t="s">
        <v>2557</v>
      </c>
      <c r="K362" s="72" t="s">
        <v>2308</v>
      </c>
      <c r="L362" s="72" t="s">
        <v>2556</v>
      </c>
      <c r="M362" s="75" t="s">
        <v>1</v>
      </c>
      <c r="O362" s="80" t="s">
        <v>1</v>
      </c>
      <c r="P362" s="80" t="s">
        <v>1</v>
      </c>
      <c r="Q362" s="80" t="s">
        <v>1</v>
      </c>
      <c r="R362" s="80" t="s">
        <v>1</v>
      </c>
      <c r="S362" s="80" t="s">
        <v>1</v>
      </c>
      <c r="T362" s="80" t="s">
        <v>1</v>
      </c>
      <c r="U362" s="80" t="s">
        <v>1</v>
      </c>
      <c r="V362" s="80" t="s">
        <v>1</v>
      </c>
      <c r="W362" s="80" t="s">
        <v>1</v>
      </c>
      <c r="X362" s="80" t="s">
        <v>1</v>
      </c>
      <c r="Y362" s="80" t="s">
        <v>1</v>
      </c>
      <c r="Z362" s="80" t="s">
        <v>1</v>
      </c>
      <c r="AA362" s="80" t="s">
        <v>1</v>
      </c>
      <c r="AB362" s="80" t="s">
        <v>1</v>
      </c>
      <c r="AC362" s="80"/>
      <c r="AD362" s="80"/>
      <c r="AF362" s="340" t="s">
        <v>7140</v>
      </c>
      <c r="AG362" s="340" t="s">
        <v>7140</v>
      </c>
      <c r="AL362" s="364"/>
    </row>
    <row r="363" spans="1:38">
      <c r="B363" s="72" t="s">
        <v>2553</v>
      </c>
      <c r="C363" s="73" t="s">
        <v>1691</v>
      </c>
      <c r="D363" s="74" t="s">
        <v>1</v>
      </c>
      <c r="E363" s="74" t="s">
        <v>1</v>
      </c>
      <c r="F363" s="74" t="s">
        <v>1</v>
      </c>
      <c r="H363" s="74" t="s">
        <v>1</v>
      </c>
      <c r="I363" s="72" t="s">
        <v>2467</v>
      </c>
      <c r="K363" s="72" t="s">
        <v>2308</v>
      </c>
      <c r="L363" s="72" t="s">
        <v>2467</v>
      </c>
      <c r="M363" s="72">
        <v>2021</v>
      </c>
      <c r="O363" s="72" t="s">
        <v>1</v>
      </c>
      <c r="P363" s="72" t="s">
        <v>1</v>
      </c>
      <c r="Q363" s="72" t="s">
        <v>1</v>
      </c>
      <c r="R363" s="72" t="s">
        <v>1</v>
      </c>
      <c r="S363" s="72" t="s">
        <v>1</v>
      </c>
      <c r="T363" s="72" t="s">
        <v>1</v>
      </c>
      <c r="U363" s="72" t="s">
        <v>1</v>
      </c>
      <c r="V363" s="72" t="s">
        <v>1</v>
      </c>
      <c r="W363" s="72" t="s">
        <v>1</v>
      </c>
      <c r="X363" s="72" t="s">
        <v>1</v>
      </c>
      <c r="Y363" s="72" t="s">
        <v>1</v>
      </c>
      <c r="Z363" s="72" t="s">
        <v>1</v>
      </c>
      <c r="AA363" s="72" t="s">
        <v>1</v>
      </c>
      <c r="AB363" s="165" t="s">
        <v>6598</v>
      </c>
      <c r="AC363" s="165" t="s">
        <v>6601</v>
      </c>
      <c r="AD363" s="165" t="s">
        <v>6608</v>
      </c>
      <c r="AF363" s="340" t="s">
        <v>7140</v>
      </c>
      <c r="AG363" s="340" t="s">
        <v>7140</v>
      </c>
      <c r="AL363" s="364"/>
    </row>
    <row r="364" spans="1:38">
      <c r="B364" s="72" t="s">
        <v>2552</v>
      </c>
      <c r="C364" s="73" t="s">
        <v>1691</v>
      </c>
      <c r="D364" s="74" t="s">
        <v>1</v>
      </c>
      <c r="E364" s="74" t="s">
        <v>1</v>
      </c>
      <c r="F364" s="74" t="s">
        <v>1</v>
      </c>
      <c r="H364" s="74" t="s">
        <v>1</v>
      </c>
      <c r="I364" s="72" t="s">
        <v>2551</v>
      </c>
      <c r="K364" s="72" t="s">
        <v>2308</v>
      </c>
      <c r="L364" s="72" t="s">
        <v>2467</v>
      </c>
      <c r="M364" s="72">
        <v>2022</v>
      </c>
      <c r="O364" s="80" t="s">
        <v>1</v>
      </c>
      <c r="P364" s="80" t="s">
        <v>1</v>
      </c>
      <c r="Q364" s="80" t="s">
        <v>1</v>
      </c>
      <c r="R364" s="80" t="s">
        <v>1</v>
      </c>
      <c r="S364" s="80" t="s">
        <v>1</v>
      </c>
      <c r="T364" s="80" t="s">
        <v>1</v>
      </c>
      <c r="U364" s="80" t="s">
        <v>1</v>
      </c>
      <c r="V364" s="80" t="s">
        <v>1</v>
      </c>
      <c r="W364" s="80" t="s">
        <v>1</v>
      </c>
      <c r="X364" s="80" t="s">
        <v>1</v>
      </c>
      <c r="Y364" s="80" t="s">
        <v>1</v>
      </c>
      <c r="Z364" s="80" t="s">
        <v>1</v>
      </c>
      <c r="AA364" s="80" t="s">
        <v>1</v>
      </c>
      <c r="AB364" s="80" t="s">
        <v>1</v>
      </c>
      <c r="AC364" s="80"/>
      <c r="AD364" s="80"/>
      <c r="AF364" s="340" t="s">
        <v>7140</v>
      </c>
      <c r="AG364" s="340" t="s">
        <v>7140</v>
      </c>
      <c r="AL364" s="364"/>
    </row>
    <row r="365" spans="1:38">
      <c r="B365" s="72" t="s">
        <v>2550</v>
      </c>
      <c r="C365" s="73" t="s">
        <v>1691</v>
      </c>
      <c r="D365" s="74" t="s">
        <v>1</v>
      </c>
      <c r="E365" s="74" t="s">
        <v>1</v>
      </c>
      <c r="F365" s="74" t="s">
        <v>1</v>
      </c>
      <c r="H365" s="74" t="s">
        <v>1</v>
      </c>
      <c r="I365" s="72" t="s">
        <v>2549</v>
      </c>
      <c r="K365" s="72" t="s">
        <v>2308</v>
      </c>
      <c r="L365" s="72" t="s">
        <v>2467</v>
      </c>
      <c r="M365" s="75" t="s">
        <v>1</v>
      </c>
      <c r="O365" s="72" t="s">
        <v>1</v>
      </c>
      <c r="P365" s="72" t="s">
        <v>1</v>
      </c>
      <c r="Q365" s="72" t="s">
        <v>1</v>
      </c>
      <c r="R365" s="72" t="s">
        <v>1</v>
      </c>
      <c r="S365" s="72" t="s">
        <v>1</v>
      </c>
      <c r="T365" s="72" t="s">
        <v>1</v>
      </c>
      <c r="U365" s="72" t="s">
        <v>1</v>
      </c>
      <c r="V365" s="72" t="s">
        <v>1</v>
      </c>
      <c r="W365" s="72" t="s">
        <v>1</v>
      </c>
      <c r="X365" s="72" t="s">
        <v>1</v>
      </c>
      <c r="Y365" s="72" t="s">
        <v>1</v>
      </c>
      <c r="Z365" s="72" t="s">
        <v>1</v>
      </c>
      <c r="AA365" s="72" t="s">
        <v>1</v>
      </c>
      <c r="AB365" s="72" t="s">
        <v>1</v>
      </c>
      <c r="AF365" s="340" t="s">
        <v>7140</v>
      </c>
      <c r="AG365" s="340" t="s">
        <v>7140</v>
      </c>
      <c r="AL365" s="364"/>
    </row>
    <row r="366" spans="1:38">
      <c r="B366" s="72" t="s">
        <v>2548</v>
      </c>
      <c r="C366" s="73" t="s">
        <v>1691</v>
      </c>
      <c r="D366" s="74" t="s">
        <v>1</v>
      </c>
      <c r="E366" s="74" t="s">
        <v>1</v>
      </c>
      <c r="F366" s="74" t="s">
        <v>1</v>
      </c>
      <c r="H366" s="74" t="s">
        <v>1</v>
      </c>
      <c r="I366" s="72" t="s">
        <v>2547</v>
      </c>
      <c r="K366" s="72" t="s">
        <v>2308</v>
      </c>
      <c r="L366" s="72" t="s">
        <v>2546</v>
      </c>
      <c r="M366" s="75" t="s">
        <v>1</v>
      </c>
      <c r="O366" s="72" t="s">
        <v>1</v>
      </c>
      <c r="P366" s="72" t="s">
        <v>1</v>
      </c>
      <c r="Q366" s="72" t="s">
        <v>1</v>
      </c>
      <c r="R366" s="72" t="s">
        <v>1</v>
      </c>
      <c r="S366" s="72" t="s">
        <v>1</v>
      </c>
      <c r="T366" s="72" t="s">
        <v>1</v>
      </c>
      <c r="U366" s="72" t="s">
        <v>1</v>
      </c>
      <c r="V366" s="72" t="s">
        <v>1</v>
      </c>
      <c r="W366" s="72" t="s">
        <v>1</v>
      </c>
      <c r="X366" s="72" t="s">
        <v>1</v>
      </c>
      <c r="Y366" s="72" t="s">
        <v>1</v>
      </c>
      <c r="Z366" s="72" t="s">
        <v>1</v>
      </c>
      <c r="AA366" s="72" t="s">
        <v>1</v>
      </c>
      <c r="AB366" s="72" t="s">
        <v>1</v>
      </c>
      <c r="AF366" s="340" t="s">
        <v>7140</v>
      </c>
      <c r="AG366" s="340" t="s">
        <v>7140</v>
      </c>
      <c r="AL366" s="364"/>
    </row>
    <row r="367" spans="1:38">
      <c r="B367" s="72" t="s">
        <v>2539</v>
      </c>
      <c r="C367" s="73" t="s">
        <v>1691</v>
      </c>
      <c r="D367" s="74" t="s">
        <v>1</v>
      </c>
      <c r="E367" s="74" t="s">
        <v>1</v>
      </c>
      <c r="F367" s="74" t="s">
        <v>1</v>
      </c>
      <c r="H367" s="74" t="s">
        <v>1</v>
      </c>
      <c r="I367" s="72" t="s">
        <v>2538</v>
      </c>
      <c r="J367" s="72" t="s">
        <v>2537</v>
      </c>
      <c r="K367" s="72" t="s">
        <v>2045</v>
      </c>
      <c r="L367" s="72" t="s">
        <v>2536</v>
      </c>
      <c r="M367" s="72">
        <v>2018</v>
      </c>
      <c r="O367" s="72" t="s">
        <v>1</v>
      </c>
      <c r="P367" s="72" t="s">
        <v>1</v>
      </c>
      <c r="Q367" s="72" t="s">
        <v>1</v>
      </c>
      <c r="R367" s="72" t="s">
        <v>1</v>
      </c>
      <c r="S367" s="72" t="s">
        <v>1</v>
      </c>
      <c r="T367" s="72" t="s">
        <v>1</v>
      </c>
      <c r="U367" s="72" t="s">
        <v>1</v>
      </c>
      <c r="V367" s="72" t="s">
        <v>1</v>
      </c>
      <c r="W367" s="72" t="s">
        <v>1</v>
      </c>
      <c r="X367" s="72" t="s">
        <v>1</v>
      </c>
      <c r="Y367" s="72" t="s">
        <v>1</v>
      </c>
      <c r="Z367" s="72" t="s">
        <v>1</v>
      </c>
      <c r="AA367" s="72" t="s">
        <v>1</v>
      </c>
      <c r="AB367" s="165" t="s">
        <v>6598</v>
      </c>
      <c r="AC367" s="165" t="s">
        <v>6601</v>
      </c>
      <c r="AD367" s="165" t="s">
        <v>6637</v>
      </c>
      <c r="AE367" s="25" t="s">
        <v>2535</v>
      </c>
      <c r="AF367" s="340" t="s">
        <v>7140</v>
      </c>
      <c r="AG367" s="340" t="s">
        <v>7140</v>
      </c>
      <c r="AH367" s="59"/>
      <c r="AL367" s="364"/>
    </row>
    <row r="368" spans="1:38">
      <c r="B368" s="72" t="s">
        <v>2534</v>
      </c>
      <c r="C368" s="73" t="s">
        <v>1691</v>
      </c>
      <c r="D368" s="74" t="s">
        <v>1</v>
      </c>
      <c r="E368" s="74" t="s">
        <v>1</v>
      </c>
      <c r="F368" s="74" t="s">
        <v>1</v>
      </c>
      <c r="H368" s="74" t="s">
        <v>1</v>
      </c>
      <c r="I368" s="72" t="s">
        <v>2533</v>
      </c>
      <c r="K368" s="72" t="s">
        <v>2308</v>
      </c>
      <c r="L368" s="72" t="s">
        <v>2389</v>
      </c>
      <c r="M368" s="72">
        <v>2023</v>
      </c>
      <c r="O368" s="72" t="s">
        <v>1</v>
      </c>
      <c r="P368" s="72" t="s">
        <v>1</v>
      </c>
      <c r="Q368" s="72" t="s">
        <v>1</v>
      </c>
      <c r="R368" s="72" t="s">
        <v>1</v>
      </c>
      <c r="S368" s="72" t="s">
        <v>1</v>
      </c>
      <c r="T368" s="72" t="s">
        <v>1</v>
      </c>
      <c r="U368" s="72" t="s">
        <v>1</v>
      </c>
      <c r="V368" s="72" t="s">
        <v>1</v>
      </c>
      <c r="W368" s="72" t="s">
        <v>1</v>
      </c>
      <c r="X368" s="72" t="s">
        <v>1</v>
      </c>
      <c r="Y368" s="72" t="s">
        <v>1</v>
      </c>
      <c r="Z368" s="72" t="s">
        <v>1</v>
      </c>
      <c r="AA368" s="72" t="s">
        <v>1</v>
      </c>
      <c r="AB368" s="72" t="s">
        <v>1</v>
      </c>
      <c r="AF368" s="340" t="s">
        <v>7140</v>
      </c>
      <c r="AG368" s="340" t="s">
        <v>7140</v>
      </c>
      <c r="AL368" s="364"/>
    </row>
    <row r="369" spans="2:38">
      <c r="B369" s="72" t="s">
        <v>2530</v>
      </c>
      <c r="C369" s="73" t="s">
        <v>1691</v>
      </c>
      <c r="D369" s="74" t="s">
        <v>1</v>
      </c>
      <c r="E369" s="74" t="s">
        <v>1</v>
      </c>
      <c r="F369" s="74" t="s">
        <v>1</v>
      </c>
      <c r="H369" s="74" t="s">
        <v>1</v>
      </c>
      <c r="I369" s="72" t="s">
        <v>2529</v>
      </c>
      <c r="J369" s="72" t="s">
        <v>2528</v>
      </c>
      <c r="K369" s="72" t="s">
        <v>2045</v>
      </c>
      <c r="L369" s="72" t="s">
        <v>2527</v>
      </c>
      <c r="M369" s="72">
        <v>2022</v>
      </c>
      <c r="O369" s="72" t="s">
        <v>1</v>
      </c>
      <c r="P369" s="72" t="s">
        <v>1</v>
      </c>
      <c r="Q369" s="72" t="s">
        <v>1</v>
      </c>
      <c r="R369" s="72" t="s">
        <v>1</v>
      </c>
      <c r="S369" s="72" t="s">
        <v>1</v>
      </c>
      <c r="T369" s="72" t="s">
        <v>1</v>
      </c>
      <c r="U369" s="72" t="s">
        <v>1</v>
      </c>
      <c r="V369" s="72" t="s">
        <v>1</v>
      </c>
      <c r="W369" s="72" t="s">
        <v>1</v>
      </c>
      <c r="X369" s="72" t="s">
        <v>1</v>
      </c>
      <c r="Y369" s="72" t="s">
        <v>1</v>
      </c>
      <c r="Z369" s="72" t="s">
        <v>1</v>
      </c>
      <c r="AA369" s="72" t="s">
        <v>1</v>
      </c>
      <c r="AB369" s="165" t="s">
        <v>6598</v>
      </c>
      <c r="AC369" s="165" t="s">
        <v>6638</v>
      </c>
      <c r="AD369" s="165" t="s">
        <v>6639</v>
      </c>
      <c r="AF369" s="340" t="s">
        <v>7140</v>
      </c>
      <c r="AG369" s="340" t="s">
        <v>7140</v>
      </c>
      <c r="AL369" s="364"/>
    </row>
    <row r="370" spans="2:38">
      <c r="B370" s="72" t="s">
        <v>2526</v>
      </c>
      <c r="C370" s="73" t="s">
        <v>1691</v>
      </c>
      <c r="D370" s="74" t="s">
        <v>1</v>
      </c>
      <c r="E370" s="74" t="s">
        <v>1</v>
      </c>
      <c r="F370" s="74" t="s">
        <v>1</v>
      </c>
      <c r="H370" s="74" t="s">
        <v>1</v>
      </c>
      <c r="I370" s="72" t="s">
        <v>2525</v>
      </c>
      <c r="K370" s="72" t="s">
        <v>2308</v>
      </c>
      <c r="L370" s="72" t="s">
        <v>2524</v>
      </c>
      <c r="M370" s="72">
        <v>2021</v>
      </c>
      <c r="O370" s="72" t="s">
        <v>1</v>
      </c>
      <c r="P370" s="72" t="s">
        <v>1</v>
      </c>
      <c r="Q370" s="72" t="s">
        <v>1</v>
      </c>
      <c r="R370" s="72" t="s">
        <v>1</v>
      </c>
      <c r="S370" s="72" t="s">
        <v>1</v>
      </c>
      <c r="T370" s="72" t="s">
        <v>1</v>
      </c>
      <c r="U370" s="72" t="s">
        <v>1</v>
      </c>
      <c r="V370" s="72" t="s">
        <v>1</v>
      </c>
      <c r="W370" s="72" t="s">
        <v>1</v>
      </c>
      <c r="X370" s="72" t="s">
        <v>1</v>
      </c>
      <c r="Y370" s="72" t="s">
        <v>1</v>
      </c>
      <c r="Z370" s="72" t="s">
        <v>1</v>
      </c>
      <c r="AA370" s="72" t="s">
        <v>1</v>
      </c>
      <c r="AB370" s="165" t="s">
        <v>6623</v>
      </c>
      <c r="AD370" s="165" t="s">
        <v>6640</v>
      </c>
      <c r="AE370" s="25" t="s">
        <v>2523</v>
      </c>
      <c r="AF370" s="340" t="s">
        <v>7140</v>
      </c>
      <c r="AG370" s="340" t="s">
        <v>7140</v>
      </c>
      <c r="AH370" s="59"/>
      <c r="AL370" s="364"/>
    </row>
    <row r="371" spans="2:38">
      <c r="B371" s="72" t="s">
        <v>2522</v>
      </c>
      <c r="C371" s="73" t="s">
        <v>1691</v>
      </c>
      <c r="D371" s="74" t="s">
        <v>1</v>
      </c>
      <c r="E371" s="74" t="s">
        <v>1</v>
      </c>
      <c r="F371" s="74" t="s">
        <v>1</v>
      </c>
      <c r="H371" s="74" t="s">
        <v>1</v>
      </c>
      <c r="I371" s="72" t="s">
        <v>2521</v>
      </c>
      <c r="J371" s="72" t="s">
        <v>1</v>
      </c>
      <c r="K371" s="72" t="s">
        <v>2045</v>
      </c>
      <c r="L371" s="72" t="s">
        <v>2521</v>
      </c>
      <c r="M371" s="75" t="s">
        <v>1</v>
      </c>
      <c r="O371" s="72" t="s">
        <v>1</v>
      </c>
      <c r="P371" s="72" t="s">
        <v>1</v>
      </c>
      <c r="Q371" s="72" t="s">
        <v>1</v>
      </c>
      <c r="R371" s="72" t="s">
        <v>1</v>
      </c>
      <c r="S371" s="72" t="s">
        <v>1</v>
      </c>
      <c r="T371" s="72" t="s">
        <v>1</v>
      </c>
      <c r="U371" s="72" t="s">
        <v>1</v>
      </c>
      <c r="V371" s="72" t="s">
        <v>1</v>
      </c>
      <c r="W371" s="72" t="s">
        <v>1</v>
      </c>
      <c r="X371" s="72" t="s">
        <v>1</v>
      </c>
      <c r="Y371" s="72" t="s">
        <v>1</v>
      </c>
      <c r="Z371" s="72" t="s">
        <v>1</v>
      </c>
      <c r="AA371" s="72" t="s">
        <v>1</v>
      </c>
      <c r="AB371" s="72" t="s">
        <v>1</v>
      </c>
      <c r="AE371" s="25" t="s">
        <v>2520</v>
      </c>
      <c r="AF371" s="340" t="s">
        <v>7140</v>
      </c>
      <c r="AG371" s="340" t="s">
        <v>7140</v>
      </c>
      <c r="AH371" s="59"/>
      <c r="AL371" s="364"/>
    </row>
    <row r="372" spans="2:38">
      <c r="B372" s="72" t="s">
        <v>2519</v>
      </c>
      <c r="C372" s="73" t="s">
        <v>1691</v>
      </c>
      <c r="D372" s="74" t="s">
        <v>1</v>
      </c>
      <c r="E372" s="74" t="s">
        <v>1</v>
      </c>
      <c r="F372" s="74" t="s">
        <v>1</v>
      </c>
      <c r="H372" s="74" t="s">
        <v>1</v>
      </c>
      <c r="I372" s="72" t="s">
        <v>2303</v>
      </c>
      <c r="K372" s="72" t="s">
        <v>2045</v>
      </c>
      <c r="L372" s="72" t="s">
        <v>2303</v>
      </c>
      <c r="M372" s="72">
        <v>2020</v>
      </c>
      <c r="N372" s="72" t="s">
        <v>2518</v>
      </c>
      <c r="O372" s="72" t="s">
        <v>1</v>
      </c>
      <c r="P372" s="72" t="s">
        <v>1</v>
      </c>
      <c r="Q372" s="72" t="s">
        <v>1</v>
      </c>
      <c r="R372" s="72" t="s">
        <v>1</v>
      </c>
      <c r="S372" s="72" t="s">
        <v>1</v>
      </c>
      <c r="T372" s="72" t="s">
        <v>1</v>
      </c>
      <c r="U372" s="72" t="s">
        <v>1</v>
      </c>
      <c r="V372" s="72" t="s">
        <v>1</v>
      </c>
      <c r="W372" s="72" t="s">
        <v>1</v>
      </c>
      <c r="X372" s="72" t="s">
        <v>1</v>
      </c>
      <c r="Y372" s="72" t="s">
        <v>1</v>
      </c>
      <c r="Z372" s="72" t="s">
        <v>1</v>
      </c>
      <c r="AA372" s="72" t="s">
        <v>1</v>
      </c>
      <c r="AB372" s="72" t="s">
        <v>2517</v>
      </c>
      <c r="AF372" s="340" t="s">
        <v>7140</v>
      </c>
      <c r="AG372" s="340" t="s">
        <v>7140</v>
      </c>
      <c r="AL372" s="364"/>
    </row>
    <row r="373" spans="2:38">
      <c r="B373" s="72" t="s">
        <v>2267</v>
      </c>
      <c r="C373" s="73" t="s">
        <v>1691</v>
      </c>
      <c r="D373" s="74" t="s">
        <v>1</v>
      </c>
      <c r="E373" s="80" t="s">
        <v>4</v>
      </c>
      <c r="F373" s="74" t="s">
        <v>1</v>
      </c>
      <c r="H373" s="77">
        <v>44454</v>
      </c>
      <c r="J373" s="72" t="s">
        <v>2266</v>
      </c>
      <c r="K373" s="72" t="s">
        <v>2045</v>
      </c>
      <c r="L373" s="72" t="s">
        <v>2265</v>
      </c>
      <c r="M373" s="75" t="s">
        <v>1</v>
      </c>
      <c r="O373" s="72" t="s">
        <v>621</v>
      </c>
      <c r="P373" s="76" t="s">
        <v>1</v>
      </c>
      <c r="Q373" s="76" t="s">
        <v>1</v>
      </c>
      <c r="R373" s="76" t="s">
        <v>1</v>
      </c>
      <c r="S373" s="76" t="s">
        <v>1</v>
      </c>
      <c r="T373" s="76" t="s">
        <v>1</v>
      </c>
      <c r="U373" s="76" t="s">
        <v>1</v>
      </c>
      <c r="V373" s="76" t="s">
        <v>1</v>
      </c>
      <c r="W373" s="76" t="s">
        <v>1</v>
      </c>
      <c r="X373" s="76" t="s">
        <v>1</v>
      </c>
      <c r="Y373" s="76" t="s">
        <v>1</v>
      </c>
      <c r="Z373" s="76" t="s">
        <v>1</v>
      </c>
      <c r="AA373" s="76" t="s">
        <v>1</v>
      </c>
      <c r="AB373" s="165" t="s">
        <v>6598</v>
      </c>
      <c r="AC373" s="165" t="s">
        <v>6601</v>
      </c>
      <c r="AD373" s="165" t="s">
        <v>2362</v>
      </c>
      <c r="AF373" s="340" t="s">
        <v>7140</v>
      </c>
      <c r="AG373" s="340" t="s">
        <v>7140</v>
      </c>
      <c r="AL373" s="364"/>
    </row>
    <row r="374" spans="2:38">
      <c r="B374" s="72" t="s">
        <v>2103</v>
      </c>
      <c r="C374" s="73" t="s">
        <v>1691</v>
      </c>
      <c r="D374" s="74" t="s">
        <v>1</v>
      </c>
      <c r="E374" s="72" t="s">
        <v>4</v>
      </c>
      <c r="F374" s="74" t="s">
        <v>1</v>
      </c>
      <c r="H374" s="74" t="s">
        <v>1</v>
      </c>
      <c r="I374" s="72" t="s">
        <v>5214</v>
      </c>
      <c r="J374" s="72" t="s">
        <v>5212</v>
      </c>
      <c r="K374" s="72" t="s">
        <v>2045</v>
      </c>
      <c r="L374" s="72" t="s">
        <v>2056</v>
      </c>
      <c r="M374" s="72">
        <v>2021</v>
      </c>
      <c r="O374" s="72" t="s">
        <v>2280</v>
      </c>
      <c r="P374" s="76" t="s">
        <v>1</v>
      </c>
      <c r="Q374" s="76" t="s">
        <v>1</v>
      </c>
      <c r="R374" s="76" t="s">
        <v>1</v>
      </c>
      <c r="S374" s="76" t="s">
        <v>1</v>
      </c>
      <c r="T374" s="76" t="s">
        <v>1</v>
      </c>
      <c r="U374" s="76" t="s">
        <v>1</v>
      </c>
      <c r="V374" s="76" t="s">
        <v>1</v>
      </c>
      <c r="W374" s="76" t="s">
        <v>1</v>
      </c>
      <c r="X374" s="76" t="s">
        <v>1</v>
      </c>
      <c r="Y374" s="76" t="s">
        <v>1</v>
      </c>
      <c r="Z374" s="76" t="s">
        <v>1</v>
      </c>
      <c r="AA374" s="76" t="s">
        <v>1</v>
      </c>
      <c r="AB374" s="165" t="s">
        <v>6598</v>
      </c>
      <c r="AC374" s="165" t="s">
        <v>6601</v>
      </c>
      <c r="AD374" s="165" t="s">
        <v>2362</v>
      </c>
      <c r="AE374" s="25" t="s">
        <v>2102</v>
      </c>
      <c r="AF374" s="340" t="s">
        <v>7140</v>
      </c>
      <c r="AG374" s="340" t="s">
        <v>7140</v>
      </c>
      <c r="AH374" s="59"/>
      <c r="AL374" s="364"/>
    </row>
    <row r="375" spans="2:38">
      <c r="B375" s="72" t="s">
        <v>2240</v>
      </c>
      <c r="C375" s="73" t="s">
        <v>1691</v>
      </c>
      <c r="D375" s="74" t="s">
        <v>1</v>
      </c>
      <c r="E375" s="80" t="s">
        <v>1</v>
      </c>
      <c r="F375" s="74" t="s">
        <v>1</v>
      </c>
      <c r="H375" s="74" t="s">
        <v>1</v>
      </c>
      <c r="I375" s="72" t="s">
        <v>2239</v>
      </c>
      <c r="J375" s="72" t="s">
        <v>2238</v>
      </c>
      <c r="K375" s="72" t="s">
        <v>2045</v>
      </c>
      <c r="L375" s="72" t="s">
        <v>2237</v>
      </c>
      <c r="M375" s="72">
        <v>2022</v>
      </c>
      <c r="O375" s="72" t="s">
        <v>1</v>
      </c>
      <c r="P375" s="72" t="s">
        <v>1</v>
      </c>
      <c r="Q375" s="72" t="s">
        <v>1</v>
      </c>
      <c r="R375" s="72" t="s">
        <v>1</v>
      </c>
      <c r="S375" s="72" t="s">
        <v>1</v>
      </c>
      <c r="T375" s="72" t="s">
        <v>1</v>
      </c>
      <c r="U375" s="72" t="s">
        <v>1</v>
      </c>
      <c r="V375" s="72" t="s">
        <v>1</v>
      </c>
      <c r="W375" s="72" t="s">
        <v>1</v>
      </c>
      <c r="X375" s="72" t="s">
        <v>1</v>
      </c>
      <c r="Y375" s="72" t="s">
        <v>1</v>
      </c>
      <c r="Z375" s="72" t="s">
        <v>1</v>
      </c>
      <c r="AA375" s="72" t="s">
        <v>1</v>
      </c>
      <c r="AB375" s="165" t="s">
        <v>6598</v>
      </c>
      <c r="AC375" s="165" t="s">
        <v>6606</v>
      </c>
      <c r="AD375" s="165" t="s">
        <v>6606</v>
      </c>
      <c r="AF375" s="340" t="s">
        <v>7140</v>
      </c>
      <c r="AG375" s="340" t="s">
        <v>7140</v>
      </c>
      <c r="AL375" s="364"/>
    </row>
    <row r="376" spans="2:38">
      <c r="B376" s="72" t="s">
        <v>2120</v>
      </c>
      <c r="C376" s="73" t="s">
        <v>1691</v>
      </c>
      <c r="D376" s="74" t="s">
        <v>1</v>
      </c>
      <c r="E376" s="74" t="s">
        <v>1</v>
      </c>
      <c r="F376" s="74" t="s">
        <v>1</v>
      </c>
      <c r="H376" s="74" t="s">
        <v>1</v>
      </c>
      <c r="I376" s="72" t="s">
        <v>4835</v>
      </c>
      <c r="J376" s="72" t="s">
        <v>1</v>
      </c>
      <c r="K376" s="72" t="s">
        <v>2045</v>
      </c>
      <c r="L376" s="72" t="s">
        <v>2056</v>
      </c>
      <c r="M376" s="72">
        <v>2020</v>
      </c>
      <c r="O376" s="72" t="s">
        <v>1</v>
      </c>
      <c r="P376" s="72" t="s">
        <v>1</v>
      </c>
      <c r="Q376" s="72" t="s">
        <v>1</v>
      </c>
      <c r="R376" s="72" t="s">
        <v>1</v>
      </c>
      <c r="S376" s="72" t="s">
        <v>1</v>
      </c>
      <c r="T376" s="72" t="s">
        <v>1</v>
      </c>
      <c r="U376" s="72" t="s">
        <v>1</v>
      </c>
      <c r="V376" s="72" t="s">
        <v>1</v>
      </c>
      <c r="W376" s="72" t="s">
        <v>1</v>
      </c>
      <c r="X376" s="72" t="s">
        <v>1</v>
      </c>
      <c r="Y376" s="72" t="s">
        <v>1</v>
      </c>
      <c r="Z376" s="72" t="s">
        <v>1</v>
      </c>
      <c r="AA376" s="72" t="s">
        <v>1</v>
      </c>
      <c r="AB376" s="165" t="s">
        <v>6598</v>
      </c>
      <c r="AC376" s="165" t="s">
        <v>6602</v>
      </c>
      <c r="AD376" s="165" t="s">
        <v>3955</v>
      </c>
      <c r="AE376" s="25" t="s">
        <v>2119</v>
      </c>
      <c r="AF376" s="340" t="s">
        <v>7140</v>
      </c>
      <c r="AG376" s="340" t="s">
        <v>7140</v>
      </c>
      <c r="AH376" s="59"/>
      <c r="AL376" s="364"/>
    </row>
    <row r="377" spans="2:38">
      <c r="E377" s="80"/>
      <c r="H377" s="74"/>
      <c r="P377" s="72"/>
      <c r="Q377" s="72"/>
      <c r="R377" s="72"/>
      <c r="S377" s="72"/>
      <c r="T377" s="72"/>
      <c r="U377" s="72"/>
      <c r="V377" s="72"/>
      <c r="W377" s="72"/>
      <c r="X377" s="72"/>
      <c r="Y377" s="72"/>
      <c r="Z377" s="72"/>
      <c r="AA377" s="72"/>
      <c r="AF377" s="340" t="s">
        <v>7140</v>
      </c>
      <c r="AG377" s="340" t="s">
        <v>7140</v>
      </c>
      <c r="AL377" s="364"/>
    </row>
    <row r="378" spans="2:38">
      <c r="B378" s="26" t="s">
        <v>2516</v>
      </c>
      <c r="E378" s="80"/>
      <c r="H378" s="74"/>
      <c r="P378" s="72"/>
      <c r="Q378" s="72"/>
      <c r="R378" s="72"/>
      <c r="S378" s="72"/>
      <c r="T378" s="72"/>
      <c r="U378" s="72"/>
      <c r="V378" s="72"/>
      <c r="W378" s="72"/>
      <c r="X378" s="72"/>
      <c r="Y378" s="72"/>
      <c r="Z378" s="72"/>
      <c r="AA378" s="72"/>
      <c r="AF378" s="340" t="s">
        <v>7140</v>
      </c>
      <c r="AG378" s="340" t="s">
        <v>7140</v>
      </c>
      <c r="AL378" s="364"/>
    </row>
    <row r="379" spans="2:38">
      <c r="B379" s="72" t="s">
        <v>1090</v>
      </c>
      <c r="C379" s="96" t="s">
        <v>5414</v>
      </c>
      <c r="D379" s="74">
        <v>54750</v>
      </c>
      <c r="E379" s="102" t="s">
        <v>3792</v>
      </c>
      <c r="H379" s="74"/>
      <c r="P379" s="72"/>
      <c r="Q379" s="72"/>
      <c r="R379" s="72"/>
      <c r="S379" s="72"/>
      <c r="T379" s="72"/>
      <c r="U379" s="72"/>
      <c r="V379" s="72"/>
      <c r="W379" s="72"/>
      <c r="X379" s="72"/>
      <c r="Y379" s="72"/>
      <c r="Z379" s="72"/>
      <c r="AA379" s="72"/>
      <c r="AF379" s="340" t="s">
        <v>7140</v>
      </c>
      <c r="AG379" s="340" t="s">
        <v>7140</v>
      </c>
      <c r="AL379" s="364"/>
    </row>
    <row r="380" spans="2:38">
      <c r="B380" s="72" t="s">
        <v>2515</v>
      </c>
      <c r="C380" s="96" t="s">
        <v>1691</v>
      </c>
      <c r="D380" s="74">
        <v>10000</v>
      </c>
      <c r="AF380" s="340" t="s">
        <v>7140</v>
      </c>
      <c r="AG380" s="340" t="s">
        <v>7140</v>
      </c>
      <c r="AL380" s="364"/>
    </row>
    <row r="381" spans="2:38">
      <c r="B381" s="72" t="s">
        <v>2514</v>
      </c>
      <c r="C381" s="73" t="s">
        <v>1691</v>
      </c>
      <c r="E381" s="72" t="s">
        <v>18</v>
      </c>
      <c r="K381" s="72" t="s">
        <v>2062</v>
      </c>
      <c r="N381" s="72" t="s">
        <v>2060</v>
      </c>
      <c r="AB381" s="72" t="s">
        <v>2513</v>
      </c>
      <c r="AE381" s="25" t="s">
        <v>2512</v>
      </c>
      <c r="AF381" s="340" t="s">
        <v>7140</v>
      </c>
      <c r="AG381" s="340" t="s">
        <v>7140</v>
      </c>
      <c r="AH381" s="59"/>
      <c r="AL381" s="364"/>
    </row>
    <row r="382" spans="2:38">
      <c r="B382" s="72" t="s">
        <v>2511</v>
      </c>
      <c r="C382" s="73" t="s">
        <v>1691</v>
      </c>
      <c r="K382" s="72" t="s">
        <v>2308</v>
      </c>
      <c r="L382" s="72" t="s">
        <v>2510</v>
      </c>
      <c r="N382" s="72" t="s">
        <v>2060</v>
      </c>
      <c r="AF382" s="340" t="s">
        <v>7140</v>
      </c>
      <c r="AG382" s="340" t="s">
        <v>7140</v>
      </c>
      <c r="AL382" s="364"/>
    </row>
    <row r="383" spans="2:38">
      <c r="B383" s="72" t="s">
        <v>2509</v>
      </c>
      <c r="C383" s="73" t="s">
        <v>2138</v>
      </c>
      <c r="N383" s="72" t="s">
        <v>2508</v>
      </c>
      <c r="AF383" s="340" t="s">
        <v>7140</v>
      </c>
      <c r="AG383" s="340" t="s">
        <v>7140</v>
      </c>
      <c r="AL383" s="364"/>
    </row>
    <row r="384" spans="2:38">
      <c r="B384" s="72" t="s">
        <v>2507</v>
      </c>
      <c r="C384" s="73" t="s">
        <v>2138</v>
      </c>
      <c r="N384" s="72" t="s">
        <v>2506</v>
      </c>
      <c r="AF384" s="340" t="s">
        <v>7140</v>
      </c>
      <c r="AG384" s="340" t="s">
        <v>7140</v>
      </c>
      <c r="AL384" s="364"/>
    </row>
    <row r="385" spans="2:38">
      <c r="B385" s="72" t="s">
        <v>2505</v>
      </c>
      <c r="C385" s="73" t="s">
        <v>2138</v>
      </c>
      <c r="N385" s="72" t="s">
        <v>2504</v>
      </c>
      <c r="AF385" s="340" t="s">
        <v>7140</v>
      </c>
      <c r="AG385" s="340" t="s">
        <v>7140</v>
      </c>
      <c r="AL385" s="364"/>
    </row>
    <row r="386" spans="2:38">
      <c r="B386" s="72" t="s">
        <v>2503</v>
      </c>
      <c r="C386" s="73" t="s">
        <v>2138</v>
      </c>
      <c r="N386" s="72" t="s">
        <v>1090</v>
      </c>
      <c r="AF386" s="340" t="s">
        <v>7140</v>
      </c>
      <c r="AG386" s="340" t="s">
        <v>7140</v>
      </c>
      <c r="AL386" s="364"/>
    </row>
    <row r="387" spans="2:38">
      <c r="B387" s="274" t="s">
        <v>3654</v>
      </c>
      <c r="C387" s="275" t="s">
        <v>1691</v>
      </c>
      <c r="D387" s="324">
        <v>2000</v>
      </c>
      <c r="E387" s="274" t="s">
        <v>5</v>
      </c>
      <c r="F387" s="324">
        <v>150</v>
      </c>
      <c r="G387" s="324">
        <f>F387</f>
        <v>150</v>
      </c>
      <c r="H387" s="325">
        <v>45008</v>
      </c>
      <c r="I387" s="274" t="s">
        <v>935</v>
      </c>
      <c r="J387" s="274" t="s">
        <v>3653</v>
      </c>
      <c r="K387" s="12" t="s">
        <v>2308</v>
      </c>
      <c r="L387" s="12" t="s">
        <v>2467</v>
      </c>
      <c r="M387" s="12">
        <v>2021</v>
      </c>
      <c r="N387" s="264" t="s">
        <v>7936</v>
      </c>
      <c r="O387" s="72" t="s">
        <v>3652</v>
      </c>
      <c r="P387" s="76" t="s">
        <v>4</v>
      </c>
      <c r="Q387" s="76" t="s">
        <v>1</v>
      </c>
      <c r="R387" s="76" t="s">
        <v>3651</v>
      </c>
      <c r="S387" s="76" t="s">
        <v>1</v>
      </c>
      <c r="T387" s="76" t="s">
        <v>1</v>
      </c>
      <c r="U387" s="76" t="s">
        <v>1</v>
      </c>
      <c r="V387" s="76" t="s">
        <v>1</v>
      </c>
      <c r="W387" s="76" t="s">
        <v>1</v>
      </c>
      <c r="X387" s="76" t="s">
        <v>1</v>
      </c>
      <c r="Y387" s="76" t="s">
        <v>1</v>
      </c>
      <c r="Z387" s="76" t="s">
        <v>1</v>
      </c>
      <c r="AA387" s="76" t="s">
        <v>1</v>
      </c>
      <c r="AB387" s="264" t="s">
        <v>6598</v>
      </c>
      <c r="AC387" s="264" t="s">
        <v>6601</v>
      </c>
      <c r="AD387" s="264" t="s">
        <v>6615</v>
      </c>
      <c r="AE387" s="25" t="s">
        <v>5014</v>
      </c>
      <c r="AF387" s="63">
        <v>180.9</v>
      </c>
      <c r="AG387" s="67" t="s">
        <v>5015</v>
      </c>
      <c r="AH387" s="63">
        <v>172.6</v>
      </c>
      <c r="AI387" s="67" t="s">
        <v>8890</v>
      </c>
      <c r="AJ387" s="67"/>
      <c r="AK387" s="67"/>
      <c r="AL387" s="364">
        <f>+AH387/AF387-1</f>
        <v>-4.5881702598120522E-2</v>
      </c>
    </row>
    <row r="388" spans="2:38">
      <c r="B388" s="72" t="s">
        <v>2502</v>
      </c>
      <c r="C388" s="73" t="s">
        <v>1691</v>
      </c>
      <c r="D388" s="74">
        <v>7900</v>
      </c>
      <c r="E388" s="72" t="s">
        <v>504</v>
      </c>
      <c r="F388" s="74">
        <v>200</v>
      </c>
      <c r="H388" s="77">
        <v>44175</v>
      </c>
      <c r="I388" s="72" t="s">
        <v>2501</v>
      </c>
      <c r="J388" s="72" t="s">
        <v>2500</v>
      </c>
      <c r="K388" s="72" t="s">
        <v>2499</v>
      </c>
      <c r="L388" s="72" t="s">
        <v>2062</v>
      </c>
      <c r="M388" s="72">
        <v>2015</v>
      </c>
      <c r="N388" s="72" t="s">
        <v>2269</v>
      </c>
      <c r="O388" s="72" t="s">
        <v>2498</v>
      </c>
      <c r="P388" s="76" t="s">
        <v>53</v>
      </c>
      <c r="Q388" s="76">
        <v>200</v>
      </c>
      <c r="R388" s="76" t="s">
        <v>2497</v>
      </c>
      <c r="S388" s="76" t="s">
        <v>9</v>
      </c>
      <c r="T388" s="76">
        <v>110</v>
      </c>
      <c r="U388" s="76" t="s">
        <v>2496</v>
      </c>
      <c r="V388" s="76" t="s">
        <v>8</v>
      </c>
      <c r="W388" s="76">
        <v>80</v>
      </c>
      <c r="X388" s="76" t="s">
        <v>2495</v>
      </c>
      <c r="Y388" s="76" t="s">
        <v>18</v>
      </c>
      <c r="Z388" s="76">
        <v>70</v>
      </c>
      <c r="AA388" s="76" t="s">
        <v>2494</v>
      </c>
      <c r="AB388" s="72" t="s">
        <v>2493</v>
      </c>
      <c r="AF388" s="340" t="s">
        <v>7140</v>
      </c>
      <c r="AG388" s="340" t="s">
        <v>7140</v>
      </c>
      <c r="AL388" s="364"/>
    </row>
    <row r="389" spans="2:38">
      <c r="B389" s="72" t="s">
        <v>2492</v>
      </c>
      <c r="C389" s="73" t="s">
        <v>1691</v>
      </c>
      <c r="D389" s="74">
        <v>5200</v>
      </c>
      <c r="E389" s="72" t="s">
        <v>53</v>
      </c>
      <c r="F389" s="74">
        <v>400</v>
      </c>
      <c r="H389" s="77">
        <v>28327</v>
      </c>
      <c r="I389" s="72" t="s">
        <v>2491</v>
      </c>
      <c r="J389" s="72" t="s">
        <v>2490</v>
      </c>
      <c r="K389" s="72" t="s">
        <v>2045</v>
      </c>
      <c r="L389" s="72" t="s">
        <v>2071</v>
      </c>
      <c r="M389" s="72">
        <v>2012</v>
      </c>
      <c r="O389" s="72" t="s">
        <v>2489</v>
      </c>
      <c r="P389" s="76" t="s">
        <v>1</v>
      </c>
      <c r="Q389" s="76" t="s">
        <v>1</v>
      </c>
      <c r="R389" s="76" t="s">
        <v>1</v>
      </c>
      <c r="S389" s="76" t="s">
        <v>1</v>
      </c>
      <c r="T389" s="76" t="s">
        <v>1</v>
      </c>
      <c r="U389" s="76" t="s">
        <v>1</v>
      </c>
      <c r="V389" s="76" t="s">
        <v>1</v>
      </c>
      <c r="W389" s="76" t="s">
        <v>1</v>
      </c>
      <c r="X389" s="76" t="s">
        <v>1</v>
      </c>
      <c r="Y389" s="76" t="s">
        <v>1</v>
      </c>
      <c r="Z389" s="76" t="s">
        <v>1</v>
      </c>
      <c r="AA389" s="76" t="s">
        <v>1</v>
      </c>
      <c r="AB389" s="72" t="s">
        <v>2488</v>
      </c>
      <c r="AL389" s="364"/>
    </row>
    <row r="390" spans="2:38">
      <c r="B390" s="72" t="s">
        <v>2124</v>
      </c>
      <c r="C390" s="73" t="s">
        <v>1691</v>
      </c>
      <c r="D390" s="74">
        <v>4200</v>
      </c>
      <c r="E390" s="72" t="s">
        <v>504</v>
      </c>
      <c r="F390" s="74">
        <v>200</v>
      </c>
      <c r="H390" s="77">
        <v>44349</v>
      </c>
      <c r="I390" s="72" t="s">
        <v>4460</v>
      </c>
      <c r="J390" s="72" t="s">
        <v>4459</v>
      </c>
      <c r="K390" s="72" t="s">
        <v>2045</v>
      </c>
      <c r="L390" s="72" t="s">
        <v>2123</v>
      </c>
      <c r="M390" s="72">
        <v>2014</v>
      </c>
      <c r="AB390" s="72" t="s">
        <v>2122</v>
      </c>
      <c r="AE390" s="25" t="s">
        <v>2121</v>
      </c>
      <c r="AF390" s="64"/>
      <c r="AG390" s="59"/>
      <c r="AH390" s="59"/>
      <c r="AL390" s="364"/>
    </row>
    <row r="391" spans="2:38" s="464" customFormat="1">
      <c r="B391" s="464" t="s">
        <v>2487</v>
      </c>
      <c r="C391" s="465" t="s">
        <v>1691</v>
      </c>
      <c r="D391" s="466">
        <v>4000</v>
      </c>
      <c r="E391" s="464" t="s">
        <v>2486</v>
      </c>
      <c r="F391" s="466">
        <v>400</v>
      </c>
      <c r="G391" s="466"/>
      <c r="H391" s="467">
        <v>44378</v>
      </c>
      <c r="I391" s="464" t="s">
        <v>2485</v>
      </c>
      <c r="J391" s="464" t="s">
        <v>2484</v>
      </c>
      <c r="K391" s="464" t="s">
        <v>2045</v>
      </c>
      <c r="L391" s="464" t="s">
        <v>2062</v>
      </c>
      <c r="M391" s="464">
        <v>2012</v>
      </c>
      <c r="O391" s="464" t="s">
        <v>2483</v>
      </c>
      <c r="P391" s="468" t="s">
        <v>504</v>
      </c>
      <c r="Q391" s="468" t="s">
        <v>2482</v>
      </c>
      <c r="R391" s="468" t="s">
        <v>2481</v>
      </c>
      <c r="S391" s="468" t="s">
        <v>53</v>
      </c>
      <c r="T391" s="468">
        <v>106</v>
      </c>
      <c r="U391" s="468" t="s">
        <v>2480</v>
      </c>
      <c r="V391" s="468" t="s">
        <v>9</v>
      </c>
      <c r="W391" s="468">
        <v>52</v>
      </c>
      <c r="X391" s="468" t="s">
        <v>2479</v>
      </c>
      <c r="Y391" s="468" t="s">
        <v>8</v>
      </c>
      <c r="Z391" s="468">
        <v>32.799999999999997</v>
      </c>
      <c r="AA391" s="468" t="s">
        <v>2478</v>
      </c>
      <c r="AB391" s="464" t="s">
        <v>2098</v>
      </c>
      <c r="AF391" s="469"/>
      <c r="AG391" s="470"/>
      <c r="AH391" s="470"/>
      <c r="AL391" s="471"/>
    </row>
    <row r="392" spans="2:38">
      <c r="B392" s="72" t="s">
        <v>2477</v>
      </c>
      <c r="C392" s="73" t="s">
        <v>1691</v>
      </c>
      <c r="D392" s="74">
        <v>3100</v>
      </c>
      <c r="E392" s="72" t="s">
        <v>9</v>
      </c>
      <c r="F392" s="74">
        <v>150</v>
      </c>
      <c r="H392" s="77">
        <v>44545</v>
      </c>
      <c r="I392" s="72" t="s">
        <v>2476</v>
      </c>
      <c r="J392" s="72" t="s">
        <v>1</v>
      </c>
      <c r="K392" s="72" t="s">
        <v>2045</v>
      </c>
      <c r="L392" s="72" t="s">
        <v>2062</v>
      </c>
      <c r="M392" s="72">
        <v>2014</v>
      </c>
      <c r="O392" s="72" t="s">
        <v>2475</v>
      </c>
      <c r="P392" s="76" t="s">
        <v>1</v>
      </c>
      <c r="Q392" s="76" t="s">
        <v>1</v>
      </c>
      <c r="R392" s="76" t="s">
        <v>1</v>
      </c>
      <c r="S392" s="76" t="s">
        <v>1</v>
      </c>
      <c r="T392" s="76" t="s">
        <v>1</v>
      </c>
      <c r="U392" s="76" t="s">
        <v>1</v>
      </c>
      <c r="V392" s="76" t="s">
        <v>1</v>
      </c>
      <c r="W392" s="76" t="s">
        <v>1</v>
      </c>
      <c r="X392" s="76" t="s">
        <v>1</v>
      </c>
      <c r="Y392" s="76" t="s">
        <v>1</v>
      </c>
      <c r="Z392" s="76" t="s">
        <v>1</v>
      </c>
      <c r="AA392" s="76" t="s">
        <v>1</v>
      </c>
      <c r="AB392" s="72" t="s">
        <v>2362</v>
      </c>
      <c r="AL392" s="364"/>
    </row>
    <row r="393" spans="2:38">
      <c r="B393" s="72" t="s">
        <v>2474</v>
      </c>
      <c r="C393" s="73" t="s">
        <v>1691</v>
      </c>
      <c r="D393" s="74">
        <v>2800</v>
      </c>
      <c r="E393" s="72" t="s">
        <v>18</v>
      </c>
      <c r="I393" s="72" t="s">
        <v>2473</v>
      </c>
      <c r="K393" s="72" t="s">
        <v>2045</v>
      </c>
      <c r="L393" s="72" t="s">
        <v>2451</v>
      </c>
      <c r="M393" s="72">
        <v>2006</v>
      </c>
      <c r="N393" s="72" t="s">
        <v>2472</v>
      </c>
      <c r="AB393" s="72" t="s">
        <v>2305</v>
      </c>
      <c r="AE393" s="25" t="s">
        <v>2471</v>
      </c>
      <c r="AF393" s="64"/>
      <c r="AG393" s="59"/>
      <c r="AH393" s="59"/>
      <c r="AL393" s="364"/>
    </row>
    <row r="394" spans="2:38">
      <c r="B394" s="72" t="s">
        <v>2470</v>
      </c>
      <c r="C394" s="73" t="s">
        <v>1691</v>
      </c>
      <c r="D394" s="74">
        <v>2500</v>
      </c>
      <c r="E394" s="72" t="s">
        <v>1</v>
      </c>
      <c r="F394" s="72" t="s">
        <v>1</v>
      </c>
      <c r="G394" s="72"/>
      <c r="H394" s="72" t="s">
        <v>1</v>
      </c>
      <c r="I394" s="72" t="s">
        <v>2469</v>
      </c>
      <c r="J394" s="72" t="s">
        <v>2468</v>
      </c>
      <c r="K394" s="72" t="s">
        <v>2045</v>
      </c>
      <c r="L394" s="72" t="s">
        <v>2467</v>
      </c>
      <c r="M394" s="72" t="s">
        <v>2466</v>
      </c>
      <c r="O394" s="72" t="s">
        <v>1</v>
      </c>
      <c r="P394" s="72" t="s">
        <v>1</v>
      </c>
      <c r="Q394" s="72" t="s">
        <v>1</v>
      </c>
      <c r="R394" s="72" t="s">
        <v>1</v>
      </c>
      <c r="S394" s="72" t="s">
        <v>1</v>
      </c>
      <c r="T394" s="72" t="s">
        <v>1</v>
      </c>
      <c r="U394" s="72" t="s">
        <v>1</v>
      </c>
      <c r="V394" s="72" t="s">
        <v>1</v>
      </c>
      <c r="W394" s="72" t="s">
        <v>1</v>
      </c>
      <c r="X394" s="72" t="s">
        <v>1</v>
      </c>
      <c r="Y394" s="72" t="s">
        <v>1</v>
      </c>
      <c r="Z394" s="72" t="s">
        <v>1</v>
      </c>
      <c r="AA394" s="72" t="s">
        <v>1</v>
      </c>
      <c r="AB394" s="72" t="s">
        <v>2465</v>
      </c>
      <c r="AL394" s="364"/>
    </row>
    <row r="395" spans="2:38">
      <c r="B395" s="479" t="s">
        <v>14985</v>
      </c>
      <c r="C395" s="480" t="s">
        <v>1691</v>
      </c>
      <c r="D395" s="74">
        <v>2600</v>
      </c>
      <c r="E395" s="479" t="s">
        <v>18</v>
      </c>
      <c r="F395" s="72">
        <v>150</v>
      </c>
      <c r="G395" s="72"/>
      <c r="H395" s="78">
        <v>45497</v>
      </c>
      <c r="N395" s="479" t="s">
        <v>14986</v>
      </c>
      <c r="P395" s="72"/>
      <c r="Q395" s="72"/>
      <c r="R395" s="72"/>
      <c r="S395" s="72"/>
      <c r="T395" s="72"/>
      <c r="U395" s="72"/>
      <c r="V395" s="72"/>
      <c r="W395" s="72"/>
      <c r="X395" s="72"/>
      <c r="Y395" s="72"/>
      <c r="Z395" s="72"/>
      <c r="AA395" s="72"/>
      <c r="AL395" s="364"/>
    </row>
    <row r="396" spans="2:38">
      <c r="B396" s="72" t="s">
        <v>2464</v>
      </c>
      <c r="C396" s="73" t="s">
        <v>1691</v>
      </c>
      <c r="D396" s="74">
        <v>1900</v>
      </c>
      <c r="E396" s="72" t="s">
        <v>18</v>
      </c>
      <c r="F396" s="74">
        <v>150</v>
      </c>
      <c r="H396" s="77">
        <v>44649</v>
      </c>
      <c r="I396" s="72" t="s">
        <v>2463</v>
      </c>
      <c r="J396" s="72" t="s">
        <v>1</v>
      </c>
      <c r="K396" s="72" t="s">
        <v>2045</v>
      </c>
      <c r="L396" s="72" t="s">
        <v>2062</v>
      </c>
      <c r="M396" s="72">
        <v>2018</v>
      </c>
      <c r="N396" s="72" t="s">
        <v>2462</v>
      </c>
      <c r="O396" s="72" t="s">
        <v>2461</v>
      </c>
      <c r="P396" s="76" t="s">
        <v>7</v>
      </c>
      <c r="Q396" s="76" t="s">
        <v>2460</v>
      </c>
      <c r="R396" s="76" t="s">
        <v>1</v>
      </c>
      <c r="S396" s="76" t="s">
        <v>1</v>
      </c>
      <c r="T396" s="76" t="s">
        <v>1</v>
      </c>
      <c r="U396" s="76" t="s">
        <v>1</v>
      </c>
      <c r="V396" s="76" t="s">
        <v>1</v>
      </c>
      <c r="W396" s="76" t="s">
        <v>1</v>
      </c>
      <c r="X396" s="76" t="s">
        <v>1</v>
      </c>
      <c r="Y396" s="76" t="s">
        <v>1</v>
      </c>
      <c r="Z396" s="76" t="s">
        <v>1</v>
      </c>
      <c r="AA396" s="76" t="s">
        <v>1</v>
      </c>
      <c r="AB396" s="72" t="s">
        <v>2459</v>
      </c>
      <c r="AL396" s="364"/>
    </row>
    <row r="397" spans="2:38">
      <c r="B397" s="72" t="s">
        <v>2458</v>
      </c>
      <c r="C397" s="73" t="s">
        <v>1691</v>
      </c>
      <c r="D397" s="74">
        <v>1900</v>
      </c>
      <c r="E397" s="72" t="s">
        <v>9</v>
      </c>
      <c r="F397" s="74">
        <v>150</v>
      </c>
      <c r="H397" s="77">
        <v>44523</v>
      </c>
      <c r="I397" s="72" t="s">
        <v>2457</v>
      </c>
      <c r="J397" s="72" t="s">
        <v>1</v>
      </c>
      <c r="K397" s="72" t="s">
        <v>2045</v>
      </c>
      <c r="L397" s="72" t="s">
        <v>2456</v>
      </c>
      <c r="M397" s="72">
        <v>2017</v>
      </c>
      <c r="O397" s="72" t="s">
        <v>2455</v>
      </c>
      <c r="P397" s="76" t="s">
        <v>1</v>
      </c>
      <c r="Q397" s="76" t="s">
        <v>1</v>
      </c>
      <c r="R397" s="76" t="s">
        <v>1</v>
      </c>
      <c r="S397" s="76" t="s">
        <v>1</v>
      </c>
      <c r="T397" s="76" t="s">
        <v>1</v>
      </c>
      <c r="U397" s="76" t="s">
        <v>1</v>
      </c>
      <c r="V397" s="76" t="s">
        <v>1</v>
      </c>
      <c r="W397" s="76" t="s">
        <v>1</v>
      </c>
      <c r="X397" s="76" t="s">
        <v>1</v>
      </c>
      <c r="Y397" s="76" t="s">
        <v>1</v>
      </c>
      <c r="Z397" s="76" t="s">
        <v>1</v>
      </c>
      <c r="AA397" s="76" t="s">
        <v>1</v>
      </c>
      <c r="AB397" s="72" t="s">
        <v>2055</v>
      </c>
      <c r="AL397" s="364"/>
    </row>
    <row r="398" spans="2:38">
      <c r="B398" s="72" t="s">
        <v>2454</v>
      </c>
      <c r="C398" s="73" t="s">
        <v>1691</v>
      </c>
      <c r="D398" s="74">
        <v>1700</v>
      </c>
      <c r="E398" s="72" t="s">
        <v>8</v>
      </c>
      <c r="F398" s="74">
        <v>100</v>
      </c>
      <c r="H398" s="77">
        <v>45027</v>
      </c>
      <c r="I398" s="72" t="s">
        <v>2453</v>
      </c>
      <c r="J398" s="72" t="s">
        <v>2452</v>
      </c>
      <c r="K398" s="72" t="s">
        <v>2045</v>
      </c>
      <c r="L398" s="72" t="s">
        <v>2451</v>
      </c>
      <c r="M398" s="72">
        <v>2008</v>
      </c>
      <c r="N398" s="72" t="s">
        <v>2450</v>
      </c>
      <c r="O398" s="72" t="s">
        <v>2449</v>
      </c>
      <c r="P398" s="76" t="s">
        <v>1</v>
      </c>
      <c r="Q398" s="76" t="s">
        <v>1</v>
      </c>
      <c r="R398" s="76" t="s">
        <v>1</v>
      </c>
      <c r="S398" s="76" t="s">
        <v>1</v>
      </c>
      <c r="T398" s="76" t="s">
        <v>1</v>
      </c>
      <c r="U398" s="76" t="s">
        <v>1</v>
      </c>
      <c r="V398" s="76" t="s">
        <v>1</v>
      </c>
      <c r="W398" s="76" t="s">
        <v>1</v>
      </c>
      <c r="X398" s="76" t="s">
        <v>1</v>
      </c>
      <c r="Y398" s="76" t="s">
        <v>1</v>
      </c>
      <c r="Z398" s="76" t="s">
        <v>1</v>
      </c>
      <c r="AA398" s="76" t="s">
        <v>1</v>
      </c>
      <c r="AB398" s="72" t="s">
        <v>2055</v>
      </c>
      <c r="AE398" s="25" t="s">
        <v>2448</v>
      </c>
      <c r="AF398" s="64"/>
      <c r="AG398" s="59"/>
      <c r="AH398" s="59"/>
      <c r="AL398" s="364"/>
    </row>
    <row r="399" spans="2:38">
      <c r="B399" s="72" t="s">
        <v>2447</v>
      </c>
      <c r="C399" s="73" t="s">
        <v>1691</v>
      </c>
      <c r="D399" s="74">
        <v>1700</v>
      </c>
      <c r="E399" s="72" t="s">
        <v>8</v>
      </c>
      <c r="F399" s="74">
        <v>85</v>
      </c>
      <c r="H399" s="77">
        <v>42846</v>
      </c>
      <c r="J399" s="72" t="s">
        <v>2446</v>
      </c>
      <c r="K399" s="72" t="s">
        <v>2308</v>
      </c>
      <c r="L399" s="72" t="s">
        <v>2445</v>
      </c>
      <c r="M399" s="72">
        <v>2009</v>
      </c>
      <c r="O399" s="72" t="s">
        <v>1</v>
      </c>
      <c r="P399" s="72" t="s">
        <v>1</v>
      </c>
      <c r="Q399" s="72" t="s">
        <v>1</v>
      </c>
      <c r="R399" s="72" t="s">
        <v>1</v>
      </c>
      <c r="S399" s="72" t="s">
        <v>1</v>
      </c>
      <c r="T399" s="72" t="s">
        <v>1</v>
      </c>
      <c r="U399" s="72" t="s">
        <v>1</v>
      </c>
      <c r="V399" s="72" t="s">
        <v>1</v>
      </c>
      <c r="W399" s="72" t="s">
        <v>1</v>
      </c>
      <c r="X399" s="72" t="s">
        <v>1</v>
      </c>
      <c r="Y399" s="72" t="s">
        <v>1</v>
      </c>
      <c r="Z399" s="72" t="s">
        <v>1</v>
      </c>
      <c r="AA399" s="72" t="s">
        <v>1</v>
      </c>
      <c r="AB399" s="72" t="s">
        <v>2043</v>
      </c>
      <c r="AL399" s="364"/>
    </row>
    <row r="400" spans="2:38">
      <c r="B400" s="72" t="s">
        <v>148</v>
      </c>
      <c r="C400" s="73" t="s">
        <v>1691</v>
      </c>
      <c r="D400" s="74">
        <v>1500</v>
      </c>
      <c r="E400" s="72" t="s">
        <v>9</v>
      </c>
      <c r="F400" s="74">
        <v>300</v>
      </c>
      <c r="H400" s="77">
        <v>44271</v>
      </c>
      <c r="J400" s="72" t="s">
        <v>2444</v>
      </c>
      <c r="K400" s="72" t="s">
        <v>2045</v>
      </c>
      <c r="L400" s="72" t="s">
        <v>2443</v>
      </c>
      <c r="M400" s="72">
        <v>2007</v>
      </c>
      <c r="N400" s="72" t="s">
        <v>2442</v>
      </c>
      <c r="O400" s="72" t="s">
        <v>2441</v>
      </c>
      <c r="P400" s="76" t="s">
        <v>8</v>
      </c>
      <c r="Q400" s="76">
        <v>38</v>
      </c>
      <c r="R400" s="76" t="s">
        <v>2440</v>
      </c>
      <c r="S400" s="76" t="s">
        <v>18</v>
      </c>
      <c r="T400" s="76" t="s">
        <v>1</v>
      </c>
      <c r="U400" s="76" t="s">
        <v>2439</v>
      </c>
      <c r="V400" s="76" t="s">
        <v>7</v>
      </c>
      <c r="W400" s="76">
        <v>10</v>
      </c>
      <c r="X400" s="76" t="s">
        <v>2438</v>
      </c>
      <c r="Y400" s="76" t="s">
        <v>5</v>
      </c>
      <c r="Z400" s="76" t="s">
        <v>2437</v>
      </c>
      <c r="AA400" s="76" t="s">
        <v>2436</v>
      </c>
      <c r="AB400" s="72" t="s">
        <v>2435</v>
      </c>
      <c r="AE400" s="25" t="s">
        <v>2434</v>
      </c>
      <c r="AF400" s="64"/>
      <c r="AG400" s="59"/>
      <c r="AH400" s="59"/>
      <c r="AL400" s="364"/>
    </row>
    <row r="401" spans="2:38">
      <c r="B401" s="72" t="s">
        <v>2433</v>
      </c>
      <c r="C401" s="73" t="s">
        <v>1691</v>
      </c>
      <c r="D401" s="74">
        <v>1400</v>
      </c>
      <c r="E401" s="72" t="s">
        <v>8</v>
      </c>
      <c r="F401" s="74">
        <v>70</v>
      </c>
      <c r="H401" s="77">
        <v>44907</v>
      </c>
      <c r="I401" s="72" t="s">
        <v>2432</v>
      </c>
      <c r="J401" s="72" t="s">
        <v>2431</v>
      </c>
      <c r="K401" s="72" t="s">
        <v>2045</v>
      </c>
      <c r="L401" s="72" t="s">
        <v>2430</v>
      </c>
      <c r="M401" s="72">
        <v>2015</v>
      </c>
      <c r="N401" s="72" t="s">
        <v>2429</v>
      </c>
      <c r="O401" s="72" t="s">
        <v>1</v>
      </c>
      <c r="P401" s="72" t="s">
        <v>1</v>
      </c>
      <c r="Q401" s="72" t="s">
        <v>1</v>
      </c>
      <c r="R401" s="72" t="s">
        <v>1</v>
      </c>
      <c r="S401" s="72" t="s">
        <v>1</v>
      </c>
      <c r="T401" s="72" t="s">
        <v>1</v>
      </c>
      <c r="U401" s="72" t="s">
        <v>1</v>
      </c>
      <c r="V401" s="72" t="s">
        <v>1</v>
      </c>
      <c r="W401" s="72" t="s">
        <v>1</v>
      </c>
      <c r="X401" s="72" t="s">
        <v>1</v>
      </c>
      <c r="Y401" s="72" t="s">
        <v>1</v>
      </c>
      <c r="Z401" s="72" t="s">
        <v>1</v>
      </c>
      <c r="AA401" s="72" t="s">
        <v>1</v>
      </c>
      <c r="AB401" s="72" t="s">
        <v>2428</v>
      </c>
      <c r="AE401" s="25" t="s">
        <v>2427</v>
      </c>
      <c r="AF401" s="64"/>
      <c r="AG401" s="59"/>
      <c r="AH401" s="59"/>
      <c r="AL401" s="364"/>
    </row>
    <row r="402" spans="2:38">
      <c r="B402" s="72" t="s">
        <v>2426</v>
      </c>
      <c r="C402" s="73" t="s">
        <v>1691</v>
      </c>
      <c r="D402" s="74">
        <v>1300</v>
      </c>
      <c r="E402" s="72" t="s">
        <v>8</v>
      </c>
      <c r="F402" s="74">
        <v>150</v>
      </c>
      <c r="H402" s="77">
        <v>44656</v>
      </c>
      <c r="J402" s="72" t="s">
        <v>2425</v>
      </c>
      <c r="K402" s="72" t="s">
        <v>2045</v>
      </c>
      <c r="L402" s="72" t="s">
        <v>2062</v>
      </c>
      <c r="M402" s="78">
        <v>42323</v>
      </c>
      <c r="O402" s="72" t="s">
        <v>2424</v>
      </c>
      <c r="P402" s="76" t="s">
        <v>1</v>
      </c>
      <c r="Q402" s="76" t="s">
        <v>1</v>
      </c>
      <c r="R402" s="76" t="s">
        <v>1</v>
      </c>
      <c r="S402" s="76" t="s">
        <v>1</v>
      </c>
      <c r="T402" s="76" t="s">
        <v>1</v>
      </c>
      <c r="U402" s="76" t="s">
        <v>1</v>
      </c>
      <c r="V402" s="76" t="s">
        <v>1</v>
      </c>
      <c r="W402" s="76" t="s">
        <v>1</v>
      </c>
      <c r="X402" s="76" t="s">
        <v>1</v>
      </c>
      <c r="Y402" s="76" t="s">
        <v>1</v>
      </c>
      <c r="Z402" s="76" t="s">
        <v>1</v>
      </c>
      <c r="AA402" s="76" t="s">
        <v>1</v>
      </c>
      <c r="AB402" s="72" t="s">
        <v>2362</v>
      </c>
      <c r="AL402" s="364"/>
    </row>
    <row r="403" spans="2:38">
      <c r="B403" s="72" t="s">
        <v>2423</v>
      </c>
      <c r="C403" s="73" t="s">
        <v>1691</v>
      </c>
      <c r="D403" s="74">
        <v>1300</v>
      </c>
      <c r="E403" s="72" t="s">
        <v>8</v>
      </c>
      <c r="F403" s="74">
        <v>140</v>
      </c>
      <c r="H403" s="77">
        <v>44602</v>
      </c>
      <c r="K403" s="72" t="s">
        <v>2045</v>
      </c>
      <c r="L403" s="72" t="s">
        <v>2082</v>
      </c>
      <c r="M403" s="72">
        <v>2018</v>
      </c>
      <c r="N403" s="72" t="s">
        <v>2422</v>
      </c>
      <c r="AB403" s="72" t="s">
        <v>2152</v>
      </c>
      <c r="AE403" s="25" t="s">
        <v>2421</v>
      </c>
      <c r="AF403" s="64"/>
      <c r="AG403" s="59"/>
      <c r="AH403" s="59"/>
      <c r="AL403" s="364"/>
    </row>
    <row r="404" spans="2:38">
      <c r="B404" s="72" t="s">
        <v>907</v>
      </c>
      <c r="C404" s="73" t="s">
        <v>1691</v>
      </c>
      <c r="D404" s="74">
        <v>1100</v>
      </c>
      <c r="E404" s="72" t="s">
        <v>7</v>
      </c>
      <c r="F404" s="74">
        <v>97.4</v>
      </c>
      <c r="H404" s="77">
        <v>45041</v>
      </c>
      <c r="I404" s="72" t="s">
        <v>2420</v>
      </c>
      <c r="J404" s="72" t="s">
        <v>2419</v>
      </c>
      <c r="K404" s="72" t="s">
        <v>2045</v>
      </c>
      <c r="L404" s="72" t="s">
        <v>2237</v>
      </c>
      <c r="M404" s="72">
        <v>2016</v>
      </c>
      <c r="O404" s="72" t="s">
        <v>2418</v>
      </c>
      <c r="P404" s="76" t="s">
        <v>2417</v>
      </c>
      <c r="Q404" s="76">
        <v>80</v>
      </c>
      <c r="R404" s="76" t="s">
        <v>2416</v>
      </c>
      <c r="S404" s="76" t="s">
        <v>5</v>
      </c>
      <c r="T404" s="76">
        <v>20</v>
      </c>
      <c r="U404" s="76" t="s">
        <v>2415</v>
      </c>
      <c r="V404" s="76" t="s">
        <v>4</v>
      </c>
      <c r="W404" s="76">
        <v>4.5</v>
      </c>
      <c r="X404" s="76" t="s">
        <v>2414</v>
      </c>
      <c r="Y404" s="76" t="s">
        <v>278</v>
      </c>
      <c r="Z404" s="76">
        <v>0.12</v>
      </c>
      <c r="AA404" s="76" t="s">
        <v>2413</v>
      </c>
      <c r="AB404" s="72" t="s">
        <v>2362</v>
      </c>
      <c r="AL404" s="364"/>
    </row>
    <row r="405" spans="2:38">
      <c r="B405" s="72" t="s">
        <v>2412</v>
      </c>
      <c r="C405" s="73" t="s">
        <v>1691</v>
      </c>
      <c r="D405" s="74">
        <v>1000</v>
      </c>
      <c r="E405" s="72" t="s">
        <v>7</v>
      </c>
      <c r="F405" s="74">
        <v>500</v>
      </c>
      <c r="H405" s="77">
        <v>44971</v>
      </c>
      <c r="I405" s="72" t="s">
        <v>2411</v>
      </c>
      <c r="J405" s="72" t="s">
        <v>1</v>
      </c>
      <c r="K405" s="72" t="s">
        <v>2045</v>
      </c>
      <c r="L405" s="72" t="s">
        <v>2082</v>
      </c>
      <c r="M405" s="72">
        <v>2016</v>
      </c>
      <c r="N405" s="72" t="s">
        <v>2410</v>
      </c>
      <c r="O405" s="72" t="s">
        <v>2409</v>
      </c>
      <c r="AB405" s="72" t="s">
        <v>2152</v>
      </c>
      <c r="AL405" s="364"/>
    </row>
    <row r="406" spans="2:38">
      <c r="B406" s="72" t="s">
        <v>2408</v>
      </c>
      <c r="C406" s="73" t="s">
        <v>1691</v>
      </c>
      <c r="D406" s="74">
        <v>1000</v>
      </c>
      <c r="E406" s="72" t="s">
        <v>9</v>
      </c>
      <c r="F406" s="74">
        <v>300</v>
      </c>
      <c r="H406" s="77">
        <v>43917</v>
      </c>
      <c r="I406" s="72" t="s">
        <v>2407</v>
      </c>
      <c r="J406" s="72" t="s">
        <v>2406</v>
      </c>
      <c r="K406" s="72" t="s">
        <v>2045</v>
      </c>
      <c r="L406" s="72" t="s">
        <v>2123</v>
      </c>
      <c r="M406" s="72">
        <v>2014</v>
      </c>
      <c r="N406" s="72" t="s">
        <v>2405</v>
      </c>
      <c r="AB406" s="72" t="s">
        <v>2370</v>
      </c>
      <c r="AE406" s="25" t="s">
        <v>2404</v>
      </c>
      <c r="AF406" s="64"/>
      <c r="AG406" s="59"/>
      <c r="AH406" s="59"/>
      <c r="AL406" s="364"/>
    </row>
    <row r="407" spans="2:38">
      <c r="B407" s="72" t="s">
        <v>2403</v>
      </c>
      <c r="C407" s="73" t="s">
        <v>1691</v>
      </c>
      <c r="D407" s="74">
        <v>1000</v>
      </c>
      <c r="E407" s="72" t="s">
        <v>7</v>
      </c>
      <c r="F407" s="74">
        <v>283</v>
      </c>
      <c r="H407" s="77">
        <v>43689</v>
      </c>
      <c r="I407" s="72" t="s">
        <v>2402</v>
      </c>
      <c r="J407" s="72" t="s">
        <v>2401</v>
      </c>
      <c r="K407" s="72" t="s">
        <v>2045</v>
      </c>
      <c r="L407" s="72" t="s">
        <v>2400</v>
      </c>
      <c r="M407" s="72">
        <v>2015</v>
      </c>
      <c r="N407" s="72" t="s">
        <v>2399</v>
      </c>
      <c r="O407" s="72" t="s">
        <v>2398</v>
      </c>
      <c r="P407" s="76" t="s">
        <v>1</v>
      </c>
      <c r="Q407" s="76" t="s">
        <v>1</v>
      </c>
      <c r="R407" s="76" t="s">
        <v>1</v>
      </c>
      <c r="S407" s="76" t="s">
        <v>1</v>
      </c>
      <c r="T407" s="76" t="s">
        <v>1</v>
      </c>
      <c r="U407" s="76" t="s">
        <v>1</v>
      </c>
      <c r="V407" s="76" t="s">
        <v>1</v>
      </c>
      <c r="W407" s="76" t="s">
        <v>1</v>
      </c>
      <c r="X407" s="76" t="s">
        <v>1</v>
      </c>
      <c r="Y407" s="76" t="s">
        <v>1</v>
      </c>
      <c r="Z407" s="76" t="s">
        <v>1</v>
      </c>
      <c r="AA407" s="76" t="s">
        <v>1</v>
      </c>
      <c r="AB407" s="72" t="s">
        <v>2370</v>
      </c>
      <c r="AE407" s="25" t="s">
        <v>2397</v>
      </c>
      <c r="AF407" s="64"/>
      <c r="AG407" s="59"/>
      <c r="AH407" s="59"/>
      <c r="AL407" s="364"/>
    </row>
    <row r="408" spans="2:38">
      <c r="B408" s="72" t="s">
        <v>2396</v>
      </c>
      <c r="C408" s="73" t="s">
        <v>1691</v>
      </c>
      <c r="D408" s="74">
        <v>1000</v>
      </c>
      <c r="E408" s="72" t="s">
        <v>7</v>
      </c>
      <c r="F408" s="74">
        <v>140</v>
      </c>
      <c r="H408" s="27">
        <v>43322</v>
      </c>
      <c r="I408" s="72" t="s">
        <v>2395</v>
      </c>
      <c r="J408" s="72" t="s">
        <v>2394</v>
      </c>
      <c r="K408" s="72" t="s">
        <v>2045</v>
      </c>
      <c r="L408" s="72" t="s">
        <v>2393</v>
      </c>
      <c r="M408" s="72">
        <v>2014</v>
      </c>
      <c r="N408" s="72" t="s">
        <v>2392</v>
      </c>
      <c r="O408" s="72" t="s">
        <v>2391</v>
      </c>
      <c r="P408" s="76" t="s">
        <v>1</v>
      </c>
      <c r="Q408" s="76" t="s">
        <v>1</v>
      </c>
      <c r="R408" s="76" t="s">
        <v>1</v>
      </c>
      <c r="S408" s="76" t="s">
        <v>1</v>
      </c>
      <c r="T408" s="76" t="s">
        <v>1</v>
      </c>
      <c r="U408" s="76" t="s">
        <v>1</v>
      </c>
      <c r="V408" s="76" t="s">
        <v>1</v>
      </c>
      <c r="W408" s="76" t="s">
        <v>1</v>
      </c>
      <c r="X408" s="76" t="s">
        <v>1</v>
      </c>
      <c r="Y408" s="76" t="s">
        <v>1</v>
      </c>
      <c r="Z408" s="76" t="s">
        <v>1</v>
      </c>
      <c r="AA408" s="76" t="s">
        <v>1</v>
      </c>
      <c r="AB408" s="72" t="s">
        <v>2370</v>
      </c>
      <c r="AL408" s="364"/>
    </row>
    <row r="409" spans="2:38">
      <c r="B409" s="72" t="s">
        <v>29</v>
      </c>
      <c r="C409" s="73" t="s">
        <v>2138</v>
      </c>
      <c r="D409" s="74">
        <v>1000</v>
      </c>
      <c r="E409" s="72" t="s">
        <v>5</v>
      </c>
      <c r="F409" s="74">
        <v>228.57142857142858</v>
      </c>
      <c r="H409" s="77">
        <v>45078</v>
      </c>
      <c r="I409" s="72" t="s">
        <v>2390</v>
      </c>
      <c r="J409" s="72" t="s">
        <v>2386</v>
      </c>
      <c r="K409" s="72" t="s">
        <v>2045</v>
      </c>
      <c r="L409" s="72" t="s">
        <v>2389</v>
      </c>
      <c r="M409" s="72">
        <v>2023</v>
      </c>
      <c r="N409" s="72" t="s">
        <v>2388</v>
      </c>
      <c r="O409" s="72" t="s">
        <v>2387</v>
      </c>
      <c r="P409" s="76" t="s">
        <v>5</v>
      </c>
      <c r="Q409" s="76">
        <v>50</v>
      </c>
      <c r="R409" s="76" t="s">
        <v>2386</v>
      </c>
      <c r="S409" s="76" t="s">
        <v>1</v>
      </c>
      <c r="T409" s="76" t="s">
        <v>1</v>
      </c>
      <c r="U409" s="76" t="s">
        <v>1</v>
      </c>
      <c r="V409" s="76" t="s">
        <v>1</v>
      </c>
      <c r="W409" s="76" t="s">
        <v>1</v>
      </c>
      <c r="X409" s="76" t="s">
        <v>1</v>
      </c>
      <c r="Y409" s="76" t="s">
        <v>1</v>
      </c>
      <c r="Z409" s="76" t="s">
        <v>1</v>
      </c>
      <c r="AA409" s="76" t="s">
        <v>1</v>
      </c>
      <c r="AB409" s="72" t="s">
        <v>2370</v>
      </c>
      <c r="AL409" s="364"/>
    </row>
    <row r="410" spans="2:38">
      <c r="B410" s="72" t="s">
        <v>2385</v>
      </c>
      <c r="C410" s="73" t="s">
        <v>2138</v>
      </c>
      <c r="D410" s="74">
        <v>1000</v>
      </c>
      <c r="N410" s="72" t="s">
        <v>2384</v>
      </c>
      <c r="AB410" s="72" t="s">
        <v>2048</v>
      </c>
      <c r="AE410" s="25" t="s">
        <v>2383</v>
      </c>
      <c r="AF410" s="64"/>
      <c r="AG410" s="59"/>
      <c r="AH410" s="59"/>
      <c r="AL410" s="364"/>
    </row>
    <row r="411" spans="2:38">
      <c r="B411" s="72" t="s">
        <v>2382</v>
      </c>
      <c r="C411" s="73" t="s">
        <v>1691</v>
      </c>
      <c r="D411" s="74">
        <v>785</v>
      </c>
      <c r="E411" s="72" t="s">
        <v>7</v>
      </c>
      <c r="F411" s="74">
        <v>215</v>
      </c>
      <c r="H411" s="77">
        <v>44496</v>
      </c>
      <c r="I411" s="72" t="s">
        <v>2381</v>
      </c>
      <c r="J411" s="72" t="s">
        <v>2380</v>
      </c>
      <c r="K411" s="72" t="s">
        <v>2062</v>
      </c>
      <c r="L411" s="72" t="s">
        <v>2379</v>
      </c>
      <c r="M411" s="72">
        <v>2018</v>
      </c>
      <c r="N411" s="72" t="s">
        <v>2378</v>
      </c>
      <c r="O411" s="72" t="s">
        <v>2377</v>
      </c>
      <c r="AB411" s="72" t="s">
        <v>2055</v>
      </c>
      <c r="AE411" s="25" t="s">
        <v>2376</v>
      </c>
      <c r="AF411" s="64"/>
      <c r="AG411" s="59"/>
      <c r="AH411" s="59"/>
      <c r="AL411" s="364"/>
    </row>
    <row r="412" spans="2:38">
      <c r="B412" s="72" t="s">
        <v>2375</v>
      </c>
      <c r="C412" s="73" t="s">
        <v>1691</v>
      </c>
      <c r="D412" s="74">
        <v>700</v>
      </c>
      <c r="E412" s="72" t="s">
        <v>18</v>
      </c>
      <c r="K412" s="72" t="s">
        <v>2045</v>
      </c>
      <c r="L412" s="72" t="s">
        <v>2349</v>
      </c>
      <c r="N412" s="72" t="s">
        <v>2374</v>
      </c>
      <c r="AE412" s="25"/>
      <c r="AF412" s="64"/>
      <c r="AG412" s="59"/>
      <c r="AH412" s="59"/>
      <c r="AL412" s="364"/>
    </row>
    <row r="413" spans="2:38">
      <c r="B413" s="72" t="s">
        <v>2373</v>
      </c>
      <c r="C413" s="73" t="s">
        <v>1691</v>
      </c>
      <c r="D413" s="74">
        <v>700</v>
      </c>
      <c r="E413" s="72" t="s">
        <v>7</v>
      </c>
      <c r="F413" s="74">
        <f>1500/7</f>
        <v>214.28571428571428</v>
      </c>
      <c r="H413" s="77">
        <v>44922</v>
      </c>
      <c r="I413" s="72" t="s">
        <v>2372</v>
      </c>
      <c r="J413" s="72" t="s">
        <v>2371</v>
      </c>
      <c r="K413" s="72" t="s">
        <v>2045</v>
      </c>
      <c r="L413" s="72" t="s">
        <v>2079</v>
      </c>
      <c r="M413" s="72">
        <v>2020</v>
      </c>
      <c r="O413" s="72" t="s">
        <v>1</v>
      </c>
      <c r="P413" s="72" t="s">
        <v>1</v>
      </c>
      <c r="Q413" s="72" t="s">
        <v>1</v>
      </c>
      <c r="R413" s="72" t="s">
        <v>1</v>
      </c>
      <c r="S413" s="72" t="s">
        <v>1</v>
      </c>
      <c r="T413" s="72" t="s">
        <v>1</v>
      </c>
      <c r="U413" s="72" t="s">
        <v>1</v>
      </c>
      <c r="V413" s="72" t="s">
        <v>1</v>
      </c>
      <c r="W413" s="72" t="s">
        <v>1</v>
      </c>
      <c r="X413" s="72" t="s">
        <v>1</v>
      </c>
      <c r="Y413" s="72" t="s">
        <v>1</v>
      </c>
      <c r="Z413" s="72" t="s">
        <v>1</v>
      </c>
      <c r="AA413" s="72" t="s">
        <v>1</v>
      </c>
      <c r="AB413" s="72" t="s">
        <v>2370</v>
      </c>
      <c r="AE413" s="25" t="s">
        <v>2369</v>
      </c>
      <c r="AF413" s="64"/>
      <c r="AG413" s="59"/>
      <c r="AH413" s="59"/>
      <c r="AL413" s="364"/>
    </row>
    <row r="414" spans="2:38">
      <c r="B414" s="72" t="s">
        <v>2368</v>
      </c>
      <c r="C414" s="73" t="s">
        <v>1691</v>
      </c>
      <c r="D414" s="74">
        <v>2000</v>
      </c>
      <c r="E414" s="72" t="s">
        <v>7</v>
      </c>
      <c r="F414" s="74">
        <v>44</v>
      </c>
      <c r="H414" s="77">
        <v>45006</v>
      </c>
      <c r="I414" s="72" t="s">
        <v>2367</v>
      </c>
      <c r="J414" s="72" t="s">
        <v>2366</v>
      </c>
      <c r="K414" s="72" t="s">
        <v>2045</v>
      </c>
      <c r="L414" s="72" t="s">
        <v>2100</v>
      </c>
      <c r="M414" s="72">
        <v>2012</v>
      </c>
      <c r="O414" s="72" t="s">
        <v>2365</v>
      </c>
      <c r="P414" s="76" t="s">
        <v>1</v>
      </c>
      <c r="Q414" s="76">
        <v>39.700000000000003</v>
      </c>
      <c r="R414" s="76" t="s">
        <v>1</v>
      </c>
      <c r="S414" s="76" t="s">
        <v>5</v>
      </c>
      <c r="T414" s="76">
        <v>15</v>
      </c>
      <c r="U414" s="76" t="s">
        <v>2364</v>
      </c>
      <c r="V414" s="76" t="s">
        <v>4</v>
      </c>
      <c r="W414" s="76">
        <v>4</v>
      </c>
      <c r="X414" s="76" t="s">
        <v>2363</v>
      </c>
      <c r="Y414" s="76" t="s">
        <v>278</v>
      </c>
      <c r="Z414" s="76" t="s">
        <v>1</v>
      </c>
      <c r="AA414" s="76" t="s">
        <v>1</v>
      </c>
      <c r="AB414" s="72" t="s">
        <v>2362</v>
      </c>
      <c r="AL414" s="364"/>
    </row>
    <row r="415" spans="2:38">
      <c r="B415" s="72" t="s">
        <v>2361</v>
      </c>
      <c r="C415" s="73" t="s">
        <v>1691</v>
      </c>
      <c r="D415" s="74">
        <v>500</v>
      </c>
      <c r="E415" s="72" t="s">
        <v>7</v>
      </c>
      <c r="F415" s="74">
        <v>159</v>
      </c>
      <c r="H415" s="77">
        <v>45092</v>
      </c>
      <c r="I415" s="72" t="s">
        <v>2360</v>
      </c>
      <c r="J415" s="72" t="s">
        <v>1</v>
      </c>
      <c r="K415" s="72" t="s">
        <v>2203</v>
      </c>
      <c r="L415" s="72" t="s">
        <v>2203</v>
      </c>
      <c r="M415" s="72">
        <v>2015</v>
      </c>
      <c r="O415" s="72" t="s">
        <v>2359</v>
      </c>
      <c r="P415" s="76" t="s">
        <v>7</v>
      </c>
      <c r="Q415" s="76">
        <v>159</v>
      </c>
      <c r="R415" s="76" t="s">
        <v>2358</v>
      </c>
      <c r="S415" s="76" t="s">
        <v>5</v>
      </c>
      <c r="T415" s="76">
        <v>12</v>
      </c>
      <c r="U415" s="76" t="s">
        <v>2357</v>
      </c>
      <c r="V415" s="76" t="s">
        <v>1</v>
      </c>
      <c r="W415" s="76" t="s">
        <v>1</v>
      </c>
      <c r="X415" s="76" t="s">
        <v>1</v>
      </c>
      <c r="Y415" s="76" t="s">
        <v>1</v>
      </c>
      <c r="Z415" s="76" t="s">
        <v>1</v>
      </c>
      <c r="AA415" s="76" t="s">
        <v>1</v>
      </c>
      <c r="AB415" s="72" t="s">
        <v>2152</v>
      </c>
      <c r="AL415" s="364"/>
    </row>
    <row r="416" spans="2:38">
      <c r="B416" s="72" t="s">
        <v>622</v>
      </c>
      <c r="C416" s="73" t="s">
        <v>1691</v>
      </c>
      <c r="D416" s="74">
        <v>500</v>
      </c>
      <c r="E416" s="72" t="s">
        <v>18</v>
      </c>
      <c r="F416" s="74">
        <v>169</v>
      </c>
      <c r="H416" s="77">
        <v>44727</v>
      </c>
      <c r="I416" s="72" t="s">
        <v>2355</v>
      </c>
      <c r="J416" s="72" t="s">
        <v>2356</v>
      </c>
      <c r="K416" s="72" t="s">
        <v>2355</v>
      </c>
      <c r="L416" s="72" t="s">
        <v>2355</v>
      </c>
      <c r="M416" s="72">
        <v>2010</v>
      </c>
      <c r="O416" s="72" t="s">
        <v>623</v>
      </c>
      <c r="P416" s="76" t="s">
        <v>7</v>
      </c>
      <c r="Q416" s="76">
        <v>14</v>
      </c>
      <c r="R416" s="76" t="s">
        <v>2354</v>
      </c>
      <c r="S416" s="76" t="s">
        <v>5</v>
      </c>
      <c r="T416" s="76">
        <v>6</v>
      </c>
      <c r="U416" s="76" t="s">
        <v>2353</v>
      </c>
      <c r="V416" s="76" t="s">
        <v>1</v>
      </c>
      <c r="W416" s="76" t="s">
        <v>1</v>
      </c>
      <c r="X416" s="76" t="s">
        <v>1</v>
      </c>
      <c r="Y416" s="76" t="s">
        <v>1</v>
      </c>
      <c r="Z416" s="76" t="s">
        <v>1</v>
      </c>
      <c r="AA416" s="76" t="s">
        <v>1</v>
      </c>
      <c r="AB416" s="72" t="s">
        <v>2352</v>
      </c>
      <c r="AL416" s="364"/>
    </row>
    <row r="417" spans="2:38">
      <c r="B417" s="72" t="s">
        <v>901</v>
      </c>
      <c r="C417" s="73" t="s">
        <v>1691</v>
      </c>
      <c r="D417" s="74">
        <v>400</v>
      </c>
      <c r="E417" s="72" t="s">
        <v>5</v>
      </c>
      <c r="F417" s="74">
        <v>70</v>
      </c>
      <c r="H417" s="77">
        <v>45035</v>
      </c>
      <c r="I417" s="72" t="s">
        <v>2351</v>
      </c>
      <c r="J417" s="72" t="s">
        <v>2350</v>
      </c>
      <c r="K417" s="72" t="s">
        <v>2045</v>
      </c>
      <c r="L417" s="72" t="s">
        <v>2349</v>
      </c>
      <c r="M417" s="72">
        <v>2022</v>
      </c>
      <c r="O417" s="72" t="s">
        <v>2348</v>
      </c>
      <c r="P417" s="76" t="s">
        <v>1</v>
      </c>
      <c r="Q417" s="76" t="s">
        <v>1</v>
      </c>
      <c r="R417" s="76" t="s">
        <v>1</v>
      </c>
      <c r="S417" s="76" t="s">
        <v>1</v>
      </c>
      <c r="T417" s="76" t="s">
        <v>1</v>
      </c>
      <c r="U417" s="76" t="s">
        <v>1</v>
      </c>
      <c r="V417" s="76" t="s">
        <v>1</v>
      </c>
      <c r="W417" s="76" t="s">
        <v>1</v>
      </c>
      <c r="X417" s="76" t="s">
        <v>1</v>
      </c>
      <c r="Y417" s="76" t="s">
        <v>1</v>
      </c>
      <c r="Z417" s="76" t="s">
        <v>1</v>
      </c>
      <c r="AA417" s="76" t="s">
        <v>1</v>
      </c>
      <c r="AB417" s="72" t="s">
        <v>2191</v>
      </c>
      <c r="AL417" s="364"/>
    </row>
    <row r="418" spans="2:38">
      <c r="B418" s="72" t="s">
        <v>2347</v>
      </c>
      <c r="C418" s="73" t="s">
        <v>1691</v>
      </c>
      <c r="D418" s="74">
        <v>300</v>
      </c>
      <c r="E418" s="72" t="s">
        <v>18</v>
      </c>
      <c r="F418" s="74">
        <v>40</v>
      </c>
      <c r="H418" s="77">
        <v>44909</v>
      </c>
      <c r="I418" s="72" t="s">
        <v>2346</v>
      </c>
      <c r="J418" s="72" t="s">
        <v>2345</v>
      </c>
      <c r="K418" s="72" t="s">
        <v>2045</v>
      </c>
      <c r="L418" s="72" t="s">
        <v>2344</v>
      </c>
      <c r="M418" s="72">
        <v>2013</v>
      </c>
      <c r="N418" s="72" t="s">
        <v>2343</v>
      </c>
      <c r="O418" s="72" t="s">
        <v>2342</v>
      </c>
      <c r="P418" s="76" t="s">
        <v>18</v>
      </c>
      <c r="Q418" s="76">
        <v>40</v>
      </c>
      <c r="R418" s="76" t="s">
        <v>2341</v>
      </c>
      <c r="S418" s="76" t="s">
        <v>7</v>
      </c>
      <c r="T418" s="76" t="s">
        <v>1</v>
      </c>
      <c r="U418" s="76" t="s">
        <v>2340</v>
      </c>
      <c r="V418" s="76" t="s">
        <v>5</v>
      </c>
      <c r="W418" s="76">
        <v>15</v>
      </c>
      <c r="X418" s="76" t="s">
        <v>2339</v>
      </c>
      <c r="Y418" s="76" t="s">
        <v>1</v>
      </c>
      <c r="Z418" s="76" t="s">
        <v>1</v>
      </c>
      <c r="AA418" s="76" t="s">
        <v>1</v>
      </c>
      <c r="AB418" s="72" t="s">
        <v>2043</v>
      </c>
      <c r="AL418" s="364"/>
    </row>
    <row r="419" spans="2:38">
      <c r="B419" s="72" t="s">
        <v>2338</v>
      </c>
      <c r="C419" s="73" t="s">
        <v>1691</v>
      </c>
      <c r="D419" s="74" t="s">
        <v>1</v>
      </c>
      <c r="E419" s="72" t="s">
        <v>4</v>
      </c>
      <c r="F419" s="74" t="s">
        <v>1</v>
      </c>
      <c r="H419" s="77">
        <v>44750</v>
      </c>
      <c r="I419" s="72" t="s">
        <v>2337</v>
      </c>
      <c r="J419" s="72" t="s">
        <v>2336</v>
      </c>
      <c r="K419" s="72" t="s">
        <v>968</v>
      </c>
      <c r="L419" s="72" t="s">
        <v>2335</v>
      </c>
      <c r="M419" s="72">
        <v>2020</v>
      </c>
      <c r="O419" s="72" t="s">
        <v>125</v>
      </c>
      <c r="P419" s="76" t="s">
        <v>278</v>
      </c>
      <c r="Q419" s="76">
        <v>2</v>
      </c>
      <c r="R419" s="76" t="s">
        <v>2334</v>
      </c>
      <c r="S419" s="76" t="s">
        <v>1</v>
      </c>
      <c r="T419" s="76" t="s">
        <v>1</v>
      </c>
      <c r="U419" s="76" t="s">
        <v>1</v>
      </c>
      <c r="V419" s="76" t="s">
        <v>1</v>
      </c>
      <c r="W419" s="76" t="s">
        <v>1</v>
      </c>
      <c r="X419" s="76" t="s">
        <v>1</v>
      </c>
      <c r="Y419" s="76" t="s">
        <v>1</v>
      </c>
      <c r="Z419" s="76" t="s">
        <v>1</v>
      </c>
      <c r="AA419" s="76" t="s">
        <v>1</v>
      </c>
      <c r="AB419" s="72" t="s">
        <v>2163</v>
      </c>
      <c r="AL419" s="364"/>
    </row>
    <row r="420" spans="2:38">
      <c r="B420" s="72" t="s">
        <v>2333</v>
      </c>
      <c r="C420" s="73" t="s">
        <v>2138</v>
      </c>
      <c r="D420" s="74">
        <v>230</v>
      </c>
      <c r="E420" s="72" t="s">
        <v>5</v>
      </c>
      <c r="F420" s="74">
        <v>150</v>
      </c>
      <c r="H420" s="77">
        <v>44165</v>
      </c>
      <c r="J420" s="72" t="s">
        <v>1</v>
      </c>
      <c r="K420" s="72" t="s">
        <v>2045</v>
      </c>
      <c r="L420" s="72" t="s">
        <v>2332</v>
      </c>
      <c r="M420" s="72">
        <v>2016</v>
      </c>
      <c r="O420" s="72" t="s">
        <v>2331</v>
      </c>
      <c r="P420" s="76" t="s">
        <v>1</v>
      </c>
      <c r="Q420" s="76" t="s">
        <v>1</v>
      </c>
      <c r="R420" s="76" t="s">
        <v>1</v>
      </c>
      <c r="S420" s="76" t="s">
        <v>1</v>
      </c>
      <c r="T420" s="76" t="s">
        <v>1</v>
      </c>
      <c r="U420" s="76" t="s">
        <v>1</v>
      </c>
      <c r="V420" s="76" t="s">
        <v>1</v>
      </c>
      <c r="W420" s="76" t="s">
        <v>1</v>
      </c>
      <c r="X420" s="76" t="s">
        <v>1</v>
      </c>
      <c r="Y420" s="76" t="s">
        <v>1</v>
      </c>
      <c r="Z420" s="76" t="s">
        <v>1</v>
      </c>
      <c r="AA420" s="76" t="s">
        <v>1</v>
      </c>
      <c r="AB420" s="72" t="s">
        <v>2330</v>
      </c>
      <c r="AL420" s="364"/>
    </row>
    <row r="421" spans="2:38">
      <c r="B421" s="72" t="s">
        <v>2063</v>
      </c>
      <c r="C421" s="73" t="s">
        <v>1691</v>
      </c>
      <c r="D421" s="74">
        <v>200</v>
      </c>
      <c r="E421" s="72" t="s">
        <v>7</v>
      </c>
      <c r="F421" s="74">
        <v>56</v>
      </c>
      <c r="H421" s="77">
        <v>43754</v>
      </c>
      <c r="I421" s="134" t="s">
        <v>2061</v>
      </c>
      <c r="K421" s="72" t="s">
        <v>2062</v>
      </c>
      <c r="L421" s="72" t="s">
        <v>2061</v>
      </c>
      <c r="M421" s="72">
        <v>2014</v>
      </c>
      <c r="N421" s="134" t="s">
        <v>6194</v>
      </c>
      <c r="O421" s="134" t="s">
        <v>6196</v>
      </c>
      <c r="P421" s="139" t="s">
        <v>1</v>
      </c>
      <c r="Q421" s="139" t="s">
        <v>1</v>
      </c>
      <c r="R421" s="139" t="s">
        <v>1</v>
      </c>
      <c r="S421" s="139" t="s">
        <v>1</v>
      </c>
      <c r="T421" s="139" t="s">
        <v>1</v>
      </c>
      <c r="U421" s="139" t="s">
        <v>1</v>
      </c>
      <c r="V421" s="139" t="s">
        <v>1</v>
      </c>
      <c r="W421" s="139" t="s">
        <v>1</v>
      </c>
      <c r="X421" s="139" t="s">
        <v>1</v>
      </c>
      <c r="Y421" s="139" t="s">
        <v>1</v>
      </c>
      <c r="Z421" s="139" t="s">
        <v>1</v>
      </c>
      <c r="AA421" s="139" t="s">
        <v>1</v>
      </c>
      <c r="AB421" s="72" t="s">
        <v>2059</v>
      </c>
      <c r="AE421" s="25" t="s">
        <v>2058</v>
      </c>
      <c r="AF421" s="64"/>
      <c r="AG421" s="59"/>
      <c r="AH421" s="59"/>
      <c r="AL421" s="364"/>
    </row>
    <row r="422" spans="2:38">
      <c r="B422" s="238" t="s">
        <v>7525</v>
      </c>
      <c r="C422" s="237" t="s">
        <v>1691</v>
      </c>
      <c r="D422" s="72">
        <v>200</v>
      </c>
      <c r="E422" s="238" t="s">
        <v>5</v>
      </c>
      <c r="F422" s="72">
        <v>45</v>
      </c>
      <c r="G422" s="72">
        <f>F422+Q422</f>
        <v>53</v>
      </c>
      <c r="H422" s="78">
        <v>45000</v>
      </c>
      <c r="I422" s="238" t="s">
        <v>7532</v>
      </c>
      <c r="J422" s="238" t="s">
        <v>7527</v>
      </c>
      <c r="K422" s="238" t="s">
        <v>2045</v>
      </c>
      <c r="L422" s="238" t="s">
        <v>2062</v>
      </c>
      <c r="M422" s="72">
        <v>2020</v>
      </c>
      <c r="O422" s="238" t="s">
        <v>7530</v>
      </c>
      <c r="P422" s="238" t="s">
        <v>5</v>
      </c>
      <c r="Q422" s="72">
        <v>8</v>
      </c>
      <c r="R422" s="238" t="s">
        <v>7531</v>
      </c>
      <c r="S422" s="238" t="s">
        <v>1</v>
      </c>
      <c r="T422" s="238" t="s">
        <v>1</v>
      </c>
      <c r="U422" s="238" t="s">
        <v>1</v>
      </c>
      <c r="V422" s="238" t="s">
        <v>1</v>
      </c>
      <c r="W422" s="238" t="s">
        <v>1</v>
      </c>
      <c r="X422" s="238" t="s">
        <v>1</v>
      </c>
      <c r="Y422" s="238" t="s">
        <v>1</v>
      </c>
      <c r="Z422" s="238" t="s">
        <v>1</v>
      </c>
      <c r="AA422" s="238" t="s">
        <v>1</v>
      </c>
      <c r="AB422" s="238" t="s">
        <v>6598</v>
      </c>
      <c r="AC422" s="238" t="s">
        <v>7528</v>
      </c>
      <c r="AD422" s="238" t="s">
        <v>7529</v>
      </c>
      <c r="AE422" s="25" t="s">
        <v>7526</v>
      </c>
      <c r="AF422" s="72"/>
      <c r="AG422" s="72"/>
      <c r="AH422" s="72"/>
      <c r="AL422" s="364"/>
    </row>
    <row r="423" spans="2:38">
      <c r="B423" s="72" t="s">
        <v>2329</v>
      </c>
      <c r="C423" s="73" t="s">
        <v>2138</v>
      </c>
      <c r="D423" s="74">
        <v>200</v>
      </c>
      <c r="E423" s="72" t="s">
        <v>8</v>
      </c>
      <c r="F423" s="74">
        <v>30</v>
      </c>
      <c r="H423" s="77">
        <v>43178</v>
      </c>
      <c r="I423" s="72" t="s">
        <v>2328</v>
      </c>
      <c r="J423" s="72" t="s">
        <v>2327</v>
      </c>
      <c r="K423" s="72" t="s">
        <v>2045</v>
      </c>
      <c r="L423" s="72" t="s">
        <v>2082</v>
      </c>
      <c r="M423" s="72">
        <v>2000</v>
      </c>
      <c r="N423" s="72" t="s">
        <v>2326</v>
      </c>
      <c r="O423" s="72" t="s">
        <v>2325</v>
      </c>
      <c r="P423" s="76" t="s">
        <v>8</v>
      </c>
      <c r="Q423" s="76">
        <v>40</v>
      </c>
      <c r="R423" s="76" t="s">
        <v>2324</v>
      </c>
      <c r="S423" s="76" t="s">
        <v>1</v>
      </c>
      <c r="T423" s="76" t="s">
        <v>1</v>
      </c>
      <c r="U423" s="76" t="s">
        <v>1</v>
      </c>
      <c r="V423" s="76" t="s">
        <v>1</v>
      </c>
      <c r="W423" s="76" t="s">
        <v>1</v>
      </c>
      <c r="X423" s="76" t="s">
        <v>1</v>
      </c>
      <c r="Y423" s="76" t="s">
        <v>1</v>
      </c>
      <c r="Z423" s="76" t="s">
        <v>1</v>
      </c>
      <c r="AA423" s="76" t="s">
        <v>1</v>
      </c>
      <c r="AB423" s="72" t="s">
        <v>2323</v>
      </c>
      <c r="AL423" s="364"/>
    </row>
    <row r="424" spans="2:38">
      <c r="B424" s="72" t="s">
        <v>2322</v>
      </c>
      <c r="C424" s="73" t="s">
        <v>1691</v>
      </c>
      <c r="D424" s="74">
        <v>150</v>
      </c>
      <c r="E424" s="72" t="s">
        <v>18</v>
      </c>
      <c r="F424" s="74">
        <v>30</v>
      </c>
      <c r="H424" s="77">
        <v>44251</v>
      </c>
      <c r="I424" s="72" t="s">
        <v>2321</v>
      </c>
      <c r="J424" s="72" t="s">
        <v>2320</v>
      </c>
      <c r="K424" s="72" t="s">
        <v>2045</v>
      </c>
      <c r="L424" s="72" t="s">
        <v>2319</v>
      </c>
      <c r="M424" s="72">
        <v>2014</v>
      </c>
      <c r="O424" s="72" t="s">
        <v>2318</v>
      </c>
      <c r="P424" s="76" t="s">
        <v>1</v>
      </c>
      <c r="Q424" s="76" t="s">
        <v>1</v>
      </c>
      <c r="R424" s="76" t="s">
        <v>1</v>
      </c>
      <c r="S424" s="76" t="s">
        <v>1</v>
      </c>
      <c r="T424" s="76" t="s">
        <v>1</v>
      </c>
      <c r="U424" s="76" t="s">
        <v>1</v>
      </c>
      <c r="V424" s="76" t="s">
        <v>1</v>
      </c>
      <c r="W424" s="76" t="s">
        <v>1</v>
      </c>
      <c r="X424" s="76" t="s">
        <v>1</v>
      </c>
      <c r="Y424" s="76" t="s">
        <v>1</v>
      </c>
      <c r="Z424" s="76" t="s">
        <v>1</v>
      </c>
      <c r="AA424" s="76" t="s">
        <v>1</v>
      </c>
      <c r="AB424" s="72" t="s">
        <v>2048</v>
      </c>
      <c r="AL424" s="364"/>
    </row>
    <row r="425" spans="2:38">
      <c r="B425" s="72" t="s">
        <v>2107</v>
      </c>
      <c r="C425" s="73" t="s">
        <v>1691</v>
      </c>
      <c r="D425" s="74">
        <v>100</v>
      </c>
      <c r="E425" s="72" t="s">
        <v>4</v>
      </c>
      <c r="F425" s="74">
        <v>2</v>
      </c>
      <c r="H425" s="77">
        <v>45015</v>
      </c>
      <c r="I425" s="72" t="s">
        <v>2367</v>
      </c>
      <c r="J425" s="72" t="s">
        <v>1</v>
      </c>
      <c r="K425" s="72" t="s">
        <v>2045</v>
      </c>
      <c r="L425" s="72" t="s">
        <v>2079</v>
      </c>
      <c r="M425" s="72">
        <v>2022</v>
      </c>
      <c r="N425" s="72" t="s">
        <v>2106</v>
      </c>
      <c r="O425" s="72" t="s">
        <v>1</v>
      </c>
      <c r="P425" s="72" t="s">
        <v>1</v>
      </c>
      <c r="Q425" s="72" t="s">
        <v>1</v>
      </c>
      <c r="R425" s="72" t="s">
        <v>1</v>
      </c>
      <c r="S425" s="72" t="s">
        <v>1</v>
      </c>
      <c r="T425" s="72" t="s">
        <v>1</v>
      </c>
      <c r="U425" s="72" t="s">
        <v>1</v>
      </c>
      <c r="V425" s="72" t="s">
        <v>1</v>
      </c>
      <c r="W425" s="72" t="s">
        <v>1</v>
      </c>
      <c r="X425" s="72" t="s">
        <v>1</v>
      </c>
      <c r="Y425" s="72" t="s">
        <v>1</v>
      </c>
      <c r="Z425" s="72" t="s">
        <v>1</v>
      </c>
      <c r="AA425" s="72" t="s">
        <v>1</v>
      </c>
      <c r="AB425" s="72" t="s">
        <v>2105</v>
      </c>
      <c r="AE425" s="25" t="s">
        <v>2104</v>
      </c>
      <c r="AF425" s="64"/>
      <c r="AG425" s="59"/>
      <c r="AH425" s="59"/>
      <c r="AL425" s="364"/>
    </row>
    <row r="426" spans="2:38" s="176" customFormat="1">
      <c r="B426" s="176" t="s">
        <v>2022</v>
      </c>
      <c r="C426" s="184" t="s">
        <v>1691</v>
      </c>
      <c r="D426" s="178">
        <v>100</v>
      </c>
      <c r="E426" s="176" t="s">
        <v>5</v>
      </c>
      <c r="F426" s="178">
        <v>15</v>
      </c>
      <c r="G426" s="178">
        <f>F426+Q426</f>
        <v>19</v>
      </c>
      <c r="H426" s="185">
        <v>44872</v>
      </c>
      <c r="I426" s="176" t="s">
        <v>6730</v>
      </c>
      <c r="J426" s="176" t="s">
        <v>6729</v>
      </c>
      <c r="K426" s="176" t="s">
        <v>2045</v>
      </c>
      <c r="L426" s="176" t="s">
        <v>6728</v>
      </c>
      <c r="M426" s="176">
        <v>2019</v>
      </c>
      <c r="N426" s="176" t="s">
        <v>6378</v>
      </c>
      <c r="O426" s="176" t="s">
        <v>6732</v>
      </c>
      <c r="P426" s="179" t="s">
        <v>4</v>
      </c>
      <c r="Q426" s="179">
        <v>4</v>
      </c>
      <c r="R426" s="192">
        <v>44673</v>
      </c>
      <c r="S426" s="179" t="s">
        <v>4</v>
      </c>
      <c r="T426" s="179" t="s">
        <v>1</v>
      </c>
      <c r="U426" s="179" t="s">
        <v>6733</v>
      </c>
      <c r="V426" s="179" t="s">
        <v>1</v>
      </c>
      <c r="W426" s="179" t="s">
        <v>1</v>
      </c>
      <c r="X426" s="179" t="s">
        <v>1</v>
      </c>
      <c r="Y426" s="179" t="s">
        <v>1</v>
      </c>
      <c r="Z426" s="179" t="s">
        <v>1</v>
      </c>
      <c r="AA426" s="179" t="s">
        <v>1</v>
      </c>
      <c r="AB426" s="176" t="s">
        <v>6598</v>
      </c>
      <c r="AC426" s="176" t="s">
        <v>6601</v>
      </c>
      <c r="AD426" s="176" t="s">
        <v>2362</v>
      </c>
      <c r="AE426" s="25" t="s">
        <v>6731</v>
      </c>
      <c r="AF426" s="63"/>
      <c r="AG426" s="58"/>
      <c r="AH426" s="58"/>
      <c r="AL426" s="364"/>
    </row>
    <row r="427" spans="2:38" s="274" customFormat="1">
      <c r="B427" s="274" t="s">
        <v>2002</v>
      </c>
      <c r="C427" s="393" t="s">
        <v>2138</v>
      </c>
      <c r="D427" s="274">
        <v>50</v>
      </c>
      <c r="E427" s="274" t="s">
        <v>4</v>
      </c>
      <c r="F427" s="274">
        <v>8</v>
      </c>
      <c r="G427" s="274">
        <f>+F427</f>
        <v>8</v>
      </c>
      <c r="H427" s="326">
        <v>44482</v>
      </c>
      <c r="I427" s="274" t="s">
        <v>8295</v>
      </c>
      <c r="J427" s="274" t="s">
        <v>8293</v>
      </c>
      <c r="K427" s="274" t="s">
        <v>2045</v>
      </c>
      <c r="L427" s="274" t="s">
        <v>3033</v>
      </c>
      <c r="M427" s="274">
        <v>2019</v>
      </c>
      <c r="O427" s="274" t="s">
        <v>8296</v>
      </c>
      <c r="P427" s="274" t="s">
        <v>4</v>
      </c>
      <c r="Q427" s="274" t="s">
        <v>1</v>
      </c>
      <c r="R427" s="274" t="s">
        <v>8885</v>
      </c>
      <c r="S427" s="274" t="s">
        <v>1</v>
      </c>
      <c r="T427" s="274" t="s">
        <v>1</v>
      </c>
      <c r="U427" s="274" t="s">
        <v>1</v>
      </c>
      <c r="V427" s="274" t="s">
        <v>1</v>
      </c>
      <c r="W427" s="274" t="s">
        <v>1</v>
      </c>
      <c r="X427" s="274" t="s">
        <v>1</v>
      </c>
      <c r="Y427" s="274" t="s">
        <v>1</v>
      </c>
      <c r="Z427" s="274" t="s">
        <v>1</v>
      </c>
      <c r="AA427" s="274" t="s">
        <v>1</v>
      </c>
      <c r="AB427" s="274" t="s">
        <v>8886</v>
      </c>
      <c r="AC427" s="274" t="s">
        <v>8887</v>
      </c>
      <c r="AD427" s="274" t="s">
        <v>2352</v>
      </c>
      <c r="AE427" s="25" t="s">
        <v>8294</v>
      </c>
      <c r="AF427" s="340" t="s">
        <v>7140</v>
      </c>
      <c r="AG427" s="340" t="s">
        <v>7140</v>
      </c>
      <c r="AH427" s="274">
        <v>5.0000000000000001E-3</v>
      </c>
      <c r="AL427" s="364"/>
    </row>
    <row r="428" spans="2:38">
      <c r="B428" s="72" t="s">
        <v>2317</v>
      </c>
      <c r="C428" s="73" t="s">
        <v>1691</v>
      </c>
      <c r="D428" s="74" t="s">
        <v>1</v>
      </c>
      <c r="E428" s="72" t="s">
        <v>278</v>
      </c>
      <c r="F428" s="74" t="s">
        <v>1</v>
      </c>
      <c r="H428" s="74" t="s">
        <v>1</v>
      </c>
      <c r="J428" s="72" t="s">
        <v>2316</v>
      </c>
      <c r="K428" s="72" t="s">
        <v>2315</v>
      </c>
      <c r="L428" s="72" t="s">
        <v>2062</v>
      </c>
      <c r="M428" s="72">
        <v>2022</v>
      </c>
      <c r="O428" s="80" t="s">
        <v>1</v>
      </c>
      <c r="P428" s="80" t="s">
        <v>1</v>
      </c>
      <c r="Q428" s="80" t="s">
        <v>1</v>
      </c>
      <c r="R428" s="80" t="s">
        <v>1</v>
      </c>
      <c r="S428" s="80" t="s">
        <v>1</v>
      </c>
      <c r="T428" s="80" t="s">
        <v>1</v>
      </c>
      <c r="U428" s="80" t="s">
        <v>1</v>
      </c>
      <c r="V428" s="80" t="s">
        <v>1</v>
      </c>
      <c r="W428" s="80" t="s">
        <v>1</v>
      </c>
      <c r="X428" s="80" t="s">
        <v>1</v>
      </c>
      <c r="Y428" s="80" t="s">
        <v>1</v>
      </c>
      <c r="Z428" s="80" t="s">
        <v>1</v>
      </c>
      <c r="AA428" s="80" t="s">
        <v>1</v>
      </c>
      <c r="AB428" s="72" t="s">
        <v>2314</v>
      </c>
      <c r="AL428" s="364"/>
    </row>
    <row r="429" spans="2:38">
      <c r="B429" s="72" t="s">
        <v>2313</v>
      </c>
      <c r="C429" s="73" t="s">
        <v>2138</v>
      </c>
      <c r="D429" s="74" t="s">
        <v>1</v>
      </c>
      <c r="E429" s="80" t="s">
        <v>1</v>
      </c>
      <c r="F429" s="74">
        <v>150</v>
      </c>
      <c r="H429" s="75">
        <v>2016</v>
      </c>
      <c r="I429" s="72" t="s">
        <v>2312</v>
      </c>
      <c r="J429" s="72" t="s">
        <v>1</v>
      </c>
      <c r="K429" s="72" t="s">
        <v>2045</v>
      </c>
      <c r="L429" s="72" t="s">
        <v>2311</v>
      </c>
      <c r="M429" s="72">
        <v>2016</v>
      </c>
      <c r="O429" s="72" t="s">
        <v>1</v>
      </c>
      <c r="P429" s="76" t="s">
        <v>1</v>
      </c>
      <c r="Q429" s="76" t="s">
        <v>1</v>
      </c>
      <c r="R429" s="76" t="s">
        <v>1</v>
      </c>
      <c r="S429" s="76" t="s">
        <v>1</v>
      </c>
      <c r="T429" s="76" t="s">
        <v>1</v>
      </c>
      <c r="U429" s="76" t="s">
        <v>1</v>
      </c>
      <c r="V429" s="76" t="s">
        <v>1</v>
      </c>
      <c r="W429" s="76" t="s">
        <v>1</v>
      </c>
      <c r="X429" s="76" t="s">
        <v>1</v>
      </c>
      <c r="Y429" s="76" t="s">
        <v>1</v>
      </c>
      <c r="Z429" s="76" t="s">
        <v>1</v>
      </c>
      <c r="AA429" s="76" t="s">
        <v>1</v>
      </c>
      <c r="AB429" s="72" t="s">
        <v>2152</v>
      </c>
      <c r="AF429" s="72"/>
      <c r="AG429" s="72"/>
      <c r="AH429" s="72"/>
      <c r="AL429" s="364"/>
    </row>
    <row r="430" spans="2:38">
      <c r="B430" s="72" t="s">
        <v>2310</v>
      </c>
      <c r="C430" s="73" t="s">
        <v>1691</v>
      </c>
      <c r="D430" s="74" t="s">
        <v>1</v>
      </c>
      <c r="E430" s="72" t="s">
        <v>278</v>
      </c>
      <c r="F430" s="74" t="s">
        <v>1</v>
      </c>
      <c r="H430" s="75" t="s">
        <v>1</v>
      </c>
      <c r="I430" s="72" t="s">
        <v>2309</v>
      </c>
      <c r="J430" s="72" t="s">
        <v>1</v>
      </c>
      <c r="K430" s="72" t="s">
        <v>2308</v>
      </c>
      <c r="L430" s="72" t="s">
        <v>2307</v>
      </c>
      <c r="M430" s="72">
        <v>2022</v>
      </c>
      <c r="O430" s="72" t="s">
        <v>2306</v>
      </c>
      <c r="P430" s="72" t="s">
        <v>1</v>
      </c>
      <c r="Q430" s="72" t="s">
        <v>1</v>
      </c>
      <c r="R430" s="72" t="s">
        <v>1</v>
      </c>
      <c r="S430" s="72" t="s">
        <v>1</v>
      </c>
      <c r="T430" s="72" t="s">
        <v>1</v>
      </c>
      <c r="U430" s="72" t="s">
        <v>1</v>
      </c>
      <c r="V430" s="72" t="s">
        <v>1</v>
      </c>
      <c r="W430" s="72" t="s">
        <v>1</v>
      </c>
      <c r="X430" s="72" t="s">
        <v>1</v>
      </c>
      <c r="Y430" s="72" t="s">
        <v>1</v>
      </c>
      <c r="Z430" s="72" t="s">
        <v>1</v>
      </c>
      <c r="AA430" s="72" t="s">
        <v>1</v>
      </c>
      <c r="AB430" s="72" t="s">
        <v>2305</v>
      </c>
      <c r="AF430" s="72"/>
      <c r="AG430" s="72"/>
      <c r="AH430" s="72"/>
      <c r="AL430" s="364"/>
    </row>
    <row r="431" spans="2:38">
      <c r="B431" s="72" t="s">
        <v>2304</v>
      </c>
      <c r="C431" s="73" t="s">
        <v>1691</v>
      </c>
      <c r="D431" s="74" t="s">
        <v>1691</v>
      </c>
      <c r="E431" s="74" t="s">
        <v>1691</v>
      </c>
      <c r="F431" s="74" t="s">
        <v>1691</v>
      </c>
      <c r="H431" s="74" t="s">
        <v>1691</v>
      </c>
      <c r="I431" s="72" t="s">
        <v>2303</v>
      </c>
      <c r="J431" s="72" t="s">
        <v>1</v>
      </c>
      <c r="K431" s="72" t="s">
        <v>2045</v>
      </c>
      <c r="L431" s="72" t="s">
        <v>2302</v>
      </c>
      <c r="M431" s="72">
        <v>2014</v>
      </c>
      <c r="O431" s="72" t="s">
        <v>1</v>
      </c>
      <c r="P431" s="72" t="s">
        <v>1</v>
      </c>
      <c r="Q431" s="72" t="s">
        <v>1</v>
      </c>
      <c r="R431" s="72" t="s">
        <v>1</v>
      </c>
      <c r="S431" s="72" t="s">
        <v>1</v>
      </c>
      <c r="T431" s="72" t="s">
        <v>1</v>
      </c>
      <c r="U431" s="72" t="s">
        <v>1</v>
      </c>
      <c r="V431" s="72" t="s">
        <v>1</v>
      </c>
      <c r="W431" s="72" t="s">
        <v>1</v>
      </c>
      <c r="X431" s="72" t="s">
        <v>1</v>
      </c>
      <c r="Y431" s="72" t="s">
        <v>1</v>
      </c>
      <c r="Z431" s="72" t="s">
        <v>1</v>
      </c>
      <c r="AA431" s="72" t="s">
        <v>1</v>
      </c>
      <c r="AB431" s="72" t="s">
        <v>2048</v>
      </c>
      <c r="AF431" s="72"/>
      <c r="AG431" s="72"/>
      <c r="AH431" s="72"/>
      <c r="AL431" s="364"/>
    </row>
    <row r="432" spans="2:38">
      <c r="B432" s="72" t="s">
        <v>2301</v>
      </c>
      <c r="C432" s="73" t="s">
        <v>1691</v>
      </c>
      <c r="D432" s="74" t="s">
        <v>1</v>
      </c>
      <c r="E432" s="74" t="s">
        <v>1</v>
      </c>
      <c r="F432" s="74" t="s">
        <v>1</v>
      </c>
      <c r="H432" s="74" t="s">
        <v>1</v>
      </c>
      <c r="I432" s="72" t="s">
        <v>2300</v>
      </c>
      <c r="J432" s="72" t="s">
        <v>2299</v>
      </c>
      <c r="K432" s="72" t="s">
        <v>2045</v>
      </c>
      <c r="L432" s="72" t="s">
        <v>2298</v>
      </c>
      <c r="M432" s="72">
        <v>2022</v>
      </c>
      <c r="N432" s="25" t="s">
        <v>2297</v>
      </c>
      <c r="O432" s="72" t="s">
        <v>1</v>
      </c>
      <c r="P432" s="72" t="s">
        <v>1</v>
      </c>
      <c r="Q432" s="72" t="s">
        <v>1</v>
      </c>
      <c r="R432" s="72" t="s">
        <v>1</v>
      </c>
      <c r="S432" s="72" t="s">
        <v>1</v>
      </c>
      <c r="T432" s="72" t="s">
        <v>1</v>
      </c>
      <c r="U432" s="72" t="s">
        <v>1</v>
      </c>
      <c r="V432" s="72" t="s">
        <v>1</v>
      </c>
      <c r="W432" s="72" t="s">
        <v>1</v>
      </c>
      <c r="X432" s="72" t="s">
        <v>1</v>
      </c>
      <c r="Y432" s="72" t="s">
        <v>1</v>
      </c>
      <c r="Z432" s="72" t="s">
        <v>1</v>
      </c>
      <c r="AA432" s="72" t="s">
        <v>1</v>
      </c>
      <c r="AB432" s="72" t="s">
        <v>2055</v>
      </c>
      <c r="AF432" s="72"/>
      <c r="AG432" s="72"/>
      <c r="AH432" s="72"/>
      <c r="AL432" s="364"/>
    </row>
    <row r="433" spans="2:38">
      <c r="B433" s="72" t="s">
        <v>2296</v>
      </c>
      <c r="C433" s="73" t="s">
        <v>1691</v>
      </c>
      <c r="D433" s="74" t="s">
        <v>1</v>
      </c>
      <c r="E433" s="74" t="s">
        <v>1</v>
      </c>
      <c r="F433" s="74" t="s">
        <v>1</v>
      </c>
      <c r="H433" s="74" t="s">
        <v>1</v>
      </c>
      <c r="I433" s="72" t="s">
        <v>2295</v>
      </c>
      <c r="J433" s="72" t="s">
        <v>2294</v>
      </c>
      <c r="K433" s="72" t="s">
        <v>2045</v>
      </c>
      <c r="L433" s="72" t="s">
        <v>2062</v>
      </c>
      <c r="M433" s="72">
        <v>2019</v>
      </c>
      <c r="O433" s="72" t="s">
        <v>1</v>
      </c>
      <c r="P433" s="72" t="s">
        <v>1</v>
      </c>
      <c r="Q433" s="72" t="s">
        <v>1</v>
      </c>
      <c r="R433" s="72" t="s">
        <v>1</v>
      </c>
      <c r="S433" s="72" t="s">
        <v>1</v>
      </c>
      <c r="T433" s="72" t="s">
        <v>1</v>
      </c>
      <c r="U433" s="72" t="s">
        <v>1</v>
      </c>
      <c r="V433" s="72" t="s">
        <v>1</v>
      </c>
      <c r="W433" s="72" t="s">
        <v>1</v>
      </c>
      <c r="X433" s="72" t="s">
        <v>1</v>
      </c>
      <c r="Y433" s="72" t="s">
        <v>1</v>
      </c>
      <c r="Z433" s="72" t="s">
        <v>1</v>
      </c>
      <c r="AA433" s="72" t="s">
        <v>1</v>
      </c>
      <c r="AB433" s="72" t="s">
        <v>2078</v>
      </c>
      <c r="AF433" s="72"/>
      <c r="AG433" s="72"/>
      <c r="AH433" s="72"/>
      <c r="AL433" s="364"/>
    </row>
    <row r="434" spans="2:38">
      <c r="B434" s="72" t="s">
        <v>2293</v>
      </c>
      <c r="C434" s="73" t="s">
        <v>1691</v>
      </c>
      <c r="D434" s="74">
        <v>20</v>
      </c>
      <c r="E434" s="72" t="s">
        <v>5</v>
      </c>
      <c r="F434" s="74">
        <v>4</v>
      </c>
      <c r="H434" s="77">
        <v>44531</v>
      </c>
      <c r="I434" s="72" t="s">
        <v>2292</v>
      </c>
      <c r="J434" s="72" t="s">
        <v>2291</v>
      </c>
      <c r="K434" s="72" t="s">
        <v>2045</v>
      </c>
      <c r="L434" s="72" t="s">
        <v>2290</v>
      </c>
      <c r="M434" s="72">
        <v>2018</v>
      </c>
      <c r="O434" s="72" t="s">
        <v>1</v>
      </c>
      <c r="P434" s="72" t="s">
        <v>4</v>
      </c>
      <c r="Q434" s="76">
        <v>1.5</v>
      </c>
      <c r="R434" s="72" t="s">
        <v>1</v>
      </c>
      <c r="S434" s="72" t="s">
        <v>278</v>
      </c>
      <c r="T434" s="76">
        <v>0.3</v>
      </c>
      <c r="U434" s="72" t="s">
        <v>1</v>
      </c>
      <c r="V434" s="72" t="s">
        <v>1</v>
      </c>
      <c r="W434" s="72" t="s">
        <v>1</v>
      </c>
      <c r="X434" s="72" t="s">
        <v>1</v>
      </c>
      <c r="Y434" s="72" t="s">
        <v>1</v>
      </c>
      <c r="Z434" s="72" t="s">
        <v>1</v>
      </c>
      <c r="AA434" s="72" t="s">
        <v>1</v>
      </c>
      <c r="AB434" s="72" t="s">
        <v>2289</v>
      </c>
      <c r="AF434" s="72"/>
      <c r="AG434" s="72"/>
      <c r="AH434" s="72"/>
    </row>
    <row r="435" spans="2:38">
      <c r="B435" s="72" t="s">
        <v>2288</v>
      </c>
      <c r="C435" s="73" t="s">
        <v>1691</v>
      </c>
      <c r="D435" s="74" t="s">
        <v>1</v>
      </c>
      <c r="E435" s="74" t="s">
        <v>1</v>
      </c>
      <c r="F435" s="74" t="s">
        <v>1</v>
      </c>
      <c r="H435" s="74" t="s">
        <v>1</v>
      </c>
      <c r="I435" s="72" t="s">
        <v>2287</v>
      </c>
      <c r="K435" s="72" t="s">
        <v>1</v>
      </c>
      <c r="L435" s="72" t="s">
        <v>1</v>
      </c>
      <c r="M435" s="72">
        <v>2018</v>
      </c>
      <c r="O435" s="72" t="s">
        <v>2286</v>
      </c>
      <c r="P435" s="76" t="s">
        <v>1</v>
      </c>
      <c r="Q435" s="76" t="s">
        <v>1</v>
      </c>
      <c r="R435" s="76" t="s">
        <v>1</v>
      </c>
      <c r="S435" s="76" t="s">
        <v>1</v>
      </c>
      <c r="T435" s="76" t="s">
        <v>1</v>
      </c>
      <c r="U435" s="76" t="s">
        <v>1</v>
      </c>
      <c r="V435" s="76" t="s">
        <v>1</v>
      </c>
      <c r="W435" s="76" t="s">
        <v>1</v>
      </c>
      <c r="X435" s="76" t="s">
        <v>1</v>
      </c>
      <c r="Y435" s="76" t="s">
        <v>1</v>
      </c>
      <c r="Z435" s="76" t="s">
        <v>1</v>
      </c>
      <c r="AA435" s="76" t="s">
        <v>1</v>
      </c>
      <c r="AB435" s="72" t="s">
        <v>2285</v>
      </c>
      <c r="AF435" s="72"/>
      <c r="AG435" s="72"/>
      <c r="AH435" s="72"/>
    </row>
    <row r="436" spans="2:38">
      <c r="B436" s="72" t="s">
        <v>2284</v>
      </c>
      <c r="C436" s="73" t="s">
        <v>1691</v>
      </c>
      <c r="D436" s="74">
        <v>50</v>
      </c>
      <c r="E436" s="72" t="s">
        <v>5</v>
      </c>
      <c r="F436" s="74">
        <v>22</v>
      </c>
      <c r="H436" s="77">
        <v>45072</v>
      </c>
      <c r="I436" s="72" t="s">
        <v>2283</v>
      </c>
      <c r="J436" s="72" t="s">
        <v>2282</v>
      </c>
      <c r="K436" s="72" t="s">
        <v>2100</v>
      </c>
      <c r="L436" s="72" t="s">
        <v>2281</v>
      </c>
      <c r="M436" s="72">
        <v>2018</v>
      </c>
      <c r="O436" s="72" t="s">
        <v>2280</v>
      </c>
      <c r="P436" s="76" t="s">
        <v>4</v>
      </c>
      <c r="Q436" s="76">
        <v>23.6</v>
      </c>
      <c r="R436" s="76" t="s">
        <v>2279</v>
      </c>
      <c r="S436" s="76" t="s">
        <v>4</v>
      </c>
      <c r="T436" s="76">
        <v>4.5</v>
      </c>
      <c r="U436" s="76" t="s">
        <v>2278</v>
      </c>
      <c r="V436" s="76" t="s">
        <v>1</v>
      </c>
      <c r="W436" s="76" t="s">
        <v>1</v>
      </c>
      <c r="X436" s="76" t="s">
        <v>1</v>
      </c>
      <c r="Y436" s="76" t="s">
        <v>1</v>
      </c>
      <c r="Z436" s="76" t="s">
        <v>1</v>
      </c>
      <c r="AA436" s="76" t="s">
        <v>1</v>
      </c>
      <c r="AB436" s="72" t="s">
        <v>2277</v>
      </c>
      <c r="AF436" s="72"/>
      <c r="AG436" s="72"/>
      <c r="AH436" s="72"/>
    </row>
    <row r="437" spans="2:38">
      <c r="B437" s="72" t="s">
        <v>2276</v>
      </c>
      <c r="C437" s="73" t="s">
        <v>1691</v>
      </c>
      <c r="D437" s="74">
        <v>50</v>
      </c>
      <c r="E437" s="72" t="s">
        <v>5</v>
      </c>
      <c r="F437" s="74">
        <v>20</v>
      </c>
      <c r="H437" s="77">
        <v>44396</v>
      </c>
      <c r="I437" s="72" t="s">
        <v>2275</v>
      </c>
      <c r="J437" s="72" t="s">
        <v>2274</v>
      </c>
      <c r="K437" s="72" t="s">
        <v>2045</v>
      </c>
      <c r="L437" s="72" t="s">
        <v>2062</v>
      </c>
      <c r="M437" s="72">
        <v>2013</v>
      </c>
      <c r="O437" s="72" t="s">
        <v>2273</v>
      </c>
      <c r="P437" s="76" t="s">
        <v>4</v>
      </c>
      <c r="Q437" s="76" t="s">
        <v>1</v>
      </c>
      <c r="R437" s="76" t="s">
        <v>2272</v>
      </c>
      <c r="S437" s="76" t="s">
        <v>1</v>
      </c>
      <c r="T437" s="76" t="s">
        <v>1</v>
      </c>
      <c r="U437" s="76" t="s">
        <v>1</v>
      </c>
      <c r="V437" s="76" t="s">
        <v>1</v>
      </c>
      <c r="W437" s="76" t="s">
        <v>1</v>
      </c>
      <c r="X437" s="76" t="s">
        <v>1</v>
      </c>
      <c r="Y437" s="76" t="s">
        <v>1</v>
      </c>
      <c r="Z437" s="76" t="s">
        <v>1</v>
      </c>
      <c r="AA437" s="76" t="s">
        <v>1</v>
      </c>
      <c r="AB437" s="72" t="s">
        <v>2078</v>
      </c>
      <c r="AF437" s="72"/>
      <c r="AG437" s="72"/>
      <c r="AH437" s="72"/>
    </row>
    <row r="438" spans="2:38">
      <c r="B438" s="72" t="s">
        <v>2271</v>
      </c>
      <c r="C438" s="73" t="s">
        <v>1691</v>
      </c>
      <c r="D438" s="74">
        <v>50</v>
      </c>
      <c r="E438" s="72" t="s">
        <v>7</v>
      </c>
      <c r="F438" s="74">
        <v>20</v>
      </c>
      <c r="H438" s="77">
        <v>44792</v>
      </c>
      <c r="I438" s="72" t="s">
        <v>2270</v>
      </c>
      <c r="J438" s="72" t="s">
        <v>1</v>
      </c>
      <c r="K438" s="72" t="s">
        <v>2045</v>
      </c>
      <c r="L438" s="72" t="s">
        <v>2062</v>
      </c>
      <c r="M438" s="72">
        <v>2018</v>
      </c>
      <c r="N438" s="72" t="s">
        <v>2269</v>
      </c>
      <c r="AB438" s="72" t="s">
        <v>2268</v>
      </c>
      <c r="AF438" s="72"/>
      <c r="AG438" s="72"/>
      <c r="AH438" s="72"/>
    </row>
    <row r="439" spans="2:38">
      <c r="B439" s="72" t="s">
        <v>2264</v>
      </c>
      <c r="C439" s="73" t="s">
        <v>1691</v>
      </c>
      <c r="D439" s="74">
        <v>20</v>
      </c>
      <c r="E439" s="72" t="s">
        <v>4</v>
      </c>
      <c r="F439" s="74">
        <v>1.5</v>
      </c>
      <c r="H439" s="77">
        <v>45028</v>
      </c>
      <c r="I439" s="72" t="s">
        <v>2263</v>
      </c>
      <c r="J439" s="72" t="s">
        <v>2262</v>
      </c>
      <c r="K439" s="72" t="s">
        <v>2100</v>
      </c>
      <c r="L439" s="72" t="s">
        <v>2261</v>
      </c>
      <c r="M439" s="72">
        <v>2014</v>
      </c>
      <c r="O439" s="72" t="s">
        <v>2260</v>
      </c>
      <c r="P439" s="76" t="s">
        <v>1</v>
      </c>
      <c r="Q439" s="76" t="s">
        <v>1</v>
      </c>
      <c r="R439" s="76" t="s">
        <v>1</v>
      </c>
      <c r="S439" s="76" t="s">
        <v>1</v>
      </c>
      <c r="T439" s="76" t="s">
        <v>1</v>
      </c>
      <c r="U439" s="76" t="s">
        <v>1</v>
      </c>
      <c r="V439" s="76" t="s">
        <v>1</v>
      </c>
      <c r="W439" s="76" t="s">
        <v>1</v>
      </c>
      <c r="X439" s="76" t="s">
        <v>1</v>
      </c>
      <c r="Y439" s="76" t="s">
        <v>1</v>
      </c>
      <c r="Z439" s="76" t="s">
        <v>1</v>
      </c>
      <c r="AA439" s="76" t="s">
        <v>1</v>
      </c>
      <c r="AB439" s="72" t="s">
        <v>2259</v>
      </c>
      <c r="AF439" s="72"/>
      <c r="AG439" s="72"/>
      <c r="AH439" s="72"/>
    </row>
    <row r="440" spans="2:38">
      <c r="B440" s="72" t="s">
        <v>2258</v>
      </c>
      <c r="C440" s="73" t="s">
        <v>1691</v>
      </c>
      <c r="D440" s="74">
        <v>60</v>
      </c>
      <c r="E440" s="72" t="s">
        <v>5</v>
      </c>
      <c r="F440" s="74">
        <v>12</v>
      </c>
      <c r="H440" s="77">
        <v>43207</v>
      </c>
      <c r="I440" s="72" t="s">
        <v>2257</v>
      </c>
      <c r="J440" s="72" t="s">
        <v>2256</v>
      </c>
      <c r="K440" s="72" t="s">
        <v>2045</v>
      </c>
      <c r="L440" s="72" t="s">
        <v>2255</v>
      </c>
      <c r="M440" s="72">
        <v>2014</v>
      </c>
      <c r="N440" s="72" t="s">
        <v>2254</v>
      </c>
      <c r="O440" s="72" t="s">
        <v>2253</v>
      </c>
      <c r="AB440" s="72" t="s">
        <v>2051</v>
      </c>
      <c r="AF440" s="72"/>
      <c r="AG440" s="72"/>
      <c r="AH440" s="72"/>
    </row>
    <row r="441" spans="2:38">
      <c r="B441" s="72" t="s">
        <v>2252</v>
      </c>
      <c r="C441" s="73" t="s">
        <v>1691</v>
      </c>
      <c r="D441" s="74">
        <v>50</v>
      </c>
      <c r="E441" s="72" t="s">
        <v>5</v>
      </c>
      <c r="F441" s="74">
        <v>15</v>
      </c>
      <c r="H441" s="77">
        <v>43879</v>
      </c>
      <c r="I441" s="72" t="s">
        <v>2250</v>
      </c>
      <c r="J441" s="72" t="s">
        <v>2251</v>
      </c>
      <c r="K441" s="72" t="s">
        <v>2045</v>
      </c>
      <c r="L441" s="72" t="s">
        <v>2250</v>
      </c>
      <c r="M441" s="72">
        <v>2016</v>
      </c>
      <c r="N441" s="72" t="s">
        <v>2249</v>
      </c>
      <c r="O441" s="72" t="s">
        <v>2248</v>
      </c>
      <c r="P441" s="76" t="s">
        <v>2247</v>
      </c>
      <c r="Q441" s="76" t="s">
        <v>2246</v>
      </c>
      <c r="R441" s="76" t="s">
        <v>1</v>
      </c>
      <c r="S441" s="76" t="s">
        <v>1</v>
      </c>
      <c r="T441" s="76" t="s">
        <v>1</v>
      </c>
      <c r="U441" s="76" t="s">
        <v>1</v>
      </c>
      <c r="V441" s="76" t="s">
        <v>1</v>
      </c>
      <c r="W441" s="76" t="s">
        <v>1</v>
      </c>
      <c r="X441" s="76" t="s">
        <v>1</v>
      </c>
      <c r="Y441" s="76" t="s">
        <v>1</v>
      </c>
      <c r="Z441" s="76" t="s">
        <v>1</v>
      </c>
      <c r="AA441" s="76" t="s">
        <v>1</v>
      </c>
      <c r="AB441" s="72" t="s">
        <v>2245</v>
      </c>
      <c r="AF441" s="72"/>
      <c r="AG441" s="72"/>
      <c r="AH441" s="72"/>
    </row>
    <row r="442" spans="2:38">
      <c r="B442" s="72" t="s">
        <v>2244</v>
      </c>
      <c r="C442" s="73" t="s">
        <v>1691</v>
      </c>
      <c r="D442" s="74" t="s">
        <v>1</v>
      </c>
      <c r="E442" s="80" t="s">
        <v>1</v>
      </c>
      <c r="F442" s="74" t="s">
        <v>1</v>
      </c>
      <c r="H442" s="74" t="s">
        <v>1</v>
      </c>
      <c r="I442" s="72" t="s">
        <v>2243</v>
      </c>
      <c r="J442" s="72" t="s">
        <v>1</v>
      </c>
      <c r="K442" s="72" t="s">
        <v>2045</v>
      </c>
      <c r="L442" s="72" t="s">
        <v>2242</v>
      </c>
      <c r="M442" s="72">
        <v>2022</v>
      </c>
      <c r="O442" s="80" t="s">
        <v>1</v>
      </c>
      <c r="P442" s="80" t="s">
        <v>1</v>
      </c>
      <c r="Q442" s="80" t="s">
        <v>1</v>
      </c>
      <c r="R442" s="80" t="s">
        <v>1</v>
      </c>
      <c r="S442" s="80" t="s">
        <v>1</v>
      </c>
      <c r="T442" s="80" t="s">
        <v>1</v>
      </c>
      <c r="U442" s="80" t="s">
        <v>1</v>
      </c>
      <c r="V442" s="80" t="s">
        <v>1</v>
      </c>
      <c r="W442" s="80" t="s">
        <v>1</v>
      </c>
      <c r="X442" s="80" t="s">
        <v>1</v>
      </c>
      <c r="Y442" s="80" t="s">
        <v>1</v>
      </c>
      <c r="Z442" s="80" t="s">
        <v>1</v>
      </c>
      <c r="AA442" s="80" t="s">
        <v>1</v>
      </c>
      <c r="AB442" s="72" t="s">
        <v>2241</v>
      </c>
      <c r="AF442" s="72"/>
      <c r="AG442" s="72"/>
      <c r="AH442" s="72"/>
    </row>
    <row r="443" spans="2:38">
      <c r="B443" s="72" t="s">
        <v>2236</v>
      </c>
      <c r="C443" s="73" t="s">
        <v>1691</v>
      </c>
      <c r="D443" s="74">
        <v>20</v>
      </c>
      <c r="E443" s="76" t="s">
        <v>4</v>
      </c>
      <c r="F443" s="74">
        <v>2.2999999999999998</v>
      </c>
      <c r="H443" s="27">
        <v>42782</v>
      </c>
      <c r="I443" s="72" t="s">
        <v>2235</v>
      </c>
      <c r="J443" s="72" t="s">
        <v>2234</v>
      </c>
      <c r="K443" s="72" t="s">
        <v>2045</v>
      </c>
      <c r="L443" s="72" t="s">
        <v>2226</v>
      </c>
      <c r="M443" s="72">
        <v>2012</v>
      </c>
      <c r="N443" s="72" t="s">
        <v>2233</v>
      </c>
      <c r="O443" s="72" t="s">
        <v>1</v>
      </c>
      <c r="P443" s="72" t="s">
        <v>1</v>
      </c>
      <c r="Q443" s="72" t="s">
        <v>1</v>
      </c>
      <c r="R443" s="72" t="s">
        <v>1</v>
      </c>
      <c r="S443" s="72" t="s">
        <v>1</v>
      </c>
      <c r="T443" s="72" t="s">
        <v>1</v>
      </c>
      <c r="U443" s="72" t="s">
        <v>1</v>
      </c>
      <c r="V443" s="72" t="s">
        <v>1</v>
      </c>
      <c r="W443" s="72" t="s">
        <v>1</v>
      </c>
      <c r="X443" s="72" t="s">
        <v>1</v>
      </c>
      <c r="Y443" s="72" t="s">
        <v>1</v>
      </c>
      <c r="Z443" s="72" t="s">
        <v>1</v>
      </c>
      <c r="AA443" s="72" t="s">
        <v>1</v>
      </c>
      <c r="AB443" s="72" t="s">
        <v>2198</v>
      </c>
      <c r="AF443" s="72"/>
      <c r="AG443" s="72"/>
      <c r="AH443" s="72"/>
    </row>
    <row r="444" spans="2:38">
      <c r="B444" s="72" t="s">
        <v>2232</v>
      </c>
      <c r="C444" s="73" t="s">
        <v>1691</v>
      </c>
      <c r="D444" s="74">
        <v>10</v>
      </c>
      <c r="E444" s="76" t="s">
        <v>278</v>
      </c>
      <c r="F444" s="74">
        <v>0.5</v>
      </c>
      <c r="H444" s="77">
        <v>44470</v>
      </c>
      <c r="I444" s="72" t="s">
        <v>2231</v>
      </c>
      <c r="J444" s="72" t="s">
        <v>1</v>
      </c>
      <c r="K444" s="72" t="s">
        <v>2045</v>
      </c>
      <c r="L444" s="72" t="s">
        <v>2230</v>
      </c>
      <c r="M444" s="72">
        <v>2013</v>
      </c>
      <c r="O444" s="72" t="s">
        <v>2229</v>
      </c>
      <c r="P444" s="76" t="s">
        <v>1</v>
      </c>
      <c r="Q444" s="76" t="s">
        <v>1</v>
      </c>
      <c r="R444" s="76" t="s">
        <v>1</v>
      </c>
      <c r="S444" s="76" t="s">
        <v>1</v>
      </c>
      <c r="T444" s="76" t="s">
        <v>1</v>
      </c>
      <c r="U444" s="76" t="s">
        <v>1</v>
      </c>
      <c r="V444" s="76" t="s">
        <v>1</v>
      </c>
      <c r="W444" s="76" t="s">
        <v>1</v>
      </c>
      <c r="X444" s="76" t="s">
        <v>1</v>
      </c>
      <c r="Y444" s="76" t="s">
        <v>1</v>
      </c>
      <c r="Z444" s="76" t="s">
        <v>1</v>
      </c>
      <c r="AA444" s="76" t="s">
        <v>1</v>
      </c>
      <c r="AB444" s="72" t="s">
        <v>2085</v>
      </c>
      <c r="AF444" s="72"/>
      <c r="AG444" s="72"/>
      <c r="AH444" s="72"/>
    </row>
    <row r="445" spans="2:38">
      <c r="B445" s="72" t="s">
        <v>637</v>
      </c>
      <c r="C445" s="73" t="s">
        <v>1691</v>
      </c>
      <c r="D445" s="74">
        <v>10</v>
      </c>
      <c r="E445" s="76" t="s">
        <v>278</v>
      </c>
      <c r="F445" s="74">
        <v>0.12</v>
      </c>
      <c r="H445" s="77">
        <v>44082</v>
      </c>
      <c r="I445" s="72" t="s">
        <v>2228</v>
      </c>
      <c r="J445" s="72" t="s">
        <v>2227</v>
      </c>
      <c r="K445" s="72" t="s">
        <v>2045</v>
      </c>
      <c r="L445" s="72" t="s">
        <v>2226</v>
      </c>
      <c r="M445" s="72">
        <v>2019</v>
      </c>
      <c r="O445" s="72" t="s">
        <v>639</v>
      </c>
      <c r="P445" s="76" t="s">
        <v>2225</v>
      </c>
      <c r="Q445" s="76">
        <v>1</v>
      </c>
      <c r="R445" s="76" t="s">
        <v>2224</v>
      </c>
      <c r="S445" s="76" t="s">
        <v>1</v>
      </c>
      <c r="T445" s="76" t="s">
        <v>1</v>
      </c>
      <c r="U445" s="76" t="s">
        <v>1</v>
      </c>
      <c r="V445" s="76" t="s">
        <v>1</v>
      </c>
      <c r="W445" s="76" t="s">
        <v>1</v>
      </c>
      <c r="X445" s="76" t="s">
        <v>1</v>
      </c>
      <c r="Y445" s="76" t="s">
        <v>1</v>
      </c>
      <c r="Z445" s="76" t="s">
        <v>1</v>
      </c>
      <c r="AA445" s="76" t="s">
        <v>1</v>
      </c>
      <c r="AB445" s="72" t="s">
        <v>2198</v>
      </c>
    </row>
    <row r="446" spans="2:38" s="176" customFormat="1">
      <c r="B446" s="176" t="s">
        <v>2021</v>
      </c>
      <c r="C446" s="184" t="s">
        <v>1691</v>
      </c>
      <c r="D446" s="178">
        <v>50</v>
      </c>
      <c r="E446" s="176" t="s">
        <v>5</v>
      </c>
      <c r="F446" s="178">
        <v>15</v>
      </c>
      <c r="G446" s="178">
        <f>F446</f>
        <v>15</v>
      </c>
      <c r="H446" s="194">
        <v>44789</v>
      </c>
      <c r="I446" s="176" t="s">
        <v>6745</v>
      </c>
      <c r="K446" s="176" t="s">
        <v>2045</v>
      </c>
      <c r="L446" s="176" t="s">
        <v>6540</v>
      </c>
      <c r="M446" s="176">
        <v>2019</v>
      </c>
      <c r="N446" s="176" t="s">
        <v>6746</v>
      </c>
      <c r="O446" s="176" t="s">
        <v>6747</v>
      </c>
      <c r="P446" s="179" t="s">
        <v>1</v>
      </c>
      <c r="Q446" s="179" t="s">
        <v>1</v>
      </c>
      <c r="R446" s="179" t="s">
        <v>1</v>
      </c>
      <c r="S446" s="179" t="s">
        <v>1</v>
      </c>
      <c r="T446" s="179" t="s">
        <v>1</v>
      </c>
      <c r="U446" s="179" t="s">
        <v>1</v>
      </c>
      <c r="V446" s="179" t="s">
        <v>1</v>
      </c>
      <c r="W446" s="179" t="s">
        <v>1</v>
      </c>
      <c r="X446" s="179" t="s">
        <v>1</v>
      </c>
      <c r="Y446" s="179" t="s">
        <v>1</v>
      </c>
      <c r="Z446" s="179" t="s">
        <v>1</v>
      </c>
      <c r="AA446" s="179" t="s">
        <v>1</v>
      </c>
      <c r="AB446" s="176" t="s">
        <v>6598</v>
      </c>
      <c r="AC446" s="176" t="s">
        <v>6601</v>
      </c>
      <c r="AD446" s="176" t="s">
        <v>2362</v>
      </c>
      <c r="AE446" s="25" t="s">
        <v>6744</v>
      </c>
      <c r="AF446" s="63"/>
      <c r="AG446" s="58"/>
      <c r="AH446" s="58"/>
    </row>
    <row r="447" spans="2:38">
      <c r="B447" s="72" t="s">
        <v>2223</v>
      </c>
      <c r="C447" s="73" t="s">
        <v>1691</v>
      </c>
      <c r="D447" s="74">
        <v>100</v>
      </c>
      <c r="E447" s="76" t="s">
        <v>7</v>
      </c>
      <c r="F447" s="74">
        <v>55</v>
      </c>
      <c r="I447" s="72" t="s">
        <v>2222</v>
      </c>
      <c r="J447" s="72" t="s">
        <v>2221</v>
      </c>
      <c r="K447" s="72" t="s">
        <v>2220</v>
      </c>
      <c r="L447" s="72" t="s">
        <v>2220</v>
      </c>
      <c r="M447" s="72">
        <v>2018</v>
      </c>
      <c r="N447" s="72" t="s">
        <v>2219</v>
      </c>
      <c r="O447" s="72" t="s">
        <v>2218</v>
      </c>
      <c r="AB447" s="72" t="s">
        <v>2048</v>
      </c>
    </row>
    <row r="448" spans="2:38">
      <c r="B448" s="72" t="s">
        <v>2217</v>
      </c>
      <c r="C448" s="73" t="s">
        <v>2138</v>
      </c>
      <c r="D448" s="74">
        <v>100</v>
      </c>
      <c r="E448" s="72" t="s">
        <v>18</v>
      </c>
      <c r="F448" s="74">
        <v>20</v>
      </c>
      <c r="H448" s="77">
        <v>44734</v>
      </c>
      <c r="I448" s="72" t="s">
        <v>2216</v>
      </c>
      <c r="J448" s="72" t="s">
        <v>2215</v>
      </c>
      <c r="K448" s="72" t="s">
        <v>2045</v>
      </c>
      <c r="L448" s="72" t="s">
        <v>2203</v>
      </c>
      <c r="M448" s="75" t="s">
        <v>2214</v>
      </c>
      <c r="O448" s="72" t="s">
        <v>1</v>
      </c>
      <c r="P448" s="76" t="s">
        <v>18</v>
      </c>
      <c r="Q448" s="76">
        <v>38</v>
      </c>
      <c r="R448" s="76" t="s">
        <v>2213</v>
      </c>
      <c r="S448" s="76" t="s">
        <v>7</v>
      </c>
      <c r="T448" s="76">
        <v>6.9</v>
      </c>
      <c r="U448" s="76" t="s">
        <v>2211</v>
      </c>
      <c r="V448" s="76" t="s">
        <v>5</v>
      </c>
      <c r="W448" s="76" t="s">
        <v>2212</v>
      </c>
      <c r="X448" s="76" t="s">
        <v>2211</v>
      </c>
      <c r="Y448" s="76" t="s">
        <v>1</v>
      </c>
      <c r="Z448" s="76" t="s">
        <v>1</v>
      </c>
      <c r="AA448" s="76" t="s">
        <v>1</v>
      </c>
      <c r="AB448" s="72" t="s">
        <v>2210</v>
      </c>
    </row>
    <row r="449" spans="2:34">
      <c r="B449" s="72" t="s">
        <v>2209</v>
      </c>
      <c r="C449" s="73" t="s">
        <v>2138</v>
      </c>
      <c r="D449" s="74">
        <v>20</v>
      </c>
      <c r="E449" s="76" t="s">
        <v>7</v>
      </c>
      <c r="F449" s="74">
        <v>1.6</v>
      </c>
      <c r="H449" s="77">
        <v>43661</v>
      </c>
      <c r="I449" s="72" t="s">
        <v>2208</v>
      </c>
      <c r="J449" s="72" t="s">
        <v>1</v>
      </c>
      <c r="K449" s="72" t="s">
        <v>1</v>
      </c>
      <c r="L449" s="72" t="s">
        <v>1</v>
      </c>
      <c r="M449" s="72">
        <v>2016</v>
      </c>
      <c r="N449" s="72" t="s">
        <v>1</v>
      </c>
      <c r="O449" s="72" t="s">
        <v>2207</v>
      </c>
      <c r="P449" s="76" t="s">
        <v>1</v>
      </c>
      <c r="Q449" s="76" t="s">
        <v>1</v>
      </c>
      <c r="R449" s="76" t="s">
        <v>1</v>
      </c>
      <c r="S449" s="76" t="s">
        <v>1</v>
      </c>
      <c r="T449" s="76" t="s">
        <v>1</v>
      </c>
      <c r="U449" s="76" t="s">
        <v>1</v>
      </c>
      <c r="V449" s="76" t="s">
        <v>1</v>
      </c>
      <c r="W449" s="76" t="s">
        <v>1</v>
      </c>
      <c r="X449" s="76" t="s">
        <v>1</v>
      </c>
      <c r="Y449" s="76" t="s">
        <v>1</v>
      </c>
      <c r="Z449" s="76" t="s">
        <v>1</v>
      </c>
      <c r="AA449" s="76" t="s">
        <v>1</v>
      </c>
      <c r="AB449" s="72" t="s">
        <v>2206</v>
      </c>
    </row>
    <row r="450" spans="2:34">
      <c r="B450" s="72" t="s">
        <v>2205</v>
      </c>
      <c r="C450" s="73" t="s">
        <v>2138</v>
      </c>
      <c r="E450" s="76"/>
      <c r="I450" s="72" t="s">
        <v>2204</v>
      </c>
      <c r="J450" s="72" t="s">
        <v>1</v>
      </c>
      <c r="K450" s="72" t="s">
        <v>2045</v>
      </c>
      <c r="L450" s="72" t="s">
        <v>2203</v>
      </c>
      <c r="M450" s="72">
        <v>2014</v>
      </c>
      <c r="N450" s="72" t="s">
        <v>2202</v>
      </c>
    </row>
    <row r="451" spans="2:34">
      <c r="B451" s="72" t="s">
        <v>2201</v>
      </c>
      <c r="C451" s="73" t="s">
        <v>1691</v>
      </c>
      <c r="I451" s="72" t="s">
        <v>2200</v>
      </c>
      <c r="N451" s="72" t="s">
        <v>2199</v>
      </c>
      <c r="AB451" s="72" t="s">
        <v>2198</v>
      </c>
      <c r="AE451" s="25" t="s">
        <v>2197</v>
      </c>
      <c r="AF451" s="64"/>
      <c r="AG451" s="59"/>
      <c r="AH451" s="59"/>
    </row>
    <row r="452" spans="2:34">
      <c r="B452" s="72" t="s">
        <v>2196</v>
      </c>
      <c r="C452" s="73" t="s">
        <v>2138</v>
      </c>
      <c r="E452" s="76" t="s">
        <v>7</v>
      </c>
      <c r="F452" s="74">
        <v>30</v>
      </c>
      <c r="H452" s="77">
        <v>44252</v>
      </c>
      <c r="I452" s="72" t="s">
        <v>2082</v>
      </c>
      <c r="J452" s="72" t="s">
        <v>2195</v>
      </c>
      <c r="K452" s="72" t="s">
        <v>2045</v>
      </c>
      <c r="L452" s="72" t="s">
        <v>2082</v>
      </c>
      <c r="M452" s="72">
        <v>2017</v>
      </c>
      <c r="N452" s="72" t="s">
        <v>2194</v>
      </c>
      <c r="O452" s="72" t="s">
        <v>2193</v>
      </c>
      <c r="P452" s="76" t="s">
        <v>5</v>
      </c>
      <c r="Q452" s="76">
        <v>16.5</v>
      </c>
      <c r="R452" s="76" t="s">
        <v>2192</v>
      </c>
      <c r="S452" s="76" t="s">
        <v>1</v>
      </c>
      <c r="T452" s="76" t="s">
        <v>1</v>
      </c>
      <c r="U452" s="76" t="s">
        <v>1</v>
      </c>
      <c r="V452" s="76" t="s">
        <v>1</v>
      </c>
      <c r="W452" s="76" t="s">
        <v>1</v>
      </c>
      <c r="X452" s="76" t="s">
        <v>1</v>
      </c>
      <c r="Y452" s="76" t="s">
        <v>1</v>
      </c>
      <c r="Z452" s="76" t="s">
        <v>1</v>
      </c>
      <c r="AA452" s="76" t="s">
        <v>1</v>
      </c>
      <c r="AB452" s="238" t="s">
        <v>6598</v>
      </c>
      <c r="AC452" s="238" t="s">
        <v>6601</v>
      </c>
      <c r="AD452" s="238" t="s">
        <v>6607</v>
      </c>
    </row>
    <row r="453" spans="2:34">
      <c r="B453" s="72" t="s">
        <v>347</v>
      </c>
      <c r="C453" s="73" t="s">
        <v>2150</v>
      </c>
      <c r="D453" s="74">
        <v>30</v>
      </c>
      <c r="E453" s="76" t="s">
        <v>4</v>
      </c>
      <c r="F453" s="74">
        <v>3.5</v>
      </c>
      <c r="H453" s="77">
        <v>43046</v>
      </c>
      <c r="J453" s="72" t="s">
        <v>2190</v>
      </c>
      <c r="K453" s="72" t="s">
        <v>2045</v>
      </c>
      <c r="L453" s="72" t="s">
        <v>2126</v>
      </c>
      <c r="M453" s="75" t="s">
        <v>2189</v>
      </c>
      <c r="O453" s="72" t="s">
        <v>2188</v>
      </c>
      <c r="AB453" s="238" t="s">
        <v>6598</v>
      </c>
      <c r="AC453" s="238" t="s">
        <v>6601</v>
      </c>
      <c r="AD453" s="238" t="s">
        <v>2362</v>
      </c>
      <c r="AE453" s="238"/>
    </row>
    <row r="454" spans="2:34">
      <c r="B454" s="72" t="s">
        <v>2187</v>
      </c>
      <c r="C454" s="73" t="s">
        <v>1691</v>
      </c>
      <c r="D454" s="74">
        <v>25</v>
      </c>
      <c r="E454" s="72" t="s">
        <v>4</v>
      </c>
      <c r="F454" s="74">
        <v>4</v>
      </c>
      <c r="H454" s="77">
        <v>44518</v>
      </c>
      <c r="I454" s="72" t="s">
        <v>2186</v>
      </c>
      <c r="J454" s="72" t="s">
        <v>2185</v>
      </c>
      <c r="K454" s="72" t="s">
        <v>2045</v>
      </c>
      <c r="L454" s="72" t="s">
        <v>2184</v>
      </c>
      <c r="M454" s="72">
        <v>2018</v>
      </c>
      <c r="O454" s="72" t="s">
        <v>2183</v>
      </c>
      <c r="P454" s="76" t="s">
        <v>278</v>
      </c>
      <c r="Q454" s="76">
        <v>0.12</v>
      </c>
      <c r="R454" s="76" t="s">
        <v>639</v>
      </c>
      <c r="S454" s="76" t="s">
        <v>1</v>
      </c>
      <c r="T454" s="76" t="s">
        <v>1</v>
      </c>
      <c r="U454" s="76" t="s">
        <v>1</v>
      </c>
      <c r="V454" s="76" t="s">
        <v>1</v>
      </c>
      <c r="W454" s="76" t="s">
        <v>1</v>
      </c>
      <c r="X454" s="76" t="s">
        <v>1</v>
      </c>
      <c r="Y454" s="76" t="s">
        <v>1</v>
      </c>
      <c r="Z454" s="76" t="s">
        <v>1</v>
      </c>
      <c r="AA454" s="76" t="s">
        <v>1</v>
      </c>
      <c r="AB454" s="76" t="s">
        <v>1</v>
      </c>
      <c r="AC454" s="76"/>
      <c r="AD454" s="76"/>
      <c r="AE454" s="238"/>
    </row>
    <row r="455" spans="2:34">
      <c r="B455" s="72" t="s">
        <v>2182</v>
      </c>
      <c r="C455" s="73" t="s">
        <v>2138</v>
      </c>
      <c r="D455" s="74">
        <v>20</v>
      </c>
      <c r="E455" s="72" t="s">
        <v>4</v>
      </c>
      <c r="F455" s="74">
        <v>1.6</v>
      </c>
      <c r="H455" s="77">
        <v>43060</v>
      </c>
      <c r="I455" s="72" t="s">
        <v>2181</v>
      </c>
      <c r="J455" s="72" t="s">
        <v>2180</v>
      </c>
      <c r="K455" s="72" t="s">
        <v>2045</v>
      </c>
      <c r="L455" s="72" t="s">
        <v>2056</v>
      </c>
      <c r="M455" s="72">
        <v>2015</v>
      </c>
      <c r="O455" s="72" t="s">
        <v>2179</v>
      </c>
      <c r="P455" s="76" t="s">
        <v>4</v>
      </c>
      <c r="Q455" s="76">
        <v>0.7</v>
      </c>
      <c r="R455" s="76" t="s">
        <v>629</v>
      </c>
      <c r="S455" s="76" t="s">
        <v>1</v>
      </c>
      <c r="T455" s="76" t="s">
        <v>1</v>
      </c>
      <c r="U455" s="76" t="s">
        <v>1</v>
      </c>
      <c r="V455" s="76" t="s">
        <v>1</v>
      </c>
      <c r="W455" s="76" t="s">
        <v>1</v>
      </c>
      <c r="X455" s="76" t="s">
        <v>1</v>
      </c>
      <c r="Y455" s="76" t="s">
        <v>1</v>
      </c>
      <c r="Z455" s="76" t="s">
        <v>1</v>
      </c>
      <c r="AA455" s="76" t="s">
        <v>1</v>
      </c>
      <c r="AB455" s="72" t="s">
        <v>2178</v>
      </c>
      <c r="AE455" s="25" t="s">
        <v>2177</v>
      </c>
      <c r="AF455" s="64"/>
      <c r="AG455" s="59"/>
      <c r="AH455" s="59"/>
    </row>
    <row r="456" spans="2:34">
      <c r="B456" s="72" t="s">
        <v>2176</v>
      </c>
      <c r="C456" s="73" t="s">
        <v>2150</v>
      </c>
      <c r="D456" s="74" t="s">
        <v>1</v>
      </c>
      <c r="E456" s="72" t="s">
        <v>4</v>
      </c>
      <c r="F456" s="74" t="s">
        <v>1</v>
      </c>
      <c r="H456" s="77">
        <v>44169</v>
      </c>
      <c r="J456" s="72" t="s">
        <v>2175</v>
      </c>
      <c r="K456" s="72" t="s">
        <v>2045</v>
      </c>
      <c r="L456" s="72" t="s">
        <v>2174</v>
      </c>
      <c r="M456" s="72">
        <v>2017</v>
      </c>
      <c r="N456" s="72" t="s">
        <v>2146</v>
      </c>
      <c r="O456" s="72" t="s">
        <v>2173</v>
      </c>
      <c r="P456" s="76" t="s">
        <v>1</v>
      </c>
      <c r="Q456" s="76" t="s">
        <v>1</v>
      </c>
      <c r="R456" s="76" t="s">
        <v>1</v>
      </c>
      <c r="S456" s="76" t="s">
        <v>1</v>
      </c>
      <c r="T456" s="76" t="s">
        <v>1</v>
      </c>
      <c r="U456" s="76" t="s">
        <v>1</v>
      </c>
      <c r="V456" s="76" t="s">
        <v>1</v>
      </c>
      <c r="W456" s="76" t="s">
        <v>1</v>
      </c>
      <c r="X456" s="76" t="s">
        <v>1</v>
      </c>
      <c r="Y456" s="76" t="s">
        <v>1</v>
      </c>
      <c r="Z456" s="76" t="s">
        <v>1</v>
      </c>
      <c r="AA456" s="76" t="s">
        <v>1</v>
      </c>
      <c r="AB456" s="238" t="s">
        <v>6598</v>
      </c>
      <c r="AC456" s="238" t="s">
        <v>6605</v>
      </c>
      <c r="AD456" s="238" t="s">
        <v>2352</v>
      </c>
      <c r="AE456" s="238"/>
    </row>
    <row r="457" spans="2:34">
      <c r="B457" s="72" t="s">
        <v>2172</v>
      </c>
      <c r="C457" s="73" t="s">
        <v>1691</v>
      </c>
      <c r="D457" s="74" t="s">
        <v>1</v>
      </c>
      <c r="E457" s="74" t="s">
        <v>1</v>
      </c>
      <c r="F457" s="74" t="s">
        <v>1</v>
      </c>
      <c r="H457" s="74" t="s">
        <v>1</v>
      </c>
      <c r="I457" s="72" t="s">
        <v>2171</v>
      </c>
      <c r="J457" s="72" t="s">
        <v>2170</v>
      </c>
      <c r="K457" s="72" t="s">
        <v>2045</v>
      </c>
      <c r="L457" s="72" t="s">
        <v>2169</v>
      </c>
      <c r="M457" s="72">
        <v>2019</v>
      </c>
      <c r="O457" s="72" t="s">
        <v>1</v>
      </c>
      <c r="P457" s="72" t="s">
        <v>1</v>
      </c>
      <c r="Q457" s="72" t="s">
        <v>1</v>
      </c>
      <c r="R457" s="72" t="s">
        <v>1</v>
      </c>
      <c r="S457" s="72" t="s">
        <v>1</v>
      </c>
      <c r="T457" s="72" t="s">
        <v>1</v>
      </c>
      <c r="U457" s="72" t="s">
        <v>1</v>
      </c>
      <c r="V457" s="72" t="s">
        <v>1</v>
      </c>
      <c r="W457" s="72" t="s">
        <v>1</v>
      </c>
      <c r="X457" s="72" t="s">
        <v>1</v>
      </c>
      <c r="Y457" s="72" t="s">
        <v>1</v>
      </c>
      <c r="Z457" s="72" t="s">
        <v>1</v>
      </c>
      <c r="AA457" s="72" t="s">
        <v>1</v>
      </c>
      <c r="AB457" s="72" t="s">
        <v>2168</v>
      </c>
      <c r="AE457" s="238"/>
    </row>
    <row r="458" spans="2:34">
      <c r="B458" s="72" t="s">
        <v>2167</v>
      </c>
      <c r="C458" s="73" t="s">
        <v>1691</v>
      </c>
      <c r="D458" s="74" t="s">
        <v>1</v>
      </c>
      <c r="E458" s="80" t="s">
        <v>1</v>
      </c>
      <c r="F458" s="74" t="s">
        <v>1</v>
      </c>
      <c r="H458" s="74" t="s">
        <v>1</v>
      </c>
      <c r="I458" s="72" t="s">
        <v>2166</v>
      </c>
      <c r="J458" s="72" t="s">
        <v>1</v>
      </c>
      <c r="K458" s="72" t="s">
        <v>2045</v>
      </c>
      <c r="L458" s="72" t="s">
        <v>2165</v>
      </c>
      <c r="M458" s="72">
        <v>2016</v>
      </c>
      <c r="N458" s="72" t="s">
        <v>2164</v>
      </c>
      <c r="O458" s="72" t="s">
        <v>1</v>
      </c>
      <c r="P458" s="72" t="s">
        <v>1</v>
      </c>
      <c r="Q458" s="72" t="s">
        <v>1</v>
      </c>
      <c r="R458" s="72" t="s">
        <v>1</v>
      </c>
      <c r="S458" s="72" t="s">
        <v>1</v>
      </c>
      <c r="T458" s="72" t="s">
        <v>1</v>
      </c>
      <c r="U458" s="72" t="s">
        <v>1</v>
      </c>
      <c r="V458" s="72" t="s">
        <v>1</v>
      </c>
      <c r="W458" s="72" t="s">
        <v>1</v>
      </c>
      <c r="X458" s="72" t="s">
        <v>1</v>
      </c>
      <c r="Y458" s="72" t="s">
        <v>1</v>
      </c>
      <c r="Z458" s="72" t="s">
        <v>1</v>
      </c>
      <c r="AA458" s="72" t="s">
        <v>1</v>
      </c>
      <c r="AB458" s="238" t="s">
        <v>6623</v>
      </c>
      <c r="AD458" s="238" t="s">
        <v>2094</v>
      </c>
      <c r="AE458" s="238"/>
    </row>
    <row r="459" spans="2:34">
      <c r="B459" s="72" t="s">
        <v>329</v>
      </c>
      <c r="C459" s="73" t="s">
        <v>2150</v>
      </c>
      <c r="D459" s="74">
        <v>25</v>
      </c>
      <c r="E459" s="72" t="s">
        <v>4</v>
      </c>
      <c r="F459" s="74">
        <v>5</v>
      </c>
      <c r="H459" s="77">
        <v>43224</v>
      </c>
      <c r="I459" s="72" t="s">
        <v>2162</v>
      </c>
      <c r="J459" s="72" t="s">
        <v>2161</v>
      </c>
      <c r="K459" s="72" t="s">
        <v>2045</v>
      </c>
      <c r="L459" s="72" t="s">
        <v>2160</v>
      </c>
      <c r="M459" s="72">
        <v>2017</v>
      </c>
      <c r="N459" s="72" t="s">
        <v>2146</v>
      </c>
      <c r="O459" s="72" t="s">
        <v>2159</v>
      </c>
      <c r="P459" s="76" t="s">
        <v>1</v>
      </c>
      <c r="Q459" s="76" t="s">
        <v>1</v>
      </c>
      <c r="R459" s="76" t="s">
        <v>1</v>
      </c>
      <c r="S459" s="76" t="s">
        <v>1</v>
      </c>
      <c r="T459" s="76" t="s">
        <v>1</v>
      </c>
      <c r="U459" s="76" t="s">
        <v>1</v>
      </c>
      <c r="V459" s="76" t="s">
        <v>1</v>
      </c>
      <c r="W459" s="76" t="s">
        <v>1</v>
      </c>
      <c r="X459" s="76" t="s">
        <v>1</v>
      </c>
      <c r="Y459" s="76" t="s">
        <v>1</v>
      </c>
      <c r="Z459" s="76" t="s">
        <v>1</v>
      </c>
      <c r="AA459" s="76" t="s">
        <v>1</v>
      </c>
      <c r="AB459" s="238" t="s">
        <v>6598</v>
      </c>
      <c r="AC459" s="238" t="s">
        <v>6605</v>
      </c>
      <c r="AD459" s="238" t="s">
        <v>2352</v>
      </c>
      <c r="AE459" s="238"/>
    </row>
    <row r="460" spans="2:34">
      <c r="B460" s="72" t="s">
        <v>2158</v>
      </c>
      <c r="C460" s="73" t="s">
        <v>2150</v>
      </c>
      <c r="D460" s="74" t="s">
        <v>1</v>
      </c>
      <c r="E460" s="74" t="s">
        <v>1</v>
      </c>
      <c r="F460" s="74" t="s">
        <v>1</v>
      </c>
      <c r="H460" s="74" t="s">
        <v>1</v>
      </c>
      <c r="I460" s="80" t="s">
        <v>1</v>
      </c>
      <c r="J460" s="72" t="s">
        <v>2157</v>
      </c>
      <c r="M460" s="72">
        <v>2017</v>
      </c>
      <c r="O460" s="80" t="s">
        <v>1</v>
      </c>
      <c r="P460" s="80" t="s">
        <v>1</v>
      </c>
      <c r="Q460" s="80" t="s">
        <v>1</v>
      </c>
      <c r="R460" s="80" t="s">
        <v>1</v>
      </c>
      <c r="S460" s="80" t="s">
        <v>1</v>
      </c>
      <c r="T460" s="80" t="s">
        <v>1</v>
      </c>
      <c r="U460" s="80" t="s">
        <v>1</v>
      </c>
      <c r="V460" s="80" t="s">
        <v>1</v>
      </c>
      <c r="W460" s="80" t="s">
        <v>1</v>
      </c>
      <c r="X460" s="80" t="s">
        <v>1</v>
      </c>
      <c r="Y460" s="80" t="s">
        <v>1</v>
      </c>
      <c r="Z460" s="80" t="s">
        <v>1</v>
      </c>
      <c r="AA460" s="80" t="s">
        <v>1</v>
      </c>
      <c r="AB460" s="238" t="s">
        <v>6598</v>
      </c>
      <c r="AC460" s="238" t="s">
        <v>6602</v>
      </c>
      <c r="AD460" s="238" t="s">
        <v>3172</v>
      </c>
      <c r="AE460" s="238"/>
    </row>
    <row r="461" spans="2:34">
      <c r="B461" s="72" t="s">
        <v>2156</v>
      </c>
      <c r="C461" s="73" t="s">
        <v>2138</v>
      </c>
      <c r="D461" s="74" t="s">
        <v>1</v>
      </c>
      <c r="E461" s="74" t="s">
        <v>1</v>
      </c>
      <c r="F461" s="74" t="s">
        <v>1</v>
      </c>
      <c r="H461" s="74" t="s">
        <v>1</v>
      </c>
      <c r="I461" s="72" t="s">
        <v>2155</v>
      </c>
      <c r="J461" s="72" t="s">
        <v>2154</v>
      </c>
      <c r="K461" s="72" t="s">
        <v>2045</v>
      </c>
      <c r="L461" s="72" t="s">
        <v>2062</v>
      </c>
      <c r="M461" s="75" t="s">
        <v>2153</v>
      </c>
      <c r="O461" s="80" t="s">
        <v>1</v>
      </c>
      <c r="P461" s="80" t="s">
        <v>1</v>
      </c>
      <c r="Q461" s="80" t="s">
        <v>1</v>
      </c>
      <c r="R461" s="80" t="s">
        <v>1</v>
      </c>
      <c r="S461" s="80" t="s">
        <v>1</v>
      </c>
      <c r="T461" s="80" t="s">
        <v>1</v>
      </c>
      <c r="U461" s="80" t="s">
        <v>1</v>
      </c>
      <c r="V461" s="80" t="s">
        <v>1</v>
      </c>
      <c r="W461" s="80" t="s">
        <v>1</v>
      </c>
      <c r="X461" s="80" t="s">
        <v>1</v>
      </c>
      <c r="Y461" s="80" t="s">
        <v>1</v>
      </c>
      <c r="Z461" s="80" t="s">
        <v>1</v>
      </c>
      <c r="AA461" s="80" t="s">
        <v>1</v>
      </c>
      <c r="AB461" s="238" t="s">
        <v>6598</v>
      </c>
      <c r="AC461" s="238" t="s">
        <v>6601</v>
      </c>
      <c r="AD461" s="238" t="s">
        <v>6608</v>
      </c>
      <c r="AE461" s="238"/>
    </row>
    <row r="462" spans="2:34">
      <c r="B462" s="72" t="s">
        <v>2151</v>
      </c>
      <c r="C462" s="73" t="s">
        <v>2150</v>
      </c>
      <c r="D462" s="74" t="s">
        <v>1</v>
      </c>
      <c r="E462" s="80" t="s">
        <v>1</v>
      </c>
      <c r="F462" s="74" t="s">
        <v>1</v>
      </c>
      <c r="H462" s="74" t="s">
        <v>1</v>
      </c>
      <c r="I462" s="72" t="s">
        <v>2149</v>
      </c>
      <c r="J462" s="72" t="s">
        <v>2148</v>
      </c>
      <c r="K462" s="72" t="s">
        <v>2045</v>
      </c>
      <c r="L462" s="72" t="s">
        <v>2123</v>
      </c>
      <c r="M462" s="75" t="s">
        <v>2147</v>
      </c>
      <c r="N462" s="72" t="s">
        <v>2146</v>
      </c>
      <c r="O462" s="87" t="s">
        <v>1</v>
      </c>
      <c r="P462" s="87" t="s">
        <v>1</v>
      </c>
      <c r="Q462" s="87" t="s">
        <v>1</v>
      </c>
      <c r="R462" s="87" t="s">
        <v>1</v>
      </c>
      <c r="S462" s="87" t="s">
        <v>1</v>
      </c>
      <c r="T462" s="87" t="s">
        <v>1</v>
      </c>
      <c r="U462" s="87" t="s">
        <v>1</v>
      </c>
      <c r="V462" s="87" t="s">
        <v>1</v>
      </c>
      <c r="W462" s="87" t="s">
        <v>1</v>
      </c>
      <c r="X462" s="87" t="s">
        <v>1</v>
      </c>
      <c r="Y462" s="87" t="s">
        <v>1</v>
      </c>
      <c r="Z462" s="87" t="s">
        <v>1</v>
      </c>
      <c r="AA462" s="87" t="s">
        <v>1</v>
      </c>
      <c r="AB462" s="238" t="s">
        <v>6622</v>
      </c>
      <c r="AD462" s="238" t="s">
        <v>2145</v>
      </c>
      <c r="AE462" s="238"/>
    </row>
    <row r="463" spans="2:34" ht="15" customHeight="1">
      <c r="B463" s="72" t="s">
        <v>2019</v>
      </c>
      <c r="C463" s="184" t="s">
        <v>2138</v>
      </c>
      <c r="D463" s="74">
        <v>30</v>
      </c>
      <c r="E463" s="176" t="s">
        <v>4</v>
      </c>
      <c r="F463" s="74">
        <v>5</v>
      </c>
      <c r="G463" s="74">
        <f>F463+Companies!Q463</f>
        <v>6.5</v>
      </c>
      <c r="H463" s="77">
        <v>44266</v>
      </c>
      <c r="I463" s="176" t="s">
        <v>7030</v>
      </c>
      <c r="J463" s="176" t="s">
        <v>7031</v>
      </c>
      <c r="K463" s="176" t="s">
        <v>2045</v>
      </c>
      <c r="L463" s="176" t="s">
        <v>2255</v>
      </c>
      <c r="M463" s="72">
        <v>2017</v>
      </c>
      <c r="O463" s="176" t="s">
        <v>7028</v>
      </c>
      <c r="P463" s="179" t="s">
        <v>4</v>
      </c>
      <c r="Q463" s="76">
        <v>1.5</v>
      </c>
      <c r="R463" s="176" t="s">
        <v>7028</v>
      </c>
      <c r="S463" s="179" t="s">
        <v>278</v>
      </c>
      <c r="T463" s="179" t="s">
        <v>1</v>
      </c>
      <c r="U463" s="179" t="s">
        <v>7029</v>
      </c>
      <c r="V463" s="179" t="s">
        <v>1</v>
      </c>
      <c r="W463" s="179" t="s">
        <v>1</v>
      </c>
      <c r="X463" s="179" t="s">
        <v>1</v>
      </c>
      <c r="Y463" s="179" t="s">
        <v>1</v>
      </c>
      <c r="Z463" s="179" t="s">
        <v>1</v>
      </c>
      <c r="AA463" s="179" t="s">
        <v>1</v>
      </c>
      <c r="AB463" s="176" t="s">
        <v>6624</v>
      </c>
      <c r="AC463" s="176" t="s">
        <v>3695</v>
      </c>
      <c r="AD463" s="176" t="s">
        <v>2330</v>
      </c>
      <c r="AE463" s="25" t="s">
        <v>7023</v>
      </c>
    </row>
    <row r="464" spans="2:34">
      <c r="B464" s="72" t="s">
        <v>2144</v>
      </c>
      <c r="C464" s="73" t="s">
        <v>2138</v>
      </c>
      <c r="E464" s="76"/>
      <c r="I464" s="72" t="s">
        <v>2143</v>
      </c>
      <c r="J464" s="72" t="s">
        <v>1</v>
      </c>
      <c r="K464" s="72" t="s">
        <v>2045</v>
      </c>
      <c r="L464" s="72" t="s">
        <v>2142</v>
      </c>
      <c r="M464" s="72">
        <v>1995</v>
      </c>
      <c r="AE464" s="238"/>
    </row>
    <row r="465" spans="2:34" ht="12.75" customHeight="1">
      <c r="B465" s="72" t="s">
        <v>2141</v>
      </c>
      <c r="C465" s="73" t="s">
        <v>2138</v>
      </c>
      <c r="D465" s="74" t="s">
        <v>1</v>
      </c>
      <c r="E465" s="74" t="s">
        <v>1</v>
      </c>
      <c r="F465" s="74" t="s">
        <v>1</v>
      </c>
      <c r="H465" s="74" t="s">
        <v>1</v>
      </c>
      <c r="I465" s="72" t="s">
        <v>2140</v>
      </c>
      <c r="J465" s="72" t="s">
        <v>1</v>
      </c>
      <c r="K465" s="72" t="s">
        <v>1</v>
      </c>
      <c r="L465" s="72" t="s">
        <v>1</v>
      </c>
      <c r="O465" s="72" t="s">
        <v>1</v>
      </c>
      <c r="P465" s="72" t="s">
        <v>1</v>
      </c>
      <c r="Q465" s="72" t="s">
        <v>1</v>
      </c>
      <c r="R465" s="72" t="s">
        <v>1</v>
      </c>
      <c r="S465" s="72" t="s">
        <v>1</v>
      </c>
      <c r="T465" s="72" t="s">
        <v>1</v>
      </c>
      <c r="U465" s="72" t="s">
        <v>1</v>
      </c>
      <c r="V465" s="72" t="s">
        <v>1</v>
      </c>
      <c r="W465" s="72" t="s">
        <v>1</v>
      </c>
      <c r="X465" s="72" t="s">
        <v>1</v>
      </c>
      <c r="Y465" s="72" t="s">
        <v>1</v>
      </c>
      <c r="Z465" s="72" t="s">
        <v>1</v>
      </c>
      <c r="AA465" s="72" t="s">
        <v>1</v>
      </c>
      <c r="AB465" s="72" t="s">
        <v>1</v>
      </c>
      <c r="AE465" s="238"/>
    </row>
    <row r="466" spans="2:34">
      <c r="B466" s="72" t="s">
        <v>2139</v>
      </c>
      <c r="C466" s="73" t="s">
        <v>2138</v>
      </c>
      <c r="D466" s="74">
        <v>50</v>
      </c>
      <c r="E466" s="72" t="s">
        <v>5</v>
      </c>
      <c r="F466" s="74">
        <v>18</v>
      </c>
      <c r="H466" s="77">
        <v>43510</v>
      </c>
      <c r="J466" s="72" t="s">
        <v>1</v>
      </c>
      <c r="K466" s="72" t="s">
        <v>2045</v>
      </c>
      <c r="M466" s="72">
        <v>2004</v>
      </c>
      <c r="O466" s="72" t="s">
        <v>2137</v>
      </c>
      <c r="P466" s="72" t="s">
        <v>4</v>
      </c>
      <c r="Q466" s="76">
        <v>3.4</v>
      </c>
      <c r="R466" s="72" t="s">
        <v>626</v>
      </c>
      <c r="S466" s="72" t="s">
        <v>1</v>
      </c>
      <c r="T466" s="72" t="s">
        <v>1</v>
      </c>
      <c r="U466" s="72" t="s">
        <v>1</v>
      </c>
      <c r="V466" s="72" t="s">
        <v>1</v>
      </c>
      <c r="W466" s="72" t="s">
        <v>1</v>
      </c>
      <c r="X466" s="72" t="s">
        <v>1</v>
      </c>
      <c r="Y466" s="72" t="s">
        <v>1</v>
      </c>
      <c r="Z466" s="72" t="s">
        <v>1</v>
      </c>
      <c r="AA466" s="72" t="s">
        <v>1</v>
      </c>
      <c r="AB466" s="72" t="s">
        <v>2136</v>
      </c>
      <c r="AE466" s="238"/>
    </row>
    <row r="467" spans="2:34">
      <c r="B467" s="72" t="s">
        <v>4352</v>
      </c>
      <c r="C467" s="73" t="s">
        <v>2150</v>
      </c>
      <c r="D467" s="74">
        <v>4900</v>
      </c>
      <c r="F467" s="74">
        <v>2600</v>
      </c>
      <c r="H467" s="77"/>
      <c r="O467" s="72" t="s">
        <v>4353</v>
      </c>
      <c r="P467" s="72"/>
      <c r="R467" s="72"/>
      <c r="S467" s="72"/>
      <c r="T467" s="72"/>
      <c r="U467" s="72"/>
      <c r="V467" s="72"/>
      <c r="W467" s="72"/>
      <c r="X467" s="72"/>
      <c r="Y467" s="72"/>
      <c r="Z467" s="72"/>
      <c r="AA467" s="72"/>
      <c r="AE467" s="238"/>
    </row>
    <row r="468" spans="2:34" s="152" customFormat="1">
      <c r="B468" s="152" t="s">
        <v>2040</v>
      </c>
      <c r="C468" s="157" t="s">
        <v>2138</v>
      </c>
      <c r="D468" s="154"/>
      <c r="F468" s="154"/>
      <c r="G468" s="154"/>
      <c r="H468" s="153"/>
      <c r="I468" s="152" t="s">
        <v>6379</v>
      </c>
      <c r="N468" s="152" t="s">
        <v>6378</v>
      </c>
      <c r="P468" s="156"/>
      <c r="Q468" s="156"/>
      <c r="R468" s="156"/>
      <c r="S468" s="156"/>
      <c r="T468" s="156"/>
      <c r="U468" s="156"/>
      <c r="V468" s="156"/>
      <c r="W468" s="156"/>
      <c r="X468" s="156"/>
      <c r="Y468" s="156"/>
      <c r="Z468" s="156"/>
      <c r="AA468" s="156"/>
      <c r="AE468" s="25" t="s">
        <v>6377</v>
      </c>
      <c r="AF468" s="63"/>
      <c r="AG468" s="58"/>
      <c r="AH468" s="58"/>
    </row>
    <row r="469" spans="2:34" s="152" customFormat="1">
      <c r="B469" s="152" t="s">
        <v>2036</v>
      </c>
      <c r="C469" s="157" t="s">
        <v>2138</v>
      </c>
      <c r="D469" s="154">
        <v>100</v>
      </c>
      <c r="E469" s="152" t="s">
        <v>7</v>
      </c>
      <c r="F469" s="154">
        <v>25</v>
      </c>
      <c r="G469" s="154"/>
      <c r="H469" s="155">
        <v>43528</v>
      </c>
      <c r="I469" s="152" t="s">
        <v>4285</v>
      </c>
      <c r="J469" s="152" t="s">
        <v>6411</v>
      </c>
      <c r="K469" s="152" t="s">
        <v>2045</v>
      </c>
      <c r="L469" s="152" t="s">
        <v>6412</v>
      </c>
      <c r="M469" s="158">
        <v>42917</v>
      </c>
      <c r="N469" s="152" t="s">
        <v>6413</v>
      </c>
      <c r="O469" s="152" t="s">
        <v>6414</v>
      </c>
      <c r="P469" s="156" t="s">
        <v>5</v>
      </c>
      <c r="Q469" s="156">
        <v>7.3</v>
      </c>
      <c r="R469" s="156" t="s">
        <v>6416</v>
      </c>
      <c r="S469" s="156" t="s">
        <v>1</v>
      </c>
      <c r="T469" s="156" t="s">
        <v>1</v>
      </c>
      <c r="U469" s="156" t="s">
        <v>1</v>
      </c>
      <c r="V469" s="156" t="s">
        <v>1</v>
      </c>
      <c r="W469" s="156" t="s">
        <v>1</v>
      </c>
      <c r="X469" s="156" t="s">
        <v>1</v>
      </c>
      <c r="Y469" s="156" t="s">
        <v>1</v>
      </c>
      <c r="Z469" s="156" t="s">
        <v>1</v>
      </c>
      <c r="AA469" s="156" t="s">
        <v>1</v>
      </c>
      <c r="AB469" s="165" t="s">
        <v>6598</v>
      </c>
      <c r="AC469" s="165" t="s">
        <v>6601</v>
      </c>
      <c r="AD469" s="165" t="s">
        <v>2362</v>
      </c>
      <c r="AE469" s="25" t="s">
        <v>6382</v>
      </c>
      <c r="AF469" s="63"/>
      <c r="AG469" s="58"/>
      <c r="AH469" s="58"/>
    </row>
    <row r="470" spans="2:34">
      <c r="B470" s="91" t="s">
        <v>5402</v>
      </c>
      <c r="C470" s="96" t="s">
        <v>2138</v>
      </c>
      <c r="H470" s="77"/>
      <c r="P470" s="72"/>
      <c r="R470" s="72"/>
      <c r="S470" s="72"/>
      <c r="T470" s="72"/>
      <c r="U470" s="72"/>
      <c r="V470" s="72"/>
      <c r="W470" s="72"/>
      <c r="X470" s="72"/>
      <c r="Y470" s="72"/>
      <c r="Z470" s="72"/>
      <c r="AA470" s="72"/>
      <c r="AE470" s="238"/>
    </row>
    <row r="471" spans="2:34">
      <c r="B471" s="274" t="s">
        <v>1966</v>
      </c>
      <c r="C471" s="275" t="s">
        <v>2150</v>
      </c>
      <c r="D471" s="74">
        <v>0</v>
      </c>
      <c r="E471" s="274" t="s">
        <v>4</v>
      </c>
      <c r="F471" s="74">
        <v>3.3</v>
      </c>
      <c r="G471" s="74">
        <v>3.3</v>
      </c>
      <c r="H471" s="276">
        <v>44986</v>
      </c>
      <c r="I471" s="72" t="s">
        <v>5211</v>
      </c>
      <c r="K471" s="274" t="s">
        <v>2045</v>
      </c>
      <c r="L471" s="274" t="s">
        <v>2524</v>
      </c>
      <c r="O471" s="274" t="s">
        <v>8029</v>
      </c>
      <c r="P471" s="274" t="s">
        <v>1</v>
      </c>
      <c r="Q471" s="274" t="s">
        <v>1</v>
      </c>
      <c r="R471" s="274" t="s">
        <v>1</v>
      </c>
      <c r="S471" s="274" t="s">
        <v>1</v>
      </c>
      <c r="T471" s="274" t="s">
        <v>1</v>
      </c>
      <c r="U471" s="274" t="s">
        <v>1</v>
      </c>
      <c r="V471" s="274" t="s">
        <v>1</v>
      </c>
      <c r="W471" s="274" t="s">
        <v>1</v>
      </c>
      <c r="X471" s="274" t="s">
        <v>1</v>
      </c>
      <c r="Y471" s="274" t="s">
        <v>1</v>
      </c>
      <c r="Z471" s="274" t="s">
        <v>1</v>
      </c>
      <c r="AA471" s="274" t="s">
        <v>1</v>
      </c>
      <c r="AB471" s="274" t="s">
        <v>2074</v>
      </c>
      <c r="AC471" s="274" t="s">
        <v>1</v>
      </c>
      <c r="AD471" s="274" t="s">
        <v>2081</v>
      </c>
      <c r="AF471" s="72"/>
      <c r="AG471" s="72"/>
      <c r="AH471" s="72"/>
    </row>
    <row r="472" spans="2:34">
      <c r="B472" s="274" t="s">
        <v>8292</v>
      </c>
      <c r="C472" s="275" t="s">
        <v>2138</v>
      </c>
      <c r="D472" s="274"/>
      <c r="F472" s="72"/>
      <c r="G472" s="72"/>
      <c r="H472" s="72"/>
      <c r="P472" s="72"/>
      <c r="Q472" s="72"/>
      <c r="R472" s="72"/>
      <c r="S472" s="72"/>
      <c r="T472" s="72"/>
      <c r="U472" s="72"/>
      <c r="V472" s="72"/>
      <c r="W472" s="72"/>
      <c r="X472" s="72"/>
      <c r="Y472" s="72"/>
      <c r="Z472" s="72"/>
      <c r="AA472" s="72"/>
      <c r="AF472" s="72"/>
      <c r="AG472" s="72"/>
      <c r="AH472" s="72"/>
    </row>
    <row r="473" spans="2:34">
      <c r="B473" s="238" t="s">
        <v>7445</v>
      </c>
      <c r="C473" s="237" t="s">
        <v>2138</v>
      </c>
      <c r="D473" s="72"/>
      <c r="F473" s="72"/>
      <c r="G473" s="72"/>
      <c r="H473" s="72"/>
      <c r="I473" s="238" t="s">
        <v>7447</v>
      </c>
      <c r="P473" s="72"/>
      <c r="Q473" s="72"/>
      <c r="R473" s="72"/>
      <c r="S473" s="72"/>
      <c r="T473" s="72"/>
      <c r="U473" s="72"/>
      <c r="V473" s="72"/>
      <c r="W473" s="72"/>
      <c r="X473" s="72"/>
      <c r="Y473" s="72"/>
      <c r="Z473" s="72"/>
      <c r="AA473" s="72"/>
      <c r="AE473" s="238"/>
      <c r="AF473" s="72"/>
      <c r="AG473" s="72"/>
      <c r="AH473" s="72"/>
    </row>
    <row r="474" spans="2:34">
      <c r="B474" s="392" t="s">
        <v>9783</v>
      </c>
    </row>
    <row r="475" spans="2:34">
      <c r="H475" s="77"/>
      <c r="AE475" s="25"/>
      <c r="AF475" s="64"/>
      <c r="AG475" s="59"/>
      <c r="AH475" s="59"/>
    </row>
    <row r="476" spans="2:34" s="274" customFormat="1">
      <c r="B476" s="26" t="s">
        <v>2135</v>
      </c>
      <c r="C476" s="275"/>
      <c r="D476" s="324"/>
      <c r="F476" s="324"/>
      <c r="G476" s="324"/>
      <c r="H476" s="331"/>
      <c r="P476" s="332"/>
      <c r="Q476" s="332"/>
      <c r="R476" s="332"/>
      <c r="S476" s="332"/>
      <c r="T476" s="332"/>
      <c r="U476" s="332"/>
      <c r="V476" s="332"/>
      <c r="W476" s="332"/>
      <c r="X476" s="332"/>
      <c r="Y476" s="332"/>
      <c r="Z476" s="332"/>
      <c r="AA476" s="332"/>
      <c r="AF476" s="64"/>
      <c r="AG476" s="59"/>
      <c r="AH476" s="59"/>
    </row>
    <row r="477" spans="2:34" s="274" customFormat="1">
      <c r="B477" s="392" t="s">
        <v>9775</v>
      </c>
      <c r="C477" s="393" t="s">
        <v>1691</v>
      </c>
      <c r="D477" s="324">
        <v>50</v>
      </c>
      <c r="E477" s="392" t="s">
        <v>4</v>
      </c>
      <c r="F477" s="324">
        <v>3.5</v>
      </c>
      <c r="G477" s="324">
        <f>+F477</f>
        <v>3.5</v>
      </c>
      <c r="H477" s="325">
        <v>44853</v>
      </c>
      <c r="I477" s="392" t="s">
        <v>9779</v>
      </c>
      <c r="J477" s="392" t="s">
        <v>9777</v>
      </c>
      <c r="K477" s="392" t="s">
        <v>2308</v>
      </c>
      <c r="L477" s="392" t="s">
        <v>9778</v>
      </c>
      <c r="M477" s="326">
        <v>44047</v>
      </c>
      <c r="N477" s="274" t="s">
        <v>1900</v>
      </c>
      <c r="O477" s="392" t="s">
        <v>9780</v>
      </c>
      <c r="P477" s="392" t="s">
        <v>7410</v>
      </c>
      <c r="Q477" s="274">
        <v>6</v>
      </c>
      <c r="R477" s="392" t="s">
        <v>9797</v>
      </c>
      <c r="S477" s="392" t="s">
        <v>1</v>
      </c>
      <c r="T477" s="392" t="s">
        <v>1</v>
      </c>
      <c r="U477" s="392" t="s">
        <v>1</v>
      </c>
      <c r="V477" s="392" t="s">
        <v>1</v>
      </c>
      <c r="W477" s="392" t="s">
        <v>1</v>
      </c>
      <c r="X477" s="392" t="s">
        <v>1</v>
      </c>
      <c r="Y477" s="392" t="s">
        <v>1</v>
      </c>
      <c r="Z477" s="392" t="s">
        <v>1</v>
      </c>
      <c r="AA477" s="392" t="s">
        <v>1</v>
      </c>
      <c r="AB477" s="392" t="s">
        <v>6624</v>
      </c>
      <c r="AC477" s="392" t="s">
        <v>2706</v>
      </c>
      <c r="AD477" s="392" t="s">
        <v>2904</v>
      </c>
      <c r="AE477" s="25" t="s">
        <v>9776</v>
      </c>
    </row>
    <row r="478" spans="2:34">
      <c r="B478" s="12" t="s">
        <v>2000</v>
      </c>
      <c r="P478" s="72"/>
      <c r="Q478" s="72"/>
      <c r="R478" s="72"/>
      <c r="S478" s="72"/>
      <c r="T478" s="72"/>
      <c r="U478" s="72"/>
      <c r="V478" s="72"/>
      <c r="W478" s="72"/>
      <c r="X478" s="72"/>
      <c r="Y478" s="72"/>
      <c r="Z478" s="72"/>
      <c r="AA478" s="72"/>
      <c r="AF478" s="72"/>
      <c r="AG478" s="72"/>
      <c r="AH478" s="72"/>
    </row>
    <row r="479" spans="2:34">
      <c r="B479" s="72" t="s">
        <v>1999</v>
      </c>
      <c r="P479" s="72"/>
      <c r="Q479" s="72"/>
      <c r="R479" s="72"/>
      <c r="S479" s="72"/>
      <c r="T479" s="72"/>
      <c r="U479" s="72"/>
      <c r="V479" s="72"/>
      <c r="W479" s="72"/>
      <c r="X479" s="72"/>
      <c r="Y479" s="72"/>
      <c r="Z479" s="72"/>
      <c r="AA479" s="72"/>
      <c r="AF479" s="72"/>
      <c r="AG479" s="72"/>
      <c r="AH479" s="72"/>
    </row>
    <row r="480" spans="2:34">
      <c r="B480" s="392" t="s">
        <v>9764</v>
      </c>
      <c r="C480" s="393" t="s">
        <v>1691</v>
      </c>
      <c r="D480" s="74">
        <v>1000</v>
      </c>
      <c r="F480" s="74">
        <v>252</v>
      </c>
      <c r="G480" s="74">
        <v>252</v>
      </c>
      <c r="P480" s="72"/>
      <c r="Q480" s="72"/>
      <c r="R480" s="72"/>
      <c r="S480" s="72"/>
      <c r="T480" s="72"/>
      <c r="U480" s="72"/>
      <c r="V480" s="72"/>
      <c r="W480" s="72"/>
      <c r="X480" s="72"/>
      <c r="Y480" s="72"/>
      <c r="Z480" s="72"/>
      <c r="AA480" s="72"/>
      <c r="AF480" s="72"/>
      <c r="AG480" s="72"/>
      <c r="AH480" s="72"/>
    </row>
    <row r="481" spans="2:34">
      <c r="B481" s="72" t="s">
        <v>1998</v>
      </c>
      <c r="P481" s="72"/>
      <c r="Q481" s="72"/>
      <c r="R481" s="72"/>
      <c r="S481" s="72"/>
      <c r="T481" s="72"/>
      <c r="U481" s="72"/>
      <c r="V481" s="72"/>
      <c r="W481" s="72"/>
      <c r="X481" s="72"/>
      <c r="Y481" s="72"/>
      <c r="Z481" s="72"/>
      <c r="AA481" s="72"/>
      <c r="AF481" s="72"/>
      <c r="AG481" s="72"/>
      <c r="AH481" s="72"/>
    </row>
    <row r="482" spans="2:34">
      <c r="B482" s="434" t="s">
        <v>12793</v>
      </c>
      <c r="P482" s="72"/>
      <c r="Q482" s="72"/>
      <c r="R482" s="72"/>
      <c r="S482" s="72"/>
      <c r="T482" s="72"/>
      <c r="U482" s="72"/>
      <c r="V482" s="72"/>
      <c r="W482" s="72"/>
      <c r="X482" s="72"/>
      <c r="Y482" s="72"/>
      <c r="Z482" s="72"/>
      <c r="AA482" s="72"/>
      <c r="AE482" s="434" t="s">
        <v>12794</v>
      </c>
      <c r="AF482" s="72"/>
      <c r="AG482" s="72"/>
      <c r="AH482" s="72"/>
    </row>
    <row r="483" spans="2:34">
      <c r="B483" s="434" t="s">
        <v>12796</v>
      </c>
      <c r="P483" s="72"/>
      <c r="Q483" s="72"/>
      <c r="R483" s="72"/>
      <c r="S483" s="72"/>
      <c r="T483" s="72"/>
      <c r="U483" s="72"/>
      <c r="V483" s="72"/>
      <c r="W483" s="72"/>
      <c r="X483" s="72"/>
      <c r="Y483" s="72"/>
      <c r="Z483" s="72"/>
      <c r="AA483" s="72"/>
      <c r="AE483" s="434" t="s">
        <v>12795</v>
      </c>
      <c r="AF483" s="72"/>
      <c r="AG483" s="72"/>
      <c r="AH483" s="72"/>
    </row>
    <row r="484" spans="2:34">
      <c r="B484" s="434" t="s">
        <v>12797</v>
      </c>
      <c r="P484" s="72"/>
      <c r="Q484" s="72"/>
      <c r="R484" s="72"/>
      <c r="S484" s="72"/>
      <c r="T484" s="72"/>
      <c r="U484" s="72"/>
      <c r="V484" s="72"/>
      <c r="W484" s="72"/>
      <c r="X484" s="72"/>
      <c r="Y484" s="72"/>
      <c r="Z484" s="72"/>
      <c r="AA484" s="72"/>
      <c r="AE484" s="434" t="s">
        <v>12798</v>
      </c>
      <c r="AF484" s="72"/>
      <c r="AG484" s="72"/>
      <c r="AH484" s="72"/>
    </row>
    <row r="485" spans="2:34">
      <c r="B485" s="434" t="s">
        <v>12801</v>
      </c>
      <c r="P485" s="72"/>
      <c r="Q485" s="72"/>
      <c r="R485" s="72"/>
      <c r="S485" s="72"/>
      <c r="T485" s="72"/>
      <c r="U485" s="72"/>
      <c r="V485" s="72"/>
      <c r="W485" s="72"/>
      <c r="X485" s="72"/>
      <c r="Y485" s="72"/>
      <c r="Z485" s="72"/>
      <c r="AA485" s="72"/>
      <c r="AE485" s="434" t="s">
        <v>12802</v>
      </c>
      <c r="AF485" s="72"/>
      <c r="AG485" s="72"/>
      <c r="AH485" s="72"/>
    </row>
    <row r="486" spans="2:34">
      <c r="B486" s="434" t="s">
        <v>12800</v>
      </c>
      <c r="P486" s="72"/>
      <c r="Q486" s="72"/>
      <c r="R486" s="72"/>
      <c r="S486" s="72"/>
      <c r="T486" s="72"/>
      <c r="U486" s="72"/>
      <c r="V486" s="72"/>
      <c r="W486" s="72"/>
      <c r="X486" s="72"/>
      <c r="Y486" s="72"/>
      <c r="Z486" s="72"/>
      <c r="AA486" s="72"/>
      <c r="AE486" s="434" t="s">
        <v>12799</v>
      </c>
      <c r="AF486" s="72"/>
      <c r="AG486" s="72"/>
      <c r="AH486" s="72"/>
    </row>
    <row r="487" spans="2:34">
      <c r="B487" s="434" t="s">
        <v>12791</v>
      </c>
      <c r="P487" s="72"/>
      <c r="Q487" s="72"/>
      <c r="R487" s="72"/>
      <c r="S487" s="72"/>
      <c r="T487" s="72"/>
      <c r="U487" s="72"/>
      <c r="V487" s="72"/>
      <c r="W487" s="72"/>
      <c r="X487" s="72"/>
      <c r="Y487" s="72"/>
      <c r="Z487" s="72"/>
      <c r="AA487" s="72"/>
      <c r="AE487" s="434" t="s">
        <v>12792</v>
      </c>
      <c r="AF487" s="72"/>
      <c r="AG487" s="72"/>
      <c r="AH487" s="72"/>
    </row>
    <row r="488" spans="2:34">
      <c r="B488" s="72" t="s">
        <v>1997</v>
      </c>
      <c r="P488" s="72"/>
      <c r="Q488" s="72"/>
      <c r="R488" s="72"/>
      <c r="S488" s="72"/>
      <c r="T488" s="72"/>
      <c r="U488" s="72"/>
      <c r="V488" s="72"/>
      <c r="W488" s="72"/>
      <c r="X488" s="72"/>
      <c r="Y488" s="72"/>
      <c r="Z488" s="72"/>
      <c r="AA488" s="72"/>
      <c r="AF488" s="72"/>
      <c r="AG488" s="72"/>
      <c r="AH488" s="72"/>
    </row>
    <row r="489" spans="2:34">
      <c r="B489" s="274" t="s">
        <v>9412</v>
      </c>
      <c r="P489" s="72"/>
      <c r="Q489" s="72"/>
      <c r="R489" s="72"/>
      <c r="S489" s="72"/>
      <c r="T489" s="72"/>
      <c r="U489" s="72"/>
      <c r="V489" s="72"/>
      <c r="W489" s="72"/>
      <c r="X489" s="72"/>
      <c r="Y489" s="72"/>
      <c r="Z489" s="72"/>
      <c r="AA489" s="72"/>
      <c r="AE489" s="25" t="s">
        <v>9413</v>
      </c>
      <c r="AF489" s="72"/>
      <c r="AG489" s="72"/>
      <c r="AH489" s="72"/>
    </row>
    <row r="490" spans="2:34">
      <c r="B490" s="72" t="s">
        <v>1996</v>
      </c>
      <c r="P490" s="72"/>
      <c r="Q490" s="72"/>
      <c r="R490" s="72"/>
      <c r="S490" s="72"/>
      <c r="T490" s="72"/>
      <c r="U490" s="72"/>
      <c r="V490" s="72"/>
      <c r="W490" s="72"/>
      <c r="X490" s="72"/>
      <c r="Y490" s="72"/>
      <c r="Z490" s="72"/>
      <c r="AA490" s="72"/>
      <c r="AF490" s="72"/>
      <c r="AG490" s="72"/>
      <c r="AH490" s="72"/>
    </row>
    <row r="491" spans="2:34">
      <c r="B491" s="72" t="s">
        <v>1995</v>
      </c>
      <c r="P491" s="72"/>
      <c r="Q491" s="72"/>
      <c r="R491" s="72"/>
      <c r="S491" s="72"/>
      <c r="T491" s="72"/>
      <c r="U491" s="72"/>
      <c r="V491" s="72"/>
      <c r="W491" s="72"/>
      <c r="X491" s="72"/>
      <c r="Y491" s="72"/>
      <c r="Z491" s="72"/>
      <c r="AA491" s="72"/>
      <c r="AF491" s="72"/>
      <c r="AG491" s="72"/>
      <c r="AH491" s="72"/>
    </row>
    <row r="492" spans="2:34">
      <c r="B492" s="72" t="s">
        <v>1994</v>
      </c>
      <c r="P492" s="72"/>
      <c r="Q492" s="72"/>
      <c r="R492" s="72"/>
      <c r="S492" s="72"/>
      <c r="T492" s="72"/>
      <c r="U492" s="72"/>
      <c r="V492" s="72"/>
      <c r="W492" s="72"/>
      <c r="X492" s="72"/>
      <c r="Y492" s="72"/>
      <c r="Z492" s="72"/>
      <c r="AA492" s="72"/>
      <c r="AF492" s="72"/>
      <c r="AG492" s="72"/>
      <c r="AH492" s="72"/>
    </row>
    <row r="493" spans="2:34">
      <c r="B493" s="72" t="s">
        <v>1993</v>
      </c>
      <c r="P493" s="72"/>
      <c r="Q493" s="72"/>
      <c r="R493" s="72"/>
      <c r="S493" s="72"/>
      <c r="T493" s="72"/>
      <c r="U493" s="72"/>
      <c r="V493" s="72"/>
      <c r="W493" s="72"/>
      <c r="X493" s="72"/>
      <c r="Y493" s="72"/>
      <c r="Z493" s="72"/>
      <c r="AA493" s="72"/>
      <c r="AF493" s="72"/>
      <c r="AG493" s="72"/>
      <c r="AH493" s="72"/>
    </row>
    <row r="494" spans="2:34">
      <c r="B494" s="72" t="s">
        <v>1992</v>
      </c>
      <c r="N494" s="72" t="s">
        <v>1900</v>
      </c>
      <c r="P494" s="72"/>
      <c r="Q494" s="72"/>
      <c r="R494" s="72"/>
      <c r="S494" s="72"/>
      <c r="T494" s="72"/>
      <c r="U494" s="72"/>
      <c r="V494" s="72"/>
      <c r="W494" s="72"/>
      <c r="X494" s="72"/>
      <c r="Y494" s="72"/>
      <c r="Z494" s="72"/>
      <c r="AA494" s="72"/>
      <c r="AF494" s="72"/>
      <c r="AG494" s="72"/>
      <c r="AH494" s="72"/>
    </row>
    <row r="495" spans="2:34">
      <c r="B495" s="72" t="s">
        <v>1991</v>
      </c>
      <c r="P495" s="72"/>
      <c r="Q495" s="72"/>
      <c r="R495" s="72"/>
      <c r="S495" s="72"/>
      <c r="T495" s="72"/>
      <c r="U495" s="72"/>
      <c r="V495" s="72"/>
      <c r="W495" s="72"/>
      <c r="X495" s="72"/>
      <c r="Y495" s="72"/>
      <c r="Z495" s="72"/>
      <c r="AA495" s="72"/>
      <c r="AF495" s="72"/>
      <c r="AG495" s="72"/>
      <c r="AH495" s="72"/>
    </row>
    <row r="496" spans="2:34">
      <c r="B496" s="72" t="s">
        <v>1990</v>
      </c>
      <c r="P496" s="72"/>
      <c r="Q496" s="72"/>
      <c r="R496" s="72"/>
      <c r="S496" s="72"/>
      <c r="T496" s="72"/>
      <c r="U496" s="72"/>
      <c r="V496" s="72"/>
      <c r="W496" s="72"/>
      <c r="X496" s="72"/>
      <c r="Y496" s="72"/>
      <c r="Z496" s="72"/>
      <c r="AA496" s="72"/>
      <c r="AF496" s="72"/>
      <c r="AG496" s="72"/>
      <c r="AH496" s="72"/>
    </row>
    <row r="497" spans="2:34">
      <c r="B497" s="72" t="s">
        <v>1989</v>
      </c>
      <c r="P497" s="72"/>
      <c r="Q497" s="72"/>
      <c r="R497" s="72"/>
      <c r="S497" s="72"/>
      <c r="T497" s="72"/>
      <c r="U497" s="72"/>
      <c r="V497" s="72"/>
      <c r="W497" s="72"/>
      <c r="X497" s="72"/>
      <c r="Y497" s="72"/>
      <c r="Z497" s="72"/>
      <c r="AA497" s="72"/>
      <c r="AF497" s="72"/>
      <c r="AG497" s="72"/>
      <c r="AH497" s="72"/>
    </row>
    <row r="498" spans="2:34">
      <c r="B498" s="72" t="s">
        <v>1988</v>
      </c>
      <c r="C498" s="72"/>
      <c r="D498" s="72"/>
      <c r="F498" s="72"/>
      <c r="G498" s="72"/>
      <c r="H498" s="72"/>
      <c r="P498" s="72"/>
      <c r="Q498" s="72"/>
      <c r="R498" s="72"/>
      <c r="S498" s="72"/>
      <c r="T498" s="72"/>
      <c r="U498" s="72"/>
      <c r="V498" s="72"/>
      <c r="W498" s="72"/>
      <c r="X498" s="72"/>
      <c r="Y498" s="72"/>
      <c r="Z498" s="72"/>
      <c r="AA498" s="72"/>
      <c r="AF498" s="72"/>
      <c r="AG498" s="72"/>
      <c r="AH498" s="72"/>
    </row>
    <row r="499" spans="2:34">
      <c r="B499" s="72" t="s">
        <v>1987</v>
      </c>
      <c r="C499" s="72"/>
      <c r="D499" s="72"/>
      <c r="F499" s="72"/>
      <c r="G499" s="72"/>
      <c r="H499" s="72"/>
      <c r="P499" s="72"/>
      <c r="Q499" s="72"/>
      <c r="R499" s="72"/>
      <c r="S499" s="72"/>
      <c r="T499" s="72"/>
      <c r="U499" s="72"/>
      <c r="V499" s="72"/>
      <c r="W499" s="72"/>
      <c r="X499" s="72"/>
      <c r="Y499" s="72"/>
      <c r="Z499" s="72"/>
      <c r="AA499" s="72"/>
      <c r="AF499" s="72"/>
      <c r="AG499" s="72"/>
      <c r="AH499" s="72"/>
    </row>
    <row r="500" spans="2:34">
      <c r="B500" s="72" t="s">
        <v>1986</v>
      </c>
      <c r="C500" s="72"/>
      <c r="D500" s="72"/>
      <c r="F500" s="72"/>
      <c r="G500" s="72"/>
      <c r="H500" s="72"/>
      <c r="P500" s="72"/>
      <c r="Q500" s="72"/>
      <c r="R500" s="72"/>
      <c r="S500" s="72"/>
      <c r="T500" s="72"/>
      <c r="U500" s="72"/>
      <c r="V500" s="72"/>
      <c r="W500" s="72"/>
      <c r="X500" s="72"/>
      <c r="Y500" s="72"/>
      <c r="Z500" s="72"/>
      <c r="AA500" s="72"/>
      <c r="AF500" s="72"/>
      <c r="AG500" s="72"/>
      <c r="AH500" s="72"/>
    </row>
    <row r="501" spans="2:34">
      <c r="B501" s="72" t="s">
        <v>1985</v>
      </c>
      <c r="C501" s="72"/>
      <c r="D501" s="72"/>
      <c r="F501" s="72"/>
      <c r="G501" s="72"/>
      <c r="H501" s="72"/>
      <c r="P501" s="72"/>
      <c r="Q501" s="72"/>
      <c r="R501" s="72"/>
      <c r="S501" s="72"/>
      <c r="T501" s="72"/>
      <c r="U501" s="72"/>
      <c r="V501" s="72"/>
      <c r="W501" s="72"/>
      <c r="X501" s="72"/>
      <c r="Y501" s="72"/>
      <c r="Z501" s="72"/>
      <c r="AA501" s="72"/>
      <c r="AF501" s="72"/>
      <c r="AG501" s="72"/>
      <c r="AH501" s="72"/>
    </row>
    <row r="502" spans="2:34">
      <c r="B502" s="72" t="s">
        <v>1984</v>
      </c>
      <c r="C502" s="72"/>
      <c r="D502" s="72"/>
      <c r="F502" s="72"/>
      <c r="G502" s="72"/>
      <c r="H502" s="72"/>
      <c r="P502" s="72"/>
      <c r="Q502" s="72"/>
      <c r="R502" s="72"/>
      <c r="S502" s="72"/>
      <c r="T502" s="72"/>
      <c r="U502" s="72"/>
      <c r="V502" s="72"/>
      <c r="W502" s="72"/>
      <c r="X502" s="72"/>
      <c r="Y502" s="72"/>
      <c r="Z502" s="72"/>
      <c r="AA502" s="72"/>
      <c r="AF502" s="72"/>
      <c r="AG502" s="72"/>
      <c r="AH502" s="72"/>
    </row>
    <row r="503" spans="2:34">
      <c r="B503" s="72" t="s">
        <v>1983</v>
      </c>
      <c r="C503" s="72"/>
      <c r="D503" s="72"/>
      <c r="F503" s="72"/>
      <c r="G503" s="72"/>
      <c r="H503" s="72"/>
      <c r="P503" s="72"/>
      <c r="Q503" s="72"/>
      <c r="R503" s="72"/>
      <c r="S503" s="72"/>
      <c r="T503" s="72"/>
      <c r="U503" s="72"/>
      <c r="V503" s="72"/>
      <c r="W503" s="72"/>
      <c r="X503" s="72"/>
      <c r="Y503" s="72"/>
      <c r="Z503" s="72"/>
      <c r="AA503" s="72"/>
      <c r="AF503" s="72"/>
      <c r="AG503" s="72"/>
      <c r="AH503" s="72"/>
    </row>
    <row r="504" spans="2:34">
      <c r="B504" s="72" t="s">
        <v>1982</v>
      </c>
      <c r="C504" s="72"/>
      <c r="D504" s="72"/>
      <c r="F504" s="72"/>
      <c r="G504" s="72"/>
      <c r="H504" s="72"/>
      <c r="P504" s="72"/>
      <c r="Q504" s="72"/>
      <c r="R504" s="72"/>
      <c r="S504" s="72"/>
      <c r="T504" s="72"/>
      <c r="U504" s="72"/>
      <c r="V504" s="72"/>
      <c r="W504" s="72"/>
      <c r="X504" s="72"/>
      <c r="Y504" s="72"/>
      <c r="Z504" s="72"/>
      <c r="AA504" s="72"/>
      <c r="AF504" s="72"/>
      <c r="AG504" s="72"/>
      <c r="AH504" s="72"/>
    </row>
    <row r="505" spans="2:34">
      <c r="B505" s="72" t="s">
        <v>1981</v>
      </c>
      <c r="C505" s="72"/>
      <c r="D505" s="72"/>
      <c r="F505" s="72"/>
      <c r="G505" s="72"/>
      <c r="H505" s="72"/>
      <c r="P505" s="72"/>
      <c r="Q505" s="72"/>
      <c r="R505" s="72"/>
      <c r="S505" s="72"/>
      <c r="T505" s="72"/>
      <c r="U505" s="72"/>
      <c r="V505" s="72"/>
      <c r="W505" s="72"/>
      <c r="X505" s="72"/>
      <c r="Y505" s="72"/>
      <c r="Z505" s="72"/>
      <c r="AA505" s="72"/>
      <c r="AF505" s="72"/>
      <c r="AG505" s="72"/>
      <c r="AH505" s="72"/>
    </row>
    <row r="506" spans="2:34">
      <c r="B506" s="12" t="s">
        <v>1980</v>
      </c>
      <c r="C506" s="72"/>
      <c r="D506" s="72"/>
      <c r="F506" s="72"/>
      <c r="G506" s="72"/>
      <c r="H506" s="72"/>
      <c r="P506" s="72"/>
      <c r="Q506" s="72"/>
      <c r="R506" s="72"/>
      <c r="S506" s="72"/>
      <c r="T506" s="72"/>
      <c r="U506" s="72"/>
      <c r="V506" s="72"/>
      <c r="W506" s="72"/>
      <c r="X506" s="72"/>
      <c r="Y506" s="72"/>
      <c r="Z506" s="72"/>
      <c r="AA506" s="72"/>
      <c r="AF506" s="72"/>
      <c r="AG506" s="72"/>
      <c r="AH506" s="72"/>
    </row>
    <row r="507" spans="2:34">
      <c r="B507" s="72" t="s">
        <v>1979</v>
      </c>
      <c r="C507" s="72"/>
      <c r="D507" s="72"/>
      <c r="F507" s="72"/>
      <c r="G507" s="72"/>
      <c r="H507" s="72"/>
      <c r="P507" s="72"/>
      <c r="Q507" s="72"/>
      <c r="R507" s="72"/>
      <c r="S507" s="72"/>
      <c r="T507" s="72"/>
      <c r="U507" s="72"/>
      <c r="V507" s="72"/>
      <c r="W507" s="72"/>
      <c r="X507" s="72"/>
      <c r="Y507" s="72"/>
      <c r="Z507" s="72"/>
      <c r="AA507" s="72"/>
      <c r="AF507" s="72"/>
      <c r="AG507" s="72"/>
      <c r="AH507" s="72"/>
    </row>
    <row r="508" spans="2:34">
      <c r="B508" s="72" t="s">
        <v>1978</v>
      </c>
      <c r="C508" s="72"/>
      <c r="D508" s="72"/>
      <c r="F508" s="72"/>
      <c r="G508" s="72"/>
      <c r="H508" s="72"/>
      <c r="P508" s="72"/>
      <c r="Q508" s="72"/>
      <c r="R508" s="72"/>
      <c r="S508" s="72"/>
      <c r="T508" s="72"/>
      <c r="U508" s="72"/>
      <c r="V508" s="72"/>
      <c r="W508" s="72"/>
      <c r="X508" s="72"/>
      <c r="Y508" s="72"/>
      <c r="Z508" s="72"/>
      <c r="AA508" s="72"/>
      <c r="AF508" s="72"/>
      <c r="AG508" s="72"/>
      <c r="AH508" s="72"/>
    </row>
    <row r="509" spans="2:34" ht="15">
      <c r="B509" s="274" t="s">
        <v>8259</v>
      </c>
      <c r="C509" s="72"/>
      <c r="D509" s="72"/>
      <c r="F509" s="72"/>
      <c r="G509" s="72"/>
      <c r="H509" s="72"/>
      <c r="P509" s="72"/>
      <c r="Q509" s="72"/>
      <c r="R509" s="72"/>
      <c r="S509" s="72"/>
      <c r="T509" s="72"/>
      <c r="U509" s="72"/>
      <c r="V509" s="72"/>
      <c r="W509" s="72"/>
      <c r="X509" s="72"/>
      <c r="Y509" s="72"/>
      <c r="Z509" s="72"/>
      <c r="AA509" s="72"/>
      <c r="AE509" s="44" t="s">
        <v>9591</v>
      </c>
      <c r="AF509" s="72"/>
      <c r="AG509" s="72"/>
      <c r="AH509" s="72"/>
    </row>
    <row r="510" spans="2:34" ht="15">
      <c r="B510" s="418" t="s">
        <v>11574</v>
      </c>
      <c r="C510" s="72"/>
      <c r="D510" s="72"/>
      <c r="F510" s="72"/>
      <c r="G510" s="72"/>
      <c r="H510" s="72"/>
      <c r="P510" s="72"/>
      <c r="Q510" s="72"/>
      <c r="R510" s="72"/>
      <c r="S510" s="72"/>
      <c r="T510" s="72"/>
      <c r="U510" s="72"/>
      <c r="V510" s="72"/>
      <c r="W510" s="72"/>
      <c r="X510" s="72"/>
      <c r="Y510" s="72"/>
      <c r="Z510" s="72"/>
      <c r="AA510" s="72"/>
      <c r="AE510" s="44"/>
      <c r="AF510" s="72"/>
      <c r="AG510" s="72"/>
      <c r="AH510" s="72"/>
    </row>
    <row r="511" spans="2:34">
      <c r="B511" s="72" t="s">
        <v>1977</v>
      </c>
      <c r="C511" s="72"/>
      <c r="D511" s="72"/>
      <c r="F511" s="72"/>
      <c r="G511" s="72"/>
      <c r="H511" s="72"/>
      <c r="P511" s="72"/>
      <c r="Q511" s="72"/>
      <c r="R511" s="72"/>
      <c r="S511" s="72"/>
      <c r="T511" s="72"/>
      <c r="U511" s="72"/>
      <c r="V511" s="72"/>
      <c r="W511" s="72"/>
      <c r="X511" s="72"/>
      <c r="Y511" s="72"/>
      <c r="Z511" s="72"/>
      <c r="AA511" s="72"/>
      <c r="AF511" s="72"/>
      <c r="AG511" s="72"/>
      <c r="AH511" s="72"/>
    </row>
    <row r="512" spans="2:34">
      <c r="B512" s="238" t="s">
        <v>7446</v>
      </c>
      <c r="C512" s="72"/>
      <c r="D512" s="72"/>
      <c r="F512" s="72"/>
      <c r="G512" s="72"/>
      <c r="H512" s="72"/>
      <c r="P512" s="72"/>
      <c r="Q512" s="72"/>
      <c r="R512" s="72"/>
      <c r="S512" s="72"/>
      <c r="T512" s="72"/>
      <c r="U512" s="72"/>
      <c r="V512" s="72"/>
      <c r="W512" s="72"/>
      <c r="X512" s="72"/>
      <c r="Y512" s="72"/>
      <c r="Z512" s="72"/>
      <c r="AA512" s="72"/>
      <c r="AF512" s="72"/>
      <c r="AG512" s="72"/>
      <c r="AH512" s="72"/>
    </row>
    <row r="513" spans="2:34">
      <c r="B513" s="381" t="s">
        <v>9492</v>
      </c>
      <c r="C513" s="72"/>
      <c r="D513" s="72"/>
      <c r="F513" s="72"/>
      <c r="G513" s="72"/>
      <c r="H513" s="72"/>
      <c r="P513" s="72"/>
      <c r="Q513" s="72"/>
      <c r="R513" s="72"/>
      <c r="S513" s="72"/>
      <c r="T513" s="72"/>
      <c r="U513" s="72"/>
      <c r="V513" s="72"/>
      <c r="W513" s="72"/>
      <c r="X513" s="72"/>
      <c r="Y513" s="72"/>
      <c r="Z513" s="72"/>
      <c r="AA513" s="72"/>
      <c r="AE513" s="25" t="s">
        <v>9493</v>
      </c>
      <c r="AF513" s="72"/>
      <c r="AG513" s="72"/>
      <c r="AH513" s="72"/>
    </row>
    <row r="514" spans="2:34">
      <c r="B514" s="72" t="s">
        <v>1976</v>
      </c>
      <c r="C514" s="72"/>
      <c r="D514" s="72"/>
      <c r="F514" s="72"/>
      <c r="G514" s="72"/>
      <c r="H514" s="72"/>
      <c r="P514" s="72"/>
      <c r="Q514" s="72"/>
      <c r="R514" s="72"/>
      <c r="S514" s="72"/>
      <c r="T514" s="72"/>
      <c r="U514" s="72"/>
      <c r="V514" s="72"/>
      <c r="W514" s="72"/>
      <c r="X514" s="72"/>
      <c r="Y514" s="72"/>
      <c r="Z514" s="72"/>
      <c r="AA514" s="72"/>
      <c r="AF514" s="72"/>
      <c r="AG514" s="72"/>
      <c r="AH514" s="72"/>
    </row>
    <row r="515" spans="2:34">
      <c r="B515" s="72" t="s">
        <v>1975</v>
      </c>
      <c r="C515" s="72"/>
      <c r="D515" s="72"/>
      <c r="F515" s="72"/>
      <c r="G515" s="72"/>
      <c r="H515" s="72"/>
      <c r="P515" s="72"/>
      <c r="Q515" s="72"/>
      <c r="R515" s="72"/>
      <c r="S515" s="72"/>
      <c r="T515" s="72"/>
      <c r="U515" s="72"/>
      <c r="V515" s="72"/>
      <c r="W515" s="72"/>
      <c r="X515" s="72"/>
      <c r="Y515" s="72"/>
      <c r="Z515" s="72"/>
      <c r="AA515" s="72"/>
      <c r="AF515" s="72"/>
      <c r="AG515" s="72"/>
      <c r="AH515" s="72"/>
    </row>
    <row r="516" spans="2:34">
      <c r="B516" s="72" t="s">
        <v>1974</v>
      </c>
      <c r="C516" s="72"/>
      <c r="D516" s="72"/>
      <c r="F516" s="72"/>
      <c r="G516" s="72"/>
      <c r="H516" s="72"/>
      <c r="P516" s="72"/>
      <c r="Q516" s="72"/>
      <c r="R516" s="72"/>
      <c r="S516" s="72"/>
      <c r="T516" s="72"/>
      <c r="U516" s="72"/>
      <c r="V516" s="72"/>
      <c r="W516" s="72"/>
      <c r="X516" s="72"/>
      <c r="Y516" s="72"/>
      <c r="Z516" s="72"/>
      <c r="AA516" s="72"/>
      <c r="AF516" s="72"/>
      <c r="AG516" s="72"/>
      <c r="AH516" s="72"/>
    </row>
    <row r="517" spans="2:34">
      <c r="B517" s="72" t="s">
        <v>1973</v>
      </c>
      <c r="C517" s="72"/>
      <c r="D517" s="72"/>
      <c r="F517" s="72"/>
      <c r="G517" s="72"/>
      <c r="H517" s="72"/>
      <c r="P517" s="72"/>
      <c r="Q517" s="72"/>
      <c r="R517" s="72"/>
      <c r="S517" s="72"/>
      <c r="T517" s="72"/>
      <c r="U517" s="72"/>
      <c r="V517" s="72"/>
      <c r="W517" s="72"/>
      <c r="X517" s="72"/>
      <c r="Y517" s="72"/>
      <c r="Z517" s="72"/>
      <c r="AA517" s="72"/>
      <c r="AF517" s="72"/>
      <c r="AG517" s="72"/>
      <c r="AH517" s="72"/>
    </row>
    <row r="518" spans="2:34">
      <c r="B518" s="72" t="s">
        <v>1972</v>
      </c>
      <c r="P518" s="72"/>
      <c r="Q518" s="72"/>
      <c r="R518" s="72"/>
      <c r="S518" s="72"/>
      <c r="T518" s="72"/>
      <c r="U518" s="72"/>
      <c r="V518" s="72"/>
      <c r="W518" s="72"/>
      <c r="X518" s="72"/>
      <c r="Y518" s="72"/>
      <c r="Z518" s="72"/>
      <c r="AA518" s="72"/>
      <c r="AF518" s="72"/>
      <c r="AG518" s="72"/>
      <c r="AH518" s="72"/>
    </row>
    <row r="519" spans="2:34">
      <c r="B519" s="72" t="s">
        <v>1971</v>
      </c>
      <c r="P519" s="72"/>
      <c r="Q519" s="72"/>
      <c r="R519" s="72"/>
      <c r="S519" s="72"/>
      <c r="T519" s="72"/>
      <c r="U519" s="72"/>
      <c r="V519" s="72"/>
      <c r="W519" s="72"/>
      <c r="X519" s="72"/>
      <c r="Y519" s="72"/>
      <c r="Z519" s="72"/>
      <c r="AA519" s="72"/>
      <c r="AF519" s="72"/>
      <c r="AG519" s="72"/>
      <c r="AH519" s="72"/>
    </row>
    <row r="520" spans="2:34">
      <c r="B520" s="72" t="s">
        <v>1970</v>
      </c>
      <c r="P520" s="72"/>
      <c r="Q520" s="72"/>
      <c r="R520" s="72"/>
      <c r="S520" s="72"/>
      <c r="T520" s="72"/>
      <c r="U520" s="72"/>
      <c r="V520" s="72"/>
      <c r="W520" s="72"/>
      <c r="X520" s="72"/>
      <c r="Y520" s="72"/>
      <c r="Z520" s="72"/>
      <c r="AA520" s="72"/>
      <c r="AF520" s="72"/>
      <c r="AG520" s="72"/>
      <c r="AH520" s="72"/>
    </row>
    <row r="521" spans="2:34">
      <c r="B521" s="72" t="s">
        <v>1969</v>
      </c>
      <c r="P521" s="72"/>
      <c r="Q521" s="72"/>
      <c r="R521" s="72"/>
      <c r="S521" s="72"/>
      <c r="T521" s="72"/>
      <c r="U521" s="72"/>
      <c r="V521" s="72"/>
      <c r="W521" s="72"/>
      <c r="X521" s="72"/>
      <c r="Y521" s="72"/>
      <c r="Z521" s="72"/>
      <c r="AA521" s="72"/>
      <c r="AF521" s="72"/>
      <c r="AG521" s="72"/>
      <c r="AH521" s="72"/>
    </row>
    <row r="522" spans="2:34">
      <c r="B522" s="72" t="s">
        <v>1968</v>
      </c>
      <c r="P522" s="72"/>
      <c r="Q522" s="72"/>
      <c r="R522" s="72"/>
      <c r="S522" s="72"/>
      <c r="T522" s="72"/>
      <c r="U522" s="72"/>
      <c r="V522" s="72"/>
      <c r="W522" s="72"/>
      <c r="X522" s="72"/>
      <c r="Y522" s="72"/>
      <c r="Z522" s="72"/>
      <c r="AA522" s="72"/>
      <c r="AF522" s="72"/>
      <c r="AG522" s="72"/>
      <c r="AH522" s="72"/>
    </row>
    <row r="523" spans="2:34">
      <c r="B523" s="72" t="s">
        <v>1967</v>
      </c>
      <c r="P523" s="72"/>
      <c r="Q523" s="72"/>
      <c r="R523" s="72"/>
      <c r="S523" s="72"/>
      <c r="T523" s="72"/>
      <c r="U523" s="72"/>
      <c r="V523" s="72"/>
      <c r="W523" s="72"/>
      <c r="X523" s="72"/>
      <c r="Y523" s="72"/>
      <c r="Z523" s="72"/>
      <c r="AA523" s="72"/>
      <c r="AF523" s="72"/>
      <c r="AG523" s="72"/>
      <c r="AH523" s="72"/>
    </row>
    <row r="524" spans="2:34">
      <c r="B524" s="72" t="s">
        <v>1965</v>
      </c>
      <c r="P524" s="72"/>
      <c r="Q524" s="72"/>
      <c r="R524" s="72"/>
      <c r="S524" s="72"/>
      <c r="T524" s="72"/>
      <c r="U524" s="72"/>
      <c r="V524" s="72"/>
      <c r="W524" s="72"/>
      <c r="X524" s="72"/>
      <c r="Y524" s="72"/>
      <c r="Z524" s="72"/>
      <c r="AA524" s="72"/>
      <c r="AF524" s="72"/>
      <c r="AG524" s="72"/>
      <c r="AH524" s="72"/>
    </row>
    <row r="525" spans="2:34">
      <c r="B525" s="72" t="s">
        <v>1964</v>
      </c>
      <c r="P525" s="72"/>
      <c r="Q525" s="72"/>
      <c r="R525" s="72"/>
      <c r="S525" s="72"/>
      <c r="T525" s="72"/>
      <c r="U525" s="72"/>
      <c r="V525" s="72"/>
      <c r="W525" s="72"/>
      <c r="X525" s="72"/>
      <c r="Y525" s="72"/>
      <c r="Z525" s="72"/>
      <c r="AA525" s="72"/>
      <c r="AF525" s="72"/>
      <c r="AG525" s="72"/>
      <c r="AH525" s="72"/>
    </row>
    <row r="526" spans="2:34">
      <c r="B526" s="72" t="s">
        <v>1963</v>
      </c>
      <c r="P526" s="72"/>
      <c r="Q526" s="72"/>
      <c r="R526" s="72"/>
      <c r="S526" s="72"/>
      <c r="T526" s="72"/>
      <c r="U526" s="72"/>
      <c r="V526" s="72"/>
      <c r="W526" s="72"/>
      <c r="X526" s="72"/>
      <c r="Y526" s="72"/>
      <c r="Z526" s="72"/>
      <c r="AA526" s="72"/>
      <c r="AF526" s="72"/>
      <c r="AG526" s="72"/>
      <c r="AH526" s="72"/>
    </row>
    <row r="527" spans="2:34">
      <c r="B527" s="72" t="s">
        <v>1962</v>
      </c>
      <c r="P527" s="72"/>
      <c r="Q527" s="72"/>
      <c r="R527" s="72"/>
      <c r="S527" s="72"/>
      <c r="T527" s="72"/>
      <c r="U527" s="72"/>
      <c r="V527" s="72"/>
      <c r="W527" s="72"/>
      <c r="X527" s="72"/>
      <c r="Y527" s="72"/>
      <c r="Z527" s="72"/>
      <c r="AA527" s="72"/>
      <c r="AF527" s="72"/>
      <c r="AG527" s="72"/>
      <c r="AH527" s="72"/>
    </row>
    <row r="528" spans="2:34">
      <c r="B528" s="72" t="s">
        <v>1961</v>
      </c>
      <c r="P528" s="72"/>
      <c r="Q528" s="72"/>
      <c r="R528" s="72"/>
      <c r="S528" s="72"/>
      <c r="T528" s="72"/>
      <c r="U528" s="72"/>
      <c r="V528" s="72"/>
      <c r="W528" s="72"/>
      <c r="X528" s="72"/>
      <c r="Y528" s="72"/>
      <c r="Z528" s="72"/>
      <c r="AA528" s="72"/>
      <c r="AF528" s="72"/>
      <c r="AG528" s="72"/>
      <c r="AH528" s="72"/>
    </row>
    <row r="529" spans="2:34">
      <c r="B529" s="72" t="s">
        <v>1960</v>
      </c>
      <c r="P529" s="72"/>
      <c r="Q529" s="72"/>
      <c r="R529" s="72"/>
      <c r="S529" s="72"/>
      <c r="T529" s="72"/>
      <c r="U529" s="72"/>
      <c r="V529" s="72"/>
      <c r="W529" s="72"/>
      <c r="X529" s="72"/>
      <c r="Y529" s="72"/>
      <c r="Z529" s="72"/>
      <c r="AA529" s="72"/>
      <c r="AF529" s="72"/>
      <c r="AG529" s="72"/>
      <c r="AH529" s="72"/>
    </row>
    <row r="530" spans="2:34">
      <c r="B530" s="72" t="s">
        <v>1959</v>
      </c>
      <c r="P530" s="72"/>
      <c r="Q530" s="72"/>
      <c r="R530" s="72"/>
      <c r="S530" s="72"/>
      <c r="T530" s="72"/>
      <c r="U530" s="72"/>
      <c r="V530" s="72"/>
      <c r="W530" s="72"/>
      <c r="X530" s="72"/>
      <c r="Y530" s="72"/>
      <c r="Z530" s="72"/>
      <c r="AA530" s="72"/>
      <c r="AF530" s="72"/>
      <c r="AG530" s="72"/>
      <c r="AH530" s="72"/>
    </row>
    <row r="531" spans="2:34">
      <c r="B531" s="72" t="s">
        <v>1958</v>
      </c>
      <c r="P531" s="72"/>
      <c r="Q531" s="72"/>
      <c r="R531" s="72"/>
      <c r="S531" s="72"/>
      <c r="T531" s="72"/>
      <c r="U531" s="72"/>
      <c r="V531" s="72"/>
      <c r="W531" s="72"/>
      <c r="X531" s="72"/>
      <c r="Y531" s="72"/>
      <c r="Z531" s="72"/>
      <c r="AA531" s="72"/>
      <c r="AF531" s="72"/>
      <c r="AG531" s="72"/>
      <c r="AH531" s="72"/>
    </row>
    <row r="532" spans="2:34">
      <c r="B532" s="72" t="s">
        <v>1957</v>
      </c>
      <c r="P532" s="72"/>
      <c r="Q532" s="72"/>
      <c r="R532" s="72"/>
      <c r="S532" s="72"/>
      <c r="T532" s="72"/>
      <c r="U532" s="72"/>
      <c r="V532" s="72"/>
      <c r="W532" s="72"/>
      <c r="X532" s="72"/>
      <c r="Y532" s="72"/>
      <c r="Z532" s="72"/>
      <c r="AA532" s="72"/>
      <c r="AF532" s="72"/>
      <c r="AG532" s="72"/>
      <c r="AH532" s="72"/>
    </row>
    <row r="533" spans="2:34">
      <c r="B533" s="72" t="s">
        <v>1956</v>
      </c>
      <c r="P533" s="72"/>
      <c r="Q533" s="72"/>
      <c r="R533" s="72"/>
      <c r="S533" s="72"/>
      <c r="T533" s="72"/>
      <c r="U533" s="72"/>
      <c r="V533" s="72"/>
      <c r="W533" s="72"/>
      <c r="X533" s="72"/>
      <c r="Y533" s="72"/>
      <c r="Z533" s="72"/>
      <c r="AA533" s="72"/>
      <c r="AF533" s="72"/>
      <c r="AG533" s="72"/>
      <c r="AH533" s="72"/>
    </row>
    <row r="534" spans="2:34">
      <c r="B534" s="72" t="s">
        <v>1955</v>
      </c>
      <c r="P534" s="72"/>
      <c r="Q534" s="72"/>
      <c r="R534" s="72"/>
      <c r="S534" s="72"/>
      <c r="T534" s="72"/>
      <c r="U534" s="72"/>
      <c r="V534" s="72"/>
      <c r="W534" s="72"/>
      <c r="X534" s="72"/>
      <c r="Y534" s="72"/>
      <c r="Z534" s="72"/>
      <c r="AA534" s="72"/>
      <c r="AF534" s="72"/>
      <c r="AG534" s="72"/>
      <c r="AH534" s="72"/>
    </row>
    <row r="535" spans="2:34">
      <c r="B535" s="72" t="s">
        <v>1954</v>
      </c>
      <c r="P535" s="72"/>
      <c r="Q535" s="72"/>
      <c r="R535" s="72"/>
      <c r="S535" s="72"/>
      <c r="T535" s="72"/>
      <c r="U535" s="72"/>
      <c r="V535" s="72"/>
      <c r="W535" s="72"/>
      <c r="X535" s="72"/>
      <c r="Y535" s="72"/>
      <c r="Z535" s="72"/>
      <c r="AA535" s="72"/>
      <c r="AF535" s="72"/>
      <c r="AG535" s="72"/>
      <c r="AH535" s="72"/>
    </row>
    <row r="536" spans="2:34">
      <c r="B536" s="72" t="s">
        <v>1953</v>
      </c>
      <c r="P536" s="72"/>
      <c r="Q536" s="72"/>
      <c r="R536" s="72"/>
      <c r="S536" s="72"/>
      <c r="T536" s="72"/>
      <c r="U536" s="72"/>
      <c r="V536" s="72"/>
      <c r="W536" s="72"/>
      <c r="X536" s="72"/>
      <c r="Y536" s="72"/>
      <c r="Z536" s="72"/>
      <c r="AA536" s="72"/>
      <c r="AF536" s="72"/>
      <c r="AG536" s="72"/>
      <c r="AH536" s="72"/>
    </row>
    <row r="537" spans="2:34">
      <c r="B537" s="72" t="s">
        <v>1952</v>
      </c>
      <c r="N537" s="72" t="s">
        <v>1900</v>
      </c>
      <c r="P537" s="72"/>
      <c r="Q537" s="72"/>
      <c r="R537" s="72"/>
      <c r="S537" s="72"/>
      <c r="T537" s="72"/>
      <c r="U537" s="72"/>
      <c r="V537" s="72"/>
      <c r="W537" s="72"/>
      <c r="X537" s="72"/>
      <c r="Y537" s="72"/>
      <c r="Z537" s="72"/>
      <c r="AA537" s="72"/>
      <c r="AF537" s="72"/>
      <c r="AG537" s="72"/>
      <c r="AH537" s="72"/>
    </row>
    <row r="538" spans="2:34">
      <c r="B538" s="72" t="s">
        <v>1951</v>
      </c>
      <c r="P538" s="72"/>
      <c r="Q538" s="72"/>
      <c r="R538" s="72"/>
      <c r="S538" s="72"/>
      <c r="T538" s="72"/>
      <c r="U538" s="72"/>
      <c r="V538" s="72"/>
      <c r="W538" s="72"/>
      <c r="X538" s="72"/>
      <c r="Y538" s="72"/>
      <c r="Z538" s="72"/>
      <c r="AA538" s="72"/>
      <c r="AF538" s="72"/>
      <c r="AG538" s="72"/>
      <c r="AH538" s="72"/>
    </row>
    <row r="539" spans="2:34">
      <c r="B539" s="72" t="s">
        <v>1950</v>
      </c>
      <c r="P539" s="72"/>
      <c r="Q539" s="72"/>
      <c r="R539" s="72"/>
      <c r="S539" s="72"/>
      <c r="T539" s="72"/>
      <c r="U539" s="72"/>
      <c r="V539" s="72"/>
      <c r="W539" s="72"/>
      <c r="X539" s="72"/>
      <c r="Y539" s="72"/>
      <c r="Z539" s="72"/>
      <c r="AA539" s="72"/>
      <c r="AF539" s="72"/>
      <c r="AG539" s="72"/>
      <c r="AH539" s="72"/>
    </row>
    <row r="540" spans="2:34">
      <c r="B540" s="72" t="s">
        <v>1949</v>
      </c>
      <c r="P540" s="72"/>
      <c r="Q540" s="72"/>
      <c r="R540" s="72"/>
      <c r="S540" s="72"/>
      <c r="T540" s="72"/>
      <c r="U540" s="72"/>
      <c r="V540" s="72"/>
      <c r="W540" s="72"/>
      <c r="X540" s="72"/>
      <c r="Y540" s="72"/>
      <c r="Z540" s="72"/>
      <c r="AA540" s="72"/>
      <c r="AF540" s="72"/>
      <c r="AG540" s="72"/>
      <c r="AH540" s="72"/>
    </row>
    <row r="541" spans="2:34">
      <c r="B541" s="72" t="s">
        <v>1948</v>
      </c>
      <c r="P541" s="72"/>
      <c r="Q541" s="72"/>
      <c r="R541" s="72"/>
      <c r="S541" s="72"/>
      <c r="T541" s="72"/>
      <c r="U541" s="72"/>
      <c r="V541" s="72"/>
      <c r="W541" s="72"/>
      <c r="X541" s="72"/>
      <c r="Y541" s="72"/>
      <c r="Z541" s="72"/>
      <c r="AA541" s="72"/>
      <c r="AF541" s="72"/>
      <c r="AG541" s="72"/>
      <c r="AH541" s="72"/>
    </row>
    <row r="542" spans="2:34">
      <c r="B542" s="72" t="s">
        <v>1947</v>
      </c>
      <c r="P542" s="72"/>
      <c r="Q542" s="72"/>
      <c r="R542" s="72"/>
      <c r="S542" s="72"/>
      <c r="T542" s="72"/>
      <c r="U542" s="72"/>
      <c r="V542" s="72"/>
      <c r="W542" s="72"/>
      <c r="X542" s="72"/>
      <c r="Y542" s="72"/>
      <c r="Z542" s="72"/>
      <c r="AA542" s="72"/>
      <c r="AF542" s="72"/>
      <c r="AG542" s="72"/>
      <c r="AH542" s="72"/>
    </row>
    <row r="543" spans="2:34">
      <c r="B543" s="72" t="s">
        <v>1946</v>
      </c>
      <c r="P543" s="72"/>
      <c r="Q543" s="72"/>
      <c r="R543" s="72"/>
      <c r="S543" s="72"/>
      <c r="T543" s="72"/>
      <c r="U543" s="72"/>
      <c r="V543" s="72"/>
      <c r="W543" s="72"/>
      <c r="X543" s="72"/>
      <c r="Y543" s="72"/>
      <c r="Z543" s="72"/>
      <c r="AA543" s="72"/>
      <c r="AF543" s="72"/>
      <c r="AG543" s="72"/>
      <c r="AH543" s="72"/>
    </row>
    <row r="544" spans="2:34">
      <c r="B544" s="72" t="s">
        <v>1945</v>
      </c>
      <c r="P544" s="72"/>
      <c r="Q544" s="72"/>
      <c r="R544" s="72"/>
      <c r="S544" s="72"/>
      <c r="T544" s="72"/>
      <c r="U544" s="72"/>
      <c r="V544" s="72"/>
      <c r="W544" s="72"/>
      <c r="X544" s="72"/>
      <c r="Y544" s="72"/>
      <c r="Z544" s="72"/>
      <c r="AA544" s="72"/>
      <c r="AF544" s="72"/>
      <c r="AG544" s="72"/>
      <c r="AH544" s="72"/>
    </row>
    <row r="545" spans="2:34">
      <c r="B545" s="72" t="s">
        <v>1944</v>
      </c>
      <c r="P545" s="72"/>
      <c r="Q545" s="72"/>
      <c r="R545" s="72"/>
      <c r="S545" s="72"/>
      <c r="T545" s="72"/>
      <c r="U545" s="72"/>
      <c r="V545" s="72"/>
      <c r="W545" s="72"/>
      <c r="X545" s="72"/>
      <c r="Y545" s="72"/>
      <c r="Z545" s="72"/>
      <c r="AA545" s="72"/>
      <c r="AF545" s="72"/>
      <c r="AG545" s="72"/>
      <c r="AH545" s="72"/>
    </row>
    <row r="546" spans="2:34">
      <c r="B546" s="72" t="s">
        <v>1943</v>
      </c>
      <c r="P546" s="72"/>
      <c r="Q546" s="72"/>
      <c r="R546" s="72"/>
      <c r="S546" s="72"/>
      <c r="T546" s="72"/>
      <c r="U546" s="72"/>
      <c r="V546" s="72"/>
      <c r="W546" s="72"/>
      <c r="X546" s="72"/>
      <c r="Y546" s="72"/>
      <c r="Z546" s="72"/>
      <c r="AA546" s="72"/>
      <c r="AF546" s="72"/>
      <c r="AG546" s="72"/>
      <c r="AH546" s="72"/>
    </row>
    <row r="547" spans="2:34">
      <c r="B547" s="72" t="s">
        <v>1942</v>
      </c>
      <c r="P547" s="72"/>
      <c r="Q547" s="72"/>
      <c r="R547" s="72"/>
      <c r="S547" s="72"/>
      <c r="T547" s="72"/>
      <c r="U547" s="72"/>
      <c r="V547" s="72"/>
      <c r="W547" s="72"/>
      <c r="X547" s="72"/>
      <c r="Y547" s="72"/>
      <c r="Z547" s="72"/>
      <c r="AA547" s="72"/>
      <c r="AF547" s="72"/>
      <c r="AG547" s="72"/>
      <c r="AH547" s="72"/>
    </row>
    <row r="548" spans="2:34">
      <c r="B548" s="72" t="s">
        <v>1243</v>
      </c>
      <c r="P548" s="72"/>
      <c r="Q548" s="72"/>
      <c r="R548" s="72"/>
      <c r="S548" s="72"/>
      <c r="T548" s="72"/>
      <c r="U548" s="72"/>
      <c r="V548" s="72"/>
      <c r="W548" s="72"/>
      <c r="X548" s="72"/>
      <c r="Y548" s="72"/>
      <c r="Z548" s="72"/>
      <c r="AA548" s="72"/>
      <c r="AF548" s="72"/>
      <c r="AG548" s="72"/>
      <c r="AH548" s="72"/>
    </row>
    <row r="549" spans="2:34">
      <c r="B549" s="72" t="s">
        <v>1941</v>
      </c>
      <c r="P549" s="72"/>
      <c r="Q549" s="72"/>
      <c r="R549" s="72"/>
      <c r="S549" s="72"/>
      <c r="T549" s="72"/>
      <c r="U549" s="72"/>
      <c r="V549" s="72"/>
      <c r="W549" s="72"/>
      <c r="X549" s="72"/>
      <c r="Y549" s="72"/>
      <c r="Z549" s="72"/>
      <c r="AA549" s="72"/>
      <c r="AF549" s="72"/>
      <c r="AG549" s="72"/>
      <c r="AH549" s="72"/>
    </row>
    <row r="550" spans="2:34">
      <c r="B550" s="72" t="s">
        <v>1940</v>
      </c>
      <c r="P550" s="72"/>
      <c r="Q550" s="72"/>
      <c r="R550" s="72"/>
      <c r="S550" s="72"/>
      <c r="T550" s="72"/>
      <c r="U550" s="72"/>
      <c r="V550" s="72"/>
      <c r="W550" s="72"/>
      <c r="X550" s="72"/>
      <c r="Y550" s="72"/>
      <c r="Z550" s="72"/>
      <c r="AA550" s="72"/>
      <c r="AF550" s="72"/>
      <c r="AG550" s="72"/>
      <c r="AH550" s="72"/>
    </row>
    <row r="551" spans="2:34">
      <c r="B551" s="72" t="s">
        <v>1939</v>
      </c>
      <c r="P551" s="72"/>
      <c r="Q551" s="72"/>
      <c r="R551" s="72"/>
      <c r="S551" s="72"/>
      <c r="T551" s="72"/>
      <c r="U551" s="72"/>
      <c r="V551" s="72"/>
      <c r="W551" s="72"/>
      <c r="X551" s="72"/>
      <c r="Y551" s="72"/>
      <c r="Z551" s="72"/>
      <c r="AA551" s="72"/>
      <c r="AF551" s="72"/>
      <c r="AG551" s="72"/>
      <c r="AH551" s="72"/>
    </row>
    <row r="552" spans="2:34">
      <c r="B552" s="72" t="s">
        <v>1938</v>
      </c>
      <c r="P552" s="72"/>
      <c r="Q552" s="72"/>
      <c r="R552" s="72"/>
      <c r="S552" s="72"/>
      <c r="T552" s="72"/>
      <c r="U552" s="72"/>
      <c r="V552" s="72"/>
      <c r="W552" s="72"/>
      <c r="X552" s="72"/>
      <c r="Y552" s="72"/>
      <c r="Z552" s="72"/>
      <c r="AA552" s="72"/>
      <c r="AF552" s="72"/>
      <c r="AG552" s="72"/>
      <c r="AH552" s="72"/>
    </row>
    <row r="553" spans="2:34">
      <c r="B553" s="72" t="s">
        <v>1937</v>
      </c>
      <c r="P553" s="72"/>
      <c r="Q553" s="72"/>
      <c r="R553" s="72"/>
      <c r="S553" s="72"/>
      <c r="T553" s="72"/>
      <c r="U553" s="72"/>
      <c r="V553" s="72"/>
      <c r="W553" s="72"/>
      <c r="X553" s="72"/>
      <c r="Y553" s="72"/>
      <c r="Z553" s="72"/>
      <c r="AA553" s="72"/>
      <c r="AF553" s="72"/>
      <c r="AG553" s="72"/>
      <c r="AH553" s="72"/>
    </row>
    <row r="554" spans="2:34">
      <c r="B554" s="72" t="s">
        <v>1936</v>
      </c>
      <c r="P554" s="72"/>
      <c r="Q554" s="72"/>
      <c r="R554" s="72"/>
      <c r="S554" s="72"/>
      <c r="T554" s="72"/>
      <c r="U554" s="72"/>
      <c r="V554" s="72"/>
      <c r="W554" s="72"/>
      <c r="X554" s="72"/>
      <c r="Y554" s="72"/>
      <c r="Z554" s="72"/>
      <c r="AA554" s="72"/>
      <c r="AF554" s="72"/>
      <c r="AG554" s="72"/>
      <c r="AH554" s="72"/>
    </row>
    <row r="555" spans="2:34">
      <c r="B555" s="72" t="s">
        <v>1935</v>
      </c>
      <c r="P555" s="72"/>
      <c r="Q555" s="72"/>
      <c r="R555" s="72"/>
      <c r="S555" s="72"/>
      <c r="T555" s="72"/>
      <c r="U555" s="72"/>
      <c r="V555" s="72"/>
      <c r="W555" s="72"/>
      <c r="X555" s="72"/>
      <c r="Y555" s="72"/>
      <c r="Z555" s="72"/>
      <c r="AA555" s="72"/>
      <c r="AF555" s="72"/>
      <c r="AG555" s="72"/>
      <c r="AH555" s="72"/>
    </row>
    <row r="556" spans="2:34">
      <c r="B556" s="72" t="s">
        <v>1934</v>
      </c>
      <c r="P556" s="72"/>
      <c r="Q556" s="72"/>
      <c r="R556" s="72"/>
      <c r="S556" s="72"/>
      <c r="T556" s="72"/>
      <c r="U556" s="72"/>
      <c r="V556" s="72"/>
      <c r="W556" s="72"/>
      <c r="X556" s="72"/>
      <c r="Y556" s="72"/>
      <c r="Z556" s="72"/>
      <c r="AA556" s="72"/>
      <c r="AF556" s="72"/>
      <c r="AG556" s="72"/>
      <c r="AH556" s="72"/>
    </row>
    <row r="557" spans="2:34">
      <c r="B557" s="72" t="s">
        <v>1247</v>
      </c>
      <c r="P557" s="72"/>
      <c r="Q557" s="72"/>
      <c r="R557" s="72"/>
      <c r="S557" s="72"/>
      <c r="T557" s="72"/>
      <c r="U557" s="72"/>
      <c r="V557" s="72"/>
      <c r="W557" s="72"/>
      <c r="X557" s="72"/>
      <c r="Y557" s="72"/>
      <c r="Z557" s="72"/>
      <c r="AA557" s="72"/>
      <c r="AF557" s="72"/>
      <c r="AG557" s="72"/>
      <c r="AH557" s="72"/>
    </row>
    <row r="558" spans="2:34">
      <c r="B558" s="72" t="s">
        <v>1933</v>
      </c>
      <c r="P558" s="72"/>
      <c r="Q558" s="72"/>
      <c r="R558" s="72"/>
      <c r="S558" s="72"/>
      <c r="T558" s="72"/>
      <c r="U558" s="72"/>
      <c r="V558" s="72"/>
      <c r="W558" s="72"/>
      <c r="X558" s="72"/>
      <c r="Y558" s="72"/>
      <c r="Z558" s="72"/>
      <c r="AA558" s="72"/>
      <c r="AF558" s="72"/>
      <c r="AG558" s="72"/>
      <c r="AH558" s="72"/>
    </row>
    <row r="559" spans="2:34">
      <c r="B559" s="72" t="s">
        <v>1932</v>
      </c>
      <c r="P559" s="72"/>
      <c r="Q559" s="72"/>
      <c r="R559" s="72"/>
      <c r="S559" s="72"/>
      <c r="T559" s="72"/>
      <c r="U559" s="72"/>
      <c r="V559" s="72"/>
      <c r="W559" s="72"/>
      <c r="X559" s="72"/>
      <c r="Y559" s="72"/>
      <c r="Z559" s="72"/>
      <c r="AA559" s="72"/>
      <c r="AF559" s="72"/>
      <c r="AG559" s="72"/>
      <c r="AH559" s="72"/>
    </row>
    <row r="560" spans="2:34">
      <c r="B560" s="72" t="s">
        <v>1931</v>
      </c>
      <c r="N560" s="72" t="s">
        <v>1900</v>
      </c>
      <c r="P560" s="72"/>
      <c r="Q560" s="72"/>
      <c r="R560" s="72"/>
      <c r="S560" s="72"/>
      <c r="T560" s="72"/>
      <c r="U560" s="72"/>
      <c r="V560" s="72"/>
      <c r="W560" s="72"/>
      <c r="X560" s="72"/>
      <c r="Y560" s="72"/>
      <c r="Z560" s="72"/>
      <c r="AA560" s="72"/>
      <c r="AF560" s="72"/>
      <c r="AG560" s="72"/>
      <c r="AH560" s="72"/>
    </row>
    <row r="561" spans="2:34">
      <c r="B561" s="72" t="s">
        <v>1930</v>
      </c>
      <c r="P561" s="72"/>
      <c r="Q561" s="72"/>
      <c r="R561" s="72"/>
      <c r="S561" s="72"/>
      <c r="T561" s="72"/>
      <c r="U561" s="72"/>
      <c r="V561" s="72"/>
      <c r="W561" s="72"/>
      <c r="X561" s="72"/>
      <c r="Y561" s="72"/>
      <c r="Z561" s="72"/>
      <c r="AA561" s="72"/>
      <c r="AF561" s="72"/>
      <c r="AG561" s="72"/>
      <c r="AH561" s="72"/>
    </row>
    <row r="562" spans="2:34">
      <c r="B562" s="72" t="s">
        <v>1929</v>
      </c>
      <c r="N562" s="72" t="s">
        <v>1900</v>
      </c>
      <c r="P562" s="72"/>
      <c r="Q562" s="72"/>
      <c r="R562" s="72"/>
      <c r="S562" s="72"/>
      <c r="T562" s="72"/>
      <c r="U562" s="72"/>
      <c r="V562" s="72"/>
      <c r="W562" s="72"/>
      <c r="X562" s="72"/>
      <c r="Y562" s="72"/>
      <c r="Z562" s="72"/>
      <c r="AA562" s="72"/>
      <c r="AF562" s="72"/>
      <c r="AG562" s="72"/>
      <c r="AH562" s="72"/>
    </row>
    <row r="563" spans="2:34">
      <c r="B563" s="72" t="s">
        <v>1928</v>
      </c>
      <c r="P563" s="72"/>
      <c r="Q563" s="72"/>
      <c r="R563" s="72"/>
      <c r="S563" s="72"/>
      <c r="T563" s="72"/>
      <c r="U563" s="72"/>
      <c r="V563" s="72"/>
      <c r="W563" s="72"/>
      <c r="X563" s="72"/>
      <c r="Y563" s="72"/>
      <c r="Z563" s="72"/>
      <c r="AA563" s="72"/>
      <c r="AF563" s="72"/>
      <c r="AG563" s="72"/>
      <c r="AH563" s="72"/>
    </row>
    <row r="564" spans="2:34">
      <c r="B564" s="72" t="s">
        <v>1927</v>
      </c>
      <c r="P564" s="72"/>
      <c r="Q564" s="72"/>
      <c r="R564" s="72"/>
      <c r="S564" s="72"/>
      <c r="T564" s="72"/>
      <c r="U564" s="72"/>
      <c r="V564" s="72"/>
      <c r="W564" s="72"/>
      <c r="X564" s="72"/>
      <c r="Y564" s="72"/>
      <c r="Z564" s="72"/>
      <c r="AA564" s="72"/>
      <c r="AF564" s="72"/>
      <c r="AG564" s="72"/>
      <c r="AH564" s="72"/>
    </row>
    <row r="565" spans="2:34">
      <c r="B565" s="72" t="s">
        <v>1926</v>
      </c>
      <c r="P565" s="72"/>
      <c r="Q565" s="72"/>
      <c r="R565" s="72"/>
      <c r="S565" s="72"/>
      <c r="T565" s="72"/>
      <c r="U565" s="72"/>
      <c r="V565" s="72"/>
      <c r="W565" s="72"/>
      <c r="X565" s="72"/>
      <c r="Y565" s="72"/>
      <c r="Z565" s="72"/>
      <c r="AA565" s="72"/>
      <c r="AF565" s="72"/>
      <c r="AG565" s="72"/>
      <c r="AH565" s="72"/>
    </row>
    <row r="566" spans="2:34">
      <c r="B566" s="72" t="s">
        <v>1925</v>
      </c>
      <c r="P566" s="72"/>
      <c r="Q566" s="72"/>
      <c r="R566" s="72"/>
      <c r="S566" s="72"/>
      <c r="T566" s="72"/>
      <c r="U566" s="72"/>
      <c r="V566" s="72"/>
      <c r="W566" s="72"/>
      <c r="X566" s="72"/>
      <c r="Y566" s="72"/>
      <c r="Z566" s="72"/>
      <c r="AA566" s="72"/>
      <c r="AF566" s="72"/>
      <c r="AG566" s="72"/>
      <c r="AH566" s="72"/>
    </row>
    <row r="567" spans="2:34">
      <c r="B567" s="72" t="s">
        <v>1287</v>
      </c>
      <c r="P567" s="72"/>
      <c r="Q567" s="72"/>
      <c r="R567" s="72"/>
      <c r="S567" s="72"/>
      <c r="T567" s="72"/>
      <c r="U567" s="72"/>
      <c r="V567" s="72"/>
      <c r="W567" s="72"/>
      <c r="X567" s="72"/>
      <c r="Y567" s="72"/>
      <c r="Z567" s="72"/>
      <c r="AA567" s="72"/>
      <c r="AF567" s="72"/>
      <c r="AG567" s="72"/>
      <c r="AH567" s="72"/>
    </row>
    <row r="568" spans="2:34">
      <c r="B568" s="72" t="s">
        <v>1924</v>
      </c>
      <c r="P568" s="72"/>
      <c r="Q568" s="72"/>
      <c r="R568" s="72"/>
      <c r="S568" s="72"/>
      <c r="T568" s="72"/>
      <c r="U568" s="72"/>
      <c r="V568" s="72"/>
      <c r="W568" s="72"/>
      <c r="X568" s="72"/>
      <c r="Y568" s="72"/>
      <c r="Z568" s="72"/>
      <c r="AA568" s="72"/>
      <c r="AF568" s="72"/>
      <c r="AG568" s="72"/>
      <c r="AH568" s="72"/>
    </row>
    <row r="569" spans="2:34">
      <c r="B569" s="72" t="s">
        <v>1923</v>
      </c>
      <c r="P569" s="72"/>
      <c r="Q569" s="72"/>
      <c r="R569" s="72"/>
      <c r="S569" s="72"/>
      <c r="T569" s="72"/>
      <c r="U569" s="72"/>
      <c r="V569" s="72"/>
      <c r="W569" s="72"/>
      <c r="X569" s="72"/>
      <c r="Y569" s="72"/>
      <c r="Z569" s="72"/>
      <c r="AA569" s="72"/>
      <c r="AF569" s="72"/>
      <c r="AG569" s="72"/>
      <c r="AH569" s="72"/>
    </row>
    <row r="570" spans="2:34">
      <c r="B570" s="72" t="s">
        <v>1922</v>
      </c>
      <c r="P570" s="72"/>
      <c r="Q570" s="72"/>
      <c r="R570" s="72"/>
      <c r="S570" s="72"/>
      <c r="T570" s="72"/>
      <c r="U570" s="72"/>
      <c r="V570" s="72"/>
      <c r="W570" s="72"/>
      <c r="X570" s="72"/>
      <c r="Y570" s="72"/>
      <c r="Z570" s="72"/>
      <c r="AA570" s="72"/>
      <c r="AF570" s="72"/>
      <c r="AG570" s="72"/>
      <c r="AH570" s="72"/>
    </row>
    <row r="571" spans="2:34">
      <c r="B571" s="72" t="s">
        <v>1921</v>
      </c>
      <c r="P571" s="72"/>
      <c r="Q571" s="72"/>
      <c r="R571" s="72"/>
      <c r="S571" s="72"/>
      <c r="T571" s="72"/>
      <c r="U571" s="72"/>
      <c r="V571" s="72"/>
      <c r="W571" s="72"/>
      <c r="X571" s="72"/>
      <c r="Y571" s="72"/>
      <c r="Z571" s="72"/>
      <c r="AA571" s="72"/>
      <c r="AF571" s="72"/>
      <c r="AG571" s="72"/>
      <c r="AH571" s="72"/>
    </row>
    <row r="572" spans="2:34">
      <c r="B572" s="72" t="s">
        <v>1920</v>
      </c>
      <c r="P572" s="72"/>
      <c r="Q572" s="72"/>
      <c r="R572" s="72"/>
      <c r="S572" s="72"/>
      <c r="T572" s="72"/>
      <c r="U572" s="72"/>
      <c r="V572" s="72"/>
      <c r="W572" s="72"/>
      <c r="X572" s="72"/>
      <c r="Y572" s="72"/>
      <c r="Z572" s="72"/>
      <c r="AA572" s="72"/>
      <c r="AF572" s="72"/>
      <c r="AG572" s="72"/>
      <c r="AH572" s="72"/>
    </row>
    <row r="573" spans="2:34">
      <c r="B573" s="72" t="s">
        <v>1919</v>
      </c>
      <c r="P573" s="72"/>
      <c r="Q573" s="72"/>
      <c r="R573" s="72"/>
      <c r="S573" s="72"/>
      <c r="T573" s="72"/>
      <c r="U573" s="72"/>
      <c r="V573" s="72"/>
      <c r="W573" s="72"/>
      <c r="X573" s="72"/>
      <c r="Y573" s="72"/>
      <c r="Z573" s="72"/>
      <c r="AA573" s="72"/>
      <c r="AF573" s="72"/>
      <c r="AG573" s="72"/>
      <c r="AH573" s="72"/>
    </row>
    <row r="574" spans="2:34">
      <c r="B574" s="72" t="s">
        <v>1918</v>
      </c>
      <c r="N574" s="72" t="s">
        <v>1900</v>
      </c>
      <c r="P574" s="72"/>
      <c r="Q574" s="72"/>
      <c r="R574" s="72"/>
      <c r="S574" s="72"/>
      <c r="T574" s="72"/>
      <c r="U574" s="72"/>
      <c r="V574" s="72"/>
      <c r="W574" s="72"/>
      <c r="X574" s="72"/>
      <c r="Y574" s="72"/>
      <c r="Z574" s="72"/>
      <c r="AA574" s="72"/>
      <c r="AF574" s="72"/>
      <c r="AG574" s="72"/>
      <c r="AH574" s="72"/>
    </row>
    <row r="575" spans="2:34">
      <c r="B575" s="72" t="s">
        <v>1917</v>
      </c>
      <c r="J575" s="72" t="s">
        <v>1916</v>
      </c>
      <c r="P575" s="72"/>
      <c r="Q575" s="72"/>
      <c r="R575" s="72"/>
      <c r="S575" s="72"/>
      <c r="T575" s="72"/>
      <c r="U575" s="72"/>
      <c r="V575" s="72"/>
      <c r="W575" s="72"/>
      <c r="X575" s="72"/>
      <c r="Y575" s="72"/>
      <c r="Z575" s="72"/>
      <c r="AA575" s="72"/>
      <c r="AF575" s="72"/>
      <c r="AG575" s="72"/>
      <c r="AH575" s="72"/>
    </row>
    <row r="576" spans="2:34">
      <c r="B576" s="72" t="s">
        <v>1915</v>
      </c>
      <c r="N576" s="72" t="s">
        <v>1900</v>
      </c>
      <c r="P576" s="72"/>
      <c r="Q576" s="72"/>
      <c r="R576" s="72"/>
      <c r="S576" s="72"/>
      <c r="T576" s="72"/>
      <c r="U576" s="72"/>
      <c r="V576" s="72"/>
      <c r="W576" s="72"/>
      <c r="X576" s="72"/>
      <c r="Y576" s="72"/>
      <c r="Z576" s="72"/>
      <c r="AA576" s="72"/>
      <c r="AF576" s="72"/>
      <c r="AG576" s="72"/>
      <c r="AH576" s="72"/>
    </row>
    <row r="577" spans="2:34">
      <c r="B577" s="72" t="s">
        <v>1914</v>
      </c>
      <c r="N577" s="72" t="s">
        <v>1900</v>
      </c>
      <c r="P577" s="72"/>
      <c r="Q577" s="72"/>
      <c r="R577" s="72"/>
      <c r="S577" s="72"/>
      <c r="T577" s="72"/>
      <c r="U577" s="72"/>
      <c r="V577" s="72"/>
      <c r="W577" s="72"/>
      <c r="X577" s="72"/>
      <c r="Y577" s="72"/>
      <c r="Z577" s="72"/>
      <c r="AA577" s="72"/>
      <c r="AF577" s="72"/>
      <c r="AG577" s="72"/>
      <c r="AH577" s="72"/>
    </row>
    <row r="578" spans="2:34">
      <c r="B578" s="72" t="s">
        <v>1913</v>
      </c>
      <c r="N578" s="72" t="s">
        <v>1900</v>
      </c>
      <c r="P578" s="72"/>
      <c r="Q578" s="72"/>
      <c r="R578" s="72"/>
      <c r="S578" s="72"/>
      <c r="T578" s="72"/>
      <c r="U578" s="72"/>
      <c r="V578" s="72"/>
      <c r="W578" s="72"/>
      <c r="X578" s="72"/>
      <c r="Y578" s="72"/>
      <c r="Z578" s="72"/>
      <c r="AA578" s="72"/>
      <c r="AF578" s="72"/>
      <c r="AG578" s="72"/>
      <c r="AH578" s="72"/>
    </row>
    <row r="579" spans="2:34">
      <c r="B579" s="72" t="s">
        <v>1912</v>
      </c>
      <c r="C579" s="495" t="s">
        <v>1691</v>
      </c>
      <c r="I579" s="494" t="s">
        <v>15360</v>
      </c>
      <c r="N579" s="72" t="s">
        <v>1900</v>
      </c>
      <c r="P579" s="72"/>
      <c r="Q579" s="72"/>
      <c r="R579" s="72"/>
      <c r="S579" s="72"/>
      <c r="T579" s="72"/>
      <c r="U579" s="72"/>
      <c r="V579" s="72"/>
      <c r="W579" s="72"/>
      <c r="X579" s="72"/>
      <c r="Y579" s="72"/>
      <c r="Z579" s="72"/>
      <c r="AA579" s="72"/>
      <c r="AF579" s="72"/>
      <c r="AG579" s="72"/>
      <c r="AH579" s="72"/>
    </row>
    <row r="580" spans="2:34">
      <c r="B580" s="72" t="s">
        <v>1911</v>
      </c>
      <c r="N580" s="72" t="s">
        <v>1900</v>
      </c>
      <c r="P580" s="72"/>
      <c r="Q580" s="72"/>
      <c r="R580" s="72"/>
      <c r="S580" s="72"/>
      <c r="T580" s="72"/>
      <c r="U580" s="72"/>
      <c r="V580" s="72"/>
      <c r="W580" s="72"/>
      <c r="X580" s="72"/>
      <c r="Y580" s="72"/>
      <c r="Z580" s="72"/>
      <c r="AA580" s="72"/>
      <c r="AF580" s="72"/>
      <c r="AG580" s="72"/>
      <c r="AH580" s="72"/>
    </row>
    <row r="581" spans="2:34">
      <c r="B581" s="72" t="s">
        <v>1910</v>
      </c>
      <c r="N581" s="72" t="s">
        <v>1909</v>
      </c>
      <c r="P581" s="72"/>
      <c r="Q581" s="72"/>
      <c r="R581" s="72"/>
      <c r="S581" s="72"/>
      <c r="T581" s="72"/>
      <c r="U581" s="72"/>
      <c r="V581" s="72"/>
      <c r="W581" s="72"/>
      <c r="X581" s="72"/>
      <c r="Y581" s="72"/>
      <c r="Z581" s="72"/>
      <c r="AA581" s="72"/>
      <c r="AF581" s="72"/>
      <c r="AG581" s="72"/>
      <c r="AH581" s="72"/>
    </row>
    <row r="582" spans="2:34">
      <c r="B582" s="72" t="s">
        <v>1908</v>
      </c>
      <c r="N582" s="72" t="s">
        <v>1900</v>
      </c>
      <c r="P582" s="72"/>
      <c r="Q582" s="72"/>
      <c r="R582" s="72"/>
      <c r="S582" s="72"/>
      <c r="T582" s="72"/>
      <c r="U582" s="72"/>
      <c r="V582" s="72"/>
      <c r="W582" s="72"/>
      <c r="X582" s="72"/>
      <c r="Y582" s="72"/>
      <c r="Z582" s="72"/>
      <c r="AA582" s="72"/>
      <c r="AF582" s="72"/>
      <c r="AG582" s="72"/>
      <c r="AH582" s="72"/>
    </row>
    <row r="583" spans="2:34">
      <c r="B583" s="72" t="s">
        <v>1907</v>
      </c>
      <c r="N583" s="72" t="s">
        <v>1900</v>
      </c>
      <c r="P583" s="72"/>
      <c r="Q583" s="72"/>
      <c r="R583" s="72"/>
      <c r="S583" s="72"/>
      <c r="T583" s="72"/>
      <c r="U583" s="72"/>
      <c r="V583" s="72"/>
      <c r="W583" s="72"/>
      <c r="X583" s="72"/>
      <c r="Y583" s="72"/>
      <c r="Z583" s="72"/>
      <c r="AA583" s="72"/>
      <c r="AF583" s="72"/>
      <c r="AG583" s="72"/>
      <c r="AH583" s="72"/>
    </row>
    <row r="584" spans="2:34">
      <c r="B584" s="72" t="s">
        <v>1906</v>
      </c>
      <c r="N584" s="72" t="s">
        <v>1900</v>
      </c>
      <c r="P584" s="72"/>
      <c r="Q584" s="72"/>
      <c r="R584" s="72"/>
      <c r="S584" s="72"/>
      <c r="T584" s="72"/>
      <c r="U584" s="72"/>
      <c r="V584" s="72"/>
      <c r="W584" s="72"/>
      <c r="X584" s="72"/>
      <c r="Y584" s="72"/>
      <c r="Z584" s="72"/>
      <c r="AA584" s="72"/>
      <c r="AF584" s="72"/>
      <c r="AG584" s="72"/>
      <c r="AH584" s="72"/>
    </row>
    <row r="585" spans="2:34">
      <c r="B585" s="72" t="s">
        <v>1905</v>
      </c>
      <c r="N585" s="72" t="s">
        <v>1900</v>
      </c>
      <c r="P585" s="72"/>
      <c r="Q585" s="72"/>
      <c r="R585" s="72"/>
      <c r="S585" s="72"/>
      <c r="T585" s="72"/>
      <c r="U585" s="72"/>
      <c r="V585" s="72"/>
      <c r="W585" s="72"/>
      <c r="X585" s="72"/>
      <c r="Y585" s="72"/>
      <c r="Z585" s="72"/>
      <c r="AA585" s="72"/>
      <c r="AF585" s="72"/>
      <c r="AG585" s="72"/>
      <c r="AH585" s="72"/>
    </row>
    <row r="586" spans="2:34">
      <c r="B586" s="72" t="s">
        <v>1904</v>
      </c>
      <c r="N586" s="72" t="s">
        <v>1900</v>
      </c>
      <c r="P586" s="72"/>
      <c r="Q586" s="72"/>
      <c r="R586" s="72"/>
      <c r="S586" s="72"/>
      <c r="T586" s="72"/>
      <c r="U586" s="72"/>
      <c r="V586" s="72"/>
      <c r="W586" s="72"/>
      <c r="X586" s="72"/>
      <c r="Y586" s="72"/>
      <c r="Z586" s="72"/>
      <c r="AA586" s="72"/>
      <c r="AF586" s="72"/>
      <c r="AG586" s="72"/>
      <c r="AH586" s="72"/>
    </row>
    <row r="587" spans="2:34">
      <c r="B587" s="72" t="s">
        <v>1903</v>
      </c>
      <c r="N587" s="72" t="s">
        <v>1900</v>
      </c>
      <c r="P587" s="72"/>
      <c r="Q587" s="72"/>
      <c r="R587" s="72"/>
      <c r="S587" s="72"/>
      <c r="T587" s="72"/>
      <c r="U587" s="72"/>
      <c r="V587" s="72"/>
      <c r="W587" s="72"/>
      <c r="X587" s="72"/>
      <c r="Y587" s="72"/>
      <c r="Z587" s="72"/>
      <c r="AA587" s="72"/>
      <c r="AF587" s="72"/>
      <c r="AG587" s="72"/>
      <c r="AH587" s="72"/>
    </row>
    <row r="588" spans="2:34">
      <c r="B588" s="72" t="s">
        <v>1902</v>
      </c>
      <c r="N588" s="72" t="s">
        <v>1900</v>
      </c>
      <c r="P588" s="72"/>
      <c r="Q588" s="72"/>
      <c r="R588" s="72"/>
      <c r="S588" s="72"/>
      <c r="T588" s="72"/>
      <c r="U588" s="72"/>
      <c r="V588" s="72"/>
      <c r="W588" s="72"/>
      <c r="X588" s="72"/>
      <c r="Y588" s="72"/>
      <c r="Z588" s="72"/>
      <c r="AA588" s="72"/>
      <c r="AF588" s="72"/>
      <c r="AG588" s="72"/>
      <c r="AH588" s="72"/>
    </row>
    <row r="589" spans="2:34">
      <c r="B589" s="72" t="s">
        <v>1901</v>
      </c>
      <c r="N589" s="72" t="s">
        <v>1900</v>
      </c>
      <c r="P589" s="72"/>
      <c r="Q589" s="72"/>
      <c r="R589" s="72"/>
      <c r="S589" s="72"/>
      <c r="T589" s="72"/>
      <c r="U589" s="72"/>
      <c r="V589" s="72"/>
      <c r="W589" s="72"/>
      <c r="X589" s="72"/>
      <c r="Y589" s="72"/>
      <c r="Z589" s="72"/>
      <c r="AA589" s="72"/>
      <c r="AF589" s="72"/>
      <c r="AG589" s="72"/>
      <c r="AH589" s="72"/>
    </row>
    <row r="590" spans="2:34">
      <c r="B590" s="72" t="s">
        <v>1899</v>
      </c>
      <c r="P590" s="72"/>
      <c r="Q590" s="72"/>
      <c r="R590" s="72"/>
      <c r="S590" s="72"/>
      <c r="T590" s="72"/>
      <c r="U590" s="72"/>
      <c r="V590" s="72"/>
      <c r="W590" s="72"/>
      <c r="X590" s="72"/>
      <c r="Y590" s="72"/>
      <c r="Z590" s="72"/>
      <c r="AA590" s="72"/>
      <c r="AF590" s="72"/>
      <c r="AG590" s="72"/>
      <c r="AH590" s="72"/>
    </row>
    <row r="591" spans="2:34">
      <c r="B591" s="72" t="s">
        <v>1898</v>
      </c>
      <c r="P591" s="72"/>
      <c r="Q591" s="72"/>
      <c r="R591" s="72"/>
      <c r="S591" s="72"/>
      <c r="T591" s="72"/>
      <c r="U591" s="72"/>
      <c r="V591" s="72"/>
      <c r="W591" s="72"/>
      <c r="X591" s="72"/>
      <c r="Y591" s="72"/>
      <c r="Z591" s="72"/>
      <c r="AA591" s="72"/>
      <c r="AF591" s="72"/>
      <c r="AG591" s="72"/>
      <c r="AH591" s="72"/>
    </row>
    <row r="592" spans="2:34">
      <c r="B592" s="72" t="s">
        <v>1897</v>
      </c>
      <c r="P592" s="72"/>
      <c r="Q592" s="72"/>
      <c r="R592" s="72"/>
      <c r="S592" s="72"/>
      <c r="T592" s="72"/>
      <c r="U592" s="72"/>
      <c r="V592" s="72"/>
      <c r="W592" s="72"/>
      <c r="X592" s="72"/>
      <c r="Y592" s="72"/>
      <c r="Z592" s="72"/>
      <c r="AA592" s="72"/>
      <c r="AF592" s="72"/>
      <c r="AG592" s="72"/>
      <c r="AH592" s="72"/>
    </row>
    <row r="593" spans="1:34">
      <c r="B593" s="72" t="s">
        <v>1896</v>
      </c>
      <c r="P593" s="72"/>
      <c r="Q593" s="72"/>
      <c r="R593" s="72"/>
      <c r="S593" s="72"/>
      <c r="T593" s="72"/>
      <c r="U593" s="72"/>
      <c r="V593" s="72"/>
      <c r="W593" s="72"/>
      <c r="X593" s="72"/>
      <c r="Y593" s="72"/>
      <c r="Z593" s="72"/>
      <c r="AA593" s="72"/>
      <c r="AF593" s="72"/>
      <c r="AG593" s="72"/>
      <c r="AH593" s="72"/>
    </row>
    <row r="594" spans="1:34">
      <c r="B594" s="72" t="s">
        <v>1895</v>
      </c>
      <c r="P594" s="72"/>
      <c r="Q594" s="72"/>
      <c r="R594" s="72"/>
      <c r="S594" s="72"/>
      <c r="T594" s="72"/>
      <c r="U594" s="72"/>
      <c r="V594" s="72"/>
      <c r="W594" s="72"/>
      <c r="X594" s="72"/>
      <c r="Y594" s="72"/>
      <c r="Z594" s="72"/>
      <c r="AA594" s="72"/>
      <c r="AF594" s="72"/>
      <c r="AG594" s="72"/>
      <c r="AH594" s="72"/>
    </row>
    <row r="595" spans="1:34">
      <c r="B595" s="72" t="s">
        <v>1894</v>
      </c>
      <c r="P595" s="72"/>
      <c r="Q595" s="72"/>
      <c r="R595" s="72"/>
      <c r="S595" s="72"/>
      <c r="T595" s="72"/>
      <c r="U595" s="72"/>
      <c r="V595" s="72"/>
      <c r="W595" s="72"/>
      <c r="X595" s="72"/>
      <c r="Y595" s="72"/>
      <c r="Z595" s="72"/>
      <c r="AA595" s="72"/>
      <c r="AF595" s="72"/>
      <c r="AG595" s="72"/>
      <c r="AH595" s="72"/>
    </row>
    <row r="596" spans="1:34">
      <c r="B596" s="72" t="s">
        <v>1893</v>
      </c>
      <c r="P596" s="72"/>
      <c r="Q596" s="72"/>
      <c r="R596" s="72"/>
      <c r="S596" s="72"/>
      <c r="T596" s="72"/>
      <c r="U596" s="72"/>
      <c r="V596" s="72"/>
      <c r="W596" s="72"/>
      <c r="X596" s="72"/>
      <c r="Y596" s="72"/>
      <c r="Z596" s="72"/>
      <c r="AA596" s="72"/>
      <c r="AF596" s="72"/>
      <c r="AG596" s="72"/>
      <c r="AH596" s="72"/>
    </row>
    <row r="597" spans="1:34">
      <c r="B597" s="72" t="s">
        <v>1892</v>
      </c>
    </row>
    <row r="598" spans="1:34">
      <c r="B598" s="72" t="s">
        <v>1891</v>
      </c>
    </row>
    <row r="599" spans="1:34">
      <c r="B599" s="72" t="s">
        <v>1890</v>
      </c>
    </row>
    <row r="600" spans="1:34">
      <c r="B600" s="72" t="s">
        <v>1889</v>
      </c>
    </row>
    <row r="601" spans="1:34">
      <c r="B601" s="72" t="s">
        <v>1888</v>
      </c>
    </row>
    <row r="602" spans="1:34">
      <c r="B602" s="72" t="s">
        <v>1887</v>
      </c>
      <c r="I602" s="238" t="s">
        <v>7583</v>
      </c>
    </row>
    <row r="603" spans="1:34">
      <c r="B603" s="72" t="s">
        <v>1886</v>
      </c>
    </row>
    <row r="604" spans="1:34">
      <c r="B604" s="72" t="s">
        <v>1885</v>
      </c>
    </row>
    <row r="605" spans="1:34">
      <c r="B605" s="72" t="s">
        <v>1884</v>
      </c>
    </row>
    <row r="606" spans="1:34">
      <c r="B606" s="72" t="s">
        <v>1883</v>
      </c>
    </row>
    <row r="607" spans="1:34">
      <c r="B607" s="72" t="s">
        <v>1882</v>
      </c>
    </row>
    <row r="608" spans="1:34" s="12" customFormat="1">
      <c r="A608" s="72"/>
      <c r="B608" s="12" t="s">
        <v>1881</v>
      </c>
      <c r="C608" s="29"/>
      <c r="D608" s="15"/>
      <c r="F608" s="15"/>
      <c r="G608" s="15"/>
      <c r="H608" s="13"/>
      <c r="K608" s="12" t="s">
        <v>2045</v>
      </c>
      <c r="L608" s="12" t="s">
        <v>2456</v>
      </c>
      <c r="P608" s="24"/>
      <c r="Q608" s="24"/>
      <c r="R608" s="24"/>
      <c r="S608" s="24"/>
      <c r="T608" s="24"/>
      <c r="U608" s="24"/>
      <c r="V608" s="24"/>
      <c r="W608" s="24"/>
      <c r="X608" s="24"/>
      <c r="Y608" s="24"/>
      <c r="Z608" s="24"/>
      <c r="AA608" s="24"/>
      <c r="AF608" s="65">
        <v>2.8210000000000002</v>
      </c>
      <c r="AG608" s="70">
        <v>0.10277777777777779</v>
      </c>
      <c r="AH608" s="70"/>
    </row>
    <row r="609" spans="1:34">
      <c r="B609" s="72" t="s">
        <v>1880</v>
      </c>
    </row>
    <row r="610" spans="1:34">
      <c r="B610" s="72" t="s">
        <v>1879</v>
      </c>
    </row>
    <row r="611" spans="1:34">
      <c r="B611" s="72" t="s">
        <v>1878</v>
      </c>
      <c r="K611" s="91" t="s">
        <v>2045</v>
      </c>
      <c r="L611" s="91" t="s">
        <v>2079</v>
      </c>
    </row>
    <row r="612" spans="1:34">
      <c r="A612" s="12"/>
      <c r="B612" s="72" t="s">
        <v>1877</v>
      </c>
    </row>
    <row r="613" spans="1:34">
      <c r="B613" s="72" t="s">
        <v>1876</v>
      </c>
      <c r="C613" s="72"/>
      <c r="D613" s="72"/>
      <c r="F613" s="72"/>
      <c r="G613" s="72"/>
      <c r="H613" s="72"/>
      <c r="P613" s="72"/>
      <c r="Q613" s="72"/>
      <c r="R613" s="72"/>
      <c r="S613" s="72"/>
      <c r="T613" s="72"/>
      <c r="U613" s="72"/>
      <c r="V613" s="72"/>
      <c r="W613" s="72"/>
      <c r="X613" s="72"/>
      <c r="Y613" s="72"/>
      <c r="Z613" s="72"/>
      <c r="AA613" s="72"/>
      <c r="AF613" s="72"/>
      <c r="AG613" s="72"/>
      <c r="AH613" s="72"/>
    </row>
    <row r="614" spans="1:34">
      <c r="B614" s="72" t="s">
        <v>1875</v>
      </c>
      <c r="C614" s="72"/>
      <c r="D614" s="72"/>
      <c r="F614" s="72"/>
      <c r="G614" s="72"/>
      <c r="H614" s="72"/>
      <c r="P614" s="72"/>
      <c r="Q614" s="72"/>
      <c r="R614" s="72"/>
      <c r="S614" s="72"/>
      <c r="T614" s="72"/>
      <c r="U614" s="72"/>
      <c r="V614" s="72"/>
      <c r="W614" s="72"/>
      <c r="X614" s="72"/>
      <c r="Y614" s="72"/>
      <c r="Z614" s="72"/>
      <c r="AA614" s="72"/>
      <c r="AF614" s="72"/>
      <c r="AG614" s="72"/>
      <c r="AH614" s="72"/>
    </row>
    <row r="615" spans="1:34">
      <c r="B615" s="72" t="s">
        <v>1874</v>
      </c>
      <c r="C615" s="72"/>
      <c r="D615" s="72"/>
      <c r="F615" s="72"/>
      <c r="G615" s="72"/>
      <c r="H615" s="72"/>
      <c r="I615" s="274" t="s">
        <v>8881</v>
      </c>
      <c r="P615" s="72"/>
      <c r="Q615" s="72"/>
      <c r="R615" s="72"/>
      <c r="S615" s="72"/>
      <c r="T615" s="72"/>
      <c r="U615" s="72"/>
      <c r="V615" s="72"/>
      <c r="W615" s="72"/>
      <c r="X615" s="72"/>
      <c r="Y615" s="72"/>
      <c r="Z615" s="72"/>
      <c r="AA615" s="72"/>
      <c r="AE615" s="25" t="s">
        <v>5152</v>
      </c>
      <c r="AF615" s="274" t="s">
        <v>8882</v>
      </c>
      <c r="AG615" s="72"/>
      <c r="AH615" s="72"/>
    </row>
    <row r="616" spans="1:34">
      <c r="B616" s="72" t="s">
        <v>1873</v>
      </c>
      <c r="C616" s="72"/>
      <c r="D616" s="72"/>
      <c r="F616" s="72"/>
      <c r="G616" s="72"/>
      <c r="H616" s="72"/>
      <c r="P616" s="72"/>
      <c r="Q616" s="72"/>
      <c r="R616" s="72"/>
      <c r="S616" s="72"/>
      <c r="T616" s="72"/>
      <c r="U616" s="72"/>
      <c r="V616" s="72"/>
      <c r="W616" s="72"/>
      <c r="X616" s="72"/>
      <c r="Y616" s="72"/>
      <c r="Z616" s="72"/>
      <c r="AA616" s="72"/>
      <c r="AF616" s="72"/>
      <c r="AG616" s="72"/>
      <c r="AH616" s="72"/>
    </row>
    <row r="617" spans="1:34">
      <c r="B617" s="72" t="s">
        <v>1872</v>
      </c>
      <c r="C617" s="72"/>
      <c r="D617" s="72"/>
      <c r="F617" s="72"/>
      <c r="G617" s="72"/>
      <c r="H617" s="72"/>
      <c r="P617" s="72"/>
      <c r="Q617" s="72"/>
      <c r="R617" s="72"/>
      <c r="S617" s="72"/>
      <c r="T617" s="72"/>
      <c r="U617" s="72"/>
      <c r="V617" s="72"/>
      <c r="W617" s="72"/>
      <c r="X617" s="72"/>
      <c r="Y617" s="72"/>
      <c r="Z617" s="72"/>
      <c r="AA617" s="72"/>
      <c r="AF617" s="72"/>
      <c r="AG617" s="72"/>
      <c r="AH617" s="72"/>
    </row>
    <row r="618" spans="1:34">
      <c r="B618" s="72" t="s">
        <v>1871</v>
      </c>
      <c r="C618" s="72"/>
      <c r="D618" s="72"/>
      <c r="F618" s="72"/>
      <c r="G618" s="72"/>
      <c r="H618" s="72"/>
      <c r="P618" s="72"/>
      <c r="Q618" s="72"/>
      <c r="R618" s="72"/>
      <c r="S618" s="72"/>
      <c r="T618" s="72"/>
      <c r="U618" s="72"/>
      <c r="V618" s="72"/>
      <c r="W618" s="72"/>
      <c r="X618" s="72"/>
      <c r="Y618" s="72"/>
      <c r="Z618" s="72"/>
      <c r="AA618" s="72"/>
      <c r="AF618" s="72"/>
      <c r="AG618" s="72"/>
      <c r="AH618" s="72"/>
    </row>
    <row r="619" spans="1:34">
      <c r="B619" s="72" t="s">
        <v>1870</v>
      </c>
      <c r="C619" s="72"/>
      <c r="D619" s="72"/>
      <c r="F619" s="72"/>
      <c r="G619" s="72"/>
      <c r="H619" s="72"/>
      <c r="P619" s="72"/>
      <c r="Q619" s="72"/>
      <c r="R619" s="72"/>
      <c r="S619" s="72"/>
      <c r="T619" s="72"/>
      <c r="U619" s="72"/>
      <c r="V619" s="72"/>
      <c r="W619" s="72"/>
      <c r="X619" s="72"/>
      <c r="Y619" s="72"/>
      <c r="Z619" s="72"/>
      <c r="AA619" s="72"/>
      <c r="AF619" s="72"/>
      <c r="AG619" s="72"/>
      <c r="AH619" s="72"/>
    </row>
    <row r="620" spans="1:34">
      <c r="B620" s="72" t="s">
        <v>1869</v>
      </c>
      <c r="C620" s="72"/>
      <c r="D620" s="72"/>
      <c r="F620" s="72"/>
      <c r="G620" s="72"/>
      <c r="H620" s="72"/>
      <c r="P620" s="72"/>
      <c r="Q620" s="72"/>
      <c r="R620" s="72"/>
      <c r="S620" s="72"/>
      <c r="T620" s="72"/>
      <c r="U620" s="72"/>
      <c r="V620" s="72"/>
      <c r="W620" s="72"/>
      <c r="X620" s="72"/>
      <c r="Y620" s="72"/>
      <c r="Z620" s="72"/>
      <c r="AA620" s="72"/>
      <c r="AF620" s="72"/>
      <c r="AG620" s="72"/>
      <c r="AH620" s="72"/>
    </row>
    <row r="621" spans="1:34">
      <c r="B621" s="72" t="s">
        <v>1868</v>
      </c>
      <c r="C621" s="72"/>
      <c r="D621" s="72"/>
      <c r="F621" s="72"/>
      <c r="G621" s="72"/>
      <c r="H621" s="72"/>
      <c r="P621" s="72"/>
      <c r="Q621" s="72"/>
      <c r="R621" s="72"/>
      <c r="S621" s="72"/>
      <c r="T621" s="72"/>
      <c r="U621" s="72"/>
      <c r="V621" s="72"/>
      <c r="W621" s="72"/>
      <c r="X621" s="72"/>
      <c r="Y621" s="72"/>
      <c r="Z621" s="72"/>
      <c r="AA621" s="72"/>
      <c r="AF621" s="72"/>
      <c r="AG621" s="72"/>
      <c r="AH621" s="72"/>
    </row>
    <row r="622" spans="1:34">
      <c r="B622" s="72" t="s">
        <v>1867</v>
      </c>
      <c r="C622" s="72"/>
      <c r="D622" s="72"/>
      <c r="F622" s="72"/>
      <c r="G622" s="72"/>
      <c r="H622" s="72"/>
      <c r="P622" s="72"/>
      <c r="Q622" s="72"/>
      <c r="R622" s="72"/>
      <c r="S622" s="72"/>
      <c r="T622" s="72"/>
      <c r="U622" s="72"/>
      <c r="V622" s="72"/>
      <c r="W622" s="72"/>
      <c r="X622" s="72"/>
      <c r="Y622" s="72"/>
      <c r="Z622" s="72"/>
      <c r="AA622" s="72"/>
      <c r="AF622" s="72"/>
      <c r="AG622" s="72"/>
      <c r="AH622" s="72"/>
    </row>
    <row r="623" spans="1:34">
      <c r="B623" s="72" t="s">
        <v>1866</v>
      </c>
      <c r="C623" s="72"/>
      <c r="D623" s="72"/>
      <c r="F623" s="72"/>
      <c r="G623" s="72"/>
      <c r="H623" s="72"/>
      <c r="P623" s="72"/>
      <c r="Q623" s="72"/>
      <c r="R623" s="72"/>
      <c r="S623" s="72"/>
      <c r="T623" s="72"/>
      <c r="U623" s="72"/>
      <c r="V623" s="72"/>
      <c r="W623" s="72"/>
      <c r="X623" s="72"/>
      <c r="Y623" s="72"/>
      <c r="Z623" s="72"/>
      <c r="AA623" s="72"/>
      <c r="AF623" s="72"/>
      <c r="AG623" s="72"/>
      <c r="AH623" s="72"/>
    </row>
    <row r="624" spans="1:34">
      <c r="B624" s="72" t="s">
        <v>1865</v>
      </c>
      <c r="C624" s="72"/>
      <c r="D624" s="72"/>
      <c r="F624" s="72"/>
      <c r="G624" s="72"/>
      <c r="H624" s="72"/>
      <c r="P624" s="72"/>
      <c r="Q624" s="72"/>
      <c r="R624" s="72"/>
      <c r="S624" s="72"/>
      <c r="T624" s="72"/>
      <c r="U624" s="72"/>
      <c r="V624" s="72"/>
      <c r="W624" s="72"/>
      <c r="X624" s="72"/>
      <c r="Y624" s="72"/>
      <c r="Z624" s="72"/>
      <c r="AA624" s="72"/>
      <c r="AF624" s="72"/>
      <c r="AG624" s="72"/>
      <c r="AH624" s="72"/>
    </row>
    <row r="625" spans="2:34">
      <c r="B625" s="72" t="s">
        <v>1864</v>
      </c>
      <c r="C625" s="72"/>
      <c r="D625" s="72"/>
      <c r="F625" s="72"/>
      <c r="G625" s="72"/>
      <c r="H625" s="72"/>
      <c r="P625" s="72"/>
      <c r="Q625" s="72"/>
      <c r="R625" s="72"/>
      <c r="S625" s="72"/>
      <c r="T625" s="72"/>
      <c r="U625" s="72"/>
      <c r="V625" s="72"/>
      <c r="W625" s="72"/>
      <c r="X625" s="72"/>
      <c r="Y625" s="72"/>
      <c r="Z625" s="72"/>
      <c r="AA625" s="72"/>
      <c r="AF625" s="72"/>
      <c r="AG625" s="72"/>
      <c r="AH625" s="72"/>
    </row>
    <row r="626" spans="2:34">
      <c r="B626" s="72" t="s">
        <v>1863</v>
      </c>
      <c r="C626" s="72"/>
      <c r="D626" s="72"/>
      <c r="F626" s="72"/>
      <c r="G626" s="72"/>
      <c r="H626" s="72"/>
      <c r="P626" s="72"/>
      <c r="Q626" s="72"/>
      <c r="R626" s="72"/>
      <c r="S626" s="72"/>
      <c r="T626" s="72"/>
      <c r="U626" s="72"/>
      <c r="V626" s="72"/>
      <c r="W626" s="72"/>
      <c r="X626" s="72"/>
      <c r="Y626" s="72"/>
      <c r="Z626" s="72"/>
      <c r="AA626" s="72"/>
      <c r="AF626" s="72"/>
      <c r="AG626" s="72"/>
      <c r="AH626" s="72"/>
    </row>
    <row r="627" spans="2:34">
      <c r="B627" s="72" t="s">
        <v>1862</v>
      </c>
      <c r="C627" s="72"/>
      <c r="D627" s="72"/>
      <c r="F627" s="72"/>
      <c r="G627" s="72"/>
      <c r="H627" s="72"/>
      <c r="P627" s="72"/>
      <c r="Q627" s="72"/>
      <c r="R627" s="72"/>
      <c r="S627" s="72"/>
      <c r="T627" s="72"/>
      <c r="U627" s="72"/>
      <c r="V627" s="72"/>
      <c r="W627" s="72"/>
      <c r="X627" s="72"/>
      <c r="Y627" s="72"/>
      <c r="Z627" s="72"/>
      <c r="AA627" s="72"/>
      <c r="AF627" s="72"/>
      <c r="AG627" s="72"/>
      <c r="AH627" s="72"/>
    </row>
    <row r="628" spans="2:34">
      <c r="B628" s="72" t="s">
        <v>1861</v>
      </c>
      <c r="C628" s="72"/>
      <c r="D628" s="72"/>
      <c r="F628" s="72"/>
      <c r="G628" s="72"/>
      <c r="H628" s="72"/>
      <c r="P628" s="72"/>
      <c r="Q628" s="72"/>
      <c r="R628" s="72"/>
      <c r="S628" s="72"/>
      <c r="T628" s="72"/>
      <c r="U628" s="72"/>
      <c r="V628" s="72"/>
      <c r="W628" s="72"/>
      <c r="X628" s="72"/>
      <c r="Y628" s="72"/>
      <c r="Z628" s="72"/>
      <c r="AA628" s="72"/>
      <c r="AF628" s="72"/>
      <c r="AG628" s="72"/>
      <c r="AH628" s="72"/>
    </row>
    <row r="629" spans="2:34">
      <c r="B629" s="72" t="s">
        <v>1860</v>
      </c>
      <c r="AF629" s="72"/>
      <c r="AG629" s="72"/>
      <c r="AH629" s="72"/>
    </row>
    <row r="630" spans="2:34">
      <c r="B630" s="72" t="s">
        <v>1859</v>
      </c>
      <c r="AF630" s="72"/>
      <c r="AG630" s="72"/>
      <c r="AH630" s="72"/>
    </row>
    <row r="631" spans="2:34">
      <c r="B631" s="72" t="s">
        <v>1858</v>
      </c>
      <c r="AF631" s="72"/>
      <c r="AG631" s="72"/>
      <c r="AH631" s="72"/>
    </row>
    <row r="632" spans="2:34">
      <c r="B632" s="72" t="s">
        <v>1857</v>
      </c>
      <c r="AF632" s="72"/>
      <c r="AG632" s="72"/>
      <c r="AH632" s="72"/>
    </row>
    <row r="633" spans="2:34">
      <c r="B633" s="72" t="s">
        <v>1856</v>
      </c>
      <c r="AF633" s="72"/>
      <c r="AG633" s="72"/>
      <c r="AH633" s="72"/>
    </row>
    <row r="634" spans="2:34">
      <c r="B634" s="72" t="s">
        <v>1855</v>
      </c>
      <c r="AF634" s="72"/>
      <c r="AG634" s="72"/>
      <c r="AH634" s="72"/>
    </row>
    <row r="635" spans="2:34">
      <c r="B635" s="72" t="s">
        <v>1854</v>
      </c>
      <c r="AF635" s="72"/>
      <c r="AG635" s="72"/>
      <c r="AH635" s="72"/>
    </row>
    <row r="636" spans="2:34">
      <c r="B636" s="72" t="s">
        <v>1853</v>
      </c>
      <c r="AF636" s="72"/>
      <c r="AG636" s="72"/>
      <c r="AH636" s="72"/>
    </row>
    <row r="637" spans="2:34">
      <c r="B637" s="72" t="s">
        <v>1852</v>
      </c>
      <c r="AF637" s="72"/>
      <c r="AG637" s="72"/>
      <c r="AH637" s="72"/>
    </row>
    <row r="638" spans="2:34">
      <c r="B638" s="72" t="s">
        <v>1851</v>
      </c>
      <c r="AF638" s="72"/>
      <c r="AG638" s="72"/>
      <c r="AH638" s="72"/>
    </row>
    <row r="639" spans="2:34">
      <c r="B639" s="72" t="s">
        <v>1850</v>
      </c>
      <c r="AF639" s="72"/>
      <c r="AG639" s="72"/>
      <c r="AH639" s="72"/>
    </row>
    <row r="640" spans="2:34">
      <c r="B640" s="72" t="s">
        <v>1849</v>
      </c>
      <c r="C640" s="73" t="s">
        <v>1691</v>
      </c>
      <c r="N640" s="72" t="s">
        <v>1706</v>
      </c>
      <c r="AF640" s="72"/>
      <c r="AG640" s="72"/>
      <c r="AH640" s="72"/>
    </row>
    <row r="641" spans="2:34">
      <c r="B641" s="72" t="s">
        <v>1848</v>
      </c>
      <c r="C641" s="73" t="s">
        <v>1691</v>
      </c>
      <c r="AF641" s="72"/>
      <c r="AG641" s="72"/>
      <c r="AH641" s="72"/>
    </row>
    <row r="642" spans="2:34">
      <c r="B642" s="72" t="s">
        <v>1847</v>
      </c>
      <c r="C642" s="73" t="s">
        <v>1691</v>
      </c>
      <c r="N642" s="72" t="s">
        <v>1805</v>
      </c>
      <c r="AE642" s="91" t="s">
        <v>6007</v>
      </c>
      <c r="AF642" s="72"/>
      <c r="AG642" s="72"/>
      <c r="AH642" s="72"/>
    </row>
    <row r="643" spans="2:34">
      <c r="B643" s="72" t="s">
        <v>1846</v>
      </c>
      <c r="C643" s="73" t="s">
        <v>1691</v>
      </c>
      <c r="N643" s="72" t="s">
        <v>1805</v>
      </c>
      <c r="AF643" s="72"/>
      <c r="AG643" s="72"/>
      <c r="AH643" s="72"/>
    </row>
    <row r="644" spans="2:34">
      <c r="B644" s="72" t="s">
        <v>1845</v>
      </c>
      <c r="C644" s="73" t="s">
        <v>1691</v>
      </c>
      <c r="N644" s="72" t="s">
        <v>1805</v>
      </c>
      <c r="AF644" s="72"/>
      <c r="AG644" s="72"/>
      <c r="AH644" s="72"/>
    </row>
    <row r="645" spans="2:34">
      <c r="B645" s="72" t="s">
        <v>1844</v>
      </c>
      <c r="C645" s="73" t="s">
        <v>1691</v>
      </c>
      <c r="N645" s="72" t="s">
        <v>1805</v>
      </c>
      <c r="P645" s="72"/>
      <c r="Q645" s="72"/>
      <c r="R645" s="72"/>
      <c r="S645" s="72"/>
      <c r="T645" s="72"/>
      <c r="U645" s="72"/>
      <c r="V645" s="72"/>
      <c r="W645" s="72"/>
      <c r="X645" s="72"/>
      <c r="Y645" s="72"/>
      <c r="Z645" s="72"/>
      <c r="AA645" s="72"/>
      <c r="AF645" s="72"/>
      <c r="AG645" s="72"/>
      <c r="AH645" s="72"/>
    </row>
    <row r="646" spans="2:34">
      <c r="B646" s="72" t="s">
        <v>1843</v>
      </c>
      <c r="C646" s="73" t="s">
        <v>1691</v>
      </c>
      <c r="N646" s="72" t="s">
        <v>1805</v>
      </c>
      <c r="P646" s="72"/>
      <c r="Q646" s="72"/>
      <c r="R646" s="72"/>
      <c r="S646" s="72"/>
      <c r="T646" s="72"/>
      <c r="U646" s="72"/>
      <c r="V646" s="72"/>
      <c r="W646" s="72"/>
      <c r="X646" s="72"/>
      <c r="Y646" s="72"/>
      <c r="Z646" s="72"/>
      <c r="AA646" s="72"/>
      <c r="AF646" s="72"/>
      <c r="AG646" s="72"/>
      <c r="AH646" s="72"/>
    </row>
    <row r="647" spans="2:34">
      <c r="B647" s="72" t="s">
        <v>1842</v>
      </c>
      <c r="C647" s="73" t="s">
        <v>1691</v>
      </c>
      <c r="N647" s="72" t="s">
        <v>1805</v>
      </c>
      <c r="P647" s="72"/>
      <c r="Q647" s="72"/>
      <c r="R647" s="72"/>
      <c r="S647" s="72"/>
      <c r="T647" s="72"/>
      <c r="U647" s="72"/>
      <c r="V647" s="72"/>
      <c r="W647" s="72"/>
      <c r="X647" s="72"/>
      <c r="Y647" s="72"/>
      <c r="Z647" s="72"/>
      <c r="AA647" s="72"/>
      <c r="AF647" s="72"/>
      <c r="AG647" s="72"/>
      <c r="AH647" s="72"/>
    </row>
    <row r="648" spans="2:34">
      <c r="B648" s="72" t="s">
        <v>1841</v>
      </c>
      <c r="C648" s="73" t="s">
        <v>1691</v>
      </c>
      <c r="N648" s="72" t="s">
        <v>1805</v>
      </c>
      <c r="P648" s="72"/>
      <c r="Q648" s="72"/>
      <c r="R648" s="72"/>
      <c r="S648" s="72"/>
      <c r="T648" s="72"/>
      <c r="U648" s="72"/>
      <c r="V648" s="72"/>
      <c r="W648" s="72"/>
      <c r="X648" s="72"/>
      <c r="Y648" s="72"/>
      <c r="Z648" s="72"/>
      <c r="AA648" s="72"/>
      <c r="AF648" s="72"/>
      <c r="AG648" s="72"/>
      <c r="AH648" s="72"/>
    </row>
    <row r="649" spans="2:34">
      <c r="B649" s="72" t="s">
        <v>1840</v>
      </c>
      <c r="C649" s="73" t="s">
        <v>1691</v>
      </c>
      <c r="N649" s="72" t="s">
        <v>1805</v>
      </c>
      <c r="P649" s="72"/>
      <c r="Q649" s="72"/>
      <c r="R649" s="72"/>
      <c r="S649" s="72"/>
      <c r="T649" s="72"/>
      <c r="U649" s="72"/>
      <c r="V649" s="72"/>
      <c r="W649" s="72"/>
      <c r="X649" s="72"/>
      <c r="Y649" s="72"/>
      <c r="Z649" s="72"/>
      <c r="AA649" s="72"/>
      <c r="AF649" s="72"/>
      <c r="AG649" s="72"/>
      <c r="AH649" s="72"/>
    </row>
    <row r="650" spans="2:34">
      <c r="B650" s="72" t="s">
        <v>1839</v>
      </c>
      <c r="C650" s="73" t="s">
        <v>1691</v>
      </c>
      <c r="N650" s="72" t="s">
        <v>1805</v>
      </c>
      <c r="P650" s="72"/>
      <c r="Q650" s="72"/>
      <c r="R650" s="72"/>
      <c r="S650" s="72"/>
      <c r="T650" s="72"/>
      <c r="U650" s="72"/>
      <c r="V650" s="72"/>
      <c r="W650" s="72"/>
      <c r="X650" s="72"/>
      <c r="Y650" s="72"/>
      <c r="Z650" s="72"/>
      <c r="AA650" s="72"/>
      <c r="AF650" s="72"/>
      <c r="AG650" s="72"/>
      <c r="AH650" s="72"/>
    </row>
    <row r="651" spans="2:34">
      <c r="B651" s="72" t="s">
        <v>1838</v>
      </c>
      <c r="C651" s="73" t="s">
        <v>1691</v>
      </c>
      <c r="N651" s="72" t="s">
        <v>1805</v>
      </c>
      <c r="P651" s="72"/>
      <c r="Q651" s="72"/>
      <c r="R651" s="72"/>
      <c r="S651" s="72"/>
      <c r="T651" s="72"/>
      <c r="U651" s="72"/>
      <c r="V651" s="72"/>
      <c r="W651" s="72"/>
      <c r="X651" s="72"/>
      <c r="Y651" s="72"/>
      <c r="Z651" s="72"/>
      <c r="AA651" s="72"/>
      <c r="AF651" s="72"/>
      <c r="AG651" s="72"/>
      <c r="AH651" s="72"/>
    </row>
    <row r="652" spans="2:34">
      <c r="B652" s="72" t="s">
        <v>1837</v>
      </c>
      <c r="C652" s="73" t="s">
        <v>1691</v>
      </c>
      <c r="N652" s="72" t="s">
        <v>1805</v>
      </c>
      <c r="P652" s="72"/>
      <c r="Q652" s="72"/>
      <c r="R652" s="72"/>
      <c r="S652" s="72"/>
      <c r="T652" s="72"/>
      <c r="U652" s="72"/>
      <c r="V652" s="72"/>
      <c r="W652" s="72"/>
      <c r="X652" s="72"/>
      <c r="Y652" s="72"/>
      <c r="Z652" s="72"/>
      <c r="AA652" s="72"/>
      <c r="AF652" s="72"/>
      <c r="AG652" s="72"/>
      <c r="AH652" s="72"/>
    </row>
    <row r="653" spans="2:34">
      <c r="B653" s="72" t="s">
        <v>1836</v>
      </c>
      <c r="C653" s="73" t="s">
        <v>1691</v>
      </c>
      <c r="N653" s="72" t="s">
        <v>1805</v>
      </c>
      <c r="P653" s="72"/>
      <c r="Q653" s="72"/>
      <c r="R653" s="72"/>
      <c r="S653" s="72"/>
      <c r="T653" s="72"/>
      <c r="U653" s="72"/>
      <c r="V653" s="72"/>
      <c r="W653" s="72"/>
      <c r="X653" s="72"/>
      <c r="Y653" s="72"/>
      <c r="Z653" s="72"/>
      <c r="AA653" s="72"/>
      <c r="AF653" s="72"/>
      <c r="AG653" s="72"/>
      <c r="AH653" s="72"/>
    </row>
    <row r="654" spans="2:34">
      <c r="B654" s="72" t="s">
        <v>1835</v>
      </c>
      <c r="C654" s="73" t="s">
        <v>1691</v>
      </c>
      <c r="N654" s="72" t="s">
        <v>1805</v>
      </c>
      <c r="P654" s="72"/>
      <c r="Q654" s="72"/>
      <c r="R654" s="72"/>
      <c r="S654" s="72"/>
      <c r="T654" s="72"/>
      <c r="U654" s="72"/>
      <c r="V654" s="72"/>
      <c r="W654" s="72"/>
      <c r="X654" s="72"/>
      <c r="Y654" s="72"/>
      <c r="Z654" s="72"/>
      <c r="AA654" s="72"/>
      <c r="AF654" s="72"/>
      <c r="AG654" s="72"/>
      <c r="AH654" s="72"/>
    </row>
    <row r="655" spans="2:34">
      <c r="B655" s="72" t="s">
        <v>1834</v>
      </c>
      <c r="C655" s="73" t="s">
        <v>1691</v>
      </c>
      <c r="N655" s="72" t="s">
        <v>1805</v>
      </c>
      <c r="P655" s="72"/>
      <c r="Q655" s="72"/>
      <c r="R655" s="72"/>
      <c r="S655" s="72"/>
      <c r="T655" s="72"/>
      <c r="U655" s="72"/>
      <c r="V655" s="72"/>
      <c r="W655" s="72"/>
      <c r="X655" s="72"/>
      <c r="Y655" s="72"/>
      <c r="Z655" s="72"/>
      <c r="AA655" s="72"/>
      <c r="AF655" s="72"/>
      <c r="AG655" s="72"/>
      <c r="AH655" s="72"/>
    </row>
    <row r="656" spans="2:34">
      <c r="B656" s="72" t="s">
        <v>1833</v>
      </c>
      <c r="C656" s="73" t="s">
        <v>1691</v>
      </c>
      <c r="N656" s="72" t="s">
        <v>1805</v>
      </c>
      <c r="P656" s="72"/>
      <c r="Q656" s="72"/>
      <c r="R656" s="72"/>
      <c r="S656" s="72"/>
      <c r="T656" s="72"/>
      <c r="U656" s="72"/>
      <c r="V656" s="72"/>
      <c r="W656" s="72"/>
      <c r="X656" s="72"/>
      <c r="Y656" s="72"/>
      <c r="Z656" s="72"/>
      <c r="AA656" s="72"/>
      <c r="AF656" s="72"/>
      <c r="AG656" s="72"/>
      <c r="AH656" s="72"/>
    </row>
    <row r="657" spans="2:34">
      <c r="B657" s="72" t="s">
        <v>1832</v>
      </c>
      <c r="C657" s="73" t="s">
        <v>1691</v>
      </c>
      <c r="N657" s="72" t="s">
        <v>1805</v>
      </c>
      <c r="P657" s="72"/>
      <c r="Q657" s="72"/>
      <c r="R657" s="72"/>
      <c r="S657" s="72"/>
      <c r="T657" s="72"/>
      <c r="U657" s="72"/>
      <c r="V657" s="72"/>
      <c r="W657" s="72"/>
      <c r="X657" s="72"/>
      <c r="Y657" s="72"/>
      <c r="Z657" s="72"/>
      <c r="AA657" s="72"/>
      <c r="AF657" s="72"/>
      <c r="AG657" s="72"/>
      <c r="AH657" s="72"/>
    </row>
    <row r="658" spans="2:34">
      <c r="B658" s="72" t="s">
        <v>1831</v>
      </c>
      <c r="C658" s="73" t="s">
        <v>1691</v>
      </c>
      <c r="N658" s="72" t="s">
        <v>1805</v>
      </c>
      <c r="P658" s="72"/>
      <c r="Q658" s="72"/>
      <c r="R658" s="72"/>
      <c r="S658" s="72"/>
      <c r="T658" s="72"/>
      <c r="U658" s="72"/>
      <c r="V658" s="72"/>
      <c r="W658" s="72"/>
      <c r="X658" s="72"/>
      <c r="Y658" s="72"/>
      <c r="Z658" s="72"/>
      <c r="AA658" s="72"/>
      <c r="AF658" s="72"/>
      <c r="AG658" s="72"/>
      <c r="AH658" s="72"/>
    </row>
    <row r="659" spans="2:34">
      <c r="B659" s="72" t="s">
        <v>1830</v>
      </c>
      <c r="C659" s="73" t="s">
        <v>1691</v>
      </c>
      <c r="N659" s="72" t="s">
        <v>1805</v>
      </c>
      <c r="P659" s="72"/>
      <c r="Q659" s="72"/>
      <c r="R659" s="72"/>
      <c r="S659" s="72"/>
      <c r="T659" s="72"/>
      <c r="U659" s="72"/>
      <c r="V659" s="72"/>
      <c r="W659" s="72"/>
      <c r="X659" s="72"/>
      <c r="Y659" s="72"/>
      <c r="Z659" s="72"/>
      <c r="AA659" s="72"/>
      <c r="AF659" s="72"/>
      <c r="AG659" s="72"/>
      <c r="AH659" s="72"/>
    </row>
    <row r="660" spans="2:34">
      <c r="B660" s="72" t="s">
        <v>1829</v>
      </c>
      <c r="C660" s="73" t="s">
        <v>1691</v>
      </c>
      <c r="N660" s="72" t="s">
        <v>1805</v>
      </c>
      <c r="P660" s="72"/>
      <c r="Q660" s="72"/>
      <c r="R660" s="72"/>
      <c r="S660" s="72"/>
      <c r="T660" s="72"/>
      <c r="U660" s="72"/>
      <c r="V660" s="72"/>
      <c r="W660" s="72"/>
      <c r="X660" s="72"/>
      <c r="Y660" s="72"/>
      <c r="Z660" s="72"/>
      <c r="AA660" s="72"/>
      <c r="AF660" s="72"/>
      <c r="AG660" s="72"/>
      <c r="AH660" s="72"/>
    </row>
    <row r="661" spans="2:34">
      <c r="B661" s="72" t="s">
        <v>1828</v>
      </c>
      <c r="C661" s="73" t="s">
        <v>1691</v>
      </c>
      <c r="N661" s="72" t="s">
        <v>1805</v>
      </c>
      <c r="P661" s="72"/>
      <c r="Q661" s="72"/>
      <c r="R661" s="72"/>
      <c r="S661" s="72"/>
      <c r="T661" s="72"/>
      <c r="U661" s="72"/>
      <c r="V661" s="72"/>
      <c r="W661" s="72"/>
      <c r="X661" s="72"/>
      <c r="Y661" s="72"/>
      <c r="Z661" s="72"/>
      <c r="AA661" s="72"/>
      <c r="AF661" s="72"/>
      <c r="AG661" s="72"/>
      <c r="AH661" s="72"/>
    </row>
    <row r="662" spans="2:34">
      <c r="B662" s="72" t="s">
        <v>1827</v>
      </c>
      <c r="C662" s="73" t="s">
        <v>1691</v>
      </c>
      <c r="N662" s="72" t="s">
        <v>1805</v>
      </c>
      <c r="P662" s="72"/>
      <c r="Q662" s="72"/>
      <c r="R662" s="72"/>
      <c r="S662" s="72"/>
      <c r="T662" s="72"/>
      <c r="U662" s="72"/>
      <c r="V662" s="72"/>
      <c r="W662" s="72"/>
      <c r="X662" s="72"/>
      <c r="Y662" s="72"/>
      <c r="Z662" s="72"/>
      <c r="AA662" s="72"/>
      <c r="AF662" s="72"/>
      <c r="AG662" s="72"/>
      <c r="AH662" s="72"/>
    </row>
    <row r="663" spans="2:34">
      <c r="B663" s="72" t="s">
        <v>1826</v>
      </c>
      <c r="C663" s="73" t="s">
        <v>1691</v>
      </c>
      <c r="N663" s="72" t="s">
        <v>1805</v>
      </c>
      <c r="P663" s="72"/>
      <c r="Q663" s="72"/>
      <c r="R663" s="72"/>
      <c r="S663" s="72"/>
      <c r="T663" s="72"/>
      <c r="U663" s="72"/>
      <c r="V663" s="72"/>
      <c r="W663" s="72"/>
      <c r="X663" s="72"/>
      <c r="Y663" s="72"/>
      <c r="Z663" s="72"/>
      <c r="AA663" s="72"/>
      <c r="AF663" s="72"/>
      <c r="AG663" s="72"/>
      <c r="AH663" s="72"/>
    </row>
    <row r="664" spans="2:34">
      <c r="B664" s="72" t="s">
        <v>1825</v>
      </c>
      <c r="C664" s="73" t="s">
        <v>1691</v>
      </c>
      <c r="N664" s="72" t="s">
        <v>1805</v>
      </c>
      <c r="P664" s="72"/>
      <c r="Q664" s="72"/>
      <c r="R664" s="72"/>
      <c r="S664" s="72"/>
      <c r="T664" s="72"/>
      <c r="U664" s="72"/>
      <c r="V664" s="72"/>
      <c r="W664" s="72"/>
      <c r="X664" s="72"/>
      <c r="Y664" s="72"/>
      <c r="Z664" s="72"/>
      <c r="AA664" s="72"/>
      <c r="AF664" s="72"/>
      <c r="AG664" s="72"/>
      <c r="AH664" s="72"/>
    </row>
    <row r="665" spans="2:34">
      <c r="B665" s="72" t="s">
        <v>1824</v>
      </c>
      <c r="C665" s="73" t="s">
        <v>1691</v>
      </c>
      <c r="N665" s="72" t="s">
        <v>1805</v>
      </c>
      <c r="P665" s="72"/>
      <c r="Q665" s="72"/>
      <c r="R665" s="72"/>
      <c r="S665" s="72"/>
      <c r="T665" s="72"/>
      <c r="U665" s="72"/>
      <c r="V665" s="72"/>
      <c r="W665" s="72"/>
      <c r="X665" s="72"/>
      <c r="Y665" s="72"/>
      <c r="Z665" s="72"/>
      <c r="AA665" s="72"/>
      <c r="AF665" s="72"/>
      <c r="AG665" s="72"/>
      <c r="AH665" s="72"/>
    </row>
    <row r="666" spans="2:34">
      <c r="B666" s="72" t="s">
        <v>1823</v>
      </c>
      <c r="C666" s="73" t="s">
        <v>1691</v>
      </c>
      <c r="N666" s="72" t="s">
        <v>1805</v>
      </c>
      <c r="P666" s="72"/>
      <c r="Q666" s="72"/>
      <c r="R666" s="72"/>
      <c r="S666" s="72"/>
      <c r="T666" s="72"/>
      <c r="U666" s="72"/>
      <c r="V666" s="72"/>
      <c r="W666" s="72"/>
      <c r="X666" s="72"/>
      <c r="Y666" s="72"/>
      <c r="Z666" s="72"/>
      <c r="AA666" s="72"/>
      <c r="AF666" s="72"/>
      <c r="AG666" s="72"/>
      <c r="AH666" s="72"/>
    </row>
    <row r="667" spans="2:34">
      <c r="B667" s="72" t="s">
        <v>1822</v>
      </c>
      <c r="C667" s="73" t="s">
        <v>1691</v>
      </c>
      <c r="N667" s="72" t="s">
        <v>1805</v>
      </c>
      <c r="P667" s="72"/>
      <c r="Q667" s="72"/>
      <c r="R667" s="72"/>
      <c r="S667" s="72"/>
      <c r="T667" s="72"/>
      <c r="U667" s="72"/>
      <c r="V667" s="72"/>
      <c r="W667" s="72"/>
      <c r="X667" s="72"/>
      <c r="Y667" s="72"/>
      <c r="Z667" s="72"/>
      <c r="AA667" s="72"/>
      <c r="AF667" s="72"/>
      <c r="AG667" s="72"/>
      <c r="AH667" s="72"/>
    </row>
    <row r="668" spans="2:34">
      <c r="B668" s="72" t="s">
        <v>1821</v>
      </c>
      <c r="C668" s="73" t="s">
        <v>1691</v>
      </c>
      <c r="N668" s="72" t="s">
        <v>1805</v>
      </c>
      <c r="P668" s="72"/>
      <c r="Q668" s="72"/>
      <c r="R668" s="72"/>
      <c r="S668" s="72"/>
      <c r="T668" s="72"/>
      <c r="U668" s="72"/>
      <c r="V668" s="72"/>
      <c r="W668" s="72"/>
      <c r="X668" s="72"/>
      <c r="Y668" s="72"/>
      <c r="Z668" s="72"/>
      <c r="AA668" s="72"/>
      <c r="AF668" s="72"/>
      <c r="AG668" s="72"/>
      <c r="AH668" s="72"/>
    </row>
    <row r="669" spans="2:34">
      <c r="B669" s="72" t="s">
        <v>1820</v>
      </c>
      <c r="C669" s="73" t="s">
        <v>1691</v>
      </c>
      <c r="N669" s="72" t="s">
        <v>1805</v>
      </c>
      <c r="P669" s="72"/>
      <c r="Q669" s="72"/>
      <c r="R669" s="72"/>
      <c r="S669" s="72"/>
      <c r="T669" s="72"/>
      <c r="U669" s="72"/>
      <c r="V669" s="72"/>
      <c r="W669" s="72"/>
      <c r="X669" s="72"/>
      <c r="Y669" s="72"/>
      <c r="Z669" s="72"/>
      <c r="AA669" s="72"/>
      <c r="AF669" s="72"/>
      <c r="AG669" s="72"/>
      <c r="AH669" s="72"/>
    </row>
    <row r="670" spans="2:34">
      <c r="B670" s="72" t="s">
        <v>1819</v>
      </c>
      <c r="C670" s="73" t="s">
        <v>1691</v>
      </c>
      <c r="N670" s="72" t="s">
        <v>1805</v>
      </c>
      <c r="P670" s="72"/>
      <c r="Q670" s="72"/>
      <c r="R670" s="72"/>
      <c r="S670" s="72"/>
      <c r="T670" s="72"/>
      <c r="U670" s="72"/>
      <c r="V670" s="72"/>
      <c r="W670" s="72"/>
      <c r="X670" s="72"/>
      <c r="Y670" s="72"/>
      <c r="Z670" s="72"/>
      <c r="AA670" s="72"/>
      <c r="AF670" s="72"/>
      <c r="AG670" s="72"/>
      <c r="AH670" s="72"/>
    </row>
    <row r="671" spans="2:34">
      <c r="B671" s="72" t="s">
        <v>1818</v>
      </c>
      <c r="C671" s="73" t="s">
        <v>1691</v>
      </c>
      <c r="N671" s="72" t="s">
        <v>1805</v>
      </c>
      <c r="P671" s="72"/>
      <c r="Q671" s="72"/>
      <c r="R671" s="72"/>
      <c r="S671" s="72"/>
      <c r="T671" s="72"/>
      <c r="U671" s="72"/>
      <c r="V671" s="72"/>
      <c r="W671" s="72"/>
      <c r="X671" s="72"/>
      <c r="Y671" s="72"/>
      <c r="Z671" s="72"/>
      <c r="AA671" s="72"/>
      <c r="AF671" s="72"/>
      <c r="AG671" s="72"/>
      <c r="AH671" s="72"/>
    </row>
    <row r="672" spans="2:34">
      <c r="B672" s="72" t="s">
        <v>1817</v>
      </c>
      <c r="C672" s="73" t="s">
        <v>1691</v>
      </c>
      <c r="N672" s="72" t="s">
        <v>1805</v>
      </c>
      <c r="P672" s="72"/>
      <c r="Q672" s="72"/>
      <c r="R672" s="72"/>
      <c r="S672" s="72"/>
      <c r="T672" s="72"/>
      <c r="U672" s="72"/>
      <c r="V672" s="72"/>
      <c r="W672" s="72"/>
      <c r="X672" s="72"/>
      <c r="Y672" s="72"/>
      <c r="Z672" s="72"/>
      <c r="AA672" s="72"/>
      <c r="AF672" s="72"/>
      <c r="AG672" s="72"/>
      <c r="AH672" s="72"/>
    </row>
    <row r="673" spans="2:34">
      <c r="B673" s="72" t="s">
        <v>1816</v>
      </c>
      <c r="C673" s="73" t="s">
        <v>1691</v>
      </c>
      <c r="N673" s="72" t="s">
        <v>1805</v>
      </c>
      <c r="P673" s="72"/>
      <c r="Q673" s="72"/>
      <c r="R673" s="72"/>
      <c r="S673" s="72"/>
      <c r="T673" s="72"/>
      <c r="U673" s="72"/>
      <c r="V673" s="72"/>
      <c r="W673" s="72"/>
      <c r="X673" s="72"/>
      <c r="Y673" s="72"/>
      <c r="Z673" s="72"/>
      <c r="AA673" s="72"/>
      <c r="AF673" s="72"/>
      <c r="AG673" s="72"/>
      <c r="AH673" s="72"/>
    </row>
    <row r="674" spans="2:34">
      <c r="B674" s="72" t="s">
        <v>1815</v>
      </c>
      <c r="C674" s="73" t="s">
        <v>1691</v>
      </c>
      <c r="N674" s="72" t="s">
        <v>1805</v>
      </c>
      <c r="P674" s="72"/>
      <c r="Q674" s="72"/>
      <c r="R674" s="72"/>
      <c r="S674" s="72"/>
      <c r="T674" s="72"/>
      <c r="U674" s="72"/>
      <c r="V674" s="72"/>
      <c r="W674" s="72"/>
      <c r="X674" s="72"/>
      <c r="Y674" s="72"/>
      <c r="Z674" s="72"/>
      <c r="AA674" s="72"/>
      <c r="AF674" s="72"/>
      <c r="AG674" s="72"/>
      <c r="AH674" s="72"/>
    </row>
    <row r="675" spans="2:34">
      <c r="B675" s="72" t="s">
        <v>1814</v>
      </c>
      <c r="C675" s="73" t="s">
        <v>1691</v>
      </c>
      <c r="N675" s="72" t="s">
        <v>1805</v>
      </c>
      <c r="P675" s="72"/>
      <c r="Q675" s="72"/>
      <c r="R675" s="72"/>
      <c r="S675" s="72"/>
      <c r="T675" s="72"/>
      <c r="U675" s="72"/>
      <c r="V675" s="72"/>
      <c r="W675" s="72"/>
      <c r="X675" s="72"/>
      <c r="Y675" s="72"/>
      <c r="Z675" s="72"/>
      <c r="AA675" s="72"/>
      <c r="AF675" s="72"/>
      <c r="AG675" s="72"/>
      <c r="AH675" s="72"/>
    </row>
    <row r="676" spans="2:34">
      <c r="B676" s="72" t="s">
        <v>1813</v>
      </c>
      <c r="C676" s="73" t="s">
        <v>1691</v>
      </c>
      <c r="N676" s="72" t="s">
        <v>1805</v>
      </c>
      <c r="P676" s="72"/>
      <c r="Q676" s="72"/>
      <c r="R676" s="72"/>
      <c r="S676" s="72"/>
      <c r="T676" s="72"/>
      <c r="U676" s="72"/>
      <c r="V676" s="72"/>
      <c r="W676" s="72"/>
      <c r="X676" s="72"/>
      <c r="Y676" s="72"/>
      <c r="Z676" s="72"/>
      <c r="AA676" s="72"/>
      <c r="AF676" s="72"/>
      <c r="AG676" s="72"/>
      <c r="AH676" s="72"/>
    </row>
    <row r="677" spans="2:34">
      <c r="B677" s="72" t="s">
        <v>1812</v>
      </c>
      <c r="C677" s="73" t="s">
        <v>1691</v>
      </c>
      <c r="N677" s="72" t="s">
        <v>1805</v>
      </c>
      <c r="P677" s="72"/>
      <c r="Q677" s="72"/>
      <c r="R677" s="72"/>
      <c r="S677" s="72"/>
      <c r="T677" s="72"/>
      <c r="U677" s="72"/>
      <c r="V677" s="72"/>
      <c r="W677" s="72"/>
      <c r="X677" s="72"/>
      <c r="Y677" s="72"/>
      <c r="Z677" s="72"/>
      <c r="AA677" s="72"/>
      <c r="AF677" s="72"/>
      <c r="AG677" s="72"/>
      <c r="AH677" s="72"/>
    </row>
    <row r="678" spans="2:34">
      <c r="B678" s="72" t="s">
        <v>1811</v>
      </c>
      <c r="C678" s="73" t="s">
        <v>1691</v>
      </c>
      <c r="N678" s="72" t="s">
        <v>1805</v>
      </c>
      <c r="P678" s="72"/>
      <c r="Q678" s="72"/>
      <c r="R678" s="72"/>
      <c r="S678" s="72"/>
      <c r="T678" s="72"/>
      <c r="U678" s="72"/>
      <c r="V678" s="72"/>
      <c r="W678" s="72"/>
      <c r="X678" s="72"/>
      <c r="Y678" s="72"/>
      <c r="Z678" s="72"/>
      <c r="AA678" s="72"/>
      <c r="AF678" s="72"/>
      <c r="AG678" s="72"/>
      <c r="AH678" s="72"/>
    </row>
    <row r="679" spans="2:34">
      <c r="B679" s="72" t="s">
        <v>1810</v>
      </c>
      <c r="C679" s="73" t="s">
        <v>1691</v>
      </c>
      <c r="N679" s="72" t="s">
        <v>1805</v>
      </c>
      <c r="P679" s="72"/>
      <c r="Q679" s="72"/>
      <c r="R679" s="72"/>
      <c r="S679" s="72"/>
      <c r="T679" s="72"/>
      <c r="U679" s="72"/>
      <c r="V679" s="72"/>
      <c r="W679" s="72"/>
      <c r="X679" s="72"/>
      <c r="Y679" s="72"/>
      <c r="Z679" s="72"/>
      <c r="AA679" s="72"/>
      <c r="AF679" s="72"/>
      <c r="AG679" s="72"/>
      <c r="AH679" s="72"/>
    </row>
    <row r="680" spans="2:34">
      <c r="B680" s="72" t="s">
        <v>1809</v>
      </c>
      <c r="C680" s="73" t="s">
        <v>1691</v>
      </c>
      <c r="N680" s="72" t="s">
        <v>1805</v>
      </c>
      <c r="P680" s="72"/>
      <c r="Q680" s="72"/>
      <c r="R680" s="72"/>
      <c r="S680" s="72"/>
      <c r="T680" s="72"/>
      <c r="U680" s="72"/>
      <c r="V680" s="72"/>
      <c r="W680" s="72"/>
      <c r="X680" s="72"/>
      <c r="Y680" s="72"/>
      <c r="Z680" s="72"/>
      <c r="AA680" s="72"/>
      <c r="AF680" s="72"/>
      <c r="AG680" s="72"/>
      <c r="AH680" s="72"/>
    </row>
    <row r="681" spans="2:34">
      <c r="B681" s="72" t="s">
        <v>1808</v>
      </c>
      <c r="C681" s="73" t="s">
        <v>1691</v>
      </c>
      <c r="N681" s="72" t="s">
        <v>1805</v>
      </c>
      <c r="P681" s="72"/>
      <c r="Q681" s="72"/>
      <c r="R681" s="72"/>
      <c r="S681" s="72"/>
      <c r="T681" s="72"/>
      <c r="U681" s="72"/>
      <c r="V681" s="72"/>
      <c r="W681" s="72"/>
      <c r="X681" s="72"/>
      <c r="Y681" s="72"/>
      <c r="Z681" s="72"/>
      <c r="AA681" s="72"/>
      <c r="AF681" s="72"/>
      <c r="AG681" s="72"/>
      <c r="AH681" s="72"/>
    </row>
    <row r="682" spans="2:34">
      <c r="B682" s="72" t="s">
        <v>1807</v>
      </c>
      <c r="C682" s="73" t="s">
        <v>1691</v>
      </c>
      <c r="N682" s="72" t="s">
        <v>1805</v>
      </c>
      <c r="P682" s="72"/>
      <c r="Q682" s="72"/>
      <c r="R682" s="72"/>
      <c r="S682" s="72"/>
      <c r="T682" s="72"/>
      <c r="U682" s="72"/>
      <c r="V682" s="72"/>
      <c r="W682" s="72"/>
      <c r="X682" s="72"/>
      <c r="Y682" s="72"/>
      <c r="Z682" s="72"/>
      <c r="AA682" s="72"/>
      <c r="AF682" s="72"/>
      <c r="AG682" s="72"/>
      <c r="AH682" s="72"/>
    </row>
    <row r="683" spans="2:34">
      <c r="B683" s="72" t="s">
        <v>1806</v>
      </c>
      <c r="C683" s="73" t="s">
        <v>1691</v>
      </c>
      <c r="N683" s="72" t="s">
        <v>1805</v>
      </c>
      <c r="P683" s="72"/>
      <c r="Q683" s="72"/>
      <c r="R683" s="72"/>
      <c r="S683" s="72"/>
      <c r="T683" s="72"/>
      <c r="U683" s="72"/>
      <c r="V683" s="72"/>
      <c r="W683" s="72"/>
      <c r="X683" s="72"/>
      <c r="Y683" s="72"/>
      <c r="Z683" s="72"/>
      <c r="AA683" s="72"/>
      <c r="AF683" s="72"/>
      <c r="AG683" s="72"/>
      <c r="AH683" s="72"/>
    </row>
    <row r="684" spans="2:34">
      <c r="B684" s="72" t="s">
        <v>1804</v>
      </c>
      <c r="C684" s="73" t="s">
        <v>1691</v>
      </c>
      <c r="N684" s="72" t="s">
        <v>1706</v>
      </c>
      <c r="P684" s="72"/>
      <c r="Q684" s="72"/>
      <c r="R684" s="72"/>
      <c r="S684" s="72"/>
      <c r="T684" s="72"/>
      <c r="U684" s="72"/>
      <c r="V684" s="72"/>
      <c r="W684" s="72"/>
      <c r="X684" s="72"/>
      <c r="Y684" s="72"/>
      <c r="Z684" s="72"/>
      <c r="AA684" s="72"/>
      <c r="AF684" s="72"/>
      <c r="AG684" s="72"/>
      <c r="AH684" s="72"/>
    </row>
    <row r="685" spans="2:34">
      <c r="B685" s="72" t="s">
        <v>1803</v>
      </c>
      <c r="C685" s="73" t="s">
        <v>1691</v>
      </c>
      <c r="N685" s="72" t="s">
        <v>1706</v>
      </c>
      <c r="P685" s="72"/>
      <c r="Q685" s="72"/>
      <c r="R685" s="72"/>
      <c r="S685" s="72"/>
      <c r="T685" s="72"/>
      <c r="U685" s="72"/>
      <c r="V685" s="72"/>
      <c r="W685" s="72"/>
      <c r="X685" s="72"/>
      <c r="Y685" s="72"/>
      <c r="Z685" s="72"/>
      <c r="AA685" s="72"/>
      <c r="AF685" s="72"/>
      <c r="AG685" s="72"/>
      <c r="AH685" s="72"/>
    </row>
    <row r="686" spans="2:34">
      <c r="B686" s="72" t="s">
        <v>1802</v>
      </c>
      <c r="C686" s="73" t="s">
        <v>1691</v>
      </c>
      <c r="N686" s="72" t="s">
        <v>1706</v>
      </c>
      <c r="P686" s="72"/>
      <c r="Q686" s="72"/>
      <c r="R686" s="72"/>
      <c r="S686" s="72"/>
      <c r="T686" s="72"/>
      <c r="U686" s="72"/>
      <c r="V686" s="72"/>
      <c r="W686" s="72"/>
      <c r="X686" s="72"/>
      <c r="Y686" s="72"/>
      <c r="Z686" s="72"/>
      <c r="AA686" s="72"/>
      <c r="AF686" s="72"/>
      <c r="AG686" s="72"/>
      <c r="AH686" s="72"/>
    </row>
    <row r="687" spans="2:34">
      <c r="B687" s="72" t="s">
        <v>1801</v>
      </c>
      <c r="C687" s="73" t="s">
        <v>1691</v>
      </c>
      <c r="N687" s="72" t="s">
        <v>1706</v>
      </c>
      <c r="P687" s="72"/>
      <c r="Q687" s="72"/>
      <c r="R687" s="72"/>
      <c r="S687" s="72"/>
      <c r="T687" s="72"/>
      <c r="U687" s="72"/>
      <c r="V687" s="72"/>
      <c r="W687" s="72"/>
      <c r="X687" s="72"/>
      <c r="Y687" s="72"/>
      <c r="Z687" s="72"/>
      <c r="AA687" s="72"/>
      <c r="AF687" s="72"/>
      <c r="AG687" s="72"/>
      <c r="AH687" s="72"/>
    </row>
    <row r="688" spans="2:34">
      <c r="B688" s="72" t="s">
        <v>1800</v>
      </c>
      <c r="C688" s="73" t="s">
        <v>1691</v>
      </c>
      <c r="N688" s="72" t="s">
        <v>1706</v>
      </c>
      <c r="P688" s="72"/>
      <c r="Q688" s="72"/>
      <c r="R688" s="72"/>
      <c r="S688" s="72"/>
      <c r="T688" s="72"/>
      <c r="U688" s="72"/>
      <c r="V688" s="72"/>
      <c r="W688" s="72"/>
      <c r="X688" s="72"/>
      <c r="Y688" s="72"/>
      <c r="Z688" s="72"/>
      <c r="AA688" s="72"/>
      <c r="AF688" s="72"/>
      <c r="AG688" s="72"/>
      <c r="AH688" s="72"/>
    </row>
    <row r="689" spans="2:34">
      <c r="B689" s="72" t="s">
        <v>1799</v>
      </c>
      <c r="C689" s="73" t="s">
        <v>1691</v>
      </c>
      <c r="N689" s="72" t="s">
        <v>1706</v>
      </c>
      <c r="P689" s="72"/>
      <c r="Q689" s="72"/>
      <c r="R689" s="72"/>
      <c r="S689" s="72"/>
      <c r="T689" s="72"/>
      <c r="U689" s="72"/>
      <c r="V689" s="72"/>
      <c r="W689" s="72"/>
      <c r="X689" s="72"/>
      <c r="Y689" s="72"/>
      <c r="Z689" s="72"/>
      <c r="AA689" s="72"/>
      <c r="AF689" s="72"/>
      <c r="AG689" s="72"/>
      <c r="AH689" s="72"/>
    </row>
    <row r="690" spans="2:34">
      <c r="B690" s="72" t="s">
        <v>1798</v>
      </c>
      <c r="C690" s="73" t="s">
        <v>1691</v>
      </c>
      <c r="N690" s="72" t="s">
        <v>1706</v>
      </c>
      <c r="P690" s="72"/>
      <c r="Q690" s="72"/>
      <c r="R690" s="72"/>
      <c r="S690" s="72"/>
      <c r="T690" s="72"/>
      <c r="U690" s="72"/>
      <c r="V690" s="72"/>
      <c r="W690" s="72"/>
      <c r="X690" s="72"/>
      <c r="Y690" s="72"/>
      <c r="Z690" s="72"/>
      <c r="AA690" s="72"/>
      <c r="AF690" s="72"/>
      <c r="AG690" s="72"/>
      <c r="AH690" s="72"/>
    </row>
    <row r="691" spans="2:34">
      <c r="B691" s="72" t="s">
        <v>1797</v>
      </c>
      <c r="C691" s="73" t="s">
        <v>1691</v>
      </c>
      <c r="N691" s="72" t="s">
        <v>1706</v>
      </c>
      <c r="P691" s="72"/>
      <c r="Q691" s="72"/>
      <c r="R691" s="72"/>
      <c r="S691" s="72"/>
      <c r="T691" s="72"/>
      <c r="U691" s="72"/>
      <c r="V691" s="72"/>
      <c r="W691" s="72"/>
      <c r="X691" s="72"/>
      <c r="Y691" s="72"/>
      <c r="Z691" s="72"/>
      <c r="AA691" s="72"/>
      <c r="AF691" s="72"/>
      <c r="AG691" s="72"/>
      <c r="AH691" s="72"/>
    </row>
    <row r="692" spans="2:34">
      <c r="B692" s="72" t="s">
        <v>1796</v>
      </c>
      <c r="C692" s="73" t="s">
        <v>1691</v>
      </c>
      <c r="N692" s="72" t="s">
        <v>1706</v>
      </c>
      <c r="P692" s="72"/>
      <c r="Q692" s="72"/>
      <c r="R692" s="72"/>
      <c r="S692" s="72"/>
      <c r="T692" s="72"/>
      <c r="U692" s="72"/>
      <c r="V692" s="72"/>
      <c r="W692" s="72"/>
      <c r="X692" s="72"/>
      <c r="Y692" s="72"/>
      <c r="Z692" s="72"/>
      <c r="AA692" s="72"/>
      <c r="AF692" s="72"/>
      <c r="AG692" s="72"/>
      <c r="AH692" s="72"/>
    </row>
    <row r="693" spans="2:34">
      <c r="B693" s="72" t="s">
        <v>1795</v>
      </c>
      <c r="C693" s="73" t="s">
        <v>1691</v>
      </c>
      <c r="N693" s="72" t="s">
        <v>1706</v>
      </c>
      <c r="P693" s="72"/>
      <c r="Q693" s="72"/>
      <c r="R693" s="72"/>
      <c r="S693" s="72"/>
      <c r="T693" s="72"/>
      <c r="U693" s="72"/>
      <c r="V693" s="72"/>
      <c r="W693" s="72"/>
      <c r="X693" s="72"/>
      <c r="Y693" s="72"/>
      <c r="Z693" s="72"/>
      <c r="AA693" s="72"/>
      <c r="AF693" s="72"/>
      <c r="AG693" s="72"/>
      <c r="AH693" s="72"/>
    </row>
    <row r="694" spans="2:34">
      <c r="B694" s="72" t="s">
        <v>1794</v>
      </c>
      <c r="C694" s="73" t="s">
        <v>1691</v>
      </c>
      <c r="N694" s="72" t="s">
        <v>1706</v>
      </c>
      <c r="P694" s="72"/>
      <c r="Q694" s="72"/>
      <c r="R694" s="72"/>
      <c r="S694" s="72"/>
      <c r="T694" s="72"/>
      <c r="U694" s="72"/>
      <c r="V694" s="72"/>
      <c r="W694" s="72"/>
      <c r="X694" s="72"/>
      <c r="Y694" s="72"/>
      <c r="Z694" s="72"/>
      <c r="AA694" s="72"/>
      <c r="AF694" s="72"/>
      <c r="AG694" s="72"/>
      <c r="AH694" s="72"/>
    </row>
    <row r="695" spans="2:34">
      <c r="B695" s="72" t="s">
        <v>1793</v>
      </c>
      <c r="C695" s="73" t="s">
        <v>1691</v>
      </c>
      <c r="N695" s="72" t="s">
        <v>1706</v>
      </c>
      <c r="P695" s="72"/>
      <c r="Q695" s="72"/>
      <c r="R695" s="72"/>
      <c r="S695" s="72"/>
      <c r="T695" s="72"/>
      <c r="U695" s="72"/>
      <c r="V695" s="72"/>
      <c r="W695" s="72"/>
      <c r="X695" s="72"/>
      <c r="Y695" s="72"/>
      <c r="Z695" s="72"/>
      <c r="AA695" s="72"/>
      <c r="AF695" s="72"/>
      <c r="AG695" s="72"/>
      <c r="AH695" s="72"/>
    </row>
    <row r="696" spans="2:34">
      <c r="B696" s="72" t="s">
        <v>1792</v>
      </c>
      <c r="C696" s="73" t="s">
        <v>1691</v>
      </c>
      <c r="N696" s="72" t="s">
        <v>1706</v>
      </c>
      <c r="P696" s="72"/>
      <c r="Q696" s="72"/>
      <c r="R696" s="72"/>
      <c r="S696" s="72"/>
      <c r="T696" s="72"/>
      <c r="U696" s="72"/>
      <c r="V696" s="72"/>
      <c r="W696" s="72"/>
      <c r="X696" s="72"/>
      <c r="Y696" s="72"/>
      <c r="Z696" s="72"/>
      <c r="AA696" s="72"/>
      <c r="AF696" s="72"/>
      <c r="AG696" s="72"/>
      <c r="AH696" s="72"/>
    </row>
    <row r="697" spans="2:34" s="12" customFormat="1">
      <c r="B697" s="12" t="s">
        <v>1791</v>
      </c>
      <c r="C697" s="29" t="s">
        <v>1691</v>
      </c>
      <c r="D697" s="15"/>
      <c r="F697" s="15"/>
      <c r="G697" s="15"/>
      <c r="H697" s="13"/>
      <c r="K697" s="12" t="s">
        <v>2524</v>
      </c>
      <c r="N697" s="12" t="s">
        <v>1706</v>
      </c>
    </row>
    <row r="698" spans="2:34">
      <c r="B698" s="72" t="s">
        <v>1790</v>
      </c>
      <c r="C698" s="73" t="s">
        <v>1691</v>
      </c>
      <c r="N698" s="72" t="s">
        <v>1706</v>
      </c>
      <c r="P698" s="72"/>
      <c r="Q698" s="72"/>
      <c r="R698" s="72"/>
      <c r="S698" s="72"/>
      <c r="T698" s="72"/>
      <c r="U698" s="72"/>
      <c r="V698" s="72"/>
      <c r="W698" s="72"/>
      <c r="X698" s="72"/>
      <c r="Y698" s="72"/>
      <c r="Z698" s="72"/>
      <c r="AA698" s="72"/>
      <c r="AF698" s="72"/>
      <c r="AG698" s="72"/>
      <c r="AH698" s="72"/>
    </row>
    <row r="699" spans="2:34">
      <c r="B699" s="72" t="s">
        <v>1789</v>
      </c>
      <c r="C699" s="73" t="s">
        <v>1691</v>
      </c>
      <c r="N699" s="72" t="s">
        <v>1706</v>
      </c>
      <c r="P699" s="72"/>
      <c r="Q699" s="72"/>
      <c r="R699" s="72"/>
      <c r="S699" s="72"/>
      <c r="T699" s="72"/>
      <c r="U699" s="72"/>
      <c r="V699" s="72"/>
      <c r="W699" s="72"/>
      <c r="X699" s="72"/>
      <c r="Y699" s="72"/>
      <c r="Z699" s="72"/>
      <c r="AA699" s="72"/>
      <c r="AF699" s="72"/>
      <c r="AG699" s="72"/>
      <c r="AH699" s="72"/>
    </row>
    <row r="700" spans="2:34">
      <c r="B700" s="72" t="s">
        <v>1788</v>
      </c>
      <c r="C700" s="73" t="s">
        <v>1691</v>
      </c>
      <c r="N700" s="72" t="s">
        <v>1706</v>
      </c>
      <c r="P700" s="72"/>
      <c r="Q700" s="72"/>
      <c r="R700" s="72"/>
      <c r="S700" s="72"/>
      <c r="T700" s="72"/>
      <c r="U700" s="72"/>
      <c r="V700" s="72"/>
      <c r="W700" s="72"/>
      <c r="X700" s="72"/>
      <c r="Y700" s="72"/>
      <c r="Z700" s="72"/>
      <c r="AA700" s="72"/>
      <c r="AF700" s="72"/>
      <c r="AG700" s="72"/>
      <c r="AH700" s="72"/>
    </row>
    <row r="701" spans="2:34">
      <c r="B701" s="72" t="s">
        <v>1787</v>
      </c>
      <c r="C701" s="73" t="s">
        <v>1691</v>
      </c>
      <c r="N701" s="72" t="s">
        <v>1706</v>
      </c>
      <c r="P701" s="72"/>
      <c r="Q701" s="72"/>
      <c r="R701" s="72"/>
      <c r="S701" s="72"/>
      <c r="T701" s="72"/>
      <c r="U701" s="72"/>
      <c r="V701" s="72"/>
      <c r="W701" s="72"/>
      <c r="X701" s="72"/>
      <c r="Y701" s="72"/>
      <c r="Z701" s="72"/>
      <c r="AA701" s="72"/>
      <c r="AF701" s="72"/>
      <c r="AG701" s="72"/>
      <c r="AH701" s="72"/>
    </row>
    <row r="702" spans="2:34">
      <c r="B702" s="72" t="s">
        <v>1786</v>
      </c>
      <c r="C702" s="73" t="s">
        <v>1691</v>
      </c>
      <c r="N702" s="72" t="s">
        <v>1706</v>
      </c>
      <c r="P702" s="72"/>
      <c r="Q702" s="72"/>
      <c r="R702" s="72"/>
      <c r="S702" s="72"/>
      <c r="T702" s="72"/>
      <c r="U702" s="72"/>
      <c r="V702" s="72"/>
      <c r="W702" s="72"/>
      <c r="X702" s="72"/>
      <c r="Y702" s="72"/>
      <c r="Z702" s="72"/>
      <c r="AA702" s="72"/>
      <c r="AF702" s="72"/>
      <c r="AG702" s="72"/>
      <c r="AH702" s="72"/>
    </row>
    <row r="703" spans="2:34">
      <c r="B703" s="72" t="s">
        <v>1785</v>
      </c>
      <c r="C703" s="73" t="s">
        <v>1691</v>
      </c>
      <c r="N703" s="72" t="s">
        <v>1706</v>
      </c>
      <c r="P703" s="72"/>
      <c r="Q703" s="72"/>
      <c r="R703" s="72"/>
      <c r="S703" s="72"/>
      <c r="T703" s="72"/>
      <c r="U703" s="72"/>
      <c r="V703" s="72"/>
      <c r="W703" s="72"/>
      <c r="X703" s="72"/>
      <c r="Y703" s="72"/>
      <c r="Z703" s="72"/>
      <c r="AA703" s="72"/>
      <c r="AF703" s="72"/>
      <c r="AG703" s="72"/>
      <c r="AH703" s="72"/>
    </row>
    <row r="704" spans="2:34">
      <c r="B704" s="72" t="s">
        <v>1784</v>
      </c>
      <c r="C704" s="73" t="s">
        <v>1691</v>
      </c>
      <c r="N704" s="72" t="s">
        <v>1706</v>
      </c>
      <c r="P704" s="72"/>
      <c r="Q704" s="72"/>
      <c r="R704" s="72"/>
      <c r="S704" s="72"/>
      <c r="T704" s="72"/>
      <c r="U704" s="72"/>
      <c r="V704" s="72"/>
      <c r="W704" s="72"/>
      <c r="X704" s="72"/>
      <c r="Y704" s="72"/>
      <c r="Z704" s="72"/>
      <c r="AA704" s="72"/>
      <c r="AF704" s="72"/>
      <c r="AG704" s="72"/>
      <c r="AH704" s="72"/>
    </row>
    <row r="705" spans="2:34">
      <c r="B705" s="72" t="s">
        <v>1783</v>
      </c>
      <c r="C705" s="73" t="s">
        <v>1691</v>
      </c>
      <c r="N705" s="72" t="s">
        <v>1706</v>
      </c>
      <c r="P705" s="72"/>
      <c r="Q705" s="72"/>
      <c r="R705" s="72"/>
      <c r="S705" s="72"/>
      <c r="T705" s="72"/>
      <c r="U705" s="72"/>
      <c r="V705" s="72"/>
      <c r="W705" s="72"/>
      <c r="X705" s="72"/>
      <c r="Y705" s="72"/>
      <c r="Z705" s="72"/>
      <c r="AA705" s="72"/>
      <c r="AF705" s="72"/>
      <c r="AG705" s="72"/>
      <c r="AH705" s="72"/>
    </row>
    <row r="706" spans="2:34">
      <c r="B706" s="72" t="s">
        <v>1782</v>
      </c>
      <c r="C706" s="73" t="s">
        <v>1691</v>
      </c>
      <c r="N706" s="72" t="s">
        <v>1706</v>
      </c>
      <c r="P706" s="72"/>
      <c r="Q706" s="72"/>
      <c r="R706" s="72"/>
      <c r="S706" s="72"/>
      <c r="T706" s="72"/>
      <c r="U706" s="72"/>
      <c r="V706" s="72"/>
      <c r="W706" s="72"/>
      <c r="X706" s="72"/>
      <c r="Y706" s="72"/>
      <c r="Z706" s="72"/>
      <c r="AA706" s="72"/>
      <c r="AF706" s="72"/>
      <c r="AG706" s="72"/>
      <c r="AH706" s="72"/>
    </row>
    <row r="707" spans="2:34">
      <c r="B707" s="72" t="s">
        <v>1781</v>
      </c>
      <c r="C707" s="73" t="s">
        <v>1691</v>
      </c>
      <c r="N707" s="72" t="s">
        <v>1706</v>
      </c>
      <c r="P707" s="72"/>
      <c r="Q707" s="72"/>
      <c r="R707" s="72"/>
      <c r="S707" s="72"/>
      <c r="T707" s="72"/>
      <c r="U707" s="72"/>
      <c r="V707" s="72"/>
      <c r="W707" s="72"/>
      <c r="X707" s="72"/>
      <c r="Y707" s="72"/>
      <c r="Z707" s="72"/>
      <c r="AA707" s="72"/>
      <c r="AF707" s="72"/>
      <c r="AG707" s="72"/>
      <c r="AH707" s="72"/>
    </row>
    <row r="708" spans="2:34">
      <c r="B708" s="72" t="s">
        <v>1780</v>
      </c>
      <c r="C708" s="73" t="s">
        <v>1691</v>
      </c>
      <c r="N708" s="72" t="s">
        <v>1706</v>
      </c>
      <c r="P708" s="72"/>
      <c r="Q708" s="72"/>
      <c r="R708" s="72"/>
      <c r="S708" s="72"/>
      <c r="T708" s="72"/>
      <c r="U708" s="72"/>
      <c r="V708" s="72"/>
      <c r="W708" s="72"/>
      <c r="X708" s="72"/>
      <c r="Y708" s="72"/>
      <c r="Z708" s="72"/>
      <c r="AA708" s="72"/>
      <c r="AF708" s="72"/>
      <c r="AG708" s="72"/>
      <c r="AH708" s="72"/>
    </row>
    <row r="709" spans="2:34">
      <c r="B709" s="72" t="s">
        <v>1779</v>
      </c>
      <c r="C709" s="73" t="s">
        <v>1691</v>
      </c>
      <c r="N709" s="72" t="s">
        <v>1706</v>
      </c>
      <c r="P709" s="72"/>
      <c r="Q709" s="72"/>
      <c r="R709" s="72"/>
      <c r="S709" s="72"/>
      <c r="T709" s="72"/>
      <c r="U709" s="72"/>
      <c r="V709" s="72"/>
      <c r="W709" s="72"/>
      <c r="X709" s="72"/>
      <c r="Y709" s="72"/>
      <c r="Z709" s="72"/>
      <c r="AA709" s="72"/>
      <c r="AF709" s="72"/>
      <c r="AG709" s="72"/>
      <c r="AH709" s="72"/>
    </row>
    <row r="710" spans="2:34">
      <c r="B710" s="72" t="s">
        <v>1778</v>
      </c>
      <c r="C710" s="73" t="s">
        <v>1691</v>
      </c>
      <c r="N710" s="72" t="s">
        <v>1706</v>
      </c>
      <c r="P710" s="72"/>
      <c r="Q710" s="72"/>
      <c r="R710" s="72"/>
      <c r="S710" s="72"/>
      <c r="T710" s="72"/>
      <c r="U710" s="72"/>
      <c r="V710" s="72"/>
      <c r="W710" s="72"/>
      <c r="X710" s="72"/>
      <c r="Y710" s="72"/>
      <c r="Z710" s="72"/>
      <c r="AA710" s="72"/>
      <c r="AF710" s="72"/>
      <c r="AG710" s="72"/>
      <c r="AH710" s="72"/>
    </row>
    <row r="711" spans="2:34">
      <c r="B711" s="72" t="s">
        <v>1777</v>
      </c>
      <c r="C711" s="73" t="s">
        <v>1691</v>
      </c>
      <c r="N711" s="72" t="s">
        <v>1706</v>
      </c>
      <c r="P711" s="72"/>
      <c r="Q711" s="72"/>
      <c r="R711" s="72"/>
      <c r="S711" s="72"/>
      <c r="T711" s="72"/>
      <c r="U711" s="72"/>
      <c r="V711" s="72"/>
      <c r="W711" s="72"/>
      <c r="X711" s="72"/>
      <c r="Y711" s="72"/>
      <c r="Z711" s="72"/>
      <c r="AA711" s="72"/>
      <c r="AF711" s="72"/>
      <c r="AG711" s="72"/>
      <c r="AH711" s="72"/>
    </row>
    <row r="712" spans="2:34">
      <c r="B712" s="72" t="s">
        <v>1776</v>
      </c>
      <c r="C712" s="73" t="s">
        <v>1691</v>
      </c>
      <c r="N712" s="72" t="s">
        <v>1706</v>
      </c>
      <c r="P712" s="72"/>
      <c r="Q712" s="72"/>
      <c r="R712" s="72"/>
      <c r="S712" s="72"/>
      <c r="T712" s="72"/>
      <c r="U712" s="72"/>
      <c r="V712" s="72"/>
      <c r="W712" s="72"/>
      <c r="X712" s="72"/>
      <c r="Y712" s="72"/>
      <c r="Z712" s="72"/>
      <c r="AA712" s="72"/>
      <c r="AF712" s="72"/>
      <c r="AG712" s="72"/>
      <c r="AH712" s="72"/>
    </row>
    <row r="713" spans="2:34">
      <c r="B713" s="72" t="s">
        <v>1775</v>
      </c>
      <c r="C713" s="73" t="s">
        <v>1691</v>
      </c>
      <c r="N713" s="72" t="s">
        <v>1706</v>
      </c>
      <c r="P713" s="72"/>
      <c r="Q713" s="72"/>
      <c r="R713" s="72"/>
      <c r="S713" s="72"/>
      <c r="T713" s="72"/>
      <c r="U713" s="72"/>
      <c r="V713" s="72"/>
      <c r="W713" s="72"/>
      <c r="X713" s="72"/>
      <c r="Y713" s="72"/>
      <c r="Z713" s="72"/>
      <c r="AA713" s="72"/>
      <c r="AF713" s="72"/>
      <c r="AG713" s="72"/>
      <c r="AH713" s="72"/>
    </row>
    <row r="714" spans="2:34">
      <c r="B714" s="72" t="s">
        <v>1774</v>
      </c>
      <c r="C714" s="73" t="s">
        <v>1691</v>
      </c>
      <c r="N714" s="72" t="s">
        <v>1706</v>
      </c>
      <c r="P714" s="72"/>
      <c r="Q714" s="72"/>
      <c r="R714" s="72"/>
      <c r="S714" s="72"/>
      <c r="T714" s="72"/>
      <c r="U714" s="72"/>
      <c r="V714" s="72"/>
      <c r="W714" s="72"/>
      <c r="X714" s="72"/>
      <c r="Y714" s="72"/>
      <c r="Z714" s="72"/>
      <c r="AA714" s="72"/>
      <c r="AF714" s="72"/>
      <c r="AG714" s="72"/>
      <c r="AH714" s="72"/>
    </row>
    <row r="715" spans="2:34">
      <c r="B715" s="72" t="s">
        <v>1773</v>
      </c>
      <c r="C715" s="73" t="s">
        <v>1691</v>
      </c>
      <c r="N715" s="72" t="s">
        <v>1706</v>
      </c>
      <c r="P715" s="72"/>
      <c r="Q715" s="72"/>
      <c r="R715" s="72"/>
      <c r="S715" s="72"/>
      <c r="T715" s="72"/>
      <c r="U715" s="72"/>
      <c r="V715" s="72"/>
      <c r="W715" s="72"/>
      <c r="X715" s="72"/>
      <c r="Y715" s="72"/>
      <c r="Z715" s="72"/>
      <c r="AA715" s="72"/>
      <c r="AF715" s="72"/>
      <c r="AG715" s="72"/>
      <c r="AH715" s="72"/>
    </row>
    <row r="716" spans="2:34">
      <c r="B716" s="72" t="s">
        <v>1772</v>
      </c>
      <c r="C716" s="73" t="s">
        <v>1691</v>
      </c>
      <c r="N716" s="72" t="s">
        <v>1706</v>
      </c>
      <c r="P716" s="72"/>
      <c r="Q716" s="72"/>
      <c r="R716" s="72"/>
      <c r="S716" s="72"/>
      <c r="T716" s="72"/>
      <c r="U716" s="72"/>
      <c r="V716" s="72"/>
      <c r="W716" s="72"/>
      <c r="X716" s="72"/>
      <c r="Y716" s="72"/>
      <c r="Z716" s="72"/>
      <c r="AA716" s="72"/>
      <c r="AF716" s="72"/>
      <c r="AG716" s="72"/>
      <c r="AH716" s="72"/>
    </row>
    <row r="717" spans="2:34">
      <c r="B717" s="72" t="s">
        <v>1771</v>
      </c>
      <c r="C717" s="73" t="s">
        <v>1691</v>
      </c>
      <c r="N717" s="72" t="s">
        <v>1706</v>
      </c>
      <c r="P717" s="72"/>
      <c r="Q717" s="72"/>
      <c r="R717" s="72"/>
      <c r="S717" s="72"/>
      <c r="T717" s="72"/>
      <c r="U717" s="72"/>
      <c r="V717" s="72"/>
      <c r="W717" s="72"/>
      <c r="X717" s="72"/>
      <c r="Y717" s="72"/>
      <c r="Z717" s="72"/>
      <c r="AA717" s="72"/>
      <c r="AF717" s="72"/>
      <c r="AG717" s="72"/>
      <c r="AH717" s="72"/>
    </row>
    <row r="718" spans="2:34">
      <c r="B718" s="72" t="s">
        <v>1770</v>
      </c>
      <c r="C718" s="73" t="s">
        <v>1691</v>
      </c>
      <c r="N718" s="72" t="s">
        <v>1706</v>
      </c>
      <c r="P718" s="72"/>
      <c r="Q718" s="72"/>
      <c r="R718" s="72"/>
      <c r="S718" s="72"/>
      <c r="T718" s="72"/>
      <c r="U718" s="72"/>
      <c r="V718" s="72"/>
      <c r="W718" s="72"/>
      <c r="X718" s="72"/>
      <c r="Y718" s="72"/>
      <c r="Z718" s="72"/>
      <c r="AA718" s="72"/>
      <c r="AF718" s="72"/>
      <c r="AG718" s="72"/>
      <c r="AH718" s="72"/>
    </row>
    <row r="719" spans="2:34">
      <c r="B719" s="72" t="s">
        <v>1769</v>
      </c>
      <c r="C719" s="73" t="s">
        <v>1691</v>
      </c>
      <c r="N719" s="72" t="s">
        <v>1706</v>
      </c>
      <c r="P719" s="72"/>
      <c r="Q719" s="72"/>
      <c r="R719" s="72"/>
      <c r="S719" s="72"/>
      <c r="T719" s="72"/>
      <c r="U719" s="72"/>
      <c r="V719" s="72"/>
      <c r="W719" s="72"/>
      <c r="X719" s="72"/>
      <c r="Y719" s="72"/>
      <c r="Z719" s="72"/>
      <c r="AA719" s="72"/>
      <c r="AF719" s="72"/>
      <c r="AG719" s="72"/>
      <c r="AH719" s="72"/>
    </row>
    <row r="720" spans="2:34">
      <c r="B720" s="72" t="s">
        <v>1768</v>
      </c>
      <c r="C720" s="73" t="s">
        <v>1691</v>
      </c>
      <c r="N720" s="72" t="s">
        <v>1706</v>
      </c>
      <c r="P720" s="72"/>
      <c r="Q720" s="72"/>
      <c r="R720" s="72"/>
      <c r="S720" s="72"/>
      <c r="T720" s="72"/>
      <c r="U720" s="72"/>
      <c r="V720" s="72"/>
      <c r="W720" s="72"/>
      <c r="X720" s="72"/>
      <c r="Y720" s="72"/>
      <c r="Z720" s="72"/>
      <c r="AA720" s="72"/>
      <c r="AF720" s="72"/>
      <c r="AG720" s="72"/>
      <c r="AH720" s="72"/>
    </row>
    <row r="721" spans="2:34">
      <c r="B721" s="72" t="s">
        <v>1767</v>
      </c>
      <c r="C721" s="73" t="s">
        <v>1691</v>
      </c>
      <c r="N721" s="72" t="s">
        <v>1706</v>
      </c>
      <c r="P721" s="72"/>
      <c r="Q721" s="72"/>
      <c r="R721" s="72"/>
      <c r="S721" s="72"/>
      <c r="T721" s="72"/>
      <c r="U721" s="72"/>
      <c r="V721" s="72"/>
      <c r="W721" s="72"/>
      <c r="X721" s="72"/>
      <c r="Y721" s="72"/>
      <c r="Z721" s="72"/>
      <c r="AA721" s="72"/>
      <c r="AF721" s="72"/>
      <c r="AG721" s="72"/>
      <c r="AH721" s="72"/>
    </row>
    <row r="722" spans="2:34">
      <c r="B722" s="72" t="s">
        <v>1766</v>
      </c>
      <c r="C722" s="73" t="s">
        <v>1691</v>
      </c>
      <c r="N722" s="72" t="s">
        <v>1706</v>
      </c>
      <c r="P722" s="72"/>
      <c r="Q722" s="72"/>
      <c r="R722" s="72"/>
      <c r="S722" s="72"/>
      <c r="T722" s="72"/>
      <c r="U722" s="72"/>
      <c r="V722" s="72"/>
      <c r="W722" s="72"/>
      <c r="X722" s="72"/>
      <c r="Y722" s="72"/>
      <c r="Z722" s="72"/>
      <c r="AA722" s="72"/>
      <c r="AF722" s="72"/>
      <c r="AG722" s="72"/>
      <c r="AH722" s="72"/>
    </row>
    <row r="723" spans="2:34">
      <c r="B723" s="72" t="s">
        <v>1765</v>
      </c>
      <c r="C723" s="73" t="s">
        <v>1691</v>
      </c>
      <c r="N723" s="72" t="s">
        <v>1706</v>
      </c>
      <c r="P723" s="72"/>
      <c r="Q723" s="72"/>
      <c r="R723" s="72"/>
      <c r="S723" s="72"/>
      <c r="T723" s="72"/>
      <c r="U723" s="72"/>
      <c r="V723" s="72"/>
      <c r="W723" s="72"/>
      <c r="X723" s="72"/>
      <c r="Y723" s="72"/>
      <c r="Z723" s="72"/>
      <c r="AA723" s="72"/>
      <c r="AF723" s="72"/>
      <c r="AG723" s="72"/>
      <c r="AH723" s="72"/>
    </row>
    <row r="724" spans="2:34">
      <c r="B724" s="72" t="s">
        <v>1764</v>
      </c>
      <c r="C724" s="73" t="s">
        <v>1691</v>
      </c>
      <c r="N724" s="72" t="s">
        <v>1706</v>
      </c>
      <c r="P724" s="72"/>
      <c r="Q724" s="72"/>
      <c r="R724" s="72"/>
      <c r="S724" s="72"/>
      <c r="T724" s="72"/>
      <c r="U724" s="72"/>
      <c r="V724" s="72"/>
      <c r="W724" s="72"/>
      <c r="X724" s="72"/>
      <c r="Y724" s="72"/>
      <c r="Z724" s="72"/>
      <c r="AA724" s="72"/>
      <c r="AF724" s="72"/>
      <c r="AG724" s="72"/>
      <c r="AH724" s="72"/>
    </row>
    <row r="725" spans="2:34">
      <c r="B725" s="88" t="s">
        <v>1763</v>
      </c>
      <c r="C725" s="73" t="s">
        <v>1691</v>
      </c>
      <c r="N725" s="72" t="s">
        <v>1706</v>
      </c>
      <c r="P725" s="72"/>
      <c r="Q725" s="72"/>
      <c r="R725" s="72"/>
      <c r="S725" s="72"/>
      <c r="T725" s="72"/>
      <c r="U725" s="72"/>
      <c r="V725" s="72"/>
      <c r="W725" s="72"/>
      <c r="X725" s="72"/>
      <c r="Y725" s="72"/>
      <c r="Z725" s="72"/>
      <c r="AA725" s="72"/>
      <c r="AF725" s="72"/>
      <c r="AG725" s="72"/>
      <c r="AH725" s="72"/>
    </row>
    <row r="726" spans="2:34">
      <c r="B726" s="72" t="s">
        <v>1762</v>
      </c>
      <c r="C726" s="73" t="s">
        <v>1691</v>
      </c>
      <c r="N726" s="72" t="s">
        <v>1706</v>
      </c>
      <c r="P726" s="72"/>
      <c r="Q726" s="72"/>
      <c r="R726" s="72"/>
      <c r="S726" s="72"/>
      <c r="T726" s="72"/>
      <c r="U726" s="72"/>
      <c r="V726" s="72"/>
      <c r="W726" s="72"/>
      <c r="X726" s="72"/>
      <c r="Y726" s="72"/>
      <c r="Z726" s="72"/>
      <c r="AA726" s="72"/>
      <c r="AF726" s="72"/>
      <c r="AG726" s="72"/>
      <c r="AH726" s="72"/>
    </row>
    <row r="727" spans="2:34">
      <c r="B727" s="72" t="s">
        <v>1761</v>
      </c>
      <c r="C727" s="73" t="s">
        <v>1691</v>
      </c>
      <c r="N727" s="72" t="s">
        <v>1706</v>
      </c>
      <c r="P727" s="72"/>
      <c r="Q727" s="72"/>
      <c r="R727" s="72"/>
      <c r="S727" s="72"/>
      <c r="T727" s="72"/>
      <c r="U727" s="72"/>
      <c r="V727" s="72"/>
      <c r="W727" s="72"/>
      <c r="X727" s="72"/>
      <c r="Y727" s="72"/>
      <c r="Z727" s="72"/>
      <c r="AA727" s="72"/>
      <c r="AF727" s="72"/>
      <c r="AG727" s="72"/>
      <c r="AH727" s="72"/>
    </row>
    <row r="728" spans="2:34">
      <c r="B728" s="72" t="s">
        <v>1760</v>
      </c>
      <c r="C728" s="73" t="s">
        <v>1691</v>
      </c>
      <c r="N728" s="72" t="s">
        <v>1706</v>
      </c>
      <c r="P728" s="72"/>
      <c r="Q728" s="72"/>
      <c r="R728" s="72"/>
      <c r="S728" s="72"/>
      <c r="T728" s="72"/>
      <c r="U728" s="72"/>
      <c r="V728" s="72"/>
      <c r="W728" s="72"/>
      <c r="X728" s="72"/>
      <c r="Y728" s="72"/>
      <c r="Z728" s="72"/>
      <c r="AA728" s="72"/>
      <c r="AF728" s="72"/>
      <c r="AG728" s="72"/>
      <c r="AH728" s="72"/>
    </row>
    <row r="729" spans="2:34">
      <c r="B729" s="72" t="s">
        <v>1759</v>
      </c>
      <c r="C729" s="73" t="s">
        <v>1691</v>
      </c>
      <c r="N729" s="72" t="s">
        <v>1706</v>
      </c>
      <c r="P729" s="72"/>
      <c r="Q729" s="72"/>
      <c r="R729" s="72"/>
      <c r="S729" s="72"/>
      <c r="T729" s="72"/>
      <c r="U729" s="72"/>
      <c r="V729" s="72"/>
      <c r="W729" s="72"/>
      <c r="X729" s="72"/>
      <c r="Y729" s="72"/>
      <c r="Z729" s="72"/>
      <c r="AA729" s="72"/>
      <c r="AF729" s="72"/>
      <c r="AG729" s="72"/>
      <c r="AH729" s="72"/>
    </row>
    <row r="730" spans="2:34">
      <c r="B730" s="72" t="s">
        <v>1758</v>
      </c>
      <c r="C730" s="73" t="s">
        <v>1691</v>
      </c>
      <c r="N730" s="72" t="s">
        <v>1706</v>
      </c>
      <c r="P730" s="72"/>
      <c r="Q730" s="72"/>
      <c r="R730" s="72"/>
      <c r="S730" s="72"/>
      <c r="T730" s="72"/>
      <c r="U730" s="72"/>
      <c r="V730" s="72"/>
      <c r="W730" s="72"/>
      <c r="X730" s="72"/>
      <c r="Y730" s="72"/>
      <c r="Z730" s="72"/>
      <c r="AA730" s="72"/>
      <c r="AF730" s="72"/>
      <c r="AG730" s="72"/>
      <c r="AH730" s="72"/>
    </row>
    <row r="731" spans="2:34">
      <c r="B731" s="72" t="s">
        <v>1757</v>
      </c>
      <c r="C731" s="73" t="s">
        <v>1691</v>
      </c>
      <c r="N731" s="72" t="s">
        <v>1706</v>
      </c>
      <c r="P731" s="72"/>
      <c r="Q731" s="72"/>
      <c r="R731" s="72"/>
      <c r="S731" s="72"/>
      <c r="T731" s="72"/>
      <c r="U731" s="72"/>
      <c r="V731" s="72"/>
      <c r="W731" s="72"/>
      <c r="X731" s="72"/>
      <c r="Y731" s="72"/>
      <c r="Z731" s="72"/>
      <c r="AA731" s="72"/>
      <c r="AF731" s="72"/>
      <c r="AG731" s="72"/>
      <c r="AH731" s="72"/>
    </row>
    <row r="732" spans="2:34">
      <c r="B732" s="72" t="s">
        <v>1756</v>
      </c>
      <c r="C732" s="73" t="s">
        <v>1691</v>
      </c>
      <c r="N732" s="72" t="s">
        <v>1706</v>
      </c>
      <c r="P732" s="72"/>
      <c r="Q732" s="72"/>
      <c r="R732" s="72"/>
      <c r="S732" s="72"/>
      <c r="T732" s="72"/>
      <c r="U732" s="72"/>
      <c r="V732" s="72"/>
      <c r="W732" s="72"/>
      <c r="X732" s="72"/>
      <c r="Y732" s="72"/>
      <c r="Z732" s="72"/>
      <c r="AA732" s="72"/>
      <c r="AF732" s="72"/>
      <c r="AG732" s="72"/>
      <c r="AH732" s="72"/>
    </row>
    <row r="733" spans="2:34">
      <c r="B733" s="72" t="s">
        <v>1755</v>
      </c>
      <c r="C733" s="73" t="s">
        <v>1691</v>
      </c>
      <c r="N733" s="72" t="s">
        <v>1706</v>
      </c>
      <c r="P733" s="72"/>
      <c r="Q733" s="72"/>
      <c r="R733" s="72"/>
      <c r="S733" s="72"/>
      <c r="T733" s="72"/>
      <c r="U733" s="72"/>
      <c r="V733" s="72"/>
      <c r="W733" s="72"/>
      <c r="X733" s="72"/>
      <c r="Y733" s="72"/>
      <c r="Z733" s="72"/>
      <c r="AA733" s="72"/>
      <c r="AF733" s="72"/>
      <c r="AG733" s="72"/>
      <c r="AH733" s="72"/>
    </row>
    <row r="734" spans="2:34">
      <c r="B734" s="72" t="s">
        <v>1754</v>
      </c>
      <c r="C734" s="73" t="s">
        <v>1691</v>
      </c>
      <c r="N734" s="72" t="s">
        <v>1706</v>
      </c>
      <c r="P734" s="72"/>
      <c r="Q734" s="72"/>
      <c r="R734" s="72"/>
      <c r="S734" s="72"/>
      <c r="T734" s="72"/>
      <c r="U734" s="72"/>
      <c r="V734" s="72"/>
      <c r="W734" s="72"/>
      <c r="X734" s="72"/>
      <c r="Y734" s="72"/>
      <c r="Z734" s="72"/>
      <c r="AA734" s="72"/>
      <c r="AF734" s="72"/>
      <c r="AG734" s="72"/>
      <c r="AH734" s="72"/>
    </row>
    <row r="735" spans="2:34">
      <c r="B735" s="72" t="s">
        <v>1753</v>
      </c>
      <c r="C735" s="73" t="s">
        <v>1691</v>
      </c>
      <c r="N735" s="72" t="s">
        <v>1706</v>
      </c>
      <c r="P735" s="72"/>
      <c r="Q735" s="72"/>
      <c r="R735" s="72"/>
      <c r="S735" s="72"/>
      <c r="T735" s="72"/>
      <c r="U735" s="72"/>
      <c r="V735" s="72"/>
      <c r="W735" s="72"/>
      <c r="X735" s="72"/>
      <c r="Y735" s="72"/>
      <c r="Z735" s="72"/>
      <c r="AA735" s="72"/>
      <c r="AF735" s="72"/>
      <c r="AG735" s="72"/>
      <c r="AH735" s="72"/>
    </row>
    <row r="736" spans="2:34">
      <c r="B736" s="72" t="s">
        <v>1752</v>
      </c>
      <c r="C736" s="73" t="s">
        <v>1691</v>
      </c>
      <c r="N736" s="72" t="s">
        <v>1706</v>
      </c>
      <c r="P736" s="72"/>
      <c r="Q736" s="72"/>
      <c r="R736" s="72"/>
      <c r="S736" s="72"/>
      <c r="T736" s="72"/>
      <c r="U736" s="72"/>
      <c r="V736" s="72"/>
      <c r="W736" s="72"/>
      <c r="X736" s="72"/>
      <c r="Y736" s="72"/>
      <c r="Z736" s="72"/>
      <c r="AA736" s="72"/>
      <c r="AF736" s="72"/>
      <c r="AG736" s="72"/>
      <c r="AH736" s="72"/>
    </row>
    <row r="737" spans="2:34">
      <c r="B737" s="72" t="s">
        <v>1751</v>
      </c>
      <c r="C737" s="73" t="s">
        <v>1691</v>
      </c>
      <c r="N737" s="72" t="s">
        <v>1706</v>
      </c>
      <c r="P737" s="72"/>
      <c r="Q737" s="72"/>
      <c r="R737" s="72"/>
      <c r="S737" s="72"/>
      <c r="T737" s="72"/>
      <c r="U737" s="72"/>
      <c r="V737" s="72"/>
      <c r="W737" s="72"/>
      <c r="X737" s="72"/>
      <c r="Y737" s="72"/>
      <c r="Z737" s="72"/>
      <c r="AA737" s="72"/>
      <c r="AF737" s="72"/>
      <c r="AG737" s="72"/>
      <c r="AH737" s="72"/>
    </row>
    <row r="738" spans="2:34">
      <c r="B738" s="72" t="s">
        <v>1750</v>
      </c>
      <c r="C738" s="73" t="s">
        <v>1691</v>
      </c>
      <c r="N738" s="72" t="s">
        <v>1706</v>
      </c>
      <c r="P738" s="72"/>
      <c r="Q738" s="72"/>
      <c r="R738" s="72"/>
      <c r="S738" s="72"/>
      <c r="T738" s="72"/>
      <c r="U738" s="72"/>
      <c r="V738" s="72"/>
      <c r="W738" s="72"/>
      <c r="X738" s="72"/>
      <c r="Y738" s="72"/>
      <c r="Z738" s="72"/>
      <c r="AA738" s="72"/>
      <c r="AF738" s="72"/>
      <c r="AG738" s="72"/>
      <c r="AH738" s="72"/>
    </row>
    <row r="739" spans="2:34">
      <c r="B739" s="72" t="s">
        <v>1749</v>
      </c>
      <c r="C739" s="73" t="s">
        <v>1691</v>
      </c>
      <c r="N739" s="72" t="s">
        <v>1706</v>
      </c>
      <c r="P739" s="72"/>
      <c r="Q739" s="72"/>
      <c r="R739" s="72"/>
      <c r="S739" s="72"/>
      <c r="T739" s="72"/>
      <c r="U739" s="72"/>
      <c r="V739" s="72"/>
      <c r="W739" s="72"/>
      <c r="X739" s="72"/>
      <c r="Y739" s="72"/>
      <c r="Z739" s="72"/>
      <c r="AA739" s="72"/>
      <c r="AF739" s="72"/>
      <c r="AG739" s="72"/>
      <c r="AH739" s="72"/>
    </row>
    <row r="740" spans="2:34">
      <c r="B740" s="72" t="s">
        <v>1748</v>
      </c>
      <c r="C740" s="73" t="s">
        <v>1691</v>
      </c>
      <c r="N740" s="72" t="s">
        <v>1706</v>
      </c>
      <c r="P740" s="72"/>
      <c r="Q740" s="72"/>
      <c r="R740" s="72"/>
      <c r="S740" s="72"/>
      <c r="T740" s="72"/>
      <c r="U740" s="72"/>
      <c r="V740" s="72"/>
      <c r="W740" s="72"/>
      <c r="X740" s="72"/>
      <c r="Y740" s="72"/>
      <c r="Z740" s="72"/>
      <c r="AA740" s="72"/>
      <c r="AF740" s="72"/>
      <c r="AG740" s="72"/>
      <c r="AH740" s="72"/>
    </row>
    <row r="741" spans="2:34">
      <c r="B741" s="72" t="s">
        <v>1747</v>
      </c>
      <c r="C741" s="73" t="s">
        <v>1691</v>
      </c>
      <c r="N741" s="72" t="s">
        <v>1706</v>
      </c>
      <c r="P741" s="72"/>
      <c r="Q741" s="72"/>
      <c r="R741" s="72"/>
      <c r="S741" s="72"/>
      <c r="T741" s="72"/>
      <c r="U741" s="72"/>
      <c r="V741" s="72"/>
      <c r="W741" s="72"/>
      <c r="X741" s="72"/>
      <c r="Y741" s="72"/>
      <c r="Z741" s="72"/>
      <c r="AA741" s="72"/>
      <c r="AF741" s="72"/>
      <c r="AG741" s="72"/>
      <c r="AH741" s="72"/>
    </row>
    <row r="742" spans="2:34">
      <c r="B742" s="72" t="s">
        <v>1746</v>
      </c>
      <c r="C742" s="73" t="s">
        <v>1691</v>
      </c>
      <c r="N742" s="72" t="s">
        <v>1706</v>
      </c>
      <c r="P742" s="72"/>
      <c r="Q742" s="72"/>
      <c r="R742" s="72"/>
      <c r="S742" s="72"/>
      <c r="T742" s="72"/>
      <c r="U742" s="72"/>
      <c r="V742" s="72"/>
      <c r="W742" s="72"/>
      <c r="X742" s="72"/>
      <c r="Y742" s="72"/>
      <c r="Z742" s="72"/>
      <c r="AA742" s="72"/>
      <c r="AF742" s="72"/>
      <c r="AG742" s="72"/>
      <c r="AH742" s="72"/>
    </row>
    <row r="743" spans="2:34">
      <c r="B743" s="72" t="s">
        <v>1745</v>
      </c>
      <c r="C743" s="73" t="s">
        <v>1691</v>
      </c>
      <c r="N743" s="72" t="s">
        <v>1706</v>
      </c>
      <c r="P743" s="72"/>
      <c r="Q743" s="72"/>
      <c r="R743" s="72"/>
      <c r="S743" s="72"/>
      <c r="T743" s="72"/>
      <c r="U743" s="72"/>
      <c r="V743" s="72"/>
      <c r="W743" s="72"/>
      <c r="X743" s="72"/>
      <c r="Y743" s="72"/>
      <c r="Z743" s="72"/>
      <c r="AA743" s="72"/>
      <c r="AF743" s="72"/>
      <c r="AG743" s="72"/>
      <c r="AH743" s="72"/>
    </row>
    <row r="744" spans="2:34">
      <c r="B744" s="72" t="s">
        <v>1744</v>
      </c>
      <c r="C744" s="73" t="s">
        <v>1691</v>
      </c>
      <c r="N744" s="72" t="s">
        <v>1706</v>
      </c>
      <c r="P744" s="72"/>
      <c r="Q744" s="72"/>
      <c r="R744" s="72"/>
      <c r="S744" s="72"/>
      <c r="T744" s="72"/>
      <c r="U744" s="72"/>
      <c r="V744" s="72"/>
      <c r="W744" s="72"/>
      <c r="X744" s="72"/>
      <c r="Y744" s="72"/>
      <c r="Z744" s="72"/>
      <c r="AA744" s="72"/>
      <c r="AF744" s="72"/>
      <c r="AG744" s="72"/>
      <c r="AH744" s="72"/>
    </row>
    <row r="745" spans="2:34">
      <c r="B745" s="72" t="s">
        <v>1743</v>
      </c>
      <c r="C745" s="73" t="s">
        <v>1691</v>
      </c>
      <c r="N745" s="72" t="s">
        <v>1706</v>
      </c>
      <c r="P745" s="72"/>
      <c r="Q745" s="72"/>
      <c r="R745" s="72"/>
      <c r="S745" s="72"/>
      <c r="T745" s="72"/>
      <c r="U745" s="72"/>
      <c r="V745" s="72"/>
      <c r="W745" s="72"/>
      <c r="X745" s="72"/>
      <c r="Y745" s="72"/>
      <c r="Z745" s="72"/>
      <c r="AA745" s="72"/>
      <c r="AF745" s="72"/>
      <c r="AG745" s="72"/>
      <c r="AH745" s="72"/>
    </row>
    <row r="746" spans="2:34">
      <c r="B746" s="72" t="s">
        <v>1742</v>
      </c>
      <c r="C746" s="73" t="s">
        <v>1691</v>
      </c>
      <c r="N746" s="72" t="s">
        <v>1706</v>
      </c>
      <c r="P746" s="72"/>
      <c r="Q746" s="72"/>
      <c r="R746" s="72"/>
      <c r="S746" s="72"/>
      <c r="T746" s="72"/>
      <c r="U746" s="72"/>
      <c r="V746" s="72"/>
      <c r="W746" s="72"/>
      <c r="X746" s="72"/>
      <c r="Y746" s="72"/>
      <c r="Z746" s="72"/>
      <c r="AA746" s="72"/>
      <c r="AF746" s="72"/>
      <c r="AG746" s="72"/>
      <c r="AH746" s="72"/>
    </row>
    <row r="747" spans="2:34">
      <c r="B747" s="72" t="s">
        <v>1741</v>
      </c>
      <c r="C747" s="73" t="s">
        <v>1691</v>
      </c>
      <c r="N747" s="72" t="s">
        <v>1706</v>
      </c>
      <c r="P747" s="72"/>
      <c r="Q747" s="72"/>
      <c r="R747" s="72"/>
      <c r="S747" s="72"/>
      <c r="T747" s="72"/>
      <c r="U747" s="72"/>
      <c r="V747" s="72"/>
      <c r="W747" s="72"/>
      <c r="X747" s="72"/>
      <c r="Y747" s="72"/>
      <c r="Z747" s="72"/>
      <c r="AA747" s="72"/>
      <c r="AF747" s="72"/>
      <c r="AG747" s="72"/>
      <c r="AH747" s="72"/>
    </row>
    <row r="748" spans="2:34">
      <c r="B748" s="72" t="s">
        <v>1740</v>
      </c>
      <c r="C748" s="73" t="s">
        <v>1691</v>
      </c>
      <c r="N748" s="72" t="s">
        <v>1706</v>
      </c>
      <c r="P748" s="72"/>
      <c r="Q748" s="72"/>
      <c r="R748" s="72"/>
      <c r="S748" s="72"/>
      <c r="T748" s="72"/>
      <c r="U748" s="72"/>
      <c r="V748" s="72"/>
      <c r="W748" s="72"/>
      <c r="X748" s="72"/>
      <c r="Y748" s="72"/>
      <c r="Z748" s="72"/>
      <c r="AA748" s="72"/>
      <c r="AF748" s="72"/>
      <c r="AG748" s="72"/>
      <c r="AH748" s="72"/>
    </row>
    <row r="749" spans="2:34">
      <c r="B749" s="72" t="s">
        <v>1739</v>
      </c>
      <c r="C749" s="73" t="s">
        <v>1691</v>
      </c>
      <c r="N749" s="72" t="s">
        <v>1706</v>
      </c>
      <c r="P749" s="72"/>
      <c r="Q749" s="72"/>
      <c r="R749" s="72"/>
      <c r="S749" s="72"/>
      <c r="T749" s="72"/>
      <c r="U749" s="72"/>
      <c r="V749" s="72"/>
      <c r="W749" s="72"/>
      <c r="X749" s="72"/>
      <c r="Y749" s="72"/>
      <c r="Z749" s="72"/>
      <c r="AA749" s="72"/>
      <c r="AF749" s="72"/>
      <c r="AG749" s="72"/>
      <c r="AH749" s="72"/>
    </row>
    <row r="750" spans="2:34">
      <c r="B750" s="72" t="s">
        <v>1738</v>
      </c>
      <c r="C750" s="73" t="s">
        <v>1691</v>
      </c>
      <c r="N750" s="72" t="s">
        <v>1706</v>
      </c>
      <c r="P750" s="72"/>
      <c r="Q750" s="72"/>
      <c r="R750" s="72"/>
      <c r="S750" s="72"/>
      <c r="T750" s="72"/>
      <c r="U750" s="72"/>
      <c r="V750" s="72"/>
      <c r="W750" s="72"/>
      <c r="X750" s="72"/>
      <c r="Y750" s="72"/>
      <c r="Z750" s="72"/>
      <c r="AA750" s="72"/>
      <c r="AF750" s="72"/>
      <c r="AG750" s="72"/>
      <c r="AH750" s="72"/>
    </row>
    <row r="751" spans="2:34">
      <c r="B751" s="72" t="s">
        <v>1737</v>
      </c>
      <c r="C751" s="73" t="s">
        <v>1691</v>
      </c>
      <c r="N751" s="72" t="s">
        <v>1706</v>
      </c>
      <c r="P751" s="72"/>
      <c r="Q751" s="72"/>
      <c r="R751" s="72"/>
      <c r="S751" s="72"/>
      <c r="T751" s="72"/>
      <c r="U751" s="72"/>
      <c r="V751" s="72"/>
      <c r="W751" s="72"/>
      <c r="X751" s="72"/>
      <c r="Y751" s="72"/>
      <c r="Z751" s="72"/>
      <c r="AA751" s="72"/>
      <c r="AF751" s="72"/>
      <c r="AG751" s="72"/>
      <c r="AH751" s="72"/>
    </row>
    <row r="752" spans="2:34">
      <c r="B752" s="72" t="s">
        <v>1736</v>
      </c>
      <c r="C752" s="73" t="s">
        <v>1691</v>
      </c>
      <c r="N752" s="72" t="s">
        <v>1706</v>
      </c>
      <c r="P752" s="72"/>
      <c r="Q752" s="72"/>
      <c r="R752" s="72"/>
      <c r="S752" s="72"/>
      <c r="T752" s="72"/>
      <c r="U752" s="72"/>
      <c r="V752" s="72"/>
      <c r="W752" s="72"/>
      <c r="X752" s="72"/>
      <c r="Y752" s="72"/>
      <c r="Z752" s="72"/>
      <c r="AA752" s="72"/>
      <c r="AF752" s="72"/>
      <c r="AG752" s="72"/>
      <c r="AH752" s="72"/>
    </row>
    <row r="753" spans="2:34">
      <c r="B753" s="72" t="s">
        <v>1735</v>
      </c>
      <c r="C753" s="73" t="s">
        <v>1691</v>
      </c>
      <c r="N753" s="72" t="s">
        <v>1706</v>
      </c>
      <c r="P753" s="72"/>
      <c r="Q753" s="72"/>
      <c r="R753" s="72"/>
      <c r="S753" s="72"/>
      <c r="T753" s="72"/>
      <c r="U753" s="72"/>
      <c r="V753" s="72"/>
      <c r="W753" s="72"/>
      <c r="X753" s="72"/>
      <c r="Y753" s="72"/>
      <c r="Z753" s="72"/>
      <c r="AA753" s="72"/>
      <c r="AF753" s="72"/>
      <c r="AG753" s="72"/>
      <c r="AH753" s="72"/>
    </row>
    <row r="754" spans="2:34">
      <c r="B754" s="72" t="s">
        <v>1734</v>
      </c>
      <c r="C754" s="73" t="s">
        <v>1691</v>
      </c>
      <c r="N754" s="72" t="s">
        <v>1706</v>
      </c>
      <c r="P754" s="72"/>
      <c r="Q754" s="72"/>
      <c r="R754" s="72"/>
      <c r="S754" s="72"/>
      <c r="T754" s="72"/>
      <c r="U754" s="72"/>
      <c r="V754" s="72"/>
      <c r="W754" s="72"/>
      <c r="X754" s="72"/>
      <c r="Y754" s="72"/>
      <c r="Z754" s="72"/>
      <c r="AA754" s="72"/>
      <c r="AF754" s="72"/>
      <c r="AG754" s="72"/>
      <c r="AH754" s="72"/>
    </row>
    <row r="755" spans="2:34">
      <c r="B755" s="72" t="s">
        <v>1733</v>
      </c>
      <c r="C755" s="73" t="s">
        <v>1691</v>
      </c>
      <c r="N755" s="72" t="s">
        <v>1706</v>
      </c>
      <c r="P755" s="72"/>
      <c r="Q755" s="72"/>
      <c r="R755" s="72"/>
      <c r="S755" s="72"/>
      <c r="T755" s="72"/>
      <c r="U755" s="72"/>
      <c r="V755" s="72"/>
      <c r="W755" s="72"/>
      <c r="X755" s="72"/>
      <c r="Y755" s="72"/>
      <c r="Z755" s="72"/>
      <c r="AA755" s="72"/>
      <c r="AF755" s="72"/>
      <c r="AG755" s="72"/>
      <c r="AH755" s="72"/>
    </row>
    <row r="756" spans="2:34">
      <c r="B756" s="72" t="s">
        <v>1732</v>
      </c>
      <c r="C756" s="73" t="s">
        <v>1691</v>
      </c>
      <c r="N756" s="72" t="s">
        <v>1706</v>
      </c>
      <c r="P756" s="72"/>
      <c r="Q756" s="72"/>
      <c r="R756" s="72"/>
      <c r="S756" s="72"/>
      <c r="T756" s="72"/>
      <c r="U756" s="72"/>
      <c r="V756" s="72"/>
      <c r="W756" s="72"/>
      <c r="X756" s="72"/>
      <c r="Y756" s="72"/>
      <c r="Z756" s="72"/>
      <c r="AA756" s="72"/>
      <c r="AF756" s="72"/>
      <c r="AG756" s="72"/>
      <c r="AH756" s="72"/>
    </row>
    <row r="757" spans="2:34">
      <c r="B757" s="72" t="s">
        <v>1731</v>
      </c>
      <c r="C757" s="73" t="s">
        <v>1691</v>
      </c>
      <c r="N757" s="72" t="s">
        <v>1706</v>
      </c>
      <c r="P757" s="72"/>
      <c r="Q757" s="72"/>
      <c r="R757" s="72"/>
      <c r="S757" s="72"/>
      <c r="T757" s="72"/>
      <c r="U757" s="72"/>
      <c r="V757" s="72"/>
      <c r="W757" s="72"/>
      <c r="X757" s="72"/>
      <c r="Y757" s="72"/>
      <c r="Z757" s="72"/>
      <c r="AA757" s="72"/>
      <c r="AF757" s="72"/>
      <c r="AG757" s="72"/>
      <c r="AH757" s="72"/>
    </row>
    <row r="758" spans="2:34">
      <c r="B758" s="72" t="s">
        <v>1730</v>
      </c>
      <c r="C758" s="73" t="s">
        <v>1691</v>
      </c>
      <c r="N758" s="72" t="s">
        <v>1706</v>
      </c>
      <c r="P758" s="72"/>
      <c r="Q758" s="72"/>
      <c r="R758" s="72"/>
      <c r="S758" s="72"/>
      <c r="T758" s="72"/>
      <c r="U758" s="72"/>
      <c r="V758" s="72"/>
      <c r="W758" s="72"/>
      <c r="X758" s="72"/>
      <c r="Y758" s="72"/>
      <c r="Z758" s="72"/>
      <c r="AA758" s="72"/>
      <c r="AF758" s="72"/>
      <c r="AG758" s="72"/>
      <c r="AH758" s="72"/>
    </row>
    <row r="759" spans="2:34">
      <c r="B759" s="72" t="s">
        <v>1729</v>
      </c>
      <c r="C759" s="73" t="s">
        <v>1691</v>
      </c>
      <c r="N759" s="72" t="s">
        <v>1706</v>
      </c>
      <c r="P759" s="72"/>
      <c r="Q759" s="72"/>
      <c r="R759" s="72"/>
      <c r="S759" s="72"/>
      <c r="T759" s="72"/>
      <c r="U759" s="72"/>
      <c r="V759" s="72"/>
      <c r="W759" s="72"/>
      <c r="X759" s="72"/>
      <c r="Y759" s="72"/>
      <c r="Z759" s="72"/>
      <c r="AA759" s="72"/>
      <c r="AF759" s="72"/>
      <c r="AG759" s="72"/>
      <c r="AH759" s="72"/>
    </row>
    <row r="760" spans="2:34">
      <c r="B760" s="72" t="s">
        <v>1728</v>
      </c>
      <c r="C760" s="73" t="s">
        <v>1691</v>
      </c>
      <c r="N760" s="72" t="s">
        <v>1706</v>
      </c>
      <c r="P760" s="72"/>
      <c r="Q760" s="72"/>
      <c r="R760" s="72"/>
      <c r="S760" s="72"/>
      <c r="T760" s="72"/>
      <c r="U760" s="72"/>
      <c r="V760" s="72"/>
      <c r="W760" s="72"/>
      <c r="X760" s="72"/>
      <c r="Y760" s="72"/>
      <c r="Z760" s="72"/>
      <c r="AA760" s="72"/>
      <c r="AF760" s="72"/>
      <c r="AG760" s="72"/>
      <c r="AH760" s="72"/>
    </row>
    <row r="761" spans="2:34">
      <c r="B761" s="72" t="s">
        <v>1727</v>
      </c>
      <c r="C761" s="73" t="s">
        <v>1691</v>
      </c>
      <c r="N761" s="72" t="s">
        <v>1706</v>
      </c>
      <c r="P761" s="72"/>
      <c r="Q761" s="72"/>
      <c r="R761" s="72"/>
      <c r="S761" s="72"/>
      <c r="T761" s="72"/>
      <c r="U761" s="72"/>
      <c r="V761" s="72"/>
      <c r="W761" s="72"/>
      <c r="X761" s="72"/>
      <c r="Y761" s="72"/>
      <c r="Z761" s="72"/>
      <c r="AA761" s="72"/>
      <c r="AF761" s="72"/>
      <c r="AG761" s="72"/>
      <c r="AH761" s="72"/>
    </row>
    <row r="762" spans="2:34">
      <c r="B762" s="72" t="s">
        <v>1726</v>
      </c>
      <c r="C762" s="73" t="s">
        <v>1691</v>
      </c>
      <c r="N762" s="72" t="s">
        <v>1706</v>
      </c>
      <c r="P762" s="72"/>
      <c r="Q762" s="72"/>
      <c r="R762" s="72"/>
      <c r="S762" s="72"/>
      <c r="T762" s="72"/>
      <c r="U762" s="72"/>
      <c r="V762" s="72"/>
      <c r="W762" s="72"/>
      <c r="X762" s="72"/>
      <c r="Y762" s="72"/>
      <c r="Z762" s="72"/>
      <c r="AA762" s="72"/>
      <c r="AF762" s="72"/>
      <c r="AG762" s="72"/>
      <c r="AH762" s="72"/>
    </row>
    <row r="763" spans="2:34">
      <c r="B763" s="72" t="s">
        <v>1725</v>
      </c>
      <c r="C763" s="73" t="s">
        <v>1691</v>
      </c>
      <c r="N763" s="72" t="s">
        <v>1706</v>
      </c>
      <c r="P763" s="72"/>
      <c r="Q763" s="72"/>
      <c r="R763" s="72"/>
      <c r="S763" s="72"/>
      <c r="T763" s="72"/>
      <c r="U763" s="72"/>
      <c r="V763" s="72"/>
      <c r="W763" s="72"/>
      <c r="X763" s="72"/>
      <c r="Y763" s="72"/>
      <c r="Z763" s="72"/>
      <c r="AA763" s="72"/>
      <c r="AF763" s="72"/>
      <c r="AG763" s="72"/>
      <c r="AH763" s="72"/>
    </row>
    <row r="764" spans="2:34">
      <c r="B764" s="72" t="s">
        <v>1724</v>
      </c>
      <c r="C764" s="73" t="s">
        <v>1691</v>
      </c>
      <c r="N764" s="72" t="s">
        <v>1706</v>
      </c>
      <c r="P764" s="72"/>
      <c r="Q764" s="72"/>
      <c r="R764" s="72"/>
      <c r="S764" s="72"/>
      <c r="T764" s="72"/>
      <c r="U764" s="72"/>
      <c r="V764" s="72"/>
      <c r="W764" s="72"/>
      <c r="X764" s="72"/>
      <c r="Y764" s="72"/>
      <c r="Z764" s="72"/>
      <c r="AA764" s="72"/>
      <c r="AF764" s="72"/>
      <c r="AG764" s="72"/>
      <c r="AH764" s="72"/>
    </row>
    <row r="765" spans="2:34">
      <c r="B765" s="72" t="s">
        <v>1723</v>
      </c>
      <c r="C765" s="73" t="s">
        <v>1691</v>
      </c>
      <c r="N765" s="72" t="s">
        <v>1706</v>
      </c>
      <c r="P765" s="72"/>
      <c r="Q765" s="72"/>
      <c r="R765" s="72"/>
      <c r="S765" s="72"/>
      <c r="T765" s="72"/>
      <c r="U765" s="72"/>
      <c r="V765" s="72"/>
      <c r="W765" s="72"/>
      <c r="X765" s="72"/>
      <c r="Y765" s="72"/>
      <c r="Z765" s="72"/>
      <c r="AA765" s="72"/>
      <c r="AF765" s="72"/>
      <c r="AG765" s="72"/>
      <c r="AH765" s="72"/>
    </row>
    <row r="766" spans="2:34">
      <c r="B766" s="72" t="s">
        <v>1722</v>
      </c>
      <c r="C766" s="73" t="s">
        <v>1691</v>
      </c>
      <c r="N766" s="72" t="s">
        <v>1706</v>
      </c>
      <c r="P766" s="72"/>
      <c r="Q766" s="72"/>
      <c r="R766" s="72"/>
      <c r="S766" s="72"/>
      <c r="T766" s="72"/>
      <c r="U766" s="72"/>
      <c r="V766" s="72"/>
      <c r="W766" s="72"/>
      <c r="X766" s="72"/>
      <c r="Y766" s="72"/>
      <c r="Z766" s="72"/>
      <c r="AA766" s="72"/>
      <c r="AF766" s="72"/>
      <c r="AG766" s="72"/>
      <c r="AH766" s="72"/>
    </row>
    <row r="767" spans="2:34">
      <c r="B767" s="72" t="s">
        <v>1721</v>
      </c>
      <c r="C767" s="73" t="s">
        <v>1691</v>
      </c>
      <c r="N767" s="72" t="s">
        <v>1706</v>
      </c>
      <c r="P767" s="72"/>
      <c r="Q767" s="72"/>
      <c r="R767" s="72"/>
      <c r="S767" s="72"/>
      <c r="T767" s="72"/>
      <c r="U767" s="72"/>
      <c r="V767" s="72"/>
      <c r="W767" s="72"/>
      <c r="X767" s="72"/>
      <c r="Y767" s="72"/>
      <c r="Z767" s="72"/>
      <c r="AA767" s="72"/>
      <c r="AF767" s="72"/>
      <c r="AG767" s="72"/>
      <c r="AH767" s="72"/>
    </row>
    <row r="768" spans="2:34">
      <c r="B768" s="72" t="s">
        <v>1720</v>
      </c>
      <c r="C768" s="73" t="s">
        <v>1691</v>
      </c>
      <c r="N768" s="72" t="s">
        <v>1706</v>
      </c>
      <c r="P768" s="72"/>
      <c r="Q768" s="72"/>
      <c r="R768" s="72"/>
      <c r="S768" s="72"/>
      <c r="T768" s="72"/>
      <c r="U768" s="72"/>
      <c r="V768" s="72"/>
      <c r="W768" s="72"/>
      <c r="X768" s="72"/>
      <c r="Y768" s="72"/>
      <c r="Z768" s="72"/>
      <c r="AA768" s="72"/>
      <c r="AF768" s="72"/>
      <c r="AG768" s="72"/>
      <c r="AH768" s="72"/>
    </row>
    <row r="769" spans="2:34">
      <c r="B769" s="72" t="s">
        <v>1719</v>
      </c>
      <c r="C769" s="73" t="s">
        <v>1691</v>
      </c>
      <c r="N769" s="72" t="s">
        <v>1706</v>
      </c>
      <c r="P769" s="72"/>
      <c r="Q769" s="72"/>
      <c r="R769" s="72"/>
      <c r="S769" s="72"/>
      <c r="T769" s="72"/>
      <c r="U769" s="72"/>
      <c r="V769" s="72"/>
      <c r="W769" s="72"/>
      <c r="X769" s="72"/>
      <c r="Y769" s="72"/>
      <c r="Z769" s="72"/>
      <c r="AA769" s="72"/>
      <c r="AF769" s="72"/>
      <c r="AG769" s="72"/>
      <c r="AH769" s="72"/>
    </row>
    <row r="770" spans="2:34">
      <c r="B770" s="72" t="s">
        <v>1718</v>
      </c>
      <c r="C770" s="73" t="s">
        <v>1691</v>
      </c>
      <c r="N770" s="72" t="s">
        <v>1706</v>
      </c>
      <c r="P770" s="72"/>
      <c r="Q770" s="72"/>
      <c r="R770" s="72"/>
      <c r="S770" s="72"/>
      <c r="T770" s="72"/>
      <c r="U770" s="72"/>
      <c r="V770" s="72"/>
      <c r="W770" s="72"/>
      <c r="X770" s="72"/>
      <c r="Y770" s="72"/>
      <c r="Z770" s="72"/>
      <c r="AA770" s="72"/>
      <c r="AF770" s="72"/>
      <c r="AG770" s="72"/>
      <c r="AH770" s="72"/>
    </row>
    <row r="771" spans="2:34">
      <c r="B771" s="72" t="s">
        <v>1717</v>
      </c>
      <c r="C771" s="73" t="s">
        <v>1691</v>
      </c>
      <c r="N771" s="72" t="s">
        <v>1706</v>
      </c>
      <c r="P771" s="72"/>
      <c r="Q771" s="72"/>
      <c r="R771" s="72"/>
      <c r="S771" s="72"/>
      <c r="T771" s="72"/>
      <c r="U771" s="72"/>
      <c r="V771" s="72"/>
      <c r="W771" s="72"/>
      <c r="X771" s="72"/>
      <c r="Y771" s="72"/>
      <c r="Z771" s="72"/>
      <c r="AA771" s="72"/>
      <c r="AF771" s="72"/>
      <c r="AG771" s="72"/>
      <c r="AH771" s="72"/>
    </row>
    <row r="772" spans="2:34">
      <c r="B772" s="72" t="s">
        <v>1716</v>
      </c>
      <c r="C772" s="73" t="s">
        <v>1691</v>
      </c>
      <c r="N772" s="72" t="s">
        <v>1706</v>
      </c>
      <c r="P772" s="72"/>
      <c r="Q772" s="72"/>
      <c r="R772" s="72"/>
      <c r="S772" s="72"/>
      <c r="T772" s="72"/>
      <c r="U772" s="72"/>
      <c r="V772" s="72"/>
      <c r="W772" s="72"/>
      <c r="X772" s="72"/>
      <c r="Y772" s="72"/>
      <c r="Z772" s="72"/>
      <c r="AA772" s="72"/>
      <c r="AF772" s="72"/>
      <c r="AG772" s="72"/>
      <c r="AH772" s="72"/>
    </row>
    <row r="773" spans="2:34">
      <c r="B773" s="72" t="s">
        <v>1715</v>
      </c>
      <c r="C773" s="73" t="s">
        <v>1691</v>
      </c>
      <c r="N773" s="72" t="s">
        <v>1706</v>
      </c>
      <c r="P773" s="72"/>
      <c r="Q773" s="72"/>
      <c r="R773" s="72"/>
      <c r="S773" s="72"/>
      <c r="T773" s="72"/>
      <c r="U773" s="72"/>
      <c r="V773" s="72"/>
      <c r="W773" s="72"/>
      <c r="X773" s="72"/>
      <c r="Y773" s="72"/>
      <c r="Z773" s="72"/>
      <c r="AA773" s="72"/>
      <c r="AF773" s="72"/>
      <c r="AG773" s="72"/>
      <c r="AH773" s="72"/>
    </row>
    <row r="774" spans="2:34">
      <c r="B774" s="72" t="s">
        <v>1714</v>
      </c>
      <c r="C774" s="73" t="s">
        <v>1691</v>
      </c>
      <c r="N774" s="72" t="s">
        <v>1706</v>
      </c>
      <c r="P774" s="72"/>
      <c r="Q774" s="72"/>
      <c r="R774" s="72"/>
      <c r="S774" s="72"/>
      <c r="T774" s="72"/>
      <c r="U774" s="72"/>
      <c r="V774" s="72"/>
      <c r="W774" s="72"/>
      <c r="X774" s="72"/>
      <c r="Y774" s="72"/>
      <c r="Z774" s="72"/>
      <c r="AA774" s="72"/>
      <c r="AF774" s="72"/>
      <c r="AG774" s="72"/>
      <c r="AH774" s="72"/>
    </row>
    <row r="775" spans="2:34">
      <c r="B775" s="72" t="s">
        <v>1713</v>
      </c>
      <c r="C775" s="73" t="s">
        <v>1691</v>
      </c>
      <c r="N775" s="72" t="s">
        <v>1706</v>
      </c>
      <c r="P775" s="72"/>
      <c r="Q775" s="72"/>
      <c r="R775" s="72"/>
      <c r="S775" s="72"/>
      <c r="T775" s="72"/>
      <c r="U775" s="72"/>
      <c r="V775" s="72"/>
      <c r="W775" s="72"/>
      <c r="X775" s="72"/>
      <c r="Y775" s="72"/>
      <c r="Z775" s="72"/>
      <c r="AA775" s="72"/>
      <c r="AF775" s="72"/>
      <c r="AG775" s="72"/>
      <c r="AH775" s="72"/>
    </row>
    <row r="776" spans="2:34">
      <c r="B776" s="72" t="s">
        <v>1432</v>
      </c>
      <c r="C776" s="73" t="s">
        <v>1691</v>
      </c>
      <c r="N776" s="72" t="s">
        <v>1706</v>
      </c>
      <c r="P776" s="72"/>
      <c r="Q776" s="72"/>
      <c r="R776" s="72"/>
      <c r="S776" s="72"/>
      <c r="T776" s="72"/>
      <c r="U776" s="72"/>
      <c r="V776" s="72"/>
      <c r="W776" s="72"/>
      <c r="X776" s="72"/>
      <c r="Y776" s="72"/>
      <c r="Z776" s="72"/>
      <c r="AA776" s="72"/>
      <c r="AF776" s="72"/>
      <c r="AG776" s="72"/>
      <c r="AH776" s="72"/>
    </row>
    <row r="777" spans="2:34">
      <c r="B777" s="72" t="s">
        <v>1712</v>
      </c>
      <c r="C777" s="73" t="s">
        <v>1691</v>
      </c>
      <c r="N777" s="72" t="s">
        <v>1706</v>
      </c>
      <c r="P777" s="72"/>
      <c r="Q777" s="72"/>
      <c r="R777" s="72"/>
      <c r="S777" s="72"/>
      <c r="T777" s="72"/>
      <c r="U777" s="72"/>
      <c r="V777" s="72"/>
      <c r="W777" s="72"/>
      <c r="X777" s="72"/>
      <c r="Y777" s="72"/>
      <c r="Z777" s="72"/>
      <c r="AA777" s="72"/>
      <c r="AF777" s="72"/>
      <c r="AG777" s="72"/>
      <c r="AH777" s="72"/>
    </row>
    <row r="778" spans="2:34">
      <c r="B778" s="72" t="s">
        <v>1711</v>
      </c>
      <c r="C778" s="73" t="s">
        <v>1691</v>
      </c>
      <c r="N778" s="72" t="s">
        <v>1706</v>
      </c>
      <c r="P778" s="72"/>
      <c r="Q778" s="72"/>
      <c r="R778" s="72"/>
      <c r="S778" s="72"/>
      <c r="T778" s="72"/>
      <c r="U778" s="72"/>
      <c r="V778" s="72"/>
      <c r="W778" s="72"/>
      <c r="X778" s="72"/>
      <c r="Y778" s="72"/>
      <c r="Z778" s="72"/>
      <c r="AA778" s="72"/>
      <c r="AF778" s="72"/>
      <c r="AG778" s="72"/>
      <c r="AH778" s="72"/>
    </row>
    <row r="779" spans="2:34">
      <c r="B779" s="72" t="s">
        <v>1710</v>
      </c>
      <c r="C779" s="73" t="s">
        <v>1691</v>
      </c>
      <c r="N779" s="72" t="s">
        <v>1706</v>
      </c>
      <c r="P779" s="72"/>
      <c r="Q779" s="72"/>
      <c r="R779" s="72"/>
      <c r="S779" s="72"/>
      <c r="T779" s="72"/>
      <c r="U779" s="72"/>
      <c r="V779" s="72"/>
      <c r="W779" s="72"/>
      <c r="X779" s="72"/>
      <c r="Y779" s="72"/>
      <c r="Z779" s="72"/>
      <c r="AA779" s="72"/>
      <c r="AF779" s="72"/>
      <c r="AG779" s="72"/>
      <c r="AH779" s="72"/>
    </row>
    <row r="780" spans="2:34">
      <c r="B780" s="72" t="s">
        <v>1709</v>
      </c>
      <c r="C780" s="73" t="s">
        <v>1691</v>
      </c>
      <c r="N780" s="72" t="s">
        <v>1706</v>
      </c>
      <c r="P780" s="72"/>
      <c r="Q780" s="72"/>
      <c r="R780" s="72"/>
      <c r="S780" s="72"/>
      <c r="T780" s="72"/>
      <c r="U780" s="72"/>
      <c r="V780" s="72"/>
      <c r="W780" s="72"/>
      <c r="X780" s="72"/>
      <c r="Y780" s="72"/>
      <c r="Z780" s="72"/>
      <c r="AA780" s="72"/>
      <c r="AF780" s="72"/>
      <c r="AG780" s="72"/>
      <c r="AH780" s="72"/>
    </row>
    <row r="781" spans="2:34">
      <c r="B781" s="72" t="s">
        <v>1708</v>
      </c>
      <c r="C781" s="73" t="s">
        <v>1691</v>
      </c>
      <c r="N781" s="72" t="s">
        <v>1706</v>
      </c>
      <c r="P781" s="72"/>
      <c r="Q781" s="72"/>
      <c r="R781" s="72"/>
      <c r="S781" s="72"/>
      <c r="T781" s="72"/>
      <c r="U781" s="72"/>
      <c r="V781" s="72"/>
      <c r="W781" s="72"/>
      <c r="X781" s="72"/>
      <c r="Y781" s="72"/>
      <c r="Z781" s="72"/>
      <c r="AA781" s="72"/>
      <c r="AF781" s="72"/>
      <c r="AG781" s="72"/>
      <c r="AH781" s="72"/>
    </row>
    <row r="782" spans="2:34">
      <c r="B782" s="72" t="s">
        <v>1707</v>
      </c>
      <c r="C782" s="73" t="s">
        <v>1691</v>
      </c>
      <c r="N782" s="72" t="s">
        <v>1706</v>
      </c>
      <c r="P782" s="72"/>
      <c r="Q782" s="72"/>
      <c r="R782" s="72"/>
      <c r="S782" s="72"/>
      <c r="T782" s="72"/>
      <c r="U782" s="72"/>
      <c r="V782" s="72"/>
      <c r="W782" s="72"/>
      <c r="X782" s="72"/>
      <c r="Y782" s="72"/>
      <c r="Z782" s="72"/>
      <c r="AA782" s="72"/>
      <c r="AF782" s="72"/>
      <c r="AG782" s="72"/>
      <c r="AH782" s="72"/>
    </row>
    <row r="783" spans="2:34">
      <c r="B783" s="72" t="s">
        <v>1705</v>
      </c>
      <c r="C783" s="73" t="s">
        <v>1691</v>
      </c>
      <c r="P783" s="72"/>
      <c r="Q783" s="72"/>
      <c r="R783" s="72"/>
      <c r="S783" s="72"/>
      <c r="T783" s="72"/>
      <c r="U783" s="72"/>
      <c r="V783" s="72"/>
      <c r="W783" s="72"/>
      <c r="X783" s="72"/>
      <c r="Y783" s="72"/>
      <c r="Z783" s="72"/>
      <c r="AA783" s="72"/>
      <c r="AF783" s="72"/>
      <c r="AG783" s="72"/>
      <c r="AH783" s="72"/>
    </row>
    <row r="784" spans="2:34">
      <c r="B784" s="72" t="s">
        <v>1704</v>
      </c>
      <c r="C784" s="73" t="s">
        <v>1691</v>
      </c>
      <c r="P784" s="72"/>
      <c r="Q784" s="72"/>
      <c r="R784" s="72"/>
      <c r="S784" s="72"/>
      <c r="T784" s="72"/>
      <c r="U784" s="72"/>
      <c r="V784" s="72"/>
      <c r="W784" s="72"/>
      <c r="X784" s="72"/>
      <c r="Y784" s="72"/>
      <c r="Z784" s="72"/>
      <c r="AA784" s="72"/>
      <c r="AF784" s="72"/>
      <c r="AG784" s="72"/>
      <c r="AH784" s="72"/>
    </row>
    <row r="785" spans="2:34">
      <c r="B785" s="72" t="s">
        <v>1703</v>
      </c>
      <c r="C785" s="73" t="s">
        <v>1691</v>
      </c>
      <c r="P785" s="72"/>
      <c r="Q785" s="72"/>
      <c r="R785" s="72"/>
      <c r="S785" s="72"/>
      <c r="T785" s="72"/>
      <c r="U785" s="72"/>
      <c r="V785" s="72"/>
      <c r="W785" s="72"/>
      <c r="X785" s="72"/>
      <c r="Y785" s="72"/>
      <c r="Z785" s="72"/>
      <c r="AA785" s="72"/>
      <c r="AF785" s="72"/>
      <c r="AG785" s="72"/>
      <c r="AH785" s="72"/>
    </row>
    <row r="786" spans="2:34">
      <c r="B786" s="72" t="s">
        <v>1702</v>
      </c>
      <c r="C786" s="73" t="s">
        <v>1691</v>
      </c>
      <c r="P786" s="72"/>
      <c r="Q786" s="72"/>
      <c r="R786" s="72"/>
      <c r="S786" s="72"/>
      <c r="T786" s="72"/>
      <c r="U786" s="72"/>
      <c r="V786" s="72"/>
      <c r="W786" s="72"/>
      <c r="X786" s="72"/>
      <c r="Y786" s="72"/>
      <c r="Z786" s="72"/>
      <c r="AA786" s="72"/>
      <c r="AF786" s="72"/>
      <c r="AG786" s="72"/>
      <c r="AH786" s="72"/>
    </row>
    <row r="787" spans="2:34">
      <c r="B787" s="72" t="s">
        <v>1701</v>
      </c>
      <c r="C787" s="73" t="s">
        <v>1691</v>
      </c>
      <c r="P787" s="72"/>
      <c r="Q787" s="72"/>
      <c r="R787" s="72"/>
      <c r="S787" s="72"/>
      <c r="T787" s="72"/>
      <c r="U787" s="72"/>
      <c r="V787" s="72"/>
      <c r="W787" s="72"/>
      <c r="X787" s="72"/>
      <c r="Y787" s="72"/>
      <c r="Z787" s="72"/>
      <c r="AA787" s="72"/>
      <c r="AF787" s="72"/>
      <c r="AG787" s="72"/>
      <c r="AH787" s="72"/>
    </row>
    <row r="788" spans="2:34">
      <c r="B788" s="72" t="s">
        <v>1700</v>
      </c>
      <c r="C788" s="73" t="s">
        <v>1691</v>
      </c>
      <c r="P788" s="72"/>
      <c r="Q788" s="72"/>
      <c r="R788" s="72"/>
      <c r="S788" s="72"/>
      <c r="T788" s="72"/>
      <c r="U788" s="72"/>
      <c r="V788" s="72"/>
      <c r="W788" s="72"/>
      <c r="X788" s="72"/>
      <c r="Y788" s="72"/>
      <c r="Z788" s="72"/>
      <c r="AA788" s="72"/>
      <c r="AF788" s="72"/>
      <c r="AG788" s="72"/>
      <c r="AH788" s="72"/>
    </row>
    <row r="789" spans="2:34">
      <c r="B789" s="72" t="s">
        <v>1699</v>
      </c>
      <c r="C789" s="73" t="s">
        <v>1691</v>
      </c>
      <c r="D789" s="72"/>
      <c r="F789" s="72"/>
      <c r="G789" s="72"/>
      <c r="H789" s="72"/>
      <c r="P789" s="72"/>
      <c r="Q789" s="72"/>
      <c r="R789" s="72"/>
      <c r="S789" s="72"/>
      <c r="T789" s="72"/>
      <c r="U789" s="72"/>
      <c r="V789" s="72"/>
      <c r="W789" s="72"/>
      <c r="X789" s="72"/>
      <c r="Y789" s="72"/>
      <c r="Z789" s="72"/>
      <c r="AA789" s="72"/>
      <c r="AF789" s="72"/>
      <c r="AG789" s="72"/>
      <c r="AH789" s="72"/>
    </row>
    <row r="790" spans="2:34">
      <c r="B790" s="72" t="s">
        <v>1698</v>
      </c>
      <c r="C790" s="73" t="s">
        <v>1691</v>
      </c>
      <c r="D790" s="72"/>
      <c r="F790" s="72"/>
      <c r="G790" s="72"/>
      <c r="H790" s="72"/>
      <c r="P790" s="72"/>
      <c r="Q790" s="72"/>
      <c r="R790" s="72"/>
      <c r="S790" s="72"/>
      <c r="T790" s="72"/>
      <c r="U790" s="72"/>
      <c r="V790" s="72"/>
      <c r="W790" s="72"/>
      <c r="X790" s="72"/>
      <c r="Y790" s="72"/>
      <c r="Z790" s="72"/>
      <c r="AA790" s="72"/>
      <c r="AF790" s="72"/>
      <c r="AG790" s="72"/>
      <c r="AH790" s="72"/>
    </row>
    <row r="791" spans="2:34">
      <c r="B791" s="72" t="s">
        <v>1697</v>
      </c>
      <c r="C791" s="73" t="s">
        <v>1691</v>
      </c>
      <c r="D791" s="72"/>
      <c r="F791" s="72"/>
      <c r="G791" s="72"/>
      <c r="H791" s="72"/>
      <c r="P791" s="72"/>
      <c r="Q791" s="72"/>
      <c r="R791" s="72"/>
      <c r="S791" s="72"/>
      <c r="T791" s="72"/>
      <c r="U791" s="72"/>
      <c r="V791" s="72"/>
      <c r="W791" s="72"/>
      <c r="X791" s="72"/>
      <c r="Y791" s="72"/>
      <c r="Z791" s="72"/>
      <c r="AA791" s="72"/>
      <c r="AF791" s="72"/>
      <c r="AG791" s="72"/>
      <c r="AH791" s="72"/>
    </row>
    <row r="792" spans="2:34">
      <c r="B792" s="72" t="s">
        <v>1696</v>
      </c>
      <c r="C792" s="73" t="s">
        <v>1691</v>
      </c>
      <c r="D792" s="72"/>
      <c r="F792" s="72"/>
      <c r="G792" s="72"/>
      <c r="H792" s="72"/>
      <c r="P792" s="72"/>
      <c r="Q792" s="72"/>
      <c r="R792" s="72"/>
      <c r="S792" s="72"/>
      <c r="T792" s="72"/>
      <c r="U792" s="72"/>
      <c r="V792" s="72"/>
      <c r="W792" s="72"/>
      <c r="X792" s="72"/>
      <c r="Y792" s="72"/>
      <c r="Z792" s="72"/>
      <c r="AA792" s="72"/>
      <c r="AF792" s="72"/>
      <c r="AG792" s="72"/>
      <c r="AH792" s="72"/>
    </row>
    <row r="793" spans="2:34">
      <c r="B793" s="72" t="s">
        <v>1695</v>
      </c>
      <c r="C793" s="73" t="s">
        <v>1691</v>
      </c>
      <c r="D793" s="72"/>
      <c r="F793" s="72"/>
      <c r="G793" s="72"/>
      <c r="H793" s="72"/>
      <c r="P793" s="72"/>
      <c r="Q793" s="72"/>
      <c r="R793" s="72"/>
      <c r="S793" s="72"/>
      <c r="T793" s="72"/>
      <c r="U793" s="72"/>
      <c r="V793" s="72"/>
      <c r="W793" s="72"/>
      <c r="X793" s="72"/>
      <c r="Y793" s="72"/>
      <c r="Z793" s="72"/>
      <c r="AA793" s="72"/>
      <c r="AF793" s="72"/>
      <c r="AG793" s="72"/>
      <c r="AH793" s="72"/>
    </row>
    <row r="794" spans="2:34">
      <c r="B794" s="72" t="s">
        <v>1694</v>
      </c>
      <c r="C794" s="73" t="s">
        <v>1691</v>
      </c>
      <c r="D794" s="72"/>
      <c r="F794" s="72"/>
      <c r="G794" s="72"/>
      <c r="H794" s="72"/>
      <c r="P794" s="72"/>
      <c r="Q794" s="72"/>
      <c r="R794" s="72"/>
      <c r="S794" s="72"/>
      <c r="T794" s="72"/>
      <c r="U794" s="72"/>
      <c r="V794" s="72"/>
      <c r="W794" s="72"/>
      <c r="X794" s="72"/>
      <c r="Y794" s="72"/>
      <c r="Z794" s="72"/>
      <c r="AA794" s="72"/>
      <c r="AF794" s="72"/>
      <c r="AG794" s="72"/>
      <c r="AH794" s="72"/>
    </row>
    <row r="795" spans="2:34">
      <c r="B795" s="72" t="s">
        <v>1693</v>
      </c>
      <c r="C795" s="73" t="s">
        <v>1691</v>
      </c>
      <c r="D795" s="72"/>
      <c r="F795" s="72"/>
      <c r="G795" s="72"/>
      <c r="H795" s="72"/>
      <c r="P795" s="72"/>
      <c r="Q795" s="72"/>
      <c r="R795" s="72"/>
      <c r="S795" s="72"/>
      <c r="T795" s="72"/>
      <c r="U795" s="72"/>
      <c r="V795" s="72"/>
      <c r="W795" s="72"/>
      <c r="X795" s="72"/>
      <c r="Y795" s="72"/>
      <c r="Z795" s="72"/>
      <c r="AA795" s="72"/>
      <c r="AF795" s="72"/>
      <c r="AG795" s="72"/>
      <c r="AH795" s="72"/>
    </row>
    <row r="796" spans="2:34">
      <c r="B796" s="72" t="s">
        <v>1692</v>
      </c>
      <c r="C796" s="73" t="s">
        <v>1691</v>
      </c>
      <c r="D796" s="72"/>
      <c r="F796" s="72"/>
      <c r="G796" s="72"/>
      <c r="H796" s="72"/>
      <c r="P796" s="72"/>
      <c r="Q796" s="72"/>
      <c r="R796" s="72"/>
      <c r="S796" s="72"/>
      <c r="T796" s="72"/>
      <c r="U796" s="72"/>
      <c r="V796" s="72"/>
      <c r="W796" s="72"/>
      <c r="X796" s="72"/>
      <c r="Y796" s="72"/>
      <c r="Z796" s="72"/>
      <c r="AA796" s="72"/>
      <c r="AE796" s="392" t="s">
        <v>9765</v>
      </c>
      <c r="AF796" s="72"/>
      <c r="AG796" s="72"/>
      <c r="AH796" s="72"/>
    </row>
    <row r="797" spans="2:34">
      <c r="B797" s="392" t="s">
        <v>9766</v>
      </c>
      <c r="D797" s="72"/>
      <c r="F797" s="72"/>
      <c r="G797" s="72"/>
      <c r="H797" s="72"/>
      <c r="P797" s="72"/>
      <c r="Q797" s="72"/>
      <c r="R797" s="72"/>
      <c r="S797" s="72"/>
      <c r="T797" s="72"/>
      <c r="U797" s="72"/>
      <c r="V797" s="72"/>
      <c r="W797" s="72"/>
      <c r="X797" s="72"/>
      <c r="Y797" s="72"/>
      <c r="Z797" s="72"/>
      <c r="AA797" s="72"/>
      <c r="AE797" s="392" t="s">
        <v>9767</v>
      </c>
      <c r="AF797" s="72"/>
      <c r="AG797" s="72"/>
      <c r="AH797" s="72"/>
    </row>
    <row r="798" spans="2:34">
      <c r="B798" s="72" t="s">
        <v>1690</v>
      </c>
      <c r="D798" s="72"/>
      <c r="F798" s="72"/>
      <c r="G798" s="72"/>
      <c r="H798" s="72"/>
      <c r="P798" s="72"/>
      <c r="Q798" s="72"/>
      <c r="R798" s="72"/>
      <c r="S798" s="72"/>
      <c r="T798" s="72"/>
      <c r="U798" s="72"/>
      <c r="V798" s="72"/>
      <c r="W798" s="72"/>
      <c r="X798" s="72"/>
      <c r="Y798" s="72"/>
      <c r="Z798" s="72"/>
      <c r="AA798" s="72"/>
      <c r="AF798" s="72"/>
      <c r="AG798" s="72"/>
      <c r="AH798" s="72"/>
    </row>
    <row r="799" spans="2:34">
      <c r="B799" s="72" t="s">
        <v>1689</v>
      </c>
      <c r="D799" s="72"/>
      <c r="F799" s="72"/>
      <c r="G799" s="72"/>
      <c r="H799" s="72"/>
      <c r="P799" s="72"/>
      <c r="Q799" s="72"/>
      <c r="R799" s="72"/>
      <c r="S799" s="72"/>
      <c r="T799" s="72"/>
      <c r="U799" s="72"/>
      <c r="V799" s="72"/>
      <c r="W799" s="72"/>
      <c r="X799" s="72"/>
      <c r="Y799" s="72"/>
      <c r="Z799" s="72"/>
      <c r="AA799" s="72"/>
      <c r="AF799" s="72"/>
      <c r="AG799" s="72"/>
      <c r="AH799" s="72"/>
    </row>
    <row r="800" spans="2:34">
      <c r="B800" s="72" t="s">
        <v>1688</v>
      </c>
      <c r="D800" s="72"/>
      <c r="F800" s="72"/>
      <c r="G800" s="72"/>
      <c r="H800" s="72"/>
      <c r="P800" s="72"/>
      <c r="Q800" s="72"/>
      <c r="R800" s="72"/>
      <c r="S800" s="72"/>
      <c r="T800" s="72"/>
      <c r="U800" s="72"/>
      <c r="V800" s="72"/>
      <c r="W800" s="72"/>
      <c r="X800" s="72"/>
      <c r="Y800" s="72"/>
      <c r="Z800" s="72"/>
      <c r="AA800" s="72"/>
      <c r="AF800" s="72"/>
      <c r="AG800" s="72"/>
      <c r="AH800" s="72"/>
    </row>
    <row r="801" spans="2:34">
      <c r="B801" s="72" t="s">
        <v>1687</v>
      </c>
      <c r="D801" s="72"/>
      <c r="F801" s="72"/>
      <c r="G801" s="72"/>
      <c r="H801" s="72"/>
      <c r="P801" s="72"/>
      <c r="Q801" s="72"/>
      <c r="R801" s="72"/>
      <c r="S801" s="72"/>
      <c r="T801" s="72"/>
      <c r="U801" s="72"/>
      <c r="V801" s="72"/>
      <c r="W801" s="72"/>
      <c r="X801" s="72"/>
      <c r="Y801" s="72"/>
      <c r="Z801" s="72"/>
      <c r="AA801" s="72"/>
      <c r="AF801" s="72"/>
      <c r="AG801" s="72"/>
      <c r="AH801" s="72"/>
    </row>
    <row r="802" spans="2:34">
      <c r="B802" s="72" t="s">
        <v>1686</v>
      </c>
      <c r="D802" s="72"/>
      <c r="F802" s="72"/>
      <c r="G802" s="72"/>
      <c r="H802" s="72"/>
      <c r="P802" s="72"/>
      <c r="Q802" s="72"/>
      <c r="R802" s="72"/>
      <c r="S802" s="72"/>
      <c r="T802" s="72"/>
      <c r="U802" s="72"/>
      <c r="V802" s="72"/>
      <c r="W802" s="72"/>
      <c r="X802" s="72"/>
      <c r="Y802" s="72"/>
      <c r="Z802" s="72"/>
      <c r="AA802" s="72"/>
      <c r="AF802" s="72"/>
      <c r="AG802" s="72"/>
      <c r="AH802" s="72"/>
    </row>
    <row r="803" spans="2:34">
      <c r="B803" s="72" t="s">
        <v>1685</v>
      </c>
      <c r="D803" s="72"/>
      <c r="F803" s="72"/>
      <c r="G803" s="72"/>
      <c r="H803" s="72"/>
      <c r="P803" s="72"/>
      <c r="Q803" s="72"/>
      <c r="R803" s="72"/>
      <c r="S803" s="72"/>
      <c r="T803" s="72"/>
      <c r="U803" s="72"/>
      <c r="V803" s="72"/>
      <c r="W803" s="72"/>
      <c r="X803" s="72"/>
      <c r="Y803" s="72"/>
      <c r="Z803" s="72"/>
      <c r="AA803" s="72"/>
      <c r="AF803" s="72"/>
      <c r="AG803" s="72"/>
      <c r="AH803" s="72"/>
    </row>
    <row r="804" spans="2:34">
      <c r="B804" s="72" t="s">
        <v>1684</v>
      </c>
      <c r="D804" s="72"/>
      <c r="F804" s="72"/>
      <c r="G804" s="72"/>
      <c r="H804" s="72"/>
      <c r="P804" s="72"/>
      <c r="Q804" s="72"/>
      <c r="R804" s="72"/>
      <c r="S804" s="72"/>
      <c r="T804" s="72"/>
      <c r="U804" s="72"/>
      <c r="V804" s="72"/>
      <c r="W804" s="72"/>
      <c r="X804" s="72"/>
      <c r="Y804" s="72"/>
      <c r="Z804" s="72"/>
      <c r="AA804" s="72"/>
      <c r="AF804" s="72"/>
      <c r="AG804" s="72"/>
      <c r="AH804" s="72"/>
    </row>
    <row r="805" spans="2:34">
      <c r="B805" s="72" t="s">
        <v>1683</v>
      </c>
      <c r="D805" s="72"/>
      <c r="F805" s="72"/>
      <c r="G805" s="72"/>
      <c r="H805" s="72"/>
      <c r="P805" s="72"/>
      <c r="Q805" s="72"/>
      <c r="R805" s="72"/>
      <c r="S805" s="72"/>
      <c r="T805" s="72"/>
      <c r="U805" s="72"/>
      <c r="V805" s="72"/>
      <c r="W805" s="72"/>
      <c r="X805" s="72"/>
      <c r="Y805" s="72"/>
      <c r="Z805" s="72"/>
      <c r="AA805" s="72"/>
      <c r="AF805" s="72"/>
      <c r="AG805" s="72"/>
      <c r="AH805" s="72"/>
    </row>
    <row r="806" spans="2:34">
      <c r="B806" s="72" t="s">
        <v>1682</v>
      </c>
      <c r="C806" s="72"/>
      <c r="D806" s="72"/>
      <c r="F806" s="72"/>
      <c r="G806" s="72"/>
      <c r="H806" s="72"/>
      <c r="P806" s="72"/>
      <c r="Q806" s="72"/>
      <c r="R806" s="72"/>
      <c r="S806" s="72"/>
      <c r="T806" s="72"/>
      <c r="U806" s="72"/>
      <c r="V806" s="72"/>
      <c r="W806" s="72"/>
      <c r="X806" s="72"/>
      <c r="Y806" s="72"/>
      <c r="Z806" s="72"/>
      <c r="AA806" s="72"/>
      <c r="AF806" s="72"/>
      <c r="AG806" s="72"/>
      <c r="AH806" s="72"/>
    </row>
    <row r="807" spans="2:34">
      <c r="B807" s="72" t="s">
        <v>1681</v>
      </c>
      <c r="C807" s="72"/>
      <c r="D807" s="72"/>
      <c r="F807" s="72"/>
      <c r="G807" s="72"/>
      <c r="H807" s="72"/>
      <c r="P807" s="72"/>
      <c r="Q807" s="72"/>
      <c r="R807" s="72"/>
      <c r="S807" s="72"/>
      <c r="T807" s="72"/>
      <c r="U807" s="72"/>
      <c r="V807" s="72"/>
      <c r="W807" s="72"/>
      <c r="X807" s="72"/>
      <c r="Y807" s="72"/>
      <c r="Z807" s="72"/>
      <c r="AA807" s="72"/>
      <c r="AF807" s="72"/>
      <c r="AG807" s="72"/>
      <c r="AH807" s="72"/>
    </row>
    <row r="808" spans="2:34">
      <c r="B808" s="72" t="s">
        <v>1680</v>
      </c>
      <c r="C808" s="72"/>
      <c r="D808" s="72"/>
      <c r="F808" s="72"/>
      <c r="G808" s="72"/>
      <c r="H808" s="72"/>
      <c r="P808" s="72"/>
      <c r="Q808" s="72"/>
      <c r="R808" s="72"/>
      <c r="S808" s="72"/>
      <c r="T808" s="72"/>
      <c r="U808" s="72"/>
      <c r="V808" s="72"/>
      <c r="W808" s="72"/>
      <c r="X808" s="72"/>
      <c r="Y808" s="72"/>
      <c r="Z808" s="72"/>
      <c r="AA808" s="72"/>
      <c r="AF808" s="72"/>
      <c r="AG808" s="72"/>
      <c r="AH808" s="72"/>
    </row>
    <row r="809" spans="2:34">
      <c r="B809" s="72" t="s">
        <v>1679</v>
      </c>
      <c r="C809" s="72"/>
      <c r="D809" s="72"/>
      <c r="F809" s="72"/>
      <c r="G809" s="72"/>
      <c r="H809" s="72"/>
      <c r="P809" s="72"/>
      <c r="Q809" s="72"/>
      <c r="R809" s="72"/>
      <c r="S809" s="72"/>
      <c r="T809" s="72"/>
      <c r="U809" s="72"/>
      <c r="V809" s="72"/>
      <c r="W809" s="72"/>
      <c r="X809" s="72"/>
      <c r="Y809" s="72"/>
      <c r="Z809" s="72"/>
      <c r="AA809" s="72"/>
      <c r="AF809" s="72"/>
      <c r="AG809" s="72"/>
      <c r="AH809" s="72"/>
    </row>
    <row r="810" spans="2:34">
      <c r="B810" s="72" t="s">
        <v>1678</v>
      </c>
      <c r="C810" s="72"/>
      <c r="D810" s="72"/>
      <c r="F810" s="72"/>
      <c r="G810" s="72"/>
      <c r="H810" s="72"/>
      <c r="P810" s="72"/>
      <c r="Q810" s="72"/>
      <c r="R810" s="72"/>
      <c r="S810" s="72"/>
      <c r="T810" s="72"/>
      <c r="U810" s="72"/>
      <c r="V810" s="72"/>
      <c r="W810" s="72"/>
      <c r="X810" s="72"/>
      <c r="Y810" s="72"/>
      <c r="Z810" s="72"/>
      <c r="AA810" s="72"/>
      <c r="AF810" s="72"/>
      <c r="AG810" s="72"/>
      <c r="AH810" s="72"/>
    </row>
    <row r="811" spans="2:34">
      <c r="B811" s="72" t="s">
        <v>1677</v>
      </c>
      <c r="C811" s="72"/>
      <c r="D811" s="72"/>
      <c r="F811" s="72"/>
      <c r="G811" s="72"/>
      <c r="H811" s="72"/>
      <c r="P811" s="72"/>
      <c r="Q811" s="72"/>
      <c r="R811" s="72"/>
      <c r="S811" s="72"/>
      <c r="T811" s="72"/>
      <c r="U811" s="72"/>
      <c r="V811" s="72"/>
      <c r="W811" s="72"/>
      <c r="X811" s="72"/>
      <c r="Y811" s="72"/>
      <c r="Z811" s="72"/>
      <c r="AA811" s="72"/>
      <c r="AF811" s="72"/>
      <c r="AG811" s="72"/>
      <c r="AH811" s="72"/>
    </row>
    <row r="812" spans="2:34">
      <c r="B812" s="72" t="s">
        <v>1676</v>
      </c>
      <c r="C812" s="72"/>
      <c r="D812" s="72"/>
      <c r="F812" s="72"/>
      <c r="G812" s="72"/>
      <c r="H812" s="72"/>
      <c r="P812" s="72"/>
      <c r="Q812" s="72"/>
      <c r="R812" s="72"/>
      <c r="S812" s="72"/>
      <c r="T812" s="72"/>
      <c r="U812" s="72"/>
      <c r="V812" s="72"/>
      <c r="W812" s="72"/>
      <c r="X812" s="72"/>
      <c r="Y812" s="72"/>
      <c r="Z812" s="72"/>
      <c r="AA812" s="72"/>
      <c r="AF812" s="72"/>
      <c r="AG812" s="72"/>
      <c r="AH812" s="72"/>
    </row>
    <row r="813" spans="2:34">
      <c r="B813" s="72" t="s">
        <v>1675</v>
      </c>
      <c r="C813" s="72"/>
      <c r="D813" s="72"/>
      <c r="F813" s="72"/>
      <c r="G813" s="72"/>
      <c r="H813" s="72"/>
      <c r="P813" s="72"/>
      <c r="Q813" s="72"/>
      <c r="R813" s="72"/>
      <c r="S813" s="72"/>
      <c r="T813" s="72"/>
      <c r="U813" s="72"/>
      <c r="V813" s="72"/>
      <c r="W813" s="72"/>
      <c r="X813" s="72"/>
      <c r="Y813" s="72"/>
      <c r="Z813" s="72"/>
      <c r="AA813" s="72"/>
      <c r="AF813" s="72"/>
      <c r="AG813" s="72"/>
      <c r="AH813" s="72"/>
    </row>
    <row r="814" spans="2:34">
      <c r="B814" s="72" t="s">
        <v>1674</v>
      </c>
      <c r="C814" s="72"/>
      <c r="D814" s="72"/>
      <c r="F814" s="72"/>
      <c r="G814" s="72"/>
      <c r="H814" s="72"/>
      <c r="P814" s="72"/>
      <c r="Q814" s="72"/>
      <c r="R814" s="72"/>
      <c r="S814" s="72"/>
      <c r="T814" s="72"/>
      <c r="U814" s="72"/>
      <c r="V814" s="72"/>
      <c r="W814" s="72"/>
      <c r="X814" s="72"/>
      <c r="Y814" s="72"/>
      <c r="Z814" s="72"/>
      <c r="AA814" s="72"/>
      <c r="AF814" s="72"/>
      <c r="AG814" s="72"/>
      <c r="AH814" s="72"/>
    </row>
    <row r="815" spans="2:34">
      <c r="B815" s="72" t="s">
        <v>1673</v>
      </c>
      <c r="C815" s="72"/>
      <c r="D815" s="72"/>
      <c r="F815" s="72"/>
      <c r="G815" s="72"/>
      <c r="H815" s="72"/>
      <c r="P815" s="72"/>
      <c r="Q815" s="72"/>
      <c r="R815" s="72"/>
      <c r="S815" s="72"/>
      <c r="T815" s="72"/>
      <c r="U815" s="72"/>
      <c r="V815" s="72"/>
      <c r="W815" s="72"/>
      <c r="X815" s="72"/>
      <c r="Y815" s="72"/>
      <c r="Z815" s="72"/>
      <c r="AA815" s="72"/>
      <c r="AF815" s="72"/>
      <c r="AG815" s="72"/>
      <c r="AH815" s="72"/>
    </row>
    <row r="816" spans="2:34">
      <c r="B816" s="72" t="s">
        <v>1672</v>
      </c>
      <c r="C816" s="72"/>
      <c r="D816" s="72"/>
      <c r="F816" s="72"/>
      <c r="G816" s="72"/>
      <c r="H816" s="72"/>
      <c r="P816" s="72"/>
      <c r="Q816" s="72"/>
      <c r="R816" s="72"/>
      <c r="S816" s="72"/>
      <c r="T816" s="72"/>
      <c r="U816" s="72"/>
      <c r="V816" s="72"/>
      <c r="W816" s="72"/>
      <c r="X816" s="72"/>
      <c r="Y816" s="72"/>
      <c r="Z816" s="72"/>
      <c r="AA816" s="72"/>
      <c r="AF816" s="72"/>
      <c r="AG816" s="72"/>
      <c r="AH816" s="72"/>
    </row>
    <row r="817" spans="2:34">
      <c r="B817" s="72" t="s">
        <v>1671</v>
      </c>
      <c r="C817" s="72"/>
      <c r="D817" s="72"/>
      <c r="F817" s="72"/>
      <c r="G817" s="72"/>
      <c r="H817" s="72"/>
      <c r="P817" s="72"/>
      <c r="Q817" s="72"/>
      <c r="R817" s="72"/>
      <c r="S817" s="72"/>
      <c r="T817" s="72"/>
      <c r="U817" s="72"/>
      <c r="V817" s="72"/>
      <c r="W817" s="72"/>
      <c r="X817" s="72"/>
      <c r="Y817" s="72"/>
      <c r="Z817" s="72"/>
      <c r="AA817" s="72"/>
      <c r="AF817" s="72"/>
      <c r="AG817" s="72"/>
      <c r="AH817" s="72"/>
    </row>
    <row r="818" spans="2:34">
      <c r="B818" s="72" t="s">
        <v>1670</v>
      </c>
      <c r="C818" s="72"/>
      <c r="D818" s="72"/>
      <c r="F818" s="72"/>
      <c r="G818" s="72"/>
      <c r="H818" s="72"/>
      <c r="P818" s="72"/>
      <c r="Q818" s="72"/>
      <c r="R818" s="72"/>
      <c r="S818" s="72"/>
      <c r="T818" s="72"/>
      <c r="U818" s="72"/>
      <c r="V818" s="72"/>
      <c r="W818" s="72"/>
      <c r="X818" s="72"/>
      <c r="Y818" s="72"/>
      <c r="Z818" s="72"/>
      <c r="AA818" s="72"/>
      <c r="AF818" s="72"/>
      <c r="AG818" s="72"/>
      <c r="AH818" s="72"/>
    </row>
    <row r="819" spans="2:34">
      <c r="B819" s="72" t="s">
        <v>1669</v>
      </c>
      <c r="C819" s="72"/>
      <c r="D819" s="72"/>
      <c r="F819" s="72"/>
      <c r="G819" s="72"/>
      <c r="H819" s="72"/>
      <c r="P819" s="72"/>
      <c r="Q819" s="72"/>
      <c r="R819" s="72"/>
      <c r="S819" s="72"/>
      <c r="T819" s="72"/>
      <c r="U819" s="72"/>
      <c r="V819" s="72"/>
      <c r="W819" s="72"/>
      <c r="X819" s="72"/>
      <c r="Y819" s="72"/>
      <c r="Z819" s="72"/>
      <c r="AA819" s="72"/>
      <c r="AF819" s="72"/>
      <c r="AG819" s="72"/>
      <c r="AH819" s="72"/>
    </row>
    <row r="820" spans="2:34">
      <c r="B820" s="72" t="s">
        <v>1668</v>
      </c>
      <c r="C820" s="72"/>
      <c r="D820" s="72"/>
      <c r="F820" s="72"/>
      <c r="G820" s="72"/>
      <c r="H820" s="72"/>
      <c r="P820" s="72"/>
      <c r="Q820" s="72"/>
      <c r="R820" s="72"/>
      <c r="S820" s="72"/>
      <c r="T820" s="72"/>
      <c r="U820" s="72"/>
      <c r="V820" s="72"/>
      <c r="W820" s="72"/>
      <c r="X820" s="72"/>
      <c r="Y820" s="72"/>
      <c r="Z820" s="72"/>
      <c r="AA820" s="72"/>
      <c r="AF820" s="72"/>
      <c r="AG820" s="72"/>
      <c r="AH820" s="72"/>
    </row>
    <row r="821" spans="2:34">
      <c r="B821" s="72" t="s">
        <v>1667</v>
      </c>
      <c r="C821" s="72"/>
      <c r="D821" s="72"/>
      <c r="F821" s="72"/>
      <c r="G821" s="72"/>
      <c r="H821" s="72"/>
      <c r="P821" s="72"/>
      <c r="Q821" s="72"/>
      <c r="R821" s="72"/>
      <c r="S821" s="72"/>
      <c r="T821" s="72"/>
      <c r="U821" s="72"/>
      <c r="V821" s="72"/>
      <c r="W821" s="72"/>
      <c r="X821" s="72"/>
      <c r="Y821" s="72"/>
      <c r="Z821" s="72"/>
      <c r="AA821" s="72"/>
      <c r="AF821" s="72"/>
      <c r="AG821" s="72"/>
      <c r="AH821" s="72"/>
    </row>
    <row r="822" spans="2:34">
      <c r="B822" s="72" t="s">
        <v>1666</v>
      </c>
      <c r="AF822" s="72"/>
      <c r="AG822" s="72"/>
      <c r="AH822" s="72"/>
    </row>
    <row r="823" spans="2:34">
      <c r="B823" s="72" t="s">
        <v>1665</v>
      </c>
      <c r="AF823" s="72"/>
      <c r="AG823" s="72"/>
      <c r="AH823" s="72"/>
    </row>
    <row r="824" spans="2:34">
      <c r="B824" s="72" t="s">
        <v>1664</v>
      </c>
      <c r="AF824" s="72"/>
      <c r="AG824" s="72"/>
      <c r="AH824" s="72"/>
    </row>
    <row r="825" spans="2:34">
      <c r="B825" s="72" t="s">
        <v>1663</v>
      </c>
      <c r="AF825" s="72"/>
      <c r="AG825" s="72"/>
      <c r="AH825" s="72"/>
    </row>
    <row r="826" spans="2:34">
      <c r="B826" s="72" t="s">
        <v>1662</v>
      </c>
      <c r="AF826" s="72"/>
      <c r="AG826" s="72"/>
      <c r="AH826" s="72"/>
    </row>
    <row r="827" spans="2:34">
      <c r="B827" s="72" t="s">
        <v>1661</v>
      </c>
      <c r="AF827" s="72"/>
      <c r="AG827" s="72"/>
      <c r="AH827" s="72"/>
    </row>
    <row r="828" spans="2:34">
      <c r="B828" s="72" t="s">
        <v>1660</v>
      </c>
      <c r="AF828" s="72"/>
      <c r="AG828" s="72"/>
      <c r="AH828" s="72"/>
    </row>
    <row r="829" spans="2:34">
      <c r="B829" s="72" t="s">
        <v>1659</v>
      </c>
      <c r="AF829" s="72"/>
      <c r="AG829" s="72"/>
      <c r="AH829" s="72"/>
    </row>
    <row r="830" spans="2:34">
      <c r="B830" s="72" t="s">
        <v>1658</v>
      </c>
      <c r="AF830" s="72"/>
      <c r="AG830" s="72"/>
      <c r="AH830" s="72"/>
    </row>
    <row r="831" spans="2:34">
      <c r="B831" s="72" t="s">
        <v>1657</v>
      </c>
      <c r="AF831" s="72"/>
      <c r="AG831" s="72"/>
      <c r="AH831" s="72"/>
    </row>
    <row r="832" spans="2:34">
      <c r="B832" s="72" t="s">
        <v>1656</v>
      </c>
      <c r="AF832" s="72"/>
      <c r="AG832" s="72"/>
      <c r="AH832" s="72"/>
    </row>
    <row r="833" spans="2:34">
      <c r="B833" s="72" t="s">
        <v>1655</v>
      </c>
      <c r="AF833" s="72"/>
      <c r="AG833" s="72"/>
      <c r="AH833" s="72"/>
    </row>
    <row r="834" spans="2:34">
      <c r="B834" s="72" t="s">
        <v>1654</v>
      </c>
      <c r="AF834" s="72"/>
      <c r="AG834" s="72"/>
      <c r="AH834" s="72"/>
    </row>
    <row r="835" spans="2:34">
      <c r="B835" s="72" t="s">
        <v>1653</v>
      </c>
      <c r="AF835" s="72"/>
      <c r="AG835" s="72"/>
      <c r="AH835" s="72"/>
    </row>
    <row r="836" spans="2:34">
      <c r="B836" s="72" t="s">
        <v>1652</v>
      </c>
      <c r="AF836" s="72"/>
      <c r="AG836" s="72"/>
      <c r="AH836" s="72"/>
    </row>
    <row r="837" spans="2:34">
      <c r="B837" s="72" t="s">
        <v>1651</v>
      </c>
      <c r="AE837" s="91" t="s">
        <v>5447</v>
      </c>
      <c r="AF837" s="72"/>
      <c r="AG837" s="72"/>
      <c r="AH837" s="72"/>
    </row>
    <row r="838" spans="2:34">
      <c r="B838" s="72" t="s">
        <v>1650</v>
      </c>
      <c r="C838" s="72"/>
      <c r="D838" s="72"/>
      <c r="F838" s="72"/>
      <c r="G838" s="72"/>
      <c r="H838" s="72"/>
      <c r="P838" s="72"/>
      <c r="Q838" s="72"/>
      <c r="R838" s="72"/>
      <c r="S838" s="72"/>
      <c r="T838" s="72"/>
      <c r="U838" s="72"/>
      <c r="V838" s="72"/>
      <c r="W838" s="72"/>
      <c r="X838" s="72"/>
      <c r="Y838" s="72"/>
      <c r="Z838" s="72"/>
      <c r="AA838" s="72"/>
      <c r="AF838" s="72"/>
      <c r="AG838" s="72"/>
      <c r="AH838" s="72"/>
    </row>
    <row r="839" spans="2:34">
      <c r="B839" s="72" t="s">
        <v>1649</v>
      </c>
      <c r="C839" s="72"/>
      <c r="D839" s="72"/>
      <c r="F839" s="72"/>
      <c r="G839" s="72"/>
      <c r="H839" s="72"/>
      <c r="P839" s="72"/>
      <c r="Q839" s="72"/>
      <c r="R839" s="72"/>
      <c r="S839" s="72"/>
      <c r="T839" s="72"/>
      <c r="U839" s="72"/>
      <c r="V839" s="72"/>
      <c r="W839" s="72"/>
      <c r="X839" s="72"/>
      <c r="Y839" s="72"/>
      <c r="Z839" s="72"/>
      <c r="AA839" s="72"/>
      <c r="AF839" s="72"/>
      <c r="AG839" s="72"/>
      <c r="AH839" s="72"/>
    </row>
    <row r="840" spans="2:34">
      <c r="B840" s="72" t="s">
        <v>1648</v>
      </c>
      <c r="C840" s="72"/>
      <c r="D840" s="72"/>
      <c r="F840" s="72"/>
      <c r="G840" s="72"/>
      <c r="H840" s="72"/>
      <c r="P840" s="72"/>
      <c r="Q840" s="72"/>
      <c r="R840" s="72"/>
      <c r="S840" s="72"/>
      <c r="T840" s="72"/>
      <c r="U840" s="72"/>
      <c r="V840" s="72"/>
      <c r="W840" s="72"/>
      <c r="X840" s="72"/>
      <c r="Y840" s="72"/>
      <c r="Z840" s="72"/>
      <c r="AA840" s="72"/>
      <c r="AF840" s="72"/>
      <c r="AG840" s="72"/>
      <c r="AH840" s="72"/>
    </row>
    <row r="841" spans="2:34">
      <c r="B841" s="72" t="s">
        <v>1647</v>
      </c>
      <c r="C841" s="72"/>
      <c r="D841" s="72"/>
      <c r="F841" s="72"/>
      <c r="G841" s="72"/>
      <c r="H841" s="72"/>
      <c r="P841" s="72"/>
      <c r="Q841" s="72"/>
      <c r="R841" s="72"/>
      <c r="S841" s="72"/>
      <c r="T841" s="72"/>
      <c r="U841" s="72"/>
      <c r="V841" s="72"/>
      <c r="W841" s="72"/>
      <c r="X841" s="72"/>
      <c r="Y841" s="72"/>
      <c r="Z841" s="72"/>
      <c r="AA841" s="72"/>
      <c r="AF841" s="72"/>
      <c r="AG841" s="72"/>
      <c r="AH841" s="72"/>
    </row>
    <row r="842" spans="2:34">
      <c r="B842" s="72" t="s">
        <v>1646</v>
      </c>
      <c r="C842" s="72"/>
      <c r="D842" s="72"/>
      <c r="F842" s="72"/>
      <c r="G842" s="72"/>
      <c r="H842" s="72"/>
      <c r="P842" s="72"/>
      <c r="Q842" s="72"/>
      <c r="R842" s="72"/>
      <c r="S842" s="72"/>
      <c r="T842" s="72"/>
      <c r="U842" s="72"/>
      <c r="V842" s="72"/>
      <c r="W842" s="72"/>
      <c r="X842" s="72"/>
      <c r="Y842" s="72"/>
      <c r="Z842" s="72"/>
      <c r="AA842" s="72"/>
      <c r="AF842" s="72"/>
      <c r="AG842" s="72"/>
      <c r="AH842" s="72"/>
    </row>
    <row r="843" spans="2:34">
      <c r="B843" s="72" t="s">
        <v>1645</v>
      </c>
      <c r="C843" s="72"/>
      <c r="D843" s="72"/>
      <c r="F843" s="72"/>
      <c r="G843" s="72"/>
      <c r="H843" s="72"/>
      <c r="P843" s="72"/>
      <c r="Q843" s="72"/>
      <c r="R843" s="72"/>
      <c r="S843" s="72"/>
      <c r="T843" s="72"/>
      <c r="U843" s="72"/>
      <c r="V843" s="72"/>
      <c r="W843" s="72"/>
      <c r="X843" s="72"/>
      <c r="Y843" s="72"/>
      <c r="Z843" s="72"/>
      <c r="AA843" s="72"/>
      <c r="AF843" s="72"/>
      <c r="AG843" s="72"/>
      <c r="AH843" s="72"/>
    </row>
    <row r="844" spans="2:34">
      <c r="B844" s="72" t="s">
        <v>1644</v>
      </c>
      <c r="C844" s="72"/>
      <c r="D844" s="72"/>
      <c r="F844" s="72"/>
      <c r="G844" s="72"/>
      <c r="H844" s="72"/>
      <c r="P844" s="72"/>
      <c r="Q844" s="72"/>
      <c r="R844" s="72"/>
      <c r="S844" s="72"/>
      <c r="T844" s="72"/>
      <c r="U844" s="72"/>
      <c r="V844" s="72"/>
      <c r="W844" s="72"/>
      <c r="X844" s="72"/>
      <c r="Y844" s="72"/>
      <c r="Z844" s="72"/>
      <c r="AA844" s="72"/>
      <c r="AF844" s="72"/>
      <c r="AG844" s="72"/>
      <c r="AH844" s="72"/>
    </row>
    <row r="845" spans="2:34">
      <c r="B845" s="72" t="s">
        <v>1643</v>
      </c>
      <c r="C845" s="72"/>
      <c r="D845" s="72"/>
      <c r="F845" s="72"/>
      <c r="G845" s="72"/>
      <c r="H845" s="72"/>
      <c r="P845" s="72"/>
      <c r="Q845" s="72"/>
      <c r="R845" s="72"/>
      <c r="S845" s="72"/>
      <c r="T845" s="72"/>
      <c r="U845" s="72"/>
      <c r="V845" s="72"/>
      <c r="W845" s="72"/>
      <c r="X845" s="72"/>
      <c r="Y845" s="72"/>
      <c r="Z845" s="72"/>
      <c r="AA845" s="72"/>
      <c r="AF845" s="72"/>
      <c r="AG845" s="72"/>
      <c r="AH845" s="72"/>
    </row>
    <row r="846" spans="2:34">
      <c r="B846" s="72" t="s">
        <v>1642</v>
      </c>
      <c r="C846" s="72"/>
      <c r="D846" s="72"/>
      <c r="F846" s="72"/>
      <c r="G846" s="72"/>
      <c r="H846" s="72"/>
      <c r="P846" s="72"/>
      <c r="Q846" s="72"/>
      <c r="R846" s="72"/>
      <c r="S846" s="72"/>
      <c r="T846" s="72"/>
      <c r="U846" s="72"/>
      <c r="V846" s="72"/>
      <c r="W846" s="72"/>
      <c r="X846" s="72"/>
      <c r="Y846" s="72"/>
      <c r="Z846" s="72"/>
      <c r="AA846" s="72"/>
      <c r="AF846" s="72"/>
      <c r="AG846" s="72"/>
      <c r="AH846" s="72"/>
    </row>
    <row r="847" spans="2:34">
      <c r="B847" s="72" t="s">
        <v>1641</v>
      </c>
      <c r="C847" s="72"/>
      <c r="D847" s="72"/>
      <c r="F847" s="72"/>
      <c r="G847" s="72"/>
      <c r="H847" s="72"/>
      <c r="P847" s="72"/>
      <c r="Q847" s="72"/>
      <c r="R847" s="72"/>
      <c r="S847" s="72"/>
      <c r="T847" s="72"/>
      <c r="U847" s="72"/>
      <c r="V847" s="72"/>
      <c r="W847" s="72"/>
      <c r="X847" s="72"/>
      <c r="Y847" s="72"/>
      <c r="Z847" s="72"/>
      <c r="AA847" s="72"/>
      <c r="AF847" s="72"/>
      <c r="AG847" s="72"/>
      <c r="AH847" s="72"/>
    </row>
    <row r="848" spans="2:34">
      <c r="B848" s="72" t="s">
        <v>1640</v>
      </c>
      <c r="C848" s="72"/>
      <c r="D848" s="72"/>
      <c r="F848" s="72"/>
      <c r="G848" s="72"/>
      <c r="H848" s="72"/>
      <c r="P848" s="72"/>
      <c r="Q848" s="72"/>
      <c r="R848" s="72"/>
      <c r="S848" s="72"/>
      <c r="T848" s="72"/>
      <c r="U848" s="72"/>
      <c r="V848" s="72"/>
      <c r="W848" s="72"/>
      <c r="X848" s="72"/>
      <c r="Y848" s="72"/>
      <c r="Z848" s="72"/>
      <c r="AA848" s="72"/>
      <c r="AF848" s="72"/>
      <c r="AG848" s="72"/>
      <c r="AH848" s="72"/>
    </row>
    <row r="849" spans="2:34">
      <c r="B849" s="72" t="s">
        <v>1639</v>
      </c>
      <c r="C849" s="72"/>
      <c r="D849" s="72"/>
      <c r="F849" s="72"/>
      <c r="G849" s="72"/>
      <c r="H849" s="72"/>
      <c r="P849" s="72"/>
      <c r="Q849" s="72"/>
      <c r="R849" s="72"/>
      <c r="S849" s="72"/>
      <c r="T849" s="72"/>
      <c r="U849" s="72"/>
      <c r="V849" s="72"/>
      <c r="W849" s="72"/>
      <c r="X849" s="72"/>
      <c r="Y849" s="72"/>
      <c r="Z849" s="72"/>
      <c r="AA849" s="72"/>
      <c r="AF849" s="72"/>
      <c r="AG849" s="72"/>
      <c r="AH849" s="72"/>
    </row>
    <row r="850" spans="2:34">
      <c r="B850" s="72" t="s">
        <v>1638</v>
      </c>
      <c r="C850" s="72"/>
      <c r="D850" s="72"/>
      <c r="F850" s="72"/>
      <c r="G850" s="72"/>
      <c r="H850" s="72"/>
      <c r="P850" s="72"/>
      <c r="Q850" s="72"/>
      <c r="R850" s="72"/>
      <c r="S850" s="72"/>
      <c r="T850" s="72"/>
      <c r="U850" s="72"/>
      <c r="V850" s="72"/>
      <c r="W850" s="72"/>
      <c r="X850" s="72"/>
      <c r="Y850" s="72"/>
      <c r="Z850" s="72"/>
      <c r="AA850" s="72"/>
      <c r="AF850" s="72"/>
      <c r="AG850" s="72"/>
      <c r="AH850" s="72"/>
    </row>
    <row r="851" spans="2:34">
      <c r="B851" s="72" t="s">
        <v>1637</v>
      </c>
      <c r="C851" s="72"/>
      <c r="D851" s="72"/>
      <c r="F851" s="72"/>
      <c r="G851" s="72"/>
      <c r="H851" s="72"/>
      <c r="P851" s="72"/>
      <c r="Q851" s="72"/>
      <c r="R851" s="72"/>
      <c r="S851" s="72"/>
      <c r="T851" s="72"/>
      <c r="U851" s="72"/>
      <c r="V851" s="72"/>
      <c r="W851" s="72"/>
      <c r="X851" s="72"/>
      <c r="Y851" s="72"/>
      <c r="Z851" s="72"/>
      <c r="AA851" s="72"/>
      <c r="AF851" s="72"/>
      <c r="AG851" s="72"/>
      <c r="AH851" s="72"/>
    </row>
    <row r="852" spans="2:34">
      <c r="B852" s="72" t="s">
        <v>1636</v>
      </c>
      <c r="C852" s="72"/>
      <c r="D852" s="72"/>
      <c r="F852" s="72"/>
      <c r="G852" s="72"/>
      <c r="H852" s="72"/>
      <c r="P852" s="72"/>
      <c r="Q852" s="72"/>
      <c r="R852" s="72"/>
      <c r="S852" s="72"/>
      <c r="T852" s="72"/>
      <c r="U852" s="72"/>
      <c r="V852" s="72"/>
      <c r="W852" s="72"/>
      <c r="X852" s="72"/>
      <c r="Y852" s="72"/>
      <c r="Z852" s="72"/>
      <c r="AA852" s="72"/>
      <c r="AF852" s="72"/>
      <c r="AG852" s="72"/>
      <c r="AH852" s="72"/>
    </row>
    <row r="853" spans="2:34">
      <c r="B853" s="176" t="s">
        <v>6716</v>
      </c>
      <c r="C853" s="72"/>
      <c r="D853" s="72"/>
      <c r="F853" s="72"/>
      <c r="G853" s="72"/>
      <c r="H853" s="72"/>
      <c r="P853" s="72"/>
      <c r="Q853" s="72"/>
      <c r="R853" s="72"/>
      <c r="S853" s="72"/>
      <c r="T853" s="72"/>
      <c r="U853" s="72"/>
      <c r="V853" s="72"/>
      <c r="W853" s="72"/>
      <c r="X853" s="72"/>
      <c r="Y853" s="72"/>
      <c r="Z853" s="72"/>
      <c r="AA853" s="72"/>
      <c r="AF853" s="72"/>
      <c r="AG853" s="72"/>
      <c r="AH853" s="72"/>
    </row>
    <row r="854" spans="2:34">
      <c r="B854" s="72" t="s">
        <v>1635</v>
      </c>
      <c r="C854" s="72"/>
      <c r="D854" s="72"/>
      <c r="F854" s="72"/>
      <c r="G854" s="72"/>
      <c r="H854" s="72"/>
      <c r="P854" s="72"/>
      <c r="Q854" s="72"/>
      <c r="R854" s="72"/>
      <c r="S854" s="72"/>
      <c r="T854" s="72"/>
      <c r="U854" s="72"/>
      <c r="V854" s="72"/>
      <c r="W854" s="72"/>
      <c r="X854" s="72"/>
      <c r="Y854" s="72"/>
      <c r="Z854" s="72"/>
      <c r="AA854" s="72"/>
      <c r="AF854" s="72"/>
      <c r="AG854" s="72"/>
      <c r="AH854" s="72"/>
    </row>
    <row r="855" spans="2:34">
      <c r="B855" s="72" t="s">
        <v>1634</v>
      </c>
      <c r="C855" s="72"/>
      <c r="D855" s="72"/>
      <c r="F855" s="72"/>
      <c r="G855" s="72"/>
      <c r="H855" s="72"/>
      <c r="P855" s="72"/>
      <c r="Q855" s="72"/>
      <c r="R855" s="72"/>
      <c r="S855" s="72"/>
      <c r="T855" s="72"/>
      <c r="U855" s="72"/>
      <c r="V855" s="72"/>
      <c r="W855" s="72"/>
      <c r="X855" s="72"/>
      <c r="Y855" s="72"/>
      <c r="Z855" s="72"/>
      <c r="AA855" s="72"/>
      <c r="AF855" s="72"/>
      <c r="AG855" s="72"/>
      <c r="AH855" s="72"/>
    </row>
    <row r="856" spans="2:34">
      <c r="B856" s="72" t="s">
        <v>1633</v>
      </c>
      <c r="C856" s="72"/>
      <c r="D856" s="72"/>
      <c r="F856" s="72"/>
      <c r="G856" s="72"/>
      <c r="H856" s="72"/>
      <c r="P856" s="72"/>
      <c r="Q856" s="72"/>
      <c r="R856" s="72"/>
      <c r="S856" s="72"/>
      <c r="T856" s="72"/>
      <c r="U856" s="72"/>
      <c r="V856" s="72"/>
      <c r="W856" s="72"/>
      <c r="X856" s="72"/>
      <c r="Y856" s="72"/>
      <c r="Z856" s="72"/>
      <c r="AA856" s="72"/>
      <c r="AF856" s="72"/>
      <c r="AG856" s="72"/>
      <c r="AH856" s="72"/>
    </row>
    <row r="857" spans="2:34">
      <c r="B857" s="72" t="s">
        <v>1632</v>
      </c>
      <c r="C857" s="72"/>
      <c r="D857" s="72"/>
      <c r="F857" s="72"/>
      <c r="G857" s="72"/>
      <c r="H857" s="72"/>
      <c r="P857" s="72"/>
      <c r="Q857" s="72"/>
      <c r="R857" s="72"/>
      <c r="S857" s="72"/>
      <c r="T857" s="72"/>
      <c r="U857" s="72"/>
      <c r="V857" s="72"/>
      <c r="W857" s="72"/>
      <c r="X857" s="72"/>
      <c r="Y857" s="72"/>
      <c r="Z857" s="72"/>
      <c r="AA857" s="72"/>
      <c r="AF857" s="72"/>
      <c r="AG857" s="72"/>
      <c r="AH857" s="72"/>
    </row>
    <row r="858" spans="2:34">
      <c r="B858" s="72" t="s">
        <v>1631</v>
      </c>
      <c r="C858" s="72"/>
      <c r="D858" s="72"/>
      <c r="F858" s="72"/>
      <c r="G858" s="72"/>
      <c r="H858" s="72"/>
      <c r="P858" s="72"/>
      <c r="Q858" s="72"/>
      <c r="R858" s="72"/>
      <c r="S858" s="72"/>
      <c r="T858" s="72"/>
      <c r="U858" s="72"/>
      <c r="V858" s="72"/>
      <c r="W858" s="72"/>
      <c r="X858" s="72"/>
      <c r="Y858" s="72"/>
      <c r="Z858" s="72"/>
      <c r="AA858" s="72"/>
      <c r="AF858" s="72"/>
      <c r="AG858" s="72"/>
      <c r="AH858" s="72"/>
    </row>
    <row r="859" spans="2:34">
      <c r="B859" s="72" t="s">
        <v>1630</v>
      </c>
      <c r="C859" s="72"/>
      <c r="D859" s="72"/>
      <c r="F859" s="72"/>
      <c r="G859" s="72"/>
      <c r="H859" s="72"/>
      <c r="P859" s="72"/>
      <c r="Q859" s="72"/>
      <c r="R859" s="72"/>
      <c r="S859" s="72"/>
      <c r="T859" s="72"/>
      <c r="U859" s="72"/>
      <c r="V859" s="72"/>
      <c r="W859" s="72"/>
      <c r="X859" s="72"/>
      <c r="Y859" s="72"/>
      <c r="Z859" s="72"/>
      <c r="AA859" s="72"/>
      <c r="AF859" s="72"/>
      <c r="AG859" s="72"/>
      <c r="AH859" s="72"/>
    </row>
    <row r="860" spans="2:34">
      <c r="B860" s="72" t="s">
        <v>1629</v>
      </c>
      <c r="C860" s="72"/>
      <c r="D860" s="72"/>
      <c r="F860" s="72"/>
      <c r="G860" s="72"/>
      <c r="H860" s="72"/>
      <c r="P860" s="72"/>
      <c r="Q860" s="72"/>
      <c r="R860" s="72"/>
      <c r="S860" s="72"/>
      <c r="T860" s="72"/>
      <c r="U860" s="72"/>
      <c r="V860" s="72"/>
      <c r="W860" s="72"/>
      <c r="X860" s="72"/>
      <c r="Y860" s="72"/>
      <c r="Z860" s="72"/>
      <c r="AA860" s="72"/>
      <c r="AF860" s="72"/>
      <c r="AG860" s="72"/>
      <c r="AH860" s="72"/>
    </row>
    <row r="861" spans="2:34">
      <c r="B861" s="72" t="s">
        <v>1628</v>
      </c>
      <c r="C861" s="72"/>
      <c r="D861" s="72"/>
      <c r="F861" s="72"/>
      <c r="G861" s="72"/>
      <c r="H861" s="72"/>
      <c r="P861" s="72"/>
      <c r="Q861" s="72"/>
      <c r="R861" s="72"/>
      <c r="S861" s="72"/>
      <c r="T861" s="72"/>
      <c r="U861" s="72"/>
      <c r="V861" s="72"/>
      <c r="W861" s="72"/>
      <c r="X861" s="72"/>
      <c r="Y861" s="72"/>
      <c r="Z861" s="72"/>
      <c r="AA861" s="72"/>
      <c r="AF861" s="72"/>
      <c r="AG861" s="72"/>
      <c r="AH861" s="72"/>
    </row>
    <row r="862" spans="2:34">
      <c r="B862" s="72" t="s">
        <v>1627</v>
      </c>
      <c r="C862" s="72"/>
      <c r="D862" s="72"/>
      <c r="F862" s="72"/>
      <c r="G862" s="72"/>
      <c r="H862" s="72"/>
      <c r="P862" s="72"/>
      <c r="Q862" s="72"/>
      <c r="R862" s="72"/>
      <c r="S862" s="72"/>
      <c r="T862" s="72"/>
      <c r="U862" s="72"/>
      <c r="V862" s="72"/>
      <c r="W862" s="72"/>
      <c r="X862" s="72"/>
      <c r="Y862" s="72"/>
      <c r="Z862" s="72"/>
      <c r="AA862" s="72"/>
      <c r="AF862" s="72"/>
      <c r="AG862" s="72"/>
      <c r="AH862" s="72"/>
    </row>
    <row r="863" spans="2:34">
      <c r="B863" s="72" t="s">
        <v>1626</v>
      </c>
      <c r="C863" s="72"/>
      <c r="D863" s="72"/>
      <c r="F863" s="72"/>
      <c r="G863" s="72"/>
      <c r="H863" s="72"/>
      <c r="P863" s="72"/>
      <c r="Q863" s="72"/>
      <c r="R863" s="72"/>
      <c r="S863" s="72"/>
      <c r="T863" s="72"/>
      <c r="U863" s="72"/>
      <c r="V863" s="72"/>
      <c r="W863" s="72"/>
      <c r="X863" s="72"/>
      <c r="Y863" s="72"/>
      <c r="Z863" s="72"/>
      <c r="AA863" s="72"/>
      <c r="AF863" s="72"/>
      <c r="AG863" s="72"/>
      <c r="AH863" s="72"/>
    </row>
    <row r="864" spans="2:34">
      <c r="B864" s="72" t="s">
        <v>1625</v>
      </c>
      <c r="C864" s="72"/>
      <c r="D864" s="72"/>
      <c r="F864" s="72"/>
      <c r="G864" s="72"/>
      <c r="H864" s="72"/>
      <c r="P864" s="72"/>
      <c r="Q864" s="72"/>
      <c r="R864" s="72"/>
      <c r="S864" s="72"/>
      <c r="T864" s="72"/>
      <c r="U864" s="72"/>
      <c r="V864" s="72"/>
      <c r="W864" s="72"/>
      <c r="X864" s="72"/>
      <c r="Y864" s="72"/>
      <c r="Z864" s="72"/>
      <c r="AA864" s="72"/>
      <c r="AF864" s="72"/>
      <c r="AG864" s="72"/>
      <c r="AH864" s="72"/>
    </row>
    <row r="865" spans="2:34">
      <c r="B865" s="72" t="s">
        <v>1624</v>
      </c>
      <c r="C865" s="72"/>
      <c r="D865" s="72"/>
      <c r="F865" s="72"/>
      <c r="G865" s="72"/>
      <c r="H865" s="72"/>
      <c r="P865" s="72"/>
      <c r="Q865" s="72"/>
      <c r="R865" s="72"/>
      <c r="S865" s="72"/>
      <c r="T865" s="72"/>
      <c r="U865" s="72"/>
      <c r="V865" s="72"/>
      <c r="W865" s="72"/>
      <c r="X865" s="72"/>
      <c r="Y865" s="72"/>
      <c r="Z865" s="72"/>
      <c r="AA865" s="72"/>
      <c r="AF865" s="72"/>
      <c r="AG865" s="72"/>
      <c r="AH865" s="72"/>
    </row>
    <row r="866" spans="2:34">
      <c r="B866" s="72" t="s">
        <v>1623</v>
      </c>
      <c r="C866" s="72"/>
      <c r="D866" s="72">
        <v>500</v>
      </c>
      <c r="E866" s="72">
        <v>43</v>
      </c>
      <c r="F866" s="72"/>
      <c r="G866" s="72"/>
      <c r="H866" s="72"/>
      <c r="P866" s="72"/>
      <c r="Q866" s="72"/>
      <c r="R866" s="72"/>
      <c r="S866" s="72"/>
      <c r="T866" s="72"/>
      <c r="U866" s="72"/>
      <c r="V866" s="72"/>
      <c r="W866" s="72"/>
      <c r="X866" s="72"/>
      <c r="Y866" s="72"/>
      <c r="Z866" s="72"/>
      <c r="AA866" s="72"/>
      <c r="AF866" s="72"/>
      <c r="AG866" s="72"/>
      <c r="AH866" s="72"/>
    </row>
    <row r="867" spans="2:34">
      <c r="B867" s="72" t="s">
        <v>1622</v>
      </c>
      <c r="C867" s="72"/>
      <c r="D867" s="72"/>
      <c r="F867" s="72"/>
      <c r="G867" s="72"/>
      <c r="H867" s="72"/>
      <c r="P867" s="72"/>
      <c r="Q867" s="72"/>
      <c r="R867" s="72"/>
      <c r="S867" s="72"/>
      <c r="T867" s="72"/>
      <c r="U867" s="72"/>
      <c r="V867" s="72"/>
      <c r="W867" s="72"/>
      <c r="X867" s="72"/>
      <c r="Y867" s="72"/>
      <c r="Z867" s="72"/>
      <c r="AA867" s="72"/>
      <c r="AF867" s="72"/>
      <c r="AG867" s="72"/>
      <c r="AH867" s="72"/>
    </row>
    <row r="868" spans="2:34">
      <c r="B868" s="72" t="s">
        <v>1621</v>
      </c>
      <c r="C868" s="72"/>
      <c r="D868" s="72"/>
      <c r="F868" s="72"/>
      <c r="G868" s="72"/>
      <c r="H868" s="72"/>
      <c r="P868" s="72"/>
      <c r="Q868" s="72"/>
      <c r="R868" s="72"/>
      <c r="S868" s="72"/>
      <c r="T868" s="72"/>
      <c r="U868" s="72"/>
      <c r="V868" s="72"/>
      <c r="W868" s="72"/>
      <c r="X868" s="72"/>
      <c r="Y868" s="72"/>
      <c r="Z868" s="72"/>
      <c r="AA868" s="72"/>
      <c r="AF868" s="72"/>
      <c r="AG868" s="72"/>
      <c r="AH868" s="72"/>
    </row>
    <row r="869" spans="2:34">
      <c r="B869" s="72" t="s">
        <v>1620</v>
      </c>
      <c r="C869" s="72"/>
      <c r="D869" s="72"/>
      <c r="F869" s="72"/>
      <c r="G869" s="72"/>
      <c r="H869" s="72"/>
      <c r="P869" s="72"/>
      <c r="Q869" s="72"/>
      <c r="R869" s="72"/>
      <c r="S869" s="72"/>
      <c r="T869" s="72"/>
      <c r="U869" s="72"/>
      <c r="V869" s="72"/>
      <c r="W869" s="72"/>
      <c r="X869" s="72"/>
      <c r="Y869" s="72"/>
      <c r="Z869" s="72"/>
      <c r="AA869" s="72"/>
      <c r="AF869" s="72"/>
      <c r="AG869" s="72"/>
      <c r="AH869" s="72"/>
    </row>
    <row r="870" spans="2:34">
      <c r="B870" s="72" t="s">
        <v>1619</v>
      </c>
      <c r="P870" s="72"/>
      <c r="Q870" s="72"/>
      <c r="R870" s="72"/>
      <c r="S870" s="72"/>
      <c r="T870" s="72"/>
      <c r="U870" s="72"/>
      <c r="V870" s="72"/>
      <c r="W870" s="72"/>
      <c r="X870" s="72"/>
      <c r="Y870" s="72"/>
      <c r="Z870" s="72"/>
      <c r="AA870" s="72"/>
      <c r="AF870" s="72"/>
      <c r="AG870" s="72"/>
      <c r="AH870" s="72"/>
    </row>
    <row r="871" spans="2:34">
      <c r="B871" s="72" t="s">
        <v>1618</v>
      </c>
      <c r="P871" s="72"/>
      <c r="Q871" s="72"/>
      <c r="R871" s="72"/>
      <c r="S871" s="72"/>
      <c r="T871" s="72"/>
      <c r="U871" s="72"/>
      <c r="V871" s="72"/>
      <c r="W871" s="72"/>
      <c r="X871" s="72"/>
      <c r="Y871" s="72"/>
      <c r="Z871" s="72"/>
      <c r="AA871" s="72"/>
      <c r="AF871" s="72"/>
      <c r="AG871" s="72"/>
      <c r="AH871" s="72"/>
    </row>
    <row r="872" spans="2:34">
      <c r="B872" s="72" t="s">
        <v>1617</v>
      </c>
      <c r="P872" s="72"/>
      <c r="Q872" s="72"/>
      <c r="R872" s="72"/>
      <c r="S872" s="72"/>
      <c r="T872" s="72"/>
      <c r="U872" s="72"/>
      <c r="V872" s="72"/>
      <c r="W872" s="72"/>
      <c r="X872" s="72"/>
      <c r="Y872" s="72"/>
      <c r="Z872" s="72"/>
      <c r="AA872" s="72"/>
      <c r="AF872" s="72"/>
      <c r="AG872" s="72"/>
      <c r="AH872" s="72"/>
    </row>
    <row r="873" spans="2:34">
      <c r="B873" s="72" t="s">
        <v>1616</v>
      </c>
      <c r="P873" s="72"/>
      <c r="Q873" s="72"/>
      <c r="R873" s="72"/>
      <c r="S873" s="72"/>
      <c r="T873" s="72"/>
      <c r="U873" s="72"/>
      <c r="V873" s="72"/>
      <c r="W873" s="72"/>
      <c r="X873" s="72"/>
      <c r="Y873" s="72"/>
      <c r="Z873" s="72"/>
      <c r="AA873" s="72"/>
      <c r="AF873" s="72"/>
      <c r="AG873" s="72"/>
      <c r="AH873" s="72"/>
    </row>
    <row r="874" spans="2:34">
      <c r="B874" s="72" t="s">
        <v>1615</v>
      </c>
      <c r="P874" s="72"/>
      <c r="Q874" s="72"/>
      <c r="R874" s="72"/>
      <c r="S874" s="72"/>
      <c r="T874" s="72"/>
      <c r="U874" s="72"/>
      <c r="V874" s="72"/>
      <c r="W874" s="72"/>
      <c r="X874" s="72"/>
      <c r="Y874" s="72"/>
      <c r="Z874" s="72"/>
      <c r="AA874" s="72"/>
      <c r="AF874" s="72"/>
      <c r="AG874" s="72"/>
      <c r="AH874" s="72"/>
    </row>
    <row r="875" spans="2:34">
      <c r="B875" s="72" t="s">
        <v>1614</v>
      </c>
      <c r="P875" s="72"/>
      <c r="Q875" s="72"/>
      <c r="R875" s="72"/>
      <c r="S875" s="72"/>
      <c r="T875" s="72"/>
      <c r="U875" s="72"/>
      <c r="V875" s="72"/>
      <c r="W875" s="72"/>
      <c r="X875" s="72"/>
      <c r="Y875" s="72"/>
      <c r="Z875" s="72"/>
      <c r="AA875" s="72"/>
      <c r="AF875" s="72"/>
      <c r="AG875" s="72"/>
      <c r="AH875" s="72"/>
    </row>
    <row r="876" spans="2:34">
      <c r="B876" s="72" t="s">
        <v>1613</v>
      </c>
      <c r="P876" s="72"/>
      <c r="Q876" s="72"/>
      <c r="R876" s="72"/>
      <c r="S876" s="72"/>
      <c r="T876" s="72"/>
      <c r="U876" s="72"/>
      <c r="V876" s="72"/>
      <c r="W876" s="72"/>
      <c r="X876" s="72"/>
      <c r="Y876" s="72"/>
      <c r="Z876" s="72"/>
      <c r="AA876" s="72"/>
      <c r="AF876" s="72"/>
      <c r="AG876" s="72"/>
      <c r="AH876" s="72"/>
    </row>
    <row r="877" spans="2:34">
      <c r="B877" s="72" t="s">
        <v>1612</v>
      </c>
      <c r="P877" s="72"/>
      <c r="Q877" s="72"/>
      <c r="R877" s="72"/>
      <c r="S877" s="72"/>
      <c r="T877" s="72"/>
      <c r="U877" s="72"/>
      <c r="V877" s="72"/>
      <c r="W877" s="72"/>
      <c r="X877" s="72"/>
      <c r="Y877" s="72"/>
      <c r="Z877" s="72"/>
      <c r="AA877" s="72"/>
      <c r="AF877" s="72"/>
      <c r="AG877" s="72"/>
      <c r="AH877" s="72"/>
    </row>
    <row r="878" spans="2:34">
      <c r="B878" s="72" t="s">
        <v>1611</v>
      </c>
      <c r="P878" s="72"/>
      <c r="Q878" s="72"/>
      <c r="R878" s="72"/>
      <c r="S878" s="72"/>
      <c r="T878" s="72"/>
      <c r="U878" s="72"/>
      <c r="V878" s="72"/>
      <c r="W878" s="72"/>
      <c r="X878" s="72"/>
      <c r="Y878" s="72"/>
      <c r="Z878" s="72"/>
      <c r="AA878" s="72"/>
      <c r="AF878" s="72"/>
      <c r="AG878" s="72"/>
      <c r="AH878" s="72"/>
    </row>
    <row r="879" spans="2:34">
      <c r="B879" s="72" t="s">
        <v>1610</v>
      </c>
      <c r="I879" s="176" t="s">
        <v>2456</v>
      </c>
      <c r="P879" s="72"/>
      <c r="Q879" s="72"/>
      <c r="R879" s="72"/>
      <c r="S879" s="72"/>
      <c r="T879" s="72"/>
      <c r="U879" s="72"/>
      <c r="V879" s="72"/>
      <c r="W879" s="72"/>
      <c r="X879" s="72"/>
      <c r="Y879" s="72"/>
      <c r="Z879" s="72"/>
      <c r="AA879" s="72"/>
      <c r="AF879" s="72"/>
      <c r="AG879" s="72"/>
      <c r="AH879" s="72"/>
    </row>
    <row r="880" spans="2:34">
      <c r="B880" s="72" t="s">
        <v>1609</v>
      </c>
      <c r="P880" s="72"/>
      <c r="Q880" s="72"/>
      <c r="R880" s="72"/>
      <c r="S880" s="72"/>
      <c r="T880" s="72"/>
      <c r="U880" s="72"/>
      <c r="V880" s="72"/>
      <c r="W880" s="72"/>
      <c r="X880" s="72"/>
      <c r="Y880" s="72"/>
      <c r="Z880" s="72"/>
      <c r="AA880" s="72"/>
      <c r="AF880" s="72"/>
      <c r="AG880" s="72"/>
      <c r="AH880" s="72"/>
    </row>
    <row r="881" spans="2:34">
      <c r="B881" s="72" t="s">
        <v>1608</v>
      </c>
      <c r="P881" s="72"/>
      <c r="Q881" s="72"/>
      <c r="R881" s="72"/>
      <c r="S881" s="72"/>
      <c r="T881" s="72"/>
      <c r="U881" s="72"/>
      <c r="V881" s="72"/>
      <c r="W881" s="72"/>
      <c r="X881" s="72"/>
      <c r="Y881" s="72"/>
      <c r="Z881" s="72"/>
      <c r="AA881" s="72"/>
      <c r="AF881" s="72"/>
      <c r="AG881" s="72"/>
      <c r="AH881" s="72"/>
    </row>
    <row r="882" spans="2:34">
      <c r="B882" s="72" t="s">
        <v>1607</v>
      </c>
      <c r="P882" s="72"/>
      <c r="Q882" s="72"/>
      <c r="R882" s="72"/>
      <c r="S882" s="72"/>
      <c r="T882" s="72"/>
      <c r="U882" s="72"/>
      <c r="V882" s="72"/>
      <c r="W882" s="72"/>
      <c r="X882" s="72"/>
      <c r="Y882" s="72"/>
      <c r="Z882" s="72"/>
      <c r="AA882" s="72"/>
      <c r="AF882" s="72"/>
      <c r="AG882" s="72"/>
      <c r="AH882" s="72"/>
    </row>
    <row r="883" spans="2:34">
      <c r="B883" s="72" t="s">
        <v>1606</v>
      </c>
      <c r="P883" s="72"/>
      <c r="Q883" s="72"/>
      <c r="R883" s="72"/>
      <c r="S883" s="72"/>
      <c r="T883" s="72"/>
      <c r="U883" s="72"/>
      <c r="V883" s="72"/>
      <c r="W883" s="72"/>
      <c r="X883" s="72"/>
      <c r="Y883" s="72"/>
      <c r="Z883" s="72"/>
      <c r="AA883" s="72"/>
      <c r="AF883" s="72"/>
      <c r="AG883" s="72"/>
      <c r="AH883" s="72"/>
    </row>
    <row r="884" spans="2:34">
      <c r="B884" s="72" t="s">
        <v>1605</v>
      </c>
      <c r="P884" s="72"/>
      <c r="Q884" s="72"/>
      <c r="R884" s="72"/>
      <c r="S884" s="72"/>
      <c r="T884" s="72"/>
      <c r="U884" s="72"/>
      <c r="V884" s="72"/>
      <c r="W884" s="72"/>
      <c r="X884" s="72"/>
      <c r="Y884" s="72"/>
      <c r="Z884" s="72"/>
      <c r="AA884" s="72"/>
      <c r="AF884" s="72"/>
      <c r="AG884" s="72"/>
      <c r="AH884" s="72"/>
    </row>
    <row r="885" spans="2:34">
      <c r="B885" s="72" t="s">
        <v>1604</v>
      </c>
      <c r="P885" s="72"/>
      <c r="Q885" s="72"/>
      <c r="R885" s="72"/>
      <c r="S885" s="72"/>
      <c r="T885" s="72"/>
      <c r="U885" s="72"/>
      <c r="V885" s="72"/>
      <c r="W885" s="72"/>
      <c r="X885" s="72"/>
      <c r="Y885" s="72"/>
      <c r="Z885" s="72"/>
      <c r="AA885" s="72"/>
      <c r="AF885" s="72"/>
      <c r="AG885" s="72"/>
      <c r="AH885" s="72"/>
    </row>
    <row r="886" spans="2:34">
      <c r="B886" s="72" t="s">
        <v>1603</v>
      </c>
      <c r="P886" s="72"/>
      <c r="Q886" s="72"/>
      <c r="R886" s="72"/>
      <c r="S886" s="72"/>
      <c r="T886" s="72"/>
      <c r="U886" s="72"/>
      <c r="V886" s="72"/>
      <c r="W886" s="72"/>
      <c r="X886" s="72"/>
      <c r="Y886" s="72"/>
      <c r="Z886" s="72"/>
      <c r="AA886" s="72"/>
      <c r="AF886" s="72"/>
      <c r="AG886" s="72"/>
      <c r="AH886" s="72"/>
    </row>
    <row r="887" spans="2:34">
      <c r="B887" s="72" t="s">
        <v>1602</v>
      </c>
      <c r="P887" s="72"/>
      <c r="Q887" s="72"/>
      <c r="R887" s="72"/>
      <c r="S887" s="72"/>
      <c r="T887" s="72"/>
      <c r="U887" s="72"/>
      <c r="V887" s="72"/>
      <c r="W887" s="72"/>
      <c r="X887" s="72"/>
      <c r="Y887" s="72"/>
      <c r="Z887" s="72"/>
      <c r="AA887" s="72"/>
      <c r="AF887" s="72"/>
      <c r="AG887" s="72"/>
      <c r="AH887" s="72"/>
    </row>
    <row r="888" spans="2:34">
      <c r="B888" s="72" t="s">
        <v>1601</v>
      </c>
      <c r="P888" s="72"/>
      <c r="Q888" s="72"/>
      <c r="R888" s="72"/>
      <c r="S888" s="72"/>
      <c r="T888" s="72"/>
      <c r="U888" s="72"/>
      <c r="V888" s="72"/>
      <c r="W888" s="72"/>
      <c r="X888" s="72"/>
      <c r="Y888" s="72"/>
      <c r="Z888" s="72"/>
      <c r="AA888" s="72"/>
      <c r="AF888" s="72"/>
      <c r="AG888" s="72"/>
      <c r="AH888" s="72"/>
    </row>
    <row r="889" spans="2:34">
      <c r="B889" s="72" t="s">
        <v>1600</v>
      </c>
      <c r="P889" s="72"/>
      <c r="Q889" s="72"/>
      <c r="R889" s="72"/>
      <c r="S889" s="72"/>
      <c r="T889" s="72"/>
      <c r="U889" s="72"/>
      <c r="V889" s="72"/>
      <c r="W889" s="72"/>
      <c r="X889" s="72"/>
      <c r="Y889" s="72"/>
      <c r="Z889" s="72"/>
      <c r="AA889" s="72"/>
      <c r="AF889" s="72"/>
      <c r="AG889" s="72"/>
      <c r="AH889" s="72"/>
    </row>
    <row r="890" spans="2:34">
      <c r="B890" s="72" t="s">
        <v>1599</v>
      </c>
      <c r="K890" s="72" t="s">
        <v>3331</v>
      </c>
      <c r="L890" s="72" t="s">
        <v>5161</v>
      </c>
      <c r="P890" s="72"/>
      <c r="Q890" s="72"/>
      <c r="R890" s="72"/>
      <c r="S890" s="72"/>
      <c r="T890" s="72"/>
      <c r="U890" s="72"/>
      <c r="V890" s="72"/>
      <c r="W890" s="72"/>
      <c r="X890" s="72"/>
      <c r="Y890" s="72"/>
      <c r="Z890" s="72"/>
      <c r="AA890" s="72"/>
      <c r="AF890" s="72"/>
      <c r="AG890" s="72"/>
      <c r="AH890" s="72"/>
    </row>
    <row r="891" spans="2:34">
      <c r="B891" s="72" t="s">
        <v>1598</v>
      </c>
      <c r="P891" s="72"/>
      <c r="Q891" s="72"/>
      <c r="R891" s="72"/>
      <c r="S891" s="72"/>
      <c r="T891" s="72"/>
      <c r="U891" s="72"/>
      <c r="V891" s="72"/>
      <c r="W891" s="72"/>
      <c r="X891" s="72"/>
      <c r="Y891" s="72"/>
      <c r="Z891" s="72"/>
      <c r="AA891" s="72"/>
      <c r="AF891" s="72"/>
      <c r="AG891" s="72"/>
      <c r="AH891" s="72"/>
    </row>
    <row r="892" spans="2:34">
      <c r="B892" s="72" t="s">
        <v>1597</v>
      </c>
      <c r="P892" s="72"/>
      <c r="Q892" s="72"/>
      <c r="R892" s="72"/>
      <c r="S892" s="72"/>
      <c r="T892" s="72"/>
      <c r="U892" s="72"/>
      <c r="V892" s="72"/>
      <c r="W892" s="72"/>
      <c r="X892" s="72"/>
      <c r="Y892" s="72"/>
      <c r="Z892" s="72"/>
      <c r="AA892" s="72"/>
      <c r="AF892" s="72"/>
      <c r="AG892" s="72"/>
      <c r="AH892" s="72"/>
    </row>
    <row r="893" spans="2:34">
      <c r="B893" s="72" t="s">
        <v>1596</v>
      </c>
      <c r="P893" s="72"/>
      <c r="Q893" s="72"/>
      <c r="R893" s="72"/>
      <c r="S893" s="72"/>
      <c r="T893" s="72"/>
      <c r="U893" s="72"/>
      <c r="V893" s="72"/>
      <c r="W893" s="72"/>
      <c r="X893" s="72"/>
      <c r="Y893" s="72"/>
      <c r="Z893" s="72"/>
      <c r="AA893" s="72"/>
      <c r="AF893" s="72"/>
      <c r="AG893" s="72"/>
      <c r="AH893" s="72"/>
    </row>
    <row r="894" spans="2:34">
      <c r="B894" s="72" t="s">
        <v>1595</v>
      </c>
      <c r="P894" s="72"/>
      <c r="Q894" s="72"/>
      <c r="R894" s="72"/>
      <c r="S894" s="72"/>
      <c r="T894" s="72"/>
      <c r="U894" s="72"/>
      <c r="V894" s="72"/>
      <c r="W894" s="72"/>
      <c r="X894" s="72"/>
      <c r="Y894" s="72"/>
      <c r="Z894" s="72"/>
      <c r="AA894" s="72"/>
      <c r="AF894" s="72"/>
      <c r="AG894" s="72"/>
      <c r="AH894" s="72"/>
    </row>
    <row r="895" spans="2:34">
      <c r="B895" s="72" t="s">
        <v>1594</v>
      </c>
      <c r="P895" s="72"/>
      <c r="Q895" s="72"/>
      <c r="R895" s="72"/>
      <c r="S895" s="72"/>
      <c r="T895" s="72"/>
      <c r="U895" s="72"/>
      <c r="V895" s="72"/>
      <c r="W895" s="72"/>
      <c r="X895" s="72"/>
      <c r="Y895" s="72"/>
      <c r="Z895" s="72"/>
      <c r="AA895" s="72"/>
      <c r="AF895" s="72"/>
      <c r="AG895" s="72"/>
      <c r="AH895" s="72"/>
    </row>
    <row r="896" spans="2:34">
      <c r="B896" s="72" t="s">
        <v>1593</v>
      </c>
      <c r="P896" s="72"/>
      <c r="Q896" s="72"/>
      <c r="R896" s="72"/>
      <c r="S896" s="72"/>
      <c r="T896" s="72"/>
      <c r="U896" s="72"/>
      <c r="V896" s="72"/>
      <c r="W896" s="72"/>
      <c r="X896" s="72"/>
      <c r="Y896" s="72"/>
      <c r="Z896" s="72"/>
      <c r="AA896" s="72"/>
      <c r="AF896" s="72"/>
      <c r="AG896" s="72"/>
      <c r="AH896" s="72"/>
    </row>
    <row r="897" spans="2:34">
      <c r="B897" s="72" t="s">
        <v>1592</v>
      </c>
      <c r="P897" s="72"/>
      <c r="Q897" s="72"/>
      <c r="R897" s="72"/>
      <c r="S897" s="72"/>
      <c r="T897" s="72"/>
      <c r="U897" s="72"/>
      <c r="V897" s="72"/>
      <c r="W897" s="72"/>
      <c r="X897" s="72"/>
      <c r="Y897" s="72"/>
      <c r="Z897" s="72"/>
      <c r="AA897" s="72"/>
      <c r="AF897" s="72"/>
      <c r="AG897" s="72"/>
      <c r="AH897" s="72"/>
    </row>
    <row r="898" spans="2:34">
      <c r="B898" s="72" t="s">
        <v>1591</v>
      </c>
      <c r="P898" s="72"/>
      <c r="Q898" s="72"/>
      <c r="R898" s="72"/>
      <c r="S898" s="72"/>
      <c r="T898" s="72"/>
      <c r="U898" s="72"/>
      <c r="V898" s="72"/>
      <c r="W898" s="72"/>
      <c r="X898" s="72"/>
      <c r="Y898" s="72"/>
      <c r="Z898" s="72"/>
      <c r="AA898" s="72"/>
      <c r="AF898" s="72"/>
      <c r="AG898" s="72"/>
      <c r="AH898" s="72"/>
    </row>
    <row r="899" spans="2:34">
      <c r="B899" s="72" t="s">
        <v>1590</v>
      </c>
      <c r="P899" s="72"/>
      <c r="Q899" s="72"/>
      <c r="R899" s="72"/>
      <c r="S899" s="72"/>
      <c r="T899" s="72"/>
      <c r="U899" s="72"/>
      <c r="V899" s="72"/>
      <c r="W899" s="72"/>
      <c r="X899" s="72"/>
      <c r="Y899" s="72"/>
      <c r="Z899" s="72"/>
      <c r="AA899" s="72"/>
      <c r="AF899" s="72"/>
      <c r="AG899" s="72"/>
      <c r="AH899" s="72"/>
    </row>
    <row r="900" spans="2:34">
      <c r="B900" s="72" t="s">
        <v>1589</v>
      </c>
      <c r="P900" s="72"/>
      <c r="Q900" s="72"/>
      <c r="R900" s="72"/>
      <c r="S900" s="72"/>
      <c r="T900" s="72"/>
      <c r="U900" s="72"/>
      <c r="V900" s="72"/>
      <c r="W900" s="72"/>
      <c r="X900" s="72"/>
      <c r="Y900" s="72"/>
      <c r="Z900" s="72"/>
      <c r="AA900" s="72"/>
      <c r="AF900" s="72"/>
      <c r="AG900" s="72"/>
      <c r="AH900" s="72"/>
    </row>
    <row r="901" spans="2:34">
      <c r="B901" s="72" t="s">
        <v>1588</v>
      </c>
      <c r="P901" s="72"/>
      <c r="Q901" s="72"/>
      <c r="R901" s="72"/>
      <c r="S901" s="72"/>
      <c r="T901" s="72"/>
      <c r="U901" s="72"/>
      <c r="V901" s="72"/>
      <c r="W901" s="72"/>
      <c r="X901" s="72"/>
      <c r="Y901" s="72"/>
      <c r="Z901" s="72"/>
      <c r="AA901" s="72"/>
      <c r="AF901" s="72"/>
      <c r="AG901" s="72"/>
      <c r="AH901" s="72"/>
    </row>
    <row r="902" spans="2:34">
      <c r="B902" s="72" t="s">
        <v>4296</v>
      </c>
      <c r="C902" s="72"/>
      <c r="D902" s="72"/>
      <c r="F902" s="72"/>
      <c r="G902" s="72"/>
      <c r="H902" s="72"/>
      <c r="P902" s="72"/>
      <c r="Q902" s="72"/>
      <c r="R902" s="72"/>
      <c r="S902" s="72"/>
      <c r="T902" s="72"/>
      <c r="U902" s="72"/>
      <c r="V902" s="72"/>
      <c r="W902" s="72"/>
      <c r="X902" s="72"/>
      <c r="Y902" s="72"/>
      <c r="Z902" s="72"/>
      <c r="AA902" s="72"/>
      <c r="AF902" s="72"/>
      <c r="AG902" s="72"/>
      <c r="AH902" s="72"/>
    </row>
    <row r="903" spans="2:34">
      <c r="B903" s="72" t="s">
        <v>1587</v>
      </c>
      <c r="C903" s="72"/>
      <c r="D903" s="72"/>
      <c r="F903" s="72"/>
      <c r="G903" s="72"/>
      <c r="H903" s="72"/>
      <c r="P903" s="72"/>
      <c r="Q903" s="72"/>
      <c r="R903" s="72"/>
      <c r="S903" s="72"/>
      <c r="T903" s="72"/>
      <c r="U903" s="72"/>
      <c r="V903" s="72"/>
      <c r="W903" s="72"/>
      <c r="X903" s="72"/>
      <c r="Y903" s="72"/>
      <c r="Z903" s="72"/>
      <c r="AA903" s="72"/>
      <c r="AF903" s="72"/>
      <c r="AG903" s="72"/>
      <c r="AH903" s="72"/>
    </row>
    <row r="904" spans="2:34">
      <c r="B904" s="72" t="s">
        <v>1586</v>
      </c>
      <c r="C904" s="72"/>
      <c r="D904" s="72"/>
      <c r="F904" s="72"/>
      <c r="G904" s="72"/>
      <c r="H904" s="72"/>
      <c r="P904" s="72"/>
      <c r="Q904" s="72"/>
      <c r="R904" s="72"/>
      <c r="S904" s="72"/>
      <c r="T904" s="72"/>
      <c r="U904" s="72"/>
      <c r="V904" s="72"/>
      <c r="W904" s="72"/>
      <c r="X904" s="72"/>
      <c r="Y904" s="72"/>
      <c r="Z904" s="72"/>
      <c r="AA904" s="72"/>
      <c r="AF904" s="72"/>
      <c r="AG904" s="72"/>
      <c r="AH904" s="72"/>
    </row>
    <row r="905" spans="2:34">
      <c r="B905" s="72" t="s">
        <v>1585</v>
      </c>
      <c r="C905" s="72"/>
      <c r="D905" s="72"/>
      <c r="F905" s="72"/>
      <c r="G905" s="72"/>
      <c r="H905" s="72"/>
      <c r="P905" s="72"/>
      <c r="Q905" s="72"/>
      <c r="R905" s="72"/>
      <c r="S905" s="72"/>
      <c r="T905" s="72"/>
      <c r="U905" s="72"/>
      <c r="V905" s="72"/>
      <c r="W905" s="72"/>
      <c r="X905" s="72"/>
      <c r="Y905" s="72"/>
      <c r="Z905" s="72"/>
      <c r="AA905" s="72"/>
      <c r="AF905" s="72"/>
      <c r="AG905" s="72"/>
      <c r="AH905" s="72"/>
    </row>
    <row r="906" spans="2:34">
      <c r="B906" s="72" t="s">
        <v>1584</v>
      </c>
      <c r="C906" s="72"/>
      <c r="D906" s="72"/>
      <c r="F906" s="72"/>
      <c r="G906" s="72"/>
      <c r="H906" s="72"/>
      <c r="P906" s="72"/>
      <c r="Q906" s="72"/>
      <c r="R906" s="72"/>
      <c r="S906" s="72"/>
      <c r="T906" s="72"/>
      <c r="U906" s="72"/>
      <c r="V906" s="72"/>
      <c r="W906" s="72"/>
      <c r="X906" s="72"/>
      <c r="Y906" s="72"/>
      <c r="Z906" s="72"/>
      <c r="AA906" s="72"/>
      <c r="AF906" s="72"/>
      <c r="AG906" s="72"/>
      <c r="AH906" s="72"/>
    </row>
    <row r="907" spans="2:34">
      <c r="B907" s="72" t="s">
        <v>1583</v>
      </c>
      <c r="C907" s="72"/>
      <c r="D907" s="72"/>
      <c r="F907" s="72"/>
      <c r="G907" s="72"/>
      <c r="H907" s="72"/>
      <c r="P907" s="72"/>
      <c r="Q907" s="72"/>
      <c r="R907" s="72"/>
      <c r="S907" s="72"/>
      <c r="T907" s="72"/>
      <c r="U907" s="72"/>
      <c r="V907" s="72"/>
      <c r="W907" s="72"/>
      <c r="X907" s="72"/>
      <c r="Y907" s="72"/>
      <c r="Z907" s="72"/>
      <c r="AA907" s="72"/>
      <c r="AF907" s="72"/>
      <c r="AG907" s="72"/>
      <c r="AH907" s="72"/>
    </row>
    <row r="908" spans="2:34">
      <c r="B908" s="72" t="s">
        <v>1582</v>
      </c>
      <c r="C908" s="72"/>
      <c r="D908" s="72"/>
      <c r="F908" s="72"/>
      <c r="G908" s="72"/>
      <c r="H908" s="72"/>
      <c r="P908" s="72"/>
      <c r="Q908" s="72"/>
      <c r="R908" s="72"/>
      <c r="S908" s="72"/>
      <c r="T908" s="72"/>
      <c r="U908" s="72"/>
      <c r="V908" s="72"/>
      <c r="W908" s="72"/>
      <c r="X908" s="72"/>
      <c r="Y908" s="72"/>
      <c r="Z908" s="72"/>
      <c r="AA908" s="72"/>
      <c r="AF908" s="72"/>
      <c r="AG908" s="72"/>
      <c r="AH908" s="72"/>
    </row>
    <row r="909" spans="2:34">
      <c r="B909" s="72" t="s">
        <v>1581</v>
      </c>
      <c r="C909" s="72"/>
      <c r="D909" s="72"/>
      <c r="F909" s="72"/>
      <c r="G909" s="72"/>
      <c r="H909" s="72"/>
      <c r="P909" s="72"/>
      <c r="Q909" s="72"/>
      <c r="R909" s="72"/>
      <c r="S909" s="72"/>
      <c r="T909" s="72"/>
      <c r="U909" s="72"/>
      <c r="V909" s="72"/>
      <c r="W909" s="72"/>
      <c r="X909" s="72"/>
      <c r="Y909" s="72"/>
      <c r="Z909" s="72"/>
      <c r="AA909" s="72"/>
      <c r="AF909" s="72"/>
      <c r="AG909" s="72"/>
      <c r="AH909" s="72"/>
    </row>
    <row r="910" spans="2:34">
      <c r="B910" s="72" t="s">
        <v>1580</v>
      </c>
      <c r="C910" s="72"/>
      <c r="D910" s="72"/>
      <c r="F910" s="72"/>
      <c r="G910" s="72"/>
      <c r="H910" s="72"/>
      <c r="P910" s="72"/>
      <c r="Q910" s="72"/>
      <c r="R910" s="72"/>
      <c r="S910" s="72"/>
      <c r="T910" s="72"/>
      <c r="U910" s="72"/>
      <c r="V910" s="72"/>
      <c r="W910" s="72"/>
      <c r="X910" s="72"/>
      <c r="Y910" s="72"/>
      <c r="Z910" s="72"/>
      <c r="AA910" s="72"/>
      <c r="AF910" s="72"/>
      <c r="AG910" s="72"/>
      <c r="AH910" s="72"/>
    </row>
    <row r="911" spans="2:34">
      <c r="B911" s="72" t="s">
        <v>1579</v>
      </c>
      <c r="C911" s="72"/>
      <c r="D911" s="72"/>
      <c r="F911" s="72"/>
      <c r="G911" s="72"/>
      <c r="H911" s="72"/>
      <c r="P911" s="72"/>
      <c r="Q911" s="72"/>
      <c r="R911" s="72"/>
      <c r="S911" s="72"/>
      <c r="T911" s="72"/>
      <c r="U911" s="72"/>
      <c r="V911" s="72"/>
      <c r="W911" s="72"/>
      <c r="X911" s="72"/>
      <c r="Y911" s="72"/>
      <c r="Z911" s="72"/>
      <c r="AA911" s="72"/>
      <c r="AF911" s="72"/>
      <c r="AG911" s="72"/>
      <c r="AH911" s="72"/>
    </row>
    <row r="912" spans="2:34">
      <c r="B912" s="72" t="s">
        <v>1578</v>
      </c>
      <c r="C912" s="72"/>
      <c r="D912" s="72"/>
      <c r="F912" s="72"/>
      <c r="G912" s="72"/>
      <c r="H912" s="72"/>
      <c r="P912" s="72"/>
      <c r="Q912" s="72"/>
      <c r="R912" s="72"/>
      <c r="S912" s="72"/>
      <c r="T912" s="72"/>
      <c r="U912" s="72"/>
      <c r="V912" s="72"/>
      <c r="W912" s="72"/>
      <c r="X912" s="72"/>
      <c r="Y912" s="72"/>
      <c r="Z912" s="72"/>
      <c r="AA912" s="72"/>
      <c r="AF912" s="72"/>
      <c r="AG912" s="72"/>
      <c r="AH912" s="72"/>
    </row>
    <row r="913" spans="2:34">
      <c r="B913" s="72" t="s">
        <v>1577</v>
      </c>
      <c r="C913" s="72"/>
      <c r="D913" s="72"/>
      <c r="F913" s="72"/>
      <c r="G913" s="72"/>
      <c r="H913" s="72"/>
      <c r="P913" s="72"/>
      <c r="Q913" s="72"/>
      <c r="R913" s="72"/>
      <c r="S913" s="72"/>
      <c r="T913" s="72"/>
      <c r="U913" s="72"/>
      <c r="V913" s="72"/>
      <c r="W913" s="72"/>
      <c r="X913" s="72"/>
      <c r="Y913" s="72"/>
      <c r="Z913" s="72"/>
      <c r="AA913" s="72"/>
      <c r="AF913" s="72"/>
      <c r="AG913" s="72"/>
      <c r="AH913" s="72"/>
    </row>
    <row r="914" spans="2:34">
      <c r="B914" s="72" t="s">
        <v>1576</v>
      </c>
      <c r="C914" s="72"/>
      <c r="D914" s="72"/>
      <c r="F914" s="72"/>
      <c r="G914" s="72"/>
      <c r="H914" s="72"/>
      <c r="P914" s="72"/>
      <c r="Q914" s="72"/>
      <c r="R914" s="72"/>
      <c r="S914" s="72"/>
      <c r="T914" s="72"/>
      <c r="U914" s="72"/>
      <c r="V914" s="72"/>
      <c r="W914" s="72"/>
      <c r="X914" s="72"/>
      <c r="Y914" s="72"/>
      <c r="Z914" s="72"/>
      <c r="AA914" s="72"/>
      <c r="AF914" s="72"/>
      <c r="AG914" s="72"/>
      <c r="AH914" s="72"/>
    </row>
    <row r="915" spans="2:34">
      <c r="B915" s="72" t="s">
        <v>1575</v>
      </c>
      <c r="C915" s="72"/>
      <c r="D915" s="72"/>
      <c r="F915" s="72"/>
      <c r="G915" s="72"/>
      <c r="H915" s="72"/>
      <c r="P915" s="72"/>
      <c r="Q915" s="72"/>
      <c r="R915" s="72"/>
      <c r="S915" s="72"/>
      <c r="T915" s="72"/>
      <c r="U915" s="72"/>
      <c r="V915" s="72"/>
      <c r="W915" s="72"/>
      <c r="X915" s="72"/>
      <c r="Y915" s="72"/>
      <c r="Z915" s="72"/>
      <c r="AA915" s="72"/>
      <c r="AF915" s="72"/>
      <c r="AG915" s="72"/>
      <c r="AH915" s="72"/>
    </row>
    <row r="916" spans="2:34">
      <c r="B916" s="72" t="s">
        <v>1574</v>
      </c>
      <c r="C916" s="72"/>
      <c r="D916" s="72"/>
      <c r="F916" s="72"/>
      <c r="G916" s="72"/>
      <c r="H916" s="72"/>
      <c r="P916" s="72"/>
      <c r="Q916" s="72"/>
      <c r="R916" s="72"/>
      <c r="S916" s="72"/>
      <c r="T916" s="72"/>
      <c r="U916" s="72"/>
      <c r="V916" s="72"/>
      <c r="W916" s="72"/>
      <c r="X916" s="72"/>
      <c r="Y916" s="72"/>
      <c r="Z916" s="72"/>
      <c r="AA916" s="72"/>
      <c r="AF916" s="72"/>
      <c r="AG916" s="72"/>
      <c r="AH916" s="72"/>
    </row>
    <row r="917" spans="2:34">
      <c r="B917" s="72" t="s">
        <v>1573</v>
      </c>
      <c r="C917" s="72"/>
      <c r="D917" s="72"/>
      <c r="F917" s="72"/>
      <c r="G917" s="72"/>
      <c r="H917" s="72"/>
      <c r="P917" s="72"/>
      <c r="Q917" s="72"/>
      <c r="R917" s="72"/>
      <c r="S917" s="72"/>
      <c r="T917" s="72"/>
      <c r="U917" s="72"/>
      <c r="V917" s="72"/>
      <c r="W917" s="72"/>
      <c r="X917" s="72"/>
      <c r="Y917" s="72"/>
      <c r="Z917" s="72"/>
      <c r="AA917" s="72"/>
      <c r="AF917" s="72"/>
      <c r="AG917" s="72"/>
      <c r="AH917" s="72"/>
    </row>
    <row r="918" spans="2:34">
      <c r="B918" s="72" t="s">
        <v>1572</v>
      </c>
      <c r="C918" s="72"/>
      <c r="D918" s="72"/>
      <c r="F918" s="72"/>
      <c r="G918" s="72"/>
      <c r="H918" s="72"/>
      <c r="P918" s="72"/>
      <c r="Q918" s="72"/>
      <c r="R918" s="72"/>
      <c r="S918" s="72"/>
      <c r="T918" s="72"/>
      <c r="U918" s="72"/>
      <c r="V918" s="72"/>
      <c r="W918" s="72"/>
      <c r="X918" s="72"/>
      <c r="Y918" s="72"/>
      <c r="Z918" s="72"/>
      <c r="AA918" s="72"/>
      <c r="AF918" s="72"/>
      <c r="AG918" s="72"/>
      <c r="AH918" s="72"/>
    </row>
    <row r="919" spans="2:34">
      <c r="B919" s="72" t="s">
        <v>1571</v>
      </c>
      <c r="C919" s="72"/>
      <c r="D919" s="72"/>
      <c r="F919" s="72"/>
      <c r="G919" s="72"/>
      <c r="H919" s="72"/>
      <c r="P919" s="72"/>
      <c r="Q919" s="72"/>
      <c r="R919" s="72"/>
      <c r="S919" s="72"/>
      <c r="T919" s="72"/>
      <c r="U919" s="72"/>
      <c r="V919" s="72"/>
      <c r="W919" s="72"/>
      <c r="X919" s="72"/>
      <c r="Y919" s="72"/>
      <c r="Z919" s="72"/>
      <c r="AA919" s="72"/>
      <c r="AF919" s="72"/>
      <c r="AG919" s="72"/>
      <c r="AH919" s="72"/>
    </row>
    <row r="920" spans="2:34">
      <c r="B920" s="72" t="s">
        <v>1570</v>
      </c>
      <c r="C920" s="72"/>
      <c r="D920" s="72"/>
      <c r="F920" s="72"/>
      <c r="G920" s="72"/>
      <c r="H920" s="72"/>
      <c r="P920" s="72"/>
      <c r="Q920" s="72"/>
      <c r="R920" s="72"/>
      <c r="S920" s="72"/>
      <c r="T920" s="72"/>
      <c r="U920" s="72"/>
      <c r="V920" s="72"/>
      <c r="W920" s="72"/>
      <c r="X920" s="72"/>
      <c r="Y920" s="72"/>
      <c r="Z920" s="72"/>
      <c r="AA920" s="72"/>
      <c r="AF920" s="72"/>
      <c r="AG920" s="72"/>
      <c r="AH920" s="72"/>
    </row>
    <row r="921" spans="2:34">
      <c r="B921" s="72" t="s">
        <v>1569</v>
      </c>
      <c r="C921" s="72"/>
      <c r="D921" s="72"/>
      <c r="F921" s="72"/>
      <c r="G921" s="72"/>
      <c r="H921" s="72"/>
      <c r="P921" s="72"/>
      <c r="Q921" s="72"/>
      <c r="R921" s="72"/>
      <c r="S921" s="72"/>
      <c r="T921" s="72"/>
      <c r="U921" s="72"/>
      <c r="V921" s="72"/>
      <c r="W921" s="72"/>
      <c r="X921" s="72"/>
      <c r="Y921" s="72"/>
      <c r="Z921" s="72"/>
      <c r="AA921" s="72"/>
      <c r="AF921" s="72"/>
      <c r="AG921" s="72"/>
      <c r="AH921" s="72"/>
    </row>
    <row r="922" spans="2:34">
      <c r="B922" s="72" t="s">
        <v>1568</v>
      </c>
      <c r="C922" s="72"/>
      <c r="D922" s="72"/>
      <c r="F922" s="72"/>
      <c r="G922" s="72"/>
      <c r="H922" s="72"/>
      <c r="P922" s="72"/>
      <c r="Q922" s="72"/>
      <c r="R922" s="72"/>
      <c r="S922" s="72"/>
      <c r="T922" s="72"/>
      <c r="U922" s="72"/>
      <c r="V922" s="72"/>
      <c r="W922" s="72"/>
      <c r="X922" s="72"/>
      <c r="Y922" s="72"/>
      <c r="Z922" s="72"/>
      <c r="AA922" s="72"/>
      <c r="AF922" s="72"/>
      <c r="AG922" s="72"/>
      <c r="AH922" s="72"/>
    </row>
    <row r="923" spans="2:34">
      <c r="B923" s="72" t="s">
        <v>1567</v>
      </c>
      <c r="C923" s="72"/>
      <c r="D923" s="72"/>
      <c r="F923" s="72"/>
      <c r="G923" s="72"/>
      <c r="H923" s="72"/>
      <c r="P923" s="72"/>
      <c r="Q923" s="72"/>
      <c r="R923" s="72"/>
      <c r="S923" s="72"/>
      <c r="T923" s="72"/>
      <c r="U923" s="72"/>
      <c r="V923" s="72"/>
      <c r="W923" s="72"/>
      <c r="X923" s="72"/>
      <c r="Y923" s="72"/>
      <c r="Z923" s="72"/>
      <c r="AA923" s="72"/>
      <c r="AF923" s="72"/>
      <c r="AG923" s="72"/>
      <c r="AH923" s="72"/>
    </row>
    <row r="924" spans="2:34">
      <c r="B924" s="72" t="s">
        <v>1566</v>
      </c>
      <c r="C924" s="72"/>
      <c r="D924" s="72"/>
      <c r="F924" s="72"/>
      <c r="G924" s="72"/>
      <c r="H924" s="72"/>
      <c r="P924" s="72"/>
      <c r="Q924" s="72"/>
      <c r="R924" s="72"/>
      <c r="S924" s="72"/>
      <c r="T924" s="72"/>
      <c r="U924" s="72"/>
      <c r="V924" s="72"/>
      <c r="W924" s="72"/>
      <c r="X924" s="72"/>
      <c r="Y924" s="72"/>
      <c r="Z924" s="72"/>
      <c r="AA924" s="72"/>
      <c r="AF924" s="72"/>
      <c r="AG924" s="72"/>
      <c r="AH924" s="72"/>
    </row>
    <row r="925" spans="2:34">
      <c r="B925" s="72" t="s">
        <v>1565</v>
      </c>
      <c r="C925" s="72"/>
      <c r="D925" s="72"/>
      <c r="F925" s="72"/>
      <c r="G925" s="72"/>
      <c r="H925" s="72"/>
      <c r="P925" s="72"/>
      <c r="Q925" s="72"/>
      <c r="R925" s="72"/>
      <c r="S925" s="72"/>
      <c r="T925" s="72"/>
      <c r="U925" s="72"/>
      <c r="V925" s="72"/>
      <c r="W925" s="72"/>
      <c r="X925" s="72"/>
      <c r="Y925" s="72"/>
      <c r="Z925" s="72"/>
      <c r="AA925" s="72"/>
      <c r="AF925" s="72"/>
      <c r="AG925" s="72"/>
      <c r="AH925" s="72"/>
    </row>
    <row r="926" spans="2:34">
      <c r="B926" s="72" t="s">
        <v>1564</v>
      </c>
      <c r="C926" s="72"/>
      <c r="D926" s="72"/>
      <c r="F926" s="72"/>
      <c r="G926" s="72"/>
      <c r="H926" s="72"/>
      <c r="P926" s="72"/>
      <c r="Q926" s="72"/>
      <c r="R926" s="72"/>
      <c r="S926" s="72"/>
      <c r="T926" s="72"/>
      <c r="U926" s="72"/>
      <c r="V926" s="72"/>
      <c r="W926" s="72"/>
      <c r="X926" s="72"/>
      <c r="Y926" s="72"/>
      <c r="Z926" s="72"/>
      <c r="AA926" s="72"/>
      <c r="AF926" s="72"/>
      <c r="AG926" s="72"/>
      <c r="AH926" s="72"/>
    </row>
    <row r="927" spans="2:34">
      <c r="B927" s="72" t="s">
        <v>1563</v>
      </c>
      <c r="C927" s="72"/>
      <c r="D927" s="72"/>
      <c r="F927" s="72"/>
      <c r="G927" s="72"/>
      <c r="H927" s="72"/>
      <c r="P927" s="72"/>
      <c r="Q927" s="72"/>
      <c r="R927" s="72"/>
      <c r="S927" s="72"/>
      <c r="T927" s="72"/>
      <c r="U927" s="72"/>
      <c r="V927" s="72"/>
      <c r="W927" s="72"/>
      <c r="X927" s="72"/>
      <c r="Y927" s="72"/>
      <c r="Z927" s="72"/>
      <c r="AA927" s="72"/>
      <c r="AF927" s="72"/>
      <c r="AG927" s="72"/>
      <c r="AH927" s="72"/>
    </row>
    <row r="928" spans="2:34">
      <c r="B928" s="72" t="s">
        <v>1562</v>
      </c>
      <c r="C928" s="72"/>
      <c r="D928" s="72"/>
      <c r="F928" s="72"/>
      <c r="G928" s="72"/>
      <c r="H928" s="72"/>
      <c r="P928" s="72"/>
      <c r="Q928" s="72"/>
      <c r="R928" s="72"/>
      <c r="S928" s="72"/>
      <c r="T928" s="72"/>
      <c r="U928" s="72"/>
      <c r="V928" s="72"/>
      <c r="W928" s="72"/>
      <c r="X928" s="72"/>
      <c r="Y928" s="72"/>
      <c r="Z928" s="72"/>
      <c r="AA928" s="72"/>
      <c r="AF928" s="72"/>
      <c r="AG928" s="72"/>
      <c r="AH928" s="72"/>
    </row>
    <row r="929" spans="2:34">
      <c r="B929" s="72" t="s">
        <v>1561</v>
      </c>
      <c r="C929" s="72"/>
      <c r="D929" s="72"/>
      <c r="F929" s="72"/>
      <c r="G929" s="72"/>
      <c r="H929" s="72"/>
      <c r="P929" s="72"/>
      <c r="Q929" s="72"/>
      <c r="R929" s="72"/>
      <c r="S929" s="72"/>
      <c r="T929" s="72"/>
      <c r="U929" s="72"/>
      <c r="V929" s="72"/>
      <c r="W929" s="72"/>
      <c r="X929" s="72"/>
      <c r="Y929" s="72"/>
      <c r="Z929" s="72"/>
      <c r="AA929" s="72"/>
      <c r="AF929" s="72"/>
      <c r="AG929" s="72"/>
      <c r="AH929" s="72"/>
    </row>
    <row r="930" spans="2:34">
      <c r="B930" s="72" t="s">
        <v>1560</v>
      </c>
      <c r="C930" s="72"/>
      <c r="D930" s="72"/>
      <c r="F930" s="72"/>
      <c r="G930" s="72"/>
      <c r="H930" s="72"/>
      <c r="P930" s="72"/>
      <c r="Q930" s="72"/>
      <c r="R930" s="72"/>
      <c r="S930" s="72"/>
      <c r="T930" s="72"/>
      <c r="U930" s="72"/>
      <c r="V930" s="72"/>
      <c r="W930" s="72"/>
      <c r="X930" s="72"/>
      <c r="Y930" s="72"/>
      <c r="Z930" s="72"/>
      <c r="AA930" s="72"/>
      <c r="AF930" s="72"/>
      <c r="AG930" s="72"/>
      <c r="AH930" s="72"/>
    </row>
    <row r="931" spans="2:34">
      <c r="B931" s="72" t="s">
        <v>1559</v>
      </c>
      <c r="C931" s="72"/>
      <c r="D931" s="72"/>
      <c r="F931" s="72"/>
      <c r="G931" s="72"/>
      <c r="H931" s="72"/>
      <c r="P931" s="72"/>
      <c r="Q931" s="72"/>
      <c r="R931" s="72"/>
      <c r="S931" s="72"/>
      <c r="T931" s="72"/>
      <c r="U931" s="72"/>
      <c r="V931" s="72"/>
      <c r="W931" s="72"/>
      <c r="X931" s="72"/>
      <c r="Y931" s="72"/>
      <c r="Z931" s="72"/>
      <c r="AA931" s="72"/>
      <c r="AF931" s="72"/>
      <c r="AG931" s="72"/>
      <c r="AH931" s="72"/>
    </row>
    <row r="932" spans="2:34">
      <c r="B932" s="72" t="s">
        <v>1558</v>
      </c>
      <c r="C932" s="72"/>
      <c r="D932" s="72"/>
      <c r="F932" s="72"/>
      <c r="G932" s="72"/>
      <c r="H932" s="72"/>
      <c r="P932" s="72"/>
      <c r="Q932" s="72"/>
      <c r="R932" s="72"/>
      <c r="S932" s="72"/>
      <c r="T932" s="72"/>
      <c r="U932" s="72"/>
      <c r="V932" s="72"/>
      <c r="W932" s="72"/>
      <c r="X932" s="72"/>
      <c r="Y932" s="72"/>
      <c r="Z932" s="72"/>
      <c r="AA932" s="72"/>
      <c r="AF932" s="72"/>
      <c r="AG932" s="72"/>
      <c r="AH932" s="72"/>
    </row>
    <row r="933" spans="2:34">
      <c r="B933" s="72" t="s">
        <v>4307</v>
      </c>
      <c r="C933" s="72"/>
      <c r="D933" s="72"/>
      <c r="F933" s="72"/>
      <c r="G933" s="72"/>
      <c r="H933" s="72"/>
      <c r="P933" s="72"/>
      <c r="Q933" s="72"/>
      <c r="R933" s="72"/>
      <c r="S933" s="72"/>
      <c r="T933" s="72"/>
      <c r="U933" s="72"/>
      <c r="V933" s="72"/>
      <c r="W933" s="72"/>
      <c r="X933" s="72"/>
      <c r="Y933" s="72"/>
      <c r="Z933" s="72"/>
      <c r="AA933" s="72"/>
      <c r="AF933" s="72"/>
      <c r="AG933" s="72"/>
      <c r="AH933" s="72"/>
    </row>
    <row r="934" spans="2:34">
      <c r="B934" s="72" t="s">
        <v>1557</v>
      </c>
    </row>
    <row r="935" spans="2:34">
      <c r="B935" s="72" t="s">
        <v>1556</v>
      </c>
    </row>
    <row r="936" spans="2:34">
      <c r="B936" s="72" t="s">
        <v>1555</v>
      </c>
    </row>
    <row r="937" spans="2:34">
      <c r="B937" s="72" t="s">
        <v>1554</v>
      </c>
    </row>
    <row r="938" spans="2:34">
      <c r="B938" s="72" t="s">
        <v>1553</v>
      </c>
    </row>
    <row r="939" spans="2:34">
      <c r="B939" s="72" t="s">
        <v>1552</v>
      </c>
      <c r="AE939" s="25" t="s">
        <v>9546</v>
      </c>
    </row>
    <row r="940" spans="2:34">
      <c r="B940" s="72" t="s">
        <v>1551</v>
      </c>
    </row>
    <row r="941" spans="2:34">
      <c r="B941" s="72" t="s">
        <v>1550</v>
      </c>
    </row>
    <row r="942" spans="2:34">
      <c r="B942" s="72" t="s">
        <v>1549</v>
      </c>
      <c r="AE942" s="25" t="s">
        <v>9543</v>
      </c>
    </row>
    <row r="943" spans="2:34">
      <c r="B943" s="72" t="s">
        <v>1548</v>
      </c>
    </row>
    <row r="944" spans="2:34">
      <c r="B944" s="12" t="s">
        <v>1547</v>
      </c>
    </row>
    <row r="945" spans="1:34">
      <c r="B945" s="72" t="s">
        <v>1546</v>
      </c>
    </row>
    <row r="946" spans="1:34">
      <c r="B946" s="72" t="s">
        <v>1545</v>
      </c>
    </row>
    <row r="947" spans="1:34">
      <c r="B947" s="72" t="s">
        <v>1544</v>
      </c>
    </row>
    <row r="948" spans="1:34">
      <c r="B948" s="72" t="s">
        <v>1543</v>
      </c>
    </row>
    <row r="949" spans="1:34" s="12" customFormat="1">
      <c r="A949" s="72"/>
      <c r="B949" s="12" t="s">
        <v>1542</v>
      </c>
      <c r="C949" s="29"/>
      <c r="D949" s="15"/>
      <c r="F949" s="15"/>
      <c r="G949" s="15"/>
      <c r="H949" s="13"/>
      <c r="K949" s="12" t="s">
        <v>3331</v>
      </c>
      <c r="L949" s="12" t="s">
        <v>3331</v>
      </c>
      <c r="P949" s="24"/>
      <c r="Q949" s="24"/>
      <c r="R949" s="24"/>
      <c r="S949" s="24"/>
      <c r="T949" s="24"/>
      <c r="U949" s="24"/>
      <c r="V949" s="24"/>
      <c r="W949" s="24"/>
      <c r="X949" s="24"/>
      <c r="Y949" s="24"/>
      <c r="Z949" s="24"/>
      <c r="AA949" s="24"/>
      <c r="AF949" s="65"/>
      <c r="AG949" s="60"/>
      <c r="AH949" s="60"/>
    </row>
    <row r="950" spans="1:34">
      <c r="B950" s="72" t="s">
        <v>1541</v>
      </c>
      <c r="C950" s="72"/>
      <c r="D950" s="72"/>
      <c r="F950" s="72"/>
      <c r="G950" s="72"/>
      <c r="H950" s="72"/>
      <c r="P950" s="72"/>
      <c r="Q950" s="72"/>
      <c r="R950" s="72"/>
      <c r="S950" s="72"/>
      <c r="T950" s="72"/>
      <c r="U950" s="72"/>
      <c r="V950" s="72"/>
      <c r="W950" s="72"/>
      <c r="X950" s="72"/>
      <c r="Y950" s="72"/>
      <c r="Z950" s="72"/>
      <c r="AA950" s="72"/>
      <c r="AF950" s="72"/>
      <c r="AG950" s="72"/>
      <c r="AH950" s="72"/>
    </row>
    <row r="951" spans="1:34">
      <c r="B951" s="72" t="s">
        <v>1540</v>
      </c>
      <c r="C951" s="72"/>
      <c r="D951" s="72"/>
      <c r="F951" s="72"/>
      <c r="G951" s="72"/>
      <c r="H951" s="72"/>
      <c r="P951" s="72"/>
      <c r="Q951" s="72"/>
      <c r="R951" s="72"/>
      <c r="S951" s="72"/>
      <c r="T951" s="72"/>
      <c r="U951" s="72"/>
      <c r="V951" s="72"/>
      <c r="W951" s="72"/>
      <c r="X951" s="72"/>
      <c r="Y951" s="72"/>
      <c r="Z951" s="72"/>
      <c r="AA951" s="72"/>
      <c r="AF951" s="72"/>
      <c r="AG951" s="72"/>
      <c r="AH951" s="72"/>
    </row>
    <row r="952" spans="1:34">
      <c r="B952" s="72" t="s">
        <v>1539</v>
      </c>
      <c r="C952" s="72"/>
      <c r="D952" s="72"/>
      <c r="F952" s="72"/>
      <c r="G952" s="72"/>
      <c r="H952" s="72"/>
      <c r="P952" s="72"/>
      <c r="Q952" s="72"/>
      <c r="R952" s="72"/>
      <c r="S952" s="72"/>
      <c r="T952" s="72"/>
      <c r="U952" s="72"/>
      <c r="V952" s="72"/>
      <c r="W952" s="72"/>
      <c r="X952" s="72"/>
      <c r="Y952" s="72"/>
      <c r="Z952" s="72"/>
      <c r="AA952" s="72"/>
      <c r="AF952" s="72"/>
      <c r="AG952" s="72"/>
      <c r="AH952" s="72"/>
    </row>
    <row r="953" spans="1:34">
      <c r="A953" s="12"/>
      <c r="B953" s="72" t="s">
        <v>1538</v>
      </c>
      <c r="C953" s="72"/>
      <c r="D953" s="72"/>
      <c r="F953" s="72"/>
      <c r="G953" s="72"/>
      <c r="H953" s="72"/>
      <c r="P953" s="72"/>
      <c r="Q953" s="72"/>
      <c r="R953" s="72"/>
      <c r="S953" s="72"/>
      <c r="T953" s="72"/>
      <c r="U953" s="72"/>
      <c r="V953" s="72"/>
      <c r="W953" s="72"/>
      <c r="X953" s="72"/>
      <c r="Y953" s="72"/>
      <c r="Z953" s="72"/>
      <c r="AA953" s="72"/>
      <c r="AF953" s="72"/>
      <c r="AG953" s="72"/>
      <c r="AH953" s="72"/>
    </row>
    <row r="954" spans="1:34">
      <c r="B954" s="72" t="s">
        <v>1537</v>
      </c>
      <c r="C954" s="72"/>
      <c r="D954" s="72"/>
      <c r="F954" s="72"/>
      <c r="G954" s="72"/>
      <c r="H954" s="72"/>
      <c r="P954" s="72"/>
      <c r="Q954" s="72"/>
      <c r="R954" s="72"/>
      <c r="S954" s="72"/>
      <c r="T954" s="72"/>
      <c r="U954" s="72"/>
      <c r="V954" s="72"/>
      <c r="W954" s="72"/>
      <c r="X954" s="72"/>
      <c r="Y954" s="72"/>
      <c r="Z954" s="72"/>
      <c r="AA954" s="72"/>
      <c r="AF954" s="72"/>
      <c r="AG954" s="72"/>
      <c r="AH954" s="72"/>
    </row>
    <row r="955" spans="1:34">
      <c r="B955" s="72" t="s">
        <v>1536</v>
      </c>
      <c r="C955" s="72"/>
      <c r="D955" s="72"/>
      <c r="F955" s="72"/>
      <c r="G955" s="72"/>
      <c r="H955" s="72"/>
      <c r="P955" s="72"/>
      <c r="Q955" s="72"/>
      <c r="R955" s="72"/>
      <c r="S955" s="72"/>
      <c r="T955" s="72"/>
      <c r="U955" s="72"/>
      <c r="V955" s="72"/>
      <c r="W955" s="72"/>
      <c r="X955" s="72"/>
      <c r="Y955" s="72"/>
      <c r="Z955" s="72"/>
      <c r="AA955" s="72"/>
      <c r="AF955" s="72"/>
      <c r="AG955" s="72"/>
      <c r="AH955" s="72"/>
    </row>
    <row r="956" spans="1:34">
      <c r="B956" s="72" t="s">
        <v>1535</v>
      </c>
      <c r="C956" s="72"/>
      <c r="D956" s="72"/>
      <c r="F956" s="72"/>
      <c r="G956" s="72"/>
      <c r="H956" s="72"/>
      <c r="P956" s="72"/>
      <c r="Q956" s="72"/>
      <c r="R956" s="72"/>
      <c r="S956" s="72"/>
      <c r="T956" s="72"/>
      <c r="U956" s="72"/>
      <c r="V956" s="72"/>
      <c r="W956" s="72"/>
      <c r="X956" s="72"/>
      <c r="Y956" s="72"/>
      <c r="Z956" s="72"/>
      <c r="AA956" s="72"/>
      <c r="AF956" s="72"/>
      <c r="AG956" s="72"/>
      <c r="AH956" s="72"/>
    </row>
    <row r="957" spans="1:34">
      <c r="B957" s="72" t="s">
        <v>1534</v>
      </c>
      <c r="C957" s="72"/>
      <c r="D957" s="72"/>
      <c r="F957" s="72"/>
      <c r="G957" s="72"/>
      <c r="H957" s="72"/>
      <c r="P957" s="72"/>
      <c r="Q957" s="72"/>
      <c r="R957" s="72"/>
      <c r="S957" s="72"/>
      <c r="T957" s="72"/>
      <c r="U957" s="72"/>
      <c r="V957" s="72"/>
      <c r="W957" s="72"/>
      <c r="X957" s="72"/>
      <c r="Y957" s="72"/>
      <c r="Z957" s="72"/>
      <c r="AA957" s="72"/>
      <c r="AF957" s="72"/>
      <c r="AG957" s="72"/>
      <c r="AH957" s="72"/>
    </row>
    <row r="958" spans="1:34">
      <c r="B958" s="72" t="s">
        <v>1533</v>
      </c>
      <c r="C958" s="72"/>
      <c r="D958" s="72"/>
      <c r="F958" s="72"/>
      <c r="G958" s="72"/>
      <c r="H958" s="72"/>
      <c r="P958" s="72"/>
      <c r="Q958" s="72"/>
      <c r="R958" s="72"/>
      <c r="S958" s="72"/>
      <c r="T958" s="72"/>
      <c r="U958" s="72"/>
      <c r="V958" s="72"/>
      <c r="W958" s="72"/>
      <c r="X958" s="72"/>
      <c r="Y958" s="72"/>
      <c r="Z958" s="72"/>
      <c r="AA958" s="72"/>
      <c r="AF958" s="72"/>
      <c r="AG958" s="72"/>
      <c r="AH958" s="72"/>
    </row>
    <row r="959" spans="1:34">
      <c r="B959" s="72" t="s">
        <v>1532</v>
      </c>
      <c r="C959" s="72"/>
      <c r="D959" s="72"/>
      <c r="F959" s="72"/>
      <c r="G959" s="72"/>
      <c r="H959" s="72"/>
      <c r="P959" s="72"/>
      <c r="Q959" s="72"/>
      <c r="R959" s="72"/>
      <c r="S959" s="72"/>
      <c r="T959" s="72"/>
      <c r="U959" s="72"/>
      <c r="V959" s="72"/>
      <c r="W959" s="72"/>
      <c r="X959" s="72"/>
      <c r="Y959" s="72"/>
      <c r="Z959" s="72"/>
      <c r="AA959" s="72"/>
      <c r="AF959" s="72"/>
      <c r="AG959" s="72"/>
      <c r="AH959" s="72"/>
    </row>
    <row r="960" spans="1:34">
      <c r="B960" s="72" t="s">
        <v>1531</v>
      </c>
      <c r="C960" s="72"/>
      <c r="D960" s="72"/>
      <c r="F960" s="72"/>
      <c r="G960" s="72"/>
      <c r="H960" s="72"/>
      <c r="P960" s="72"/>
      <c r="Q960" s="72"/>
      <c r="R960" s="72"/>
      <c r="S960" s="72"/>
      <c r="T960" s="72"/>
      <c r="U960" s="72"/>
      <c r="V960" s="72"/>
      <c r="W960" s="72"/>
      <c r="X960" s="72"/>
      <c r="Y960" s="72"/>
      <c r="Z960" s="72"/>
      <c r="AA960" s="72"/>
      <c r="AF960" s="72"/>
      <c r="AG960" s="72"/>
      <c r="AH960" s="72"/>
    </row>
    <row r="961" spans="2:34">
      <c r="B961" s="72" t="s">
        <v>1530</v>
      </c>
      <c r="C961" s="72"/>
      <c r="D961" s="72"/>
      <c r="F961" s="72"/>
      <c r="G961" s="72"/>
      <c r="H961" s="72"/>
      <c r="P961" s="72"/>
      <c r="Q961" s="72"/>
      <c r="R961" s="72"/>
      <c r="S961" s="72"/>
      <c r="T961" s="72"/>
      <c r="U961" s="72"/>
      <c r="V961" s="72"/>
      <c r="W961" s="72"/>
      <c r="X961" s="72"/>
      <c r="Y961" s="72"/>
      <c r="Z961" s="72"/>
      <c r="AA961" s="72"/>
      <c r="AF961" s="72"/>
      <c r="AG961" s="72"/>
      <c r="AH961" s="72"/>
    </row>
    <row r="962" spans="2:34">
      <c r="B962" s="72" t="s">
        <v>1529</v>
      </c>
      <c r="C962" s="72"/>
      <c r="D962" s="72"/>
      <c r="F962" s="72"/>
      <c r="G962" s="72"/>
      <c r="H962" s="72"/>
      <c r="P962" s="72"/>
      <c r="Q962" s="72"/>
      <c r="R962" s="72"/>
      <c r="S962" s="72"/>
      <c r="T962" s="72"/>
      <c r="U962" s="72"/>
      <c r="V962" s="72"/>
      <c r="W962" s="72"/>
      <c r="X962" s="72"/>
      <c r="Y962" s="72"/>
      <c r="Z962" s="72"/>
      <c r="AA962" s="72"/>
      <c r="AF962" s="72"/>
      <c r="AG962" s="72"/>
      <c r="AH962" s="72"/>
    </row>
    <row r="963" spans="2:34">
      <c r="B963" s="72" t="s">
        <v>1528</v>
      </c>
      <c r="C963" s="72"/>
      <c r="D963" s="72"/>
      <c r="F963" s="72"/>
      <c r="G963" s="72"/>
      <c r="H963" s="72"/>
      <c r="P963" s="72"/>
      <c r="Q963" s="72"/>
      <c r="R963" s="72"/>
      <c r="S963" s="72"/>
      <c r="T963" s="72"/>
      <c r="U963" s="72"/>
      <c r="V963" s="72"/>
      <c r="W963" s="72"/>
      <c r="X963" s="72"/>
      <c r="Y963" s="72"/>
      <c r="Z963" s="72"/>
      <c r="AA963" s="72"/>
      <c r="AF963" s="72"/>
      <c r="AG963" s="72"/>
      <c r="AH963" s="72"/>
    </row>
    <row r="964" spans="2:34">
      <c r="B964" s="72" t="s">
        <v>1527</v>
      </c>
      <c r="C964" s="72"/>
      <c r="D964" s="72"/>
      <c r="F964" s="72"/>
      <c r="G964" s="72"/>
      <c r="H964" s="72"/>
      <c r="P964" s="72"/>
      <c r="Q964" s="72"/>
      <c r="R964" s="72"/>
      <c r="S964" s="72"/>
      <c r="T964" s="72"/>
      <c r="U964" s="72"/>
      <c r="V964" s="72"/>
      <c r="W964" s="72"/>
      <c r="X964" s="72"/>
      <c r="Y964" s="72"/>
      <c r="Z964" s="72"/>
      <c r="AA964" s="72"/>
      <c r="AF964" s="72"/>
      <c r="AG964" s="72"/>
      <c r="AH964" s="72"/>
    </row>
    <row r="965" spans="2:34">
      <c r="B965" s="72" t="s">
        <v>1526</v>
      </c>
      <c r="C965" s="72"/>
      <c r="D965" s="72"/>
      <c r="F965" s="72"/>
      <c r="G965" s="72"/>
      <c r="H965" s="72"/>
      <c r="P965" s="72"/>
      <c r="Q965" s="72"/>
      <c r="R965" s="72"/>
      <c r="S965" s="72"/>
      <c r="T965" s="72"/>
      <c r="U965" s="72"/>
      <c r="V965" s="72"/>
      <c r="W965" s="72"/>
      <c r="X965" s="72"/>
      <c r="Y965" s="72"/>
      <c r="Z965" s="72"/>
      <c r="AA965" s="72"/>
      <c r="AF965" s="72"/>
      <c r="AG965" s="72"/>
      <c r="AH965" s="72"/>
    </row>
    <row r="966" spans="2:34">
      <c r="B966" s="72" t="s">
        <v>1525</v>
      </c>
      <c r="C966" s="72"/>
      <c r="D966" s="72"/>
      <c r="F966" s="72"/>
      <c r="G966" s="72"/>
      <c r="H966" s="72"/>
      <c r="P966" s="72"/>
      <c r="Q966" s="72"/>
      <c r="R966" s="72"/>
      <c r="S966" s="72"/>
      <c r="T966" s="72"/>
      <c r="U966" s="72"/>
      <c r="V966" s="72"/>
      <c r="W966" s="72"/>
      <c r="X966" s="72"/>
      <c r="Y966" s="72"/>
      <c r="Z966" s="72"/>
      <c r="AA966" s="72"/>
      <c r="AF966" s="72"/>
      <c r="AG966" s="72"/>
      <c r="AH966" s="72"/>
    </row>
    <row r="967" spans="2:34">
      <c r="B967" s="72" t="s">
        <v>1524</v>
      </c>
      <c r="C967" s="72"/>
      <c r="D967" s="72"/>
      <c r="F967" s="72"/>
      <c r="G967" s="72"/>
      <c r="H967" s="72"/>
      <c r="P967" s="72"/>
      <c r="Q967" s="72"/>
      <c r="R967" s="72"/>
      <c r="S967" s="72"/>
      <c r="T967" s="72"/>
      <c r="U967" s="72"/>
      <c r="V967" s="72"/>
      <c r="W967" s="72"/>
      <c r="X967" s="72"/>
      <c r="Y967" s="72"/>
      <c r="Z967" s="72"/>
      <c r="AA967" s="72"/>
      <c r="AF967" s="72"/>
      <c r="AG967" s="72"/>
      <c r="AH967" s="72"/>
    </row>
    <row r="968" spans="2:34">
      <c r="B968" s="72" t="s">
        <v>1523</v>
      </c>
      <c r="C968" s="72"/>
      <c r="D968" s="72"/>
      <c r="F968" s="72"/>
      <c r="G968" s="72"/>
      <c r="H968" s="72"/>
      <c r="P968" s="72"/>
      <c r="Q968" s="72"/>
      <c r="R968" s="72"/>
      <c r="S968" s="72"/>
      <c r="T968" s="72"/>
      <c r="U968" s="72"/>
      <c r="V968" s="72"/>
      <c r="W968" s="72"/>
      <c r="X968" s="72"/>
      <c r="Y968" s="72"/>
      <c r="Z968" s="72"/>
      <c r="AA968" s="72"/>
      <c r="AF968" s="72"/>
      <c r="AG968" s="72"/>
      <c r="AH968" s="72"/>
    </row>
    <row r="969" spans="2:34">
      <c r="B969" s="72" t="s">
        <v>1522</v>
      </c>
      <c r="C969" s="72"/>
      <c r="D969" s="72"/>
      <c r="F969" s="72"/>
      <c r="G969" s="72"/>
      <c r="H969" s="72"/>
      <c r="P969" s="72"/>
      <c r="Q969" s="72"/>
      <c r="R969" s="72"/>
      <c r="S969" s="72"/>
      <c r="T969" s="72"/>
      <c r="U969" s="72"/>
      <c r="V969" s="72"/>
      <c r="W969" s="72"/>
      <c r="X969" s="72"/>
      <c r="Y969" s="72"/>
      <c r="Z969" s="72"/>
      <c r="AA969" s="72"/>
      <c r="AF969" s="72"/>
      <c r="AG969" s="72"/>
      <c r="AH969" s="72"/>
    </row>
    <row r="970" spans="2:34">
      <c r="B970" s="72" t="s">
        <v>1521</v>
      </c>
      <c r="C970" s="72"/>
      <c r="D970" s="72"/>
      <c r="F970" s="72"/>
      <c r="G970" s="72"/>
      <c r="H970" s="72"/>
      <c r="P970" s="72"/>
      <c r="Q970" s="72"/>
      <c r="R970" s="72"/>
      <c r="S970" s="72"/>
      <c r="T970" s="72"/>
      <c r="U970" s="72"/>
      <c r="V970" s="72"/>
      <c r="W970" s="72"/>
      <c r="X970" s="72"/>
      <c r="Y970" s="72"/>
      <c r="Z970" s="72"/>
      <c r="AA970" s="72"/>
      <c r="AF970" s="72"/>
      <c r="AG970" s="72"/>
      <c r="AH970" s="72"/>
    </row>
    <row r="971" spans="2:34">
      <c r="B971" s="72" t="s">
        <v>1520</v>
      </c>
      <c r="C971" s="72"/>
      <c r="D971" s="72"/>
      <c r="F971" s="72"/>
      <c r="G971" s="72"/>
      <c r="H971" s="72"/>
      <c r="P971" s="72"/>
      <c r="Q971" s="72"/>
      <c r="R971" s="72"/>
      <c r="S971" s="72"/>
      <c r="T971" s="72"/>
      <c r="U971" s="72"/>
      <c r="V971" s="72"/>
      <c r="W971" s="72"/>
      <c r="X971" s="72"/>
      <c r="Y971" s="72"/>
      <c r="Z971" s="72"/>
      <c r="AA971" s="72"/>
      <c r="AF971" s="72"/>
      <c r="AG971" s="72"/>
      <c r="AH971" s="72"/>
    </row>
    <row r="972" spans="2:34">
      <c r="B972" s="72" t="s">
        <v>1519</v>
      </c>
      <c r="C972" s="72"/>
      <c r="D972" s="72"/>
      <c r="F972" s="72"/>
      <c r="G972" s="72"/>
      <c r="H972" s="72"/>
      <c r="P972" s="72"/>
      <c r="Q972" s="72"/>
      <c r="R972" s="72"/>
      <c r="S972" s="72"/>
      <c r="T972" s="72"/>
      <c r="U972" s="72"/>
      <c r="V972" s="72"/>
      <c r="W972" s="72"/>
      <c r="X972" s="72"/>
      <c r="Y972" s="72"/>
      <c r="Z972" s="72"/>
      <c r="AA972" s="72"/>
      <c r="AF972" s="72"/>
      <c r="AG972" s="72"/>
      <c r="AH972" s="72"/>
    </row>
    <row r="973" spans="2:34">
      <c r="B973" s="72" t="s">
        <v>1518</v>
      </c>
      <c r="C973" s="72"/>
      <c r="D973" s="72"/>
      <c r="F973" s="72"/>
      <c r="G973" s="72"/>
      <c r="H973" s="72"/>
      <c r="P973" s="72"/>
      <c r="Q973" s="72"/>
      <c r="R973" s="72"/>
      <c r="S973" s="72"/>
      <c r="T973" s="72"/>
      <c r="U973" s="72"/>
      <c r="V973" s="72"/>
      <c r="W973" s="72"/>
      <c r="X973" s="72"/>
      <c r="Y973" s="72"/>
      <c r="Z973" s="72"/>
      <c r="AA973" s="72"/>
      <c r="AF973" s="72"/>
      <c r="AG973" s="72"/>
      <c r="AH973" s="72"/>
    </row>
    <row r="974" spans="2:34">
      <c r="B974" s="72" t="s">
        <v>1517</v>
      </c>
      <c r="C974" s="72"/>
      <c r="D974" s="72"/>
      <c r="F974" s="72"/>
      <c r="G974" s="72"/>
      <c r="H974" s="72"/>
      <c r="P974" s="72"/>
      <c r="Q974" s="72"/>
      <c r="R974" s="72"/>
      <c r="S974" s="72"/>
      <c r="T974" s="72"/>
      <c r="U974" s="72"/>
      <c r="V974" s="72"/>
      <c r="W974" s="72"/>
      <c r="X974" s="72"/>
      <c r="Y974" s="72"/>
      <c r="Z974" s="72"/>
      <c r="AA974" s="72"/>
      <c r="AF974" s="72"/>
      <c r="AG974" s="72"/>
      <c r="AH974" s="72"/>
    </row>
    <row r="975" spans="2:34">
      <c r="B975" s="72" t="s">
        <v>1516</v>
      </c>
      <c r="C975" s="72"/>
      <c r="D975" s="72"/>
      <c r="F975" s="72"/>
      <c r="G975" s="72"/>
      <c r="H975" s="72"/>
      <c r="P975" s="72"/>
      <c r="Q975" s="72"/>
      <c r="R975" s="72"/>
      <c r="S975" s="72"/>
      <c r="T975" s="72"/>
      <c r="U975" s="72"/>
      <c r="V975" s="72"/>
      <c r="W975" s="72"/>
      <c r="X975" s="72"/>
      <c r="Y975" s="72"/>
      <c r="Z975" s="72"/>
      <c r="AA975" s="72"/>
      <c r="AF975" s="72"/>
      <c r="AG975" s="72"/>
      <c r="AH975" s="72"/>
    </row>
    <row r="976" spans="2:34">
      <c r="B976" s="72" t="s">
        <v>1515</v>
      </c>
      <c r="C976" s="72"/>
      <c r="D976" s="72"/>
      <c r="F976" s="72"/>
      <c r="G976" s="72"/>
      <c r="H976" s="72"/>
      <c r="P976" s="72"/>
      <c r="Q976" s="72"/>
      <c r="R976" s="72"/>
      <c r="S976" s="72"/>
      <c r="T976" s="72"/>
      <c r="U976" s="72"/>
      <c r="V976" s="72"/>
      <c r="W976" s="72"/>
      <c r="X976" s="72"/>
      <c r="Y976" s="72"/>
      <c r="Z976" s="72"/>
      <c r="AA976" s="72"/>
      <c r="AF976" s="72"/>
      <c r="AG976" s="72"/>
      <c r="AH976" s="72"/>
    </row>
    <row r="977" spans="2:34">
      <c r="B977" s="72" t="s">
        <v>1514</v>
      </c>
      <c r="C977" s="72"/>
      <c r="D977" s="72"/>
      <c r="F977" s="72"/>
      <c r="G977" s="72"/>
      <c r="H977" s="72"/>
      <c r="P977" s="72"/>
      <c r="Q977" s="72"/>
      <c r="R977" s="72"/>
      <c r="S977" s="72"/>
      <c r="T977" s="72"/>
      <c r="U977" s="72"/>
      <c r="V977" s="72"/>
      <c r="W977" s="72"/>
      <c r="X977" s="72"/>
      <c r="Y977" s="72"/>
      <c r="Z977" s="72"/>
      <c r="AA977" s="72"/>
      <c r="AF977" s="72"/>
      <c r="AG977" s="72"/>
      <c r="AH977" s="72"/>
    </row>
    <row r="978" spans="2:34">
      <c r="B978" s="72" t="s">
        <v>1513</v>
      </c>
      <c r="C978" s="72"/>
      <c r="D978" s="72"/>
      <c r="F978" s="72"/>
      <c r="G978" s="72"/>
      <c r="H978" s="72"/>
      <c r="P978" s="72"/>
      <c r="Q978" s="72"/>
      <c r="R978" s="72"/>
      <c r="S978" s="72"/>
      <c r="T978" s="72"/>
      <c r="U978" s="72"/>
      <c r="V978" s="72"/>
      <c r="W978" s="72"/>
      <c r="X978" s="72"/>
      <c r="Y978" s="72"/>
      <c r="Z978" s="72"/>
      <c r="AA978" s="72"/>
      <c r="AF978" s="72"/>
      <c r="AG978" s="72"/>
      <c r="AH978" s="72"/>
    </row>
    <row r="979" spans="2:34">
      <c r="B979" s="72" t="s">
        <v>1512</v>
      </c>
      <c r="C979" s="72"/>
      <c r="D979" s="72"/>
      <c r="F979" s="72"/>
      <c r="G979" s="72"/>
      <c r="H979" s="72"/>
      <c r="P979" s="72"/>
      <c r="Q979" s="72"/>
      <c r="R979" s="72"/>
      <c r="S979" s="72"/>
      <c r="T979" s="72"/>
      <c r="U979" s="72"/>
      <c r="V979" s="72"/>
      <c r="W979" s="72"/>
      <c r="X979" s="72"/>
      <c r="Y979" s="72"/>
      <c r="Z979" s="72"/>
      <c r="AA979" s="72"/>
      <c r="AF979" s="72"/>
      <c r="AG979" s="72"/>
      <c r="AH979" s="72"/>
    </row>
    <row r="980" spans="2:34">
      <c r="B980" s="72" t="s">
        <v>1511</v>
      </c>
      <c r="C980" s="72"/>
      <c r="D980" s="72"/>
      <c r="F980" s="72"/>
      <c r="G980" s="72"/>
      <c r="H980" s="72"/>
      <c r="P980" s="72"/>
      <c r="Q980" s="72"/>
      <c r="R980" s="72"/>
      <c r="S980" s="72"/>
      <c r="T980" s="72"/>
      <c r="U980" s="72"/>
      <c r="V980" s="72"/>
      <c r="W980" s="72"/>
      <c r="X980" s="72"/>
      <c r="Y980" s="72"/>
      <c r="Z980" s="72"/>
      <c r="AA980" s="72"/>
      <c r="AF980" s="72"/>
      <c r="AG980" s="72"/>
      <c r="AH980" s="72"/>
    </row>
    <row r="981" spans="2:34">
      <c r="B981" s="72" t="s">
        <v>1510</v>
      </c>
      <c r="C981" s="72"/>
      <c r="D981" s="72"/>
      <c r="F981" s="72"/>
      <c r="G981" s="72"/>
      <c r="H981" s="72"/>
      <c r="P981" s="72"/>
      <c r="Q981" s="72"/>
      <c r="R981" s="72"/>
      <c r="S981" s="72"/>
      <c r="T981" s="72"/>
      <c r="U981" s="72"/>
      <c r="V981" s="72"/>
      <c r="W981" s="72"/>
      <c r="X981" s="72"/>
      <c r="Y981" s="72"/>
      <c r="Z981" s="72"/>
      <c r="AA981" s="72"/>
      <c r="AF981" s="72"/>
      <c r="AG981" s="72"/>
      <c r="AH981" s="72"/>
    </row>
    <row r="982" spans="2:34">
      <c r="B982" s="72" t="s">
        <v>1509</v>
      </c>
      <c r="C982" s="72"/>
      <c r="D982" s="72"/>
      <c r="F982" s="72"/>
      <c r="G982" s="72"/>
      <c r="H982" s="72"/>
      <c r="P982" s="72"/>
      <c r="Q982" s="72"/>
      <c r="R982" s="72"/>
      <c r="S982" s="72"/>
      <c r="T982" s="72"/>
      <c r="U982" s="72"/>
      <c r="V982" s="72"/>
      <c r="W982" s="72"/>
      <c r="X982" s="72"/>
      <c r="Y982" s="72"/>
      <c r="Z982" s="72"/>
      <c r="AA982" s="72"/>
      <c r="AF982" s="72"/>
      <c r="AG982" s="72"/>
      <c r="AH982" s="72"/>
    </row>
    <row r="983" spans="2:34">
      <c r="B983" s="72" t="s">
        <v>1508</v>
      </c>
      <c r="C983" s="72"/>
      <c r="D983" s="72"/>
      <c r="F983" s="72"/>
      <c r="G983" s="72"/>
      <c r="H983" s="72"/>
      <c r="P983" s="72"/>
      <c r="Q983" s="72"/>
      <c r="R983" s="72"/>
      <c r="S983" s="72"/>
      <c r="T983" s="72"/>
      <c r="U983" s="72"/>
      <c r="V983" s="72"/>
      <c r="W983" s="72"/>
      <c r="X983" s="72"/>
      <c r="Y983" s="72"/>
      <c r="Z983" s="72"/>
      <c r="AA983" s="72"/>
      <c r="AF983" s="72"/>
      <c r="AG983" s="72"/>
      <c r="AH983" s="72"/>
    </row>
    <row r="984" spans="2:34">
      <c r="B984" s="72" t="s">
        <v>1507</v>
      </c>
      <c r="C984" s="72"/>
      <c r="D984" s="72"/>
      <c r="F984" s="72"/>
      <c r="G984" s="72"/>
      <c r="H984" s="72"/>
      <c r="P984" s="72"/>
      <c r="Q984" s="72"/>
      <c r="R984" s="72"/>
      <c r="S984" s="72"/>
      <c r="T984" s="72"/>
      <c r="U984" s="72"/>
      <c r="V984" s="72"/>
      <c r="W984" s="72"/>
      <c r="X984" s="72"/>
      <c r="Y984" s="72"/>
      <c r="Z984" s="72"/>
      <c r="AA984" s="72"/>
      <c r="AF984" s="72"/>
      <c r="AG984" s="72"/>
      <c r="AH984" s="72"/>
    </row>
    <row r="985" spans="2:34">
      <c r="B985" s="72" t="s">
        <v>1506</v>
      </c>
      <c r="C985" s="72"/>
      <c r="D985" s="72"/>
      <c r="F985" s="72"/>
      <c r="G985" s="72"/>
      <c r="H985" s="72"/>
      <c r="P985" s="72"/>
      <c r="Q985" s="72"/>
      <c r="R985" s="72"/>
      <c r="S985" s="72"/>
      <c r="T985" s="72"/>
      <c r="U985" s="72"/>
      <c r="V985" s="72"/>
      <c r="W985" s="72"/>
      <c r="X985" s="72"/>
      <c r="Y985" s="72"/>
      <c r="Z985" s="72"/>
      <c r="AA985" s="72"/>
      <c r="AF985" s="72"/>
      <c r="AG985" s="72"/>
      <c r="AH985" s="72"/>
    </row>
    <row r="986" spans="2:34">
      <c r="B986" s="72" t="s">
        <v>1505</v>
      </c>
      <c r="C986" s="72"/>
      <c r="D986" s="72"/>
      <c r="F986" s="72"/>
      <c r="G986" s="72"/>
      <c r="H986" s="72"/>
      <c r="P986" s="72"/>
      <c r="Q986" s="72"/>
      <c r="R986" s="72"/>
      <c r="S986" s="72"/>
      <c r="T986" s="72"/>
      <c r="U986" s="72"/>
      <c r="V986" s="72"/>
      <c r="W986" s="72"/>
      <c r="X986" s="72"/>
      <c r="Y986" s="72"/>
      <c r="Z986" s="72"/>
      <c r="AA986" s="72"/>
      <c r="AF986" s="72"/>
      <c r="AG986" s="72"/>
      <c r="AH986" s="72"/>
    </row>
    <row r="987" spans="2:34">
      <c r="B987" s="72" t="s">
        <v>1504</v>
      </c>
      <c r="C987" s="72"/>
      <c r="D987" s="72"/>
      <c r="F987" s="72"/>
      <c r="G987" s="72"/>
      <c r="H987" s="72"/>
      <c r="P987" s="72"/>
      <c r="Q987" s="72"/>
      <c r="R987" s="72"/>
      <c r="S987" s="72"/>
      <c r="T987" s="72"/>
      <c r="U987" s="72"/>
      <c r="V987" s="72"/>
      <c r="W987" s="72"/>
      <c r="X987" s="72"/>
      <c r="Y987" s="72"/>
      <c r="Z987" s="72"/>
      <c r="AA987" s="72"/>
      <c r="AF987" s="72"/>
      <c r="AG987" s="72"/>
      <c r="AH987" s="72"/>
    </row>
    <row r="988" spans="2:34">
      <c r="B988" s="72" t="s">
        <v>1503</v>
      </c>
      <c r="C988" s="72"/>
      <c r="D988" s="72"/>
      <c r="F988" s="72"/>
      <c r="G988" s="72"/>
      <c r="H988" s="72"/>
      <c r="P988" s="72"/>
      <c r="Q988" s="72"/>
      <c r="R988" s="72"/>
      <c r="S988" s="72"/>
      <c r="T988" s="72"/>
      <c r="U988" s="72"/>
      <c r="V988" s="72"/>
      <c r="W988" s="72"/>
      <c r="X988" s="72"/>
      <c r="Y988" s="72"/>
      <c r="Z988" s="72"/>
      <c r="AA988" s="72"/>
      <c r="AF988" s="72"/>
      <c r="AG988" s="72"/>
      <c r="AH988" s="72"/>
    </row>
    <row r="989" spans="2:34">
      <c r="B989" s="72" t="s">
        <v>1502</v>
      </c>
      <c r="C989" s="72"/>
      <c r="D989" s="72"/>
      <c r="F989" s="72"/>
      <c r="G989" s="72"/>
      <c r="H989" s="72"/>
      <c r="P989" s="72"/>
      <c r="Q989" s="72"/>
      <c r="R989" s="72"/>
      <c r="S989" s="72"/>
      <c r="T989" s="72"/>
      <c r="U989" s="72"/>
      <c r="V989" s="72"/>
      <c r="W989" s="72"/>
      <c r="X989" s="72"/>
      <c r="Y989" s="72"/>
      <c r="Z989" s="72"/>
      <c r="AA989" s="72"/>
      <c r="AF989" s="72"/>
      <c r="AG989" s="72"/>
      <c r="AH989" s="72"/>
    </row>
    <row r="990" spans="2:34">
      <c r="B990" s="72" t="s">
        <v>1501</v>
      </c>
      <c r="C990" s="72"/>
      <c r="D990" s="72"/>
      <c r="F990" s="72"/>
      <c r="G990" s="72"/>
      <c r="H990" s="72"/>
      <c r="P990" s="72"/>
      <c r="Q990" s="72"/>
      <c r="R990" s="72"/>
      <c r="S990" s="72"/>
      <c r="T990" s="72"/>
      <c r="U990" s="72"/>
      <c r="V990" s="72"/>
      <c r="W990" s="72"/>
      <c r="X990" s="72"/>
      <c r="Y990" s="72"/>
      <c r="Z990" s="72"/>
      <c r="AA990" s="72"/>
      <c r="AF990" s="72"/>
      <c r="AG990" s="72"/>
      <c r="AH990" s="72"/>
    </row>
    <row r="991" spans="2:34">
      <c r="B991" s="72" t="s">
        <v>1500</v>
      </c>
      <c r="C991" s="72"/>
      <c r="D991" s="72"/>
      <c r="F991" s="72"/>
      <c r="G991" s="72"/>
      <c r="H991" s="72"/>
      <c r="P991" s="72"/>
      <c r="Q991" s="72"/>
      <c r="R991" s="72"/>
      <c r="S991" s="72"/>
      <c r="T991" s="72"/>
      <c r="U991" s="72"/>
      <c r="V991" s="72"/>
      <c r="W991" s="72"/>
      <c r="X991" s="72"/>
      <c r="Y991" s="72"/>
      <c r="Z991" s="72"/>
      <c r="AA991" s="72"/>
      <c r="AF991" s="72"/>
      <c r="AG991" s="72"/>
      <c r="AH991" s="72"/>
    </row>
    <row r="992" spans="2:34">
      <c r="B992" s="72" t="s">
        <v>1499</v>
      </c>
      <c r="C992" s="72"/>
      <c r="D992" s="72"/>
      <c r="F992" s="72"/>
      <c r="G992" s="72"/>
      <c r="H992" s="72"/>
      <c r="P992" s="72"/>
      <c r="Q992" s="72"/>
      <c r="R992" s="72"/>
      <c r="S992" s="72"/>
      <c r="T992" s="72"/>
      <c r="U992" s="72"/>
      <c r="V992" s="72"/>
      <c r="W992" s="72"/>
      <c r="X992" s="72"/>
      <c r="Y992" s="72"/>
      <c r="Z992" s="72"/>
      <c r="AA992" s="72"/>
      <c r="AF992" s="72"/>
      <c r="AG992" s="72"/>
      <c r="AH992" s="72"/>
    </row>
    <row r="993" spans="2:34">
      <c r="B993" s="72" t="s">
        <v>1498</v>
      </c>
      <c r="C993" s="72"/>
      <c r="D993" s="72"/>
      <c r="F993" s="72"/>
      <c r="G993" s="72"/>
      <c r="H993" s="72"/>
      <c r="P993" s="72"/>
      <c r="Q993" s="72"/>
      <c r="R993" s="72"/>
      <c r="S993" s="72"/>
      <c r="T993" s="72"/>
      <c r="U993" s="72"/>
      <c r="V993" s="72"/>
      <c r="W993" s="72"/>
      <c r="X993" s="72"/>
      <c r="Y993" s="72"/>
      <c r="Z993" s="72"/>
      <c r="AA993" s="72"/>
      <c r="AF993" s="72"/>
      <c r="AG993" s="72"/>
      <c r="AH993" s="72"/>
    </row>
    <row r="994" spans="2:34">
      <c r="B994" s="72" t="s">
        <v>1497</v>
      </c>
      <c r="C994" s="72"/>
      <c r="D994" s="72"/>
      <c r="F994" s="72"/>
      <c r="G994" s="72"/>
      <c r="H994" s="72"/>
      <c r="P994" s="72"/>
      <c r="Q994" s="72"/>
      <c r="R994" s="72"/>
      <c r="S994" s="72"/>
      <c r="T994" s="72"/>
      <c r="U994" s="72"/>
      <c r="V994" s="72"/>
      <c r="W994" s="72"/>
      <c r="X994" s="72"/>
      <c r="Y994" s="72"/>
      <c r="Z994" s="72"/>
      <c r="AA994" s="72"/>
      <c r="AF994" s="72"/>
      <c r="AG994" s="72"/>
      <c r="AH994" s="72"/>
    </row>
    <row r="995" spans="2:34">
      <c r="B995" s="72" t="s">
        <v>1496</v>
      </c>
      <c r="C995" s="72"/>
      <c r="D995" s="72"/>
      <c r="F995" s="72"/>
      <c r="G995" s="72"/>
      <c r="H995" s="72"/>
      <c r="P995" s="72"/>
      <c r="Q995" s="72"/>
      <c r="R995" s="72"/>
      <c r="S995" s="72"/>
      <c r="T995" s="72"/>
      <c r="U995" s="72"/>
      <c r="V995" s="72"/>
      <c r="W995" s="72"/>
      <c r="X995" s="72"/>
      <c r="Y995" s="72"/>
      <c r="Z995" s="72"/>
      <c r="AA995" s="72"/>
      <c r="AF995" s="72"/>
      <c r="AG995" s="72"/>
      <c r="AH995" s="72"/>
    </row>
    <row r="996" spans="2:34">
      <c r="B996" s="72" t="s">
        <v>1495</v>
      </c>
      <c r="C996" s="72"/>
      <c r="D996" s="72"/>
      <c r="F996" s="72"/>
      <c r="G996" s="72"/>
      <c r="H996" s="72"/>
      <c r="P996" s="72"/>
      <c r="Q996" s="72"/>
      <c r="R996" s="72"/>
      <c r="S996" s="72"/>
      <c r="T996" s="72"/>
      <c r="U996" s="72"/>
      <c r="V996" s="72"/>
      <c r="W996" s="72"/>
      <c r="X996" s="72"/>
      <c r="Y996" s="72"/>
      <c r="Z996" s="72"/>
      <c r="AA996" s="72"/>
      <c r="AF996" s="72"/>
      <c r="AG996" s="72"/>
      <c r="AH996" s="72"/>
    </row>
    <row r="997" spans="2:34">
      <c r="B997" s="72" t="s">
        <v>1494</v>
      </c>
      <c r="C997" s="72"/>
      <c r="D997" s="72"/>
      <c r="F997" s="72"/>
      <c r="G997" s="72"/>
      <c r="H997" s="72"/>
      <c r="P997" s="72"/>
      <c r="Q997" s="72"/>
      <c r="R997" s="72"/>
      <c r="S997" s="72"/>
      <c r="T997" s="72"/>
      <c r="U997" s="72"/>
      <c r="V997" s="72"/>
      <c r="W997" s="72"/>
      <c r="X997" s="72"/>
      <c r="Y997" s="72"/>
      <c r="Z997" s="72"/>
      <c r="AA997" s="72"/>
      <c r="AF997" s="72"/>
      <c r="AG997" s="72"/>
      <c r="AH997" s="72"/>
    </row>
    <row r="998" spans="2:34">
      <c r="B998" s="72" t="s">
        <v>1493</v>
      </c>
      <c r="C998" s="72"/>
      <c r="D998" s="72"/>
      <c r="F998" s="72"/>
      <c r="G998" s="72"/>
      <c r="H998" s="72"/>
      <c r="P998" s="72"/>
      <c r="Q998" s="72"/>
      <c r="R998" s="72"/>
      <c r="S998" s="72"/>
      <c r="T998" s="72"/>
      <c r="U998" s="72"/>
      <c r="V998" s="72"/>
      <c r="W998" s="72"/>
      <c r="X998" s="72"/>
      <c r="Y998" s="72"/>
      <c r="Z998" s="72"/>
      <c r="AA998" s="72"/>
      <c r="AF998" s="72"/>
      <c r="AG998" s="72"/>
      <c r="AH998" s="72"/>
    </row>
    <row r="999" spans="2:34">
      <c r="B999" s="72" t="s">
        <v>1492</v>
      </c>
      <c r="C999" s="72"/>
      <c r="D999" s="72"/>
      <c r="F999" s="72"/>
      <c r="G999" s="72"/>
      <c r="H999" s="72"/>
      <c r="P999" s="72"/>
      <c r="Q999" s="72"/>
      <c r="R999" s="72"/>
      <c r="S999" s="72"/>
      <c r="T999" s="72"/>
      <c r="U999" s="72"/>
      <c r="V999" s="72"/>
      <c r="W999" s="72"/>
      <c r="X999" s="72"/>
      <c r="Y999" s="72"/>
      <c r="Z999" s="72"/>
      <c r="AA999" s="72"/>
      <c r="AF999" s="72"/>
      <c r="AG999" s="72"/>
      <c r="AH999" s="72"/>
    </row>
    <row r="1000" spans="2:34">
      <c r="B1000" s="72" t="s">
        <v>1491</v>
      </c>
      <c r="C1000" s="72"/>
      <c r="D1000" s="72"/>
      <c r="F1000" s="72"/>
      <c r="G1000" s="72"/>
      <c r="H1000" s="72"/>
      <c r="P1000" s="72"/>
      <c r="Q1000" s="72"/>
      <c r="R1000" s="72"/>
      <c r="S1000" s="72"/>
      <c r="T1000" s="72"/>
      <c r="U1000" s="72"/>
      <c r="V1000" s="72"/>
      <c r="W1000" s="72"/>
      <c r="X1000" s="72"/>
      <c r="Y1000" s="72"/>
      <c r="Z1000" s="72"/>
      <c r="AA1000" s="72"/>
      <c r="AF1000" s="72"/>
      <c r="AG1000" s="72"/>
      <c r="AH1000" s="72"/>
    </row>
    <row r="1001" spans="2:34">
      <c r="B1001" s="72" t="s">
        <v>1490</v>
      </c>
      <c r="C1001" s="72"/>
      <c r="D1001" s="72"/>
      <c r="F1001" s="72"/>
      <c r="G1001" s="72"/>
      <c r="H1001" s="72"/>
      <c r="P1001" s="72"/>
      <c r="Q1001" s="72"/>
      <c r="R1001" s="72"/>
      <c r="S1001" s="72"/>
      <c r="T1001" s="72"/>
      <c r="U1001" s="72"/>
      <c r="V1001" s="72"/>
      <c r="W1001" s="72"/>
      <c r="X1001" s="72"/>
      <c r="Y1001" s="72"/>
      <c r="Z1001" s="72"/>
      <c r="AA1001" s="72"/>
      <c r="AF1001" s="72"/>
      <c r="AG1001" s="72"/>
      <c r="AH1001" s="72"/>
    </row>
    <row r="1002" spans="2:34">
      <c r="B1002" s="72" t="s">
        <v>1489</v>
      </c>
      <c r="C1002" s="72"/>
      <c r="D1002" s="72"/>
      <c r="F1002" s="72"/>
      <c r="G1002" s="72"/>
      <c r="H1002" s="72"/>
      <c r="P1002" s="72"/>
      <c r="Q1002" s="72"/>
      <c r="R1002" s="72"/>
      <c r="S1002" s="72"/>
      <c r="T1002" s="72"/>
      <c r="U1002" s="72"/>
      <c r="V1002" s="72"/>
      <c r="W1002" s="72"/>
      <c r="X1002" s="72"/>
      <c r="Y1002" s="72"/>
      <c r="Z1002" s="72"/>
      <c r="AA1002" s="72"/>
      <c r="AF1002" s="72"/>
      <c r="AG1002" s="72"/>
      <c r="AH1002" s="72"/>
    </row>
    <row r="1003" spans="2:34">
      <c r="B1003" s="72" t="s">
        <v>1488</v>
      </c>
      <c r="C1003" s="72"/>
      <c r="D1003" s="72"/>
      <c r="F1003" s="72"/>
      <c r="G1003" s="72"/>
      <c r="H1003" s="72"/>
      <c r="P1003" s="72"/>
      <c r="Q1003" s="72"/>
      <c r="R1003" s="72"/>
      <c r="S1003" s="72"/>
      <c r="T1003" s="72"/>
      <c r="U1003" s="72"/>
      <c r="V1003" s="72"/>
      <c r="W1003" s="72"/>
      <c r="X1003" s="72"/>
      <c r="Y1003" s="72"/>
      <c r="Z1003" s="72"/>
      <c r="AA1003" s="72"/>
      <c r="AF1003" s="72"/>
      <c r="AG1003" s="72"/>
      <c r="AH1003" s="72"/>
    </row>
    <row r="1004" spans="2:34">
      <c r="B1004" s="72" t="s">
        <v>1487</v>
      </c>
      <c r="C1004" s="72"/>
      <c r="D1004" s="72"/>
      <c r="F1004" s="72"/>
      <c r="G1004" s="72"/>
      <c r="H1004" s="72"/>
      <c r="P1004" s="72"/>
      <c r="Q1004" s="72"/>
      <c r="R1004" s="72"/>
      <c r="S1004" s="72"/>
      <c r="T1004" s="72"/>
      <c r="U1004" s="72"/>
      <c r="V1004" s="72"/>
      <c r="W1004" s="72"/>
      <c r="X1004" s="72"/>
      <c r="Y1004" s="72"/>
      <c r="Z1004" s="72"/>
      <c r="AA1004" s="72"/>
      <c r="AF1004" s="72"/>
      <c r="AG1004" s="72"/>
      <c r="AH1004" s="72"/>
    </row>
    <row r="1005" spans="2:34">
      <c r="B1005" s="72" t="s">
        <v>1486</v>
      </c>
      <c r="C1005" s="72"/>
      <c r="D1005" s="72"/>
      <c r="F1005" s="72"/>
      <c r="G1005" s="72"/>
      <c r="H1005" s="72"/>
      <c r="P1005" s="72"/>
      <c r="Q1005" s="72"/>
      <c r="R1005" s="72"/>
      <c r="S1005" s="72"/>
      <c r="T1005" s="72"/>
      <c r="U1005" s="72"/>
      <c r="V1005" s="72"/>
      <c r="W1005" s="72"/>
      <c r="X1005" s="72"/>
      <c r="Y1005" s="72"/>
      <c r="Z1005" s="72"/>
      <c r="AA1005" s="72"/>
      <c r="AF1005" s="72"/>
      <c r="AG1005" s="72"/>
      <c r="AH1005" s="72"/>
    </row>
    <row r="1006" spans="2:34">
      <c r="B1006" s="72" t="s">
        <v>1485</v>
      </c>
      <c r="C1006" s="72"/>
      <c r="D1006" s="72"/>
      <c r="F1006" s="72"/>
      <c r="G1006" s="72"/>
      <c r="H1006" s="72"/>
      <c r="P1006" s="72"/>
      <c r="Q1006" s="72"/>
      <c r="R1006" s="72"/>
      <c r="S1006" s="72"/>
      <c r="T1006" s="72"/>
      <c r="U1006" s="72"/>
      <c r="V1006" s="72"/>
      <c r="W1006" s="72"/>
      <c r="X1006" s="72"/>
      <c r="Y1006" s="72"/>
      <c r="Z1006" s="72"/>
      <c r="AA1006" s="72"/>
      <c r="AF1006" s="72"/>
      <c r="AG1006" s="72"/>
      <c r="AH1006" s="72"/>
    </row>
    <row r="1007" spans="2:34">
      <c r="B1007" s="72" t="s">
        <v>1484</v>
      </c>
      <c r="C1007" s="72"/>
      <c r="D1007" s="72"/>
      <c r="F1007" s="72"/>
      <c r="G1007" s="72"/>
      <c r="H1007" s="72"/>
      <c r="P1007" s="72"/>
      <c r="Q1007" s="72"/>
      <c r="R1007" s="72"/>
      <c r="S1007" s="72"/>
      <c r="T1007" s="72"/>
      <c r="U1007" s="72"/>
      <c r="V1007" s="72"/>
      <c r="W1007" s="72"/>
      <c r="X1007" s="72"/>
      <c r="Y1007" s="72"/>
      <c r="Z1007" s="72"/>
      <c r="AA1007" s="72"/>
      <c r="AF1007" s="72"/>
      <c r="AG1007" s="72"/>
      <c r="AH1007" s="72"/>
    </row>
    <row r="1008" spans="2:34">
      <c r="B1008" s="72" t="s">
        <v>1483</v>
      </c>
      <c r="C1008" s="72"/>
      <c r="D1008" s="72"/>
      <c r="F1008" s="72"/>
      <c r="G1008" s="72"/>
      <c r="H1008" s="72"/>
      <c r="P1008" s="72"/>
      <c r="Q1008" s="72"/>
      <c r="R1008" s="72"/>
      <c r="S1008" s="72"/>
      <c r="T1008" s="72"/>
      <c r="U1008" s="72"/>
      <c r="V1008" s="72"/>
      <c r="W1008" s="72"/>
      <c r="X1008" s="72"/>
      <c r="Y1008" s="72"/>
      <c r="Z1008" s="72"/>
      <c r="AA1008" s="72"/>
      <c r="AF1008" s="72"/>
      <c r="AG1008" s="72"/>
      <c r="AH1008" s="72"/>
    </row>
    <row r="1009" spans="2:34">
      <c r="B1009" s="72" t="s">
        <v>1482</v>
      </c>
      <c r="C1009" s="72"/>
      <c r="D1009" s="72"/>
      <c r="F1009" s="72"/>
      <c r="G1009" s="72"/>
      <c r="H1009" s="72"/>
      <c r="P1009" s="72"/>
      <c r="Q1009" s="72"/>
      <c r="R1009" s="72"/>
      <c r="S1009" s="72"/>
      <c r="T1009" s="72"/>
      <c r="U1009" s="72"/>
      <c r="V1009" s="72"/>
      <c r="W1009" s="72"/>
      <c r="X1009" s="72"/>
      <c r="Y1009" s="72"/>
      <c r="Z1009" s="72"/>
      <c r="AA1009" s="72"/>
      <c r="AF1009" s="72"/>
      <c r="AG1009" s="72"/>
      <c r="AH1009" s="72"/>
    </row>
    <row r="1010" spans="2:34">
      <c r="B1010" s="72" t="s">
        <v>1481</v>
      </c>
      <c r="C1010" s="72"/>
      <c r="D1010" s="72"/>
      <c r="F1010" s="72"/>
      <c r="G1010" s="72"/>
      <c r="H1010" s="72"/>
      <c r="P1010" s="72"/>
      <c r="Q1010" s="72"/>
      <c r="R1010" s="72"/>
      <c r="S1010" s="72"/>
      <c r="T1010" s="72"/>
      <c r="U1010" s="72"/>
      <c r="V1010" s="72"/>
      <c r="W1010" s="72"/>
      <c r="X1010" s="72"/>
      <c r="Y1010" s="72"/>
      <c r="Z1010" s="72"/>
      <c r="AA1010" s="72"/>
      <c r="AF1010" s="72"/>
      <c r="AG1010" s="72"/>
      <c r="AH1010" s="72"/>
    </row>
    <row r="1011" spans="2:34">
      <c r="B1011" s="72" t="s">
        <v>1480</v>
      </c>
      <c r="C1011" s="72"/>
      <c r="D1011" s="72"/>
      <c r="F1011" s="72"/>
      <c r="G1011" s="72"/>
      <c r="H1011" s="72"/>
      <c r="P1011" s="72"/>
      <c r="Q1011" s="72"/>
      <c r="R1011" s="72"/>
      <c r="S1011" s="72"/>
      <c r="T1011" s="72"/>
      <c r="U1011" s="72"/>
      <c r="V1011" s="72"/>
      <c r="W1011" s="72"/>
      <c r="X1011" s="72"/>
      <c r="Y1011" s="72"/>
      <c r="Z1011" s="72"/>
      <c r="AA1011" s="72"/>
      <c r="AF1011" s="72"/>
      <c r="AG1011" s="72"/>
      <c r="AH1011" s="72"/>
    </row>
    <row r="1012" spans="2:34">
      <c r="B1012" s="72" t="s">
        <v>1479</v>
      </c>
      <c r="C1012" s="72"/>
      <c r="D1012" s="72"/>
      <c r="F1012" s="72"/>
      <c r="G1012" s="72"/>
      <c r="H1012" s="72"/>
      <c r="P1012" s="72"/>
      <c r="Q1012" s="72"/>
      <c r="R1012" s="72"/>
      <c r="S1012" s="72"/>
      <c r="T1012" s="72"/>
      <c r="U1012" s="72"/>
      <c r="V1012" s="72"/>
      <c r="W1012" s="72"/>
      <c r="X1012" s="72"/>
      <c r="Y1012" s="72"/>
      <c r="Z1012" s="72"/>
      <c r="AA1012" s="72"/>
      <c r="AF1012" s="72"/>
      <c r="AG1012" s="72"/>
      <c r="AH1012" s="72"/>
    </row>
    <row r="1013" spans="2:34">
      <c r="B1013" s="72" t="s">
        <v>1478</v>
      </c>
      <c r="C1013" s="72"/>
      <c r="D1013" s="72"/>
      <c r="F1013" s="72"/>
      <c r="G1013" s="72"/>
      <c r="H1013" s="72"/>
      <c r="P1013" s="72"/>
      <c r="Q1013" s="72"/>
      <c r="R1013" s="72"/>
      <c r="S1013" s="72"/>
      <c r="T1013" s="72"/>
      <c r="U1013" s="72"/>
      <c r="V1013" s="72"/>
      <c r="W1013" s="72"/>
      <c r="X1013" s="72"/>
      <c r="Y1013" s="72"/>
      <c r="Z1013" s="72"/>
      <c r="AA1013" s="72"/>
      <c r="AF1013" s="72"/>
      <c r="AG1013" s="72"/>
      <c r="AH1013" s="72"/>
    </row>
    <row r="1014" spans="2:34">
      <c r="B1014" s="72" t="s">
        <v>1477</v>
      </c>
    </row>
    <row r="1015" spans="2:34">
      <c r="B1015" s="72" t="s">
        <v>1476</v>
      </c>
    </row>
    <row r="1016" spans="2:34">
      <c r="B1016" s="72" t="s">
        <v>1475</v>
      </c>
    </row>
    <row r="1017" spans="2:34">
      <c r="B1017" s="72" t="s">
        <v>1474</v>
      </c>
    </row>
    <row r="1018" spans="2:34">
      <c r="B1018" s="72" t="s">
        <v>1473</v>
      </c>
    </row>
    <row r="1019" spans="2:34">
      <c r="B1019" s="72" t="s">
        <v>1472</v>
      </c>
    </row>
    <row r="1020" spans="2:34">
      <c r="B1020" s="72" t="s">
        <v>1471</v>
      </c>
    </row>
    <row r="1021" spans="2:34">
      <c r="B1021" s="72" t="s">
        <v>1470</v>
      </c>
    </row>
    <row r="1022" spans="2:34">
      <c r="B1022" s="72" t="s">
        <v>1469</v>
      </c>
      <c r="AE1022" s="25" t="s">
        <v>4295</v>
      </c>
      <c r="AF1022" s="64"/>
      <c r="AG1022" s="59"/>
      <c r="AH1022" s="59"/>
    </row>
    <row r="1023" spans="2:34">
      <c r="B1023" s="72" t="s">
        <v>1468</v>
      </c>
    </row>
    <row r="1024" spans="2:34">
      <c r="B1024" s="72" t="s">
        <v>1467</v>
      </c>
    </row>
    <row r="1025" spans="2:34">
      <c r="B1025" s="72" t="s">
        <v>1466</v>
      </c>
    </row>
    <row r="1026" spans="2:34">
      <c r="B1026" s="72" t="s">
        <v>1465</v>
      </c>
    </row>
    <row r="1027" spans="2:34">
      <c r="B1027" s="72" t="s">
        <v>1464</v>
      </c>
    </row>
    <row r="1028" spans="2:34">
      <c r="B1028" s="72" t="s">
        <v>1463</v>
      </c>
    </row>
    <row r="1029" spans="2:34">
      <c r="B1029" s="72" t="s">
        <v>1462</v>
      </c>
    </row>
    <row r="1030" spans="2:34">
      <c r="B1030" s="72" t="s">
        <v>1461</v>
      </c>
      <c r="AF1030" s="72"/>
      <c r="AG1030" s="72"/>
      <c r="AH1030" s="72"/>
    </row>
    <row r="1031" spans="2:34">
      <c r="B1031" s="72" t="s">
        <v>1460</v>
      </c>
      <c r="AE1031" s="89"/>
      <c r="AF1031" s="72"/>
      <c r="AG1031" s="72"/>
      <c r="AH1031" s="72"/>
    </row>
    <row r="1032" spans="2:34">
      <c r="B1032" s="72" t="s">
        <v>1459</v>
      </c>
      <c r="AF1032" s="72"/>
      <c r="AG1032" s="72"/>
      <c r="AH1032" s="72"/>
    </row>
    <row r="1033" spans="2:34">
      <c r="B1033" s="72" t="s">
        <v>1458</v>
      </c>
      <c r="AF1033" s="72"/>
      <c r="AG1033" s="72"/>
      <c r="AH1033" s="72"/>
    </row>
    <row r="1034" spans="2:34">
      <c r="B1034" s="72" t="s">
        <v>1457</v>
      </c>
      <c r="AF1034" s="72"/>
      <c r="AG1034" s="72"/>
      <c r="AH1034" s="72"/>
    </row>
    <row r="1035" spans="2:34">
      <c r="B1035" s="72" t="s">
        <v>1456</v>
      </c>
      <c r="AF1035" s="72"/>
      <c r="AG1035" s="72"/>
      <c r="AH1035" s="72"/>
    </row>
    <row r="1036" spans="2:34">
      <c r="B1036" s="72" t="s">
        <v>1455</v>
      </c>
      <c r="AF1036" s="72"/>
      <c r="AG1036" s="72"/>
      <c r="AH1036" s="72"/>
    </row>
    <row r="1037" spans="2:34">
      <c r="B1037" s="72" t="s">
        <v>1454</v>
      </c>
      <c r="AF1037" s="72"/>
      <c r="AG1037" s="72"/>
      <c r="AH1037" s="72"/>
    </row>
    <row r="1038" spans="2:34">
      <c r="B1038" s="72" t="s">
        <v>1453</v>
      </c>
      <c r="AF1038" s="72"/>
      <c r="AG1038" s="72"/>
      <c r="AH1038" s="72"/>
    </row>
    <row r="1039" spans="2:34">
      <c r="B1039" s="72" t="s">
        <v>1452</v>
      </c>
      <c r="AF1039" s="72"/>
      <c r="AG1039" s="72"/>
      <c r="AH1039" s="72"/>
    </row>
    <row r="1040" spans="2:34">
      <c r="B1040" s="72" t="s">
        <v>1451</v>
      </c>
      <c r="AF1040" s="72"/>
      <c r="AG1040" s="72"/>
      <c r="AH1040" s="72"/>
    </row>
    <row r="1041" spans="2:34">
      <c r="B1041" s="72" t="s">
        <v>1450</v>
      </c>
      <c r="C1041" s="73" t="s">
        <v>2138</v>
      </c>
      <c r="AF1041" s="72"/>
      <c r="AG1041" s="72"/>
      <c r="AH1041" s="72"/>
    </row>
    <row r="1042" spans="2:34">
      <c r="B1042" s="72" t="s">
        <v>1449</v>
      </c>
      <c r="AF1042" s="72"/>
      <c r="AG1042" s="72"/>
      <c r="AH1042" s="72"/>
    </row>
    <row r="1043" spans="2:34">
      <c r="B1043" s="72" t="s">
        <v>1448</v>
      </c>
      <c r="AF1043" s="72"/>
      <c r="AG1043" s="72"/>
      <c r="AH1043" s="72"/>
    </row>
    <row r="1044" spans="2:34">
      <c r="B1044" s="72" t="s">
        <v>1447</v>
      </c>
      <c r="AF1044" s="72"/>
      <c r="AG1044" s="72"/>
      <c r="AH1044" s="72"/>
    </row>
    <row r="1045" spans="2:34">
      <c r="B1045" s="72" t="s">
        <v>1446</v>
      </c>
      <c r="AF1045" s="72"/>
      <c r="AG1045" s="72"/>
      <c r="AH1045" s="72"/>
    </row>
    <row r="1046" spans="2:34">
      <c r="B1046" s="72" t="s">
        <v>1445</v>
      </c>
      <c r="C1046" s="72"/>
      <c r="D1046" s="72"/>
      <c r="F1046" s="72"/>
      <c r="G1046" s="72"/>
      <c r="H1046" s="72"/>
      <c r="P1046" s="72"/>
      <c r="Q1046" s="72"/>
      <c r="R1046" s="72"/>
      <c r="S1046" s="72"/>
      <c r="T1046" s="72"/>
      <c r="U1046" s="72"/>
      <c r="V1046" s="72"/>
      <c r="W1046" s="72"/>
      <c r="X1046" s="72"/>
      <c r="Y1046" s="72"/>
      <c r="Z1046" s="72"/>
      <c r="AA1046" s="72"/>
      <c r="AF1046" s="72"/>
      <c r="AG1046" s="72"/>
      <c r="AH1046" s="72"/>
    </row>
    <row r="1047" spans="2:34">
      <c r="B1047" s="72" t="s">
        <v>1444</v>
      </c>
      <c r="C1047" s="72"/>
      <c r="D1047" s="72"/>
      <c r="F1047" s="72"/>
      <c r="G1047" s="72"/>
      <c r="H1047" s="72"/>
      <c r="P1047" s="72"/>
      <c r="Q1047" s="72"/>
      <c r="R1047" s="72"/>
      <c r="S1047" s="72"/>
      <c r="T1047" s="72"/>
      <c r="U1047" s="72"/>
      <c r="V1047" s="72"/>
      <c r="W1047" s="72"/>
      <c r="X1047" s="72"/>
      <c r="Y1047" s="72"/>
      <c r="Z1047" s="72"/>
      <c r="AA1047" s="72"/>
      <c r="AF1047" s="72"/>
      <c r="AG1047" s="72"/>
      <c r="AH1047" s="72"/>
    </row>
    <row r="1048" spans="2:34">
      <c r="B1048" s="72" t="s">
        <v>1443</v>
      </c>
      <c r="C1048" s="72"/>
      <c r="D1048" s="72"/>
      <c r="F1048" s="72"/>
      <c r="G1048" s="72"/>
      <c r="H1048" s="72"/>
      <c r="P1048" s="72"/>
      <c r="Q1048" s="72"/>
      <c r="R1048" s="72"/>
      <c r="S1048" s="72"/>
      <c r="T1048" s="72"/>
      <c r="U1048" s="72"/>
      <c r="V1048" s="72"/>
      <c r="W1048" s="72"/>
      <c r="X1048" s="72"/>
      <c r="Y1048" s="72"/>
      <c r="Z1048" s="72"/>
      <c r="AA1048" s="72"/>
      <c r="AF1048" s="72"/>
      <c r="AG1048" s="72"/>
      <c r="AH1048" s="72"/>
    </row>
    <row r="1049" spans="2:34">
      <c r="B1049" s="72" t="s">
        <v>1442</v>
      </c>
      <c r="C1049" s="72"/>
      <c r="D1049" s="72"/>
      <c r="F1049" s="72"/>
      <c r="G1049" s="72"/>
      <c r="H1049" s="72"/>
      <c r="P1049" s="72"/>
      <c r="Q1049" s="72"/>
      <c r="R1049" s="72"/>
      <c r="S1049" s="72"/>
      <c r="T1049" s="72"/>
      <c r="U1049" s="72"/>
      <c r="V1049" s="72"/>
      <c r="W1049" s="72"/>
      <c r="X1049" s="72"/>
      <c r="Y1049" s="72"/>
      <c r="Z1049" s="72"/>
      <c r="AA1049" s="72"/>
      <c r="AF1049" s="72"/>
      <c r="AG1049" s="72"/>
      <c r="AH1049" s="72"/>
    </row>
    <row r="1050" spans="2:34">
      <c r="B1050" s="72" t="s">
        <v>1441</v>
      </c>
      <c r="C1050" s="72"/>
      <c r="D1050" s="72"/>
      <c r="F1050" s="72"/>
      <c r="G1050" s="72"/>
      <c r="H1050" s="72"/>
      <c r="P1050" s="72"/>
      <c r="Q1050" s="72"/>
      <c r="R1050" s="72"/>
      <c r="S1050" s="72"/>
      <c r="T1050" s="72"/>
      <c r="U1050" s="72"/>
      <c r="V1050" s="72"/>
      <c r="W1050" s="72"/>
      <c r="X1050" s="72"/>
      <c r="Y1050" s="72"/>
      <c r="Z1050" s="72"/>
      <c r="AA1050" s="72"/>
      <c r="AF1050" s="72"/>
      <c r="AG1050" s="72"/>
      <c r="AH1050" s="72"/>
    </row>
    <row r="1051" spans="2:34">
      <c r="B1051" s="72" t="s">
        <v>1440</v>
      </c>
      <c r="C1051" s="72"/>
      <c r="D1051" s="72"/>
      <c r="F1051" s="72"/>
      <c r="G1051" s="72"/>
      <c r="H1051" s="72"/>
      <c r="P1051" s="72"/>
      <c r="Q1051" s="72"/>
      <c r="R1051" s="72"/>
      <c r="S1051" s="72"/>
      <c r="T1051" s="72"/>
      <c r="U1051" s="72"/>
      <c r="V1051" s="72"/>
      <c r="W1051" s="72"/>
      <c r="X1051" s="72"/>
      <c r="Y1051" s="72"/>
      <c r="Z1051" s="72"/>
      <c r="AA1051" s="72"/>
      <c r="AF1051" s="72"/>
      <c r="AG1051" s="72"/>
      <c r="AH1051" s="72"/>
    </row>
    <row r="1052" spans="2:34">
      <c r="B1052" s="72" t="s">
        <v>1439</v>
      </c>
      <c r="C1052" s="72"/>
      <c r="D1052" s="72"/>
      <c r="F1052" s="72"/>
      <c r="G1052" s="72"/>
      <c r="H1052" s="72"/>
      <c r="P1052" s="72"/>
      <c r="Q1052" s="72"/>
      <c r="R1052" s="72"/>
      <c r="S1052" s="72"/>
      <c r="T1052" s="72"/>
      <c r="U1052" s="72"/>
      <c r="V1052" s="72"/>
      <c r="W1052" s="72"/>
      <c r="X1052" s="72"/>
      <c r="Y1052" s="72"/>
      <c r="Z1052" s="72"/>
      <c r="AA1052" s="72"/>
      <c r="AF1052" s="72"/>
      <c r="AG1052" s="72"/>
      <c r="AH1052" s="72"/>
    </row>
    <row r="1053" spans="2:34">
      <c r="B1053" s="72" t="s">
        <v>1438</v>
      </c>
      <c r="C1053" s="72"/>
      <c r="D1053" s="72"/>
      <c r="F1053" s="72"/>
      <c r="G1053" s="72"/>
      <c r="H1053" s="72"/>
      <c r="P1053" s="72"/>
      <c r="Q1053" s="72"/>
      <c r="R1053" s="72"/>
      <c r="S1053" s="72"/>
      <c r="T1053" s="72"/>
      <c r="U1053" s="72"/>
      <c r="V1053" s="72"/>
      <c r="W1053" s="72"/>
      <c r="X1053" s="72"/>
      <c r="Y1053" s="72"/>
      <c r="Z1053" s="72"/>
      <c r="AA1053" s="72"/>
      <c r="AF1053" s="72"/>
      <c r="AG1053" s="72"/>
      <c r="AH1053" s="72"/>
    </row>
    <row r="1054" spans="2:34">
      <c r="B1054" s="72" t="s">
        <v>1437</v>
      </c>
      <c r="C1054" s="72"/>
      <c r="D1054" s="72"/>
      <c r="F1054" s="72"/>
      <c r="G1054" s="72"/>
      <c r="H1054" s="72"/>
      <c r="P1054" s="72"/>
      <c r="Q1054" s="72"/>
      <c r="R1054" s="72"/>
      <c r="S1054" s="72"/>
      <c r="T1054" s="72"/>
      <c r="U1054" s="72"/>
      <c r="V1054" s="72"/>
      <c r="W1054" s="72"/>
      <c r="X1054" s="72"/>
      <c r="Y1054" s="72"/>
      <c r="Z1054" s="72"/>
      <c r="AA1054" s="72"/>
      <c r="AF1054" s="72"/>
      <c r="AG1054" s="72"/>
      <c r="AH1054" s="72"/>
    </row>
    <row r="1055" spans="2:34">
      <c r="B1055" s="72" t="s">
        <v>490</v>
      </c>
      <c r="C1055" s="72"/>
      <c r="D1055" s="72"/>
      <c r="F1055" s="72"/>
      <c r="G1055" s="72"/>
      <c r="H1055" s="72"/>
      <c r="P1055" s="72"/>
      <c r="Q1055" s="72"/>
      <c r="R1055" s="72"/>
      <c r="S1055" s="72"/>
      <c r="T1055" s="72"/>
      <c r="U1055" s="72"/>
      <c r="V1055" s="72"/>
      <c r="W1055" s="72"/>
      <c r="X1055" s="72"/>
      <c r="Y1055" s="72"/>
      <c r="Z1055" s="72"/>
      <c r="AA1055" s="72"/>
      <c r="AF1055" s="72"/>
      <c r="AG1055" s="72"/>
      <c r="AH1055" s="72"/>
    </row>
    <row r="1056" spans="2:34">
      <c r="B1056" s="72" t="s">
        <v>1436</v>
      </c>
      <c r="C1056" s="72"/>
      <c r="D1056" s="72"/>
      <c r="F1056" s="72"/>
      <c r="G1056" s="72"/>
      <c r="H1056" s="72"/>
      <c r="P1056" s="72"/>
      <c r="Q1056" s="72"/>
      <c r="R1056" s="72"/>
      <c r="S1056" s="72"/>
      <c r="T1056" s="72"/>
      <c r="U1056" s="72"/>
      <c r="V1056" s="72"/>
      <c r="W1056" s="72"/>
      <c r="X1056" s="72"/>
      <c r="Y1056" s="72"/>
      <c r="Z1056" s="72"/>
      <c r="AA1056" s="72"/>
      <c r="AF1056" s="72"/>
      <c r="AG1056" s="72"/>
      <c r="AH1056" s="72"/>
    </row>
    <row r="1057" spans="2:34">
      <c r="B1057" s="72" t="s">
        <v>1435</v>
      </c>
      <c r="C1057" s="72"/>
      <c r="D1057" s="72"/>
      <c r="F1057" s="72"/>
      <c r="G1057" s="72"/>
      <c r="H1057" s="72"/>
      <c r="P1057" s="72"/>
      <c r="Q1057" s="72"/>
      <c r="R1057" s="72"/>
      <c r="S1057" s="72"/>
      <c r="T1057" s="72"/>
      <c r="U1057" s="72"/>
      <c r="V1057" s="72"/>
      <c r="W1057" s="72"/>
      <c r="X1057" s="72"/>
      <c r="Y1057" s="72"/>
      <c r="Z1057" s="72"/>
      <c r="AA1057" s="72"/>
      <c r="AF1057" s="72"/>
      <c r="AG1057" s="72"/>
      <c r="AH1057" s="72"/>
    </row>
    <row r="1058" spans="2:34">
      <c r="B1058" s="72" t="s">
        <v>1434</v>
      </c>
      <c r="C1058" s="72"/>
      <c r="D1058" s="72"/>
      <c r="F1058" s="72"/>
      <c r="G1058" s="72"/>
      <c r="H1058" s="72"/>
      <c r="P1058" s="72"/>
      <c r="Q1058" s="72"/>
      <c r="R1058" s="72"/>
      <c r="S1058" s="72"/>
      <c r="T1058" s="72"/>
      <c r="U1058" s="72"/>
      <c r="V1058" s="72"/>
      <c r="W1058" s="72"/>
      <c r="X1058" s="72"/>
      <c r="Y1058" s="72"/>
      <c r="Z1058" s="72"/>
      <c r="AA1058" s="72"/>
      <c r="AF1058" s="72"/>
      <c r="AG1058" s="72"/>
      <c r="AH1058" s="72"/>
    </row>
    <row r="1059" spans="2:34">
      <c r="B1059" s="72" t="s">
        <v>1433</v>
      </c>
      <c r="C1059" s="72"/>
      <c r="D1059" s="72"/>
      <c r="F1059" s="72"/>
      <c r="G1059" s="72"/>
      <c r="H1059" s="72"/>
      <c r="P1059" s="72"/>
      <c r="Q1059" s="72"/>
      <c r="R1059" s="72"/>
      <c r="S1059" s="72"/>
      <c r="T1059" s="72"/>
      <c r="U1059" s="72"/>
      <c r="V1059" s="72"/>
      <c r="W1059" s="72"/>
      <c r="X1059" s="72"/>
      <c r="Y1059" s="72"/>
      <c r="Z1059" s="72"/>
      <c r="AA1059" s="72"/>
      <c r="AF1059" s="72"/>
      <c r="AG1059" s="72"/>
      <c r="AH1059" s="72"/>
    </row>
    <row r="1060" spans="2:34">
      <c r="B1060" s="72" t="s">
        <v>1432</v>
      </c>
      <c r="C1060" s="72"/>
      <c r="D1060" s="72"/>
      <c r="F1060" s="72"/>
      <c r="G1060" s="72"/>
      <c r="H1060" s="72"/>
      <c r="P1060" s="72"/>
      <c r="Q1060" s="72"/>
      <c r="R1060" s="72"/>
      <c r="S1060" s="72"/>
      <c r="T1060" s="72"/>
      <c r="U1060" s="72"/>
      <c r="V1060" s="72"/>
      <c r="W1060" s="72"/>
      <c r="X1060" s="72"/>
      <c r="Y1060" s="72"/>
      <c r="Z1060" s="72"/>
      <c r="AA1060" s="72"/>
      <c r="AF1060" s="72"/>
      <c r="AG1060" s="72"/>
      <c r="AH1060" s="72"/>
    </row>
    <row r="1061" spans="2:34">
      <c r="B1061" s="72" t="s">
        <v>1431</v>
      </c>
      <c r="C1061" s="72"/>
      <c r="D1061" s="72"/>
      <c r="F1061" s="72"/>
      <c r="G1061" s="72"/>
      <c r="H1061" s="72"/>
      <c r="P1061" s="72"/>
      <c r="Q1061" s="72"/>
      <c r="R1061" s="72"/>
      <c r="S1061" s="72"/>
      <c r="T1061" s="72"/>
      <c r="U1061" s="72"/>
      <c r="V1061" s="72"/>
      <c r="W1061" s="72"/>
      <c r="X1061" s="72"/>
      <c r="Y1061" s="72"/>
      <c r="Z1061" s="72"/>
      <c r="AA1061" s="72"/>
      <c r="AF1061" s="72"/>
      <c r="AG1061" s="72"/>
      <c r="AH1061" s="72"/>
    </row>
    <row r="1062" spans="2:34">
      <c r="B1062" s="72" t="s">
        <v>1430</v>
      </c>
      <c r="C1062" s="72"/>
      <c r="D1062" s="72"/>
      <c r="F1062" s="72"/>
      <c r="G1062" s="72"/>
      <c r="H1062" s="72"/>
      <c r="P1062" s="72"/>
      <c r="Q1062" s="72"/>
      <c r="R1062" s="72"/>
      <c r="S1062" s="72"/>
      <c r="T1062" s="72"/>
      <c r="U1062" s="72"/>
      <c r="V1062" s="72"/>
      <c r="W1062" s="72"/>
      <c r="X1062" s="72"/>
      <c r="Y1062" s="72"/>
      <c r="Z1062" s="72"/>
      <c r="AA1062" s="72"/>
      <c r="AF1062" s="72"/>
      <c r="AG1062" s="72"/>
      <c r="AH1062" s="72"/>
    </row>
    <row r="1063" spans="2:34">
      <c r="B1063" s="72" t="s">
        <v>1429</v>
      </c>
      <c r="C1063" s="72"/>
      <c r="D1063" s="72"/>
      <c r="F1063" s="72"/>
      <c r="G1063" s="72"/>
      <c r="H1063" s="72"/>
      <c r="P1063" s="72"/>
      <c r="Q1063" s="72"/>
      <c r="R1063" s="72"/>
      <c r="S1063" s="72"/>
      <c r="T1063" s="72"/>
      <c r="U1063" s="72"/>
      <c r="V1063" s="72"/>
      <c r="W1063" s="72"/>
      <c r="X1063" s="72"/>
      <c r="Y1063" s="72"/>
      <c r="Z1063" s="72"/>
      <c r="AA1063" s="72"/>
      <c r="AF1063" s="72"/>
      <c r="AG1063" s="72"/>
      <c r="AH1063" s="72"/>
    </row>
    <row r="1064" spans="2:34">
      <c r="B1064" s="72" t="s">
        <v>1428</v>
      </c>
      <c r="C1064" s="72"/>
      <c r="D1064" s="72"/>
      <c r="F1064" s="72"/>
      <c r="G1064" s="72"/>
      <c r="H1064" s="72"/>
      <c r="P1064" s="72"/>
      <c r="Q1064" s="72"/>
      <c r="R1064" s="72"/>
      <c r="S1064" s="72"/>
      <c r="T1064" s="72"/>
      <c r="U1064" s="72"/>
      <c r="V1064" s="72"/>
      <c r="W1064" s="72"/>
      <c r="X1064" s="72"/>
      <c r="Y1064" s="72"/>
      <c r="Z1064" s="72"/>
      <c r="AA1064" s="72"/>
      <c r="AF1064" s="72"/>
      <c r="AG1064" s="72"/>
      <c r="AH1064" s="72"/>
    </row>
    <row r="1065" spans="2:34">
      <c r="B1065" s="72" t="s">
        <v>1427</v>
      </c>
      <c r="C1065" s="72"/>
      <c r="D1065" s="72"/>
      <c r="F1065" s="72"/>
      <c r="G1065" s="72"/>
      <c r="H1065" s="72"/>
      <c r="P1065" s="72"/>
      <c r="Q1065" s="72"/>
      <c r="R1065" s="72"/>
      <c r="S1065" s="72"/>
      <c r="T1065" s="72"/>
      <c r="U1065" s="72"/>
      <c r="V1065" s="72"/>
      <c r="W1065" s="72"/>
      <c r="X1065" s="72"/>
      <c r="Y1065" s="72"/>
      <c r="Z1065" s="72"/>
      <c r="AA1065" s="72"/>
      <c r="AF1065" s="72"/>
      <c r="AG1065" s="72"/>
      <c r="AH1065" s="72"/>
    </row>
    <row r="1066" spans="2:34">
      <c r="B1066" s="72" t="s">
        <v>1426</v>
      </c>
      <c r="C1066" s="72"/>
      <c r="D1066" s="72"/>
      <c r="F1066" s="72"/>
      <c r="G1066" s="72"/>
      <c r="H1066" s="72"/>
      <c r="P1066" s="72"/>
      <c r="Q1066" s="72"/>
      <c r="R1066" s="72"/>
      <c r="S1066" s="72"/>
      <c r="T1066" s="72"/>
      <c r="U1066" s="72"/>
      <c r="V1066" s="72"/>
      <c r="W1066" s="72"/>
      <c r="X1066" s="72"/>
      <c r="Y1066" s="72"/>
      <c r="Z1066" s="72"/>
      <c r="AA1066" s="72"/>
      <c r="AF1066" s="72"/>
      <c r="AG1066" s="72"/>
      <c r="AH1066" s="72"/>
    </row>
    <row r="1067" spans="2:34">
      <c r="B1067" s="72" t="s">
        <v>1425</v>
      </c>
      <c r="C1067" s="72"/>
      <c r="D1067" s="72"/>
      <c r="F1067" s="72"/>
      <c r="G1067" s="72"/>
      <c r="H1067" s="72"/>
      <c r="P1067" s="72"/>
      <c r="Q1067" s="72"/>
      <c r="R1067" s="72"/>
      <c r="S1067" s="72"/>
      <c r="T1067" s="72"/>
      <c r="U1067" s="72"/>
      <c r="V1067" s="72"/>
      <c r="W1067" s="72"/>
      <c r="X1067" s="72"/>
      <c r="Y1067" s="72"/>
      <c r="Z1067" s="72"/>
      <c r="AA1067" s="72"/>
      <c r="AF1067" s="72"/>
      <c r="AG1067" s="72"/>
      <c r="AH1067" s="72"/>
    </row>
    <row r="1068" spans="2:34">
      <c r="B1068" s="72" t="s">
        <v>1424</v>
      </c>
      <c r="C1068" s="72"/>
      <c r="D1068" s="72"/>
      <c r="F1068" s="72"/>
      <c r="G1068" s="72"/>
      <c r="H1068" s="72"/>
      <c r="P1068" s="72"/>
      <c r="Q1068" s="72"/>
      <c r="R1068" s="72"/>
      <c r="S1068" s="72"/>
      <c r="T1068" s="72"/>
      <c r="U1068" s="72"/>
      <c r="V1068" s="72"/>
      <c r="W1068" s="72"/>
      <c r="X1068" s="72"/>
      <c r="Y1068" s="72"/>
      <c r="Z1068" s="72"/>
      <c r="AA1068" s="72"/>
      <c r="AF1068" s="72"/>
      <c r="AG1068" s="72"/>
      <c r="AH1068" s="72"/>
    </row>
    <row r="1069" spans="2:34">
      <c r="B1069" s="72" t="s">
        <v>1423</v>
      </c>
      <c r="C1069" s="72"/>
      <c r="D1069" s="72"/>
      <c r="F1069" s="72"/>
      <c r="G1069" s="72"/>
      <c r="H1069" s="72"/>
      <c r="P1069" s="72"/>
      <c r="Q1069" s="72"/>
      <c r="R1069" s="72"/>
      <c r="S1069" s="72"/>
      <c r="T1069" s="72"/>
      <c r="U1069" s="72"/>
      <c r="V1069" s="72"/>
      <c r="W1069" s="72"/>
      <c r="X1069" s="72"/>
      <c r="Y1069" s="72"/>
      <c r="Z1069" s="72"/>
      <c r="AA1069" s="72"/>
      <c r="AF1069" s="72"/>
      <c r="AG1069" s="72"/>
      <c r="AH1069" s="72"/>
    </row>
    <row r="1070" spans="2:34">
      <c r="B1070" s="72" t="s">
        <v>1422</v>
      </c>
      <c r="C1070" s="72"/>
      <c r="D1070" s="72"/>
      <c r="F1070" s="72"/>
      <c r="G1070" s="72"/>
      <c r="H1070" s="72"/>
      <c r="P1070" s="72"/>
      <c r="Q1070" s="72"/>
      <c r="R1070" s="72"/>
      <c r="S1070" s="72"/>
      <c r="T1070" s="72"/>
      <c r="U1070" s="72"/>
      <c r="V1070" s="72"/>
      <c r="W1070" s="72"/>
      <c r="X1070" s="72"/>
      <c r="Y1070" s="72"/>
      <c r="Z1070" s="72"/>
      <c r="AA1070" s="72"/>
      <c r="AF1070" s="72"/>
      <c r="AG1070" s="72"/>
      <c r="AH1070" s="72"/>
    </row>
    <row r="1071" spans="2:34">
      <c r="B1071" s="72" t="s">
        <v>1421</v>
      </c>
      <c r="C1071" s="72"/>
      <c r="D1071" s="72"/>
      <c r="F1071" s="72"/>
      <c r="G1071" s="72"/>
      <c r="H1071" s="72"/>
      <c r="P1071" s="72"/>
      <c r="Q1071" s="72"/>
      <c r="R1071" s="72"/>
      <c r="S1071" s="72"/>
      <c r="T1071" s="72"/>
      <c r="U1071" s="72"/>
      <c r="V1071" s="72"/>
      <c r="W1071" s="72"/>
      <c r="X1071" s="72"/>
      <c r="Y1071" s="72"/>
      <c r="Z1071" s="72"/>
      <c r="AA1071" s="72"/>
      <c r="AF1071" s="72"/>
      <c r="AG1071" s="72"/>
      <c r="AH1071" s="72"/>
    </row>
    <row r="1072" spans="2:34">
      <c r="B1072" s="72" t="s">
        <v>1420</v>
      </c>
      <c r="C1072" s="72"/>
      <c r="D1072" s="72"/>
      <c r="F1072" s="72"/>
      <c r="G1072" s="72"/>
      <c r="H1072" s="72"/>
      <c r="P1072" s="72"/>
      <c r="Q1072" s="72"/>
      <c r="R1072" s="72"/>
      <c r="S1072" s="72"/>
      <c r="T1072" s="72"/>
      <c r="U1072" s="72"/>
      <c r="V1072" s="72"/>
      <c r="W1072" s="72"/>
      <c r="X1072" s="72"/>
      <c r="Y1072" s="72"/>
      <c r="Z1072" s="72"/>
      <c r="AA1072" s="72"/>
      <c r="AF1072" s="72"/>
      <c r="AG1072" s="72"/>
      <c r="AH1072" s="72"/>
    </row>
    <row r="1073" spans="2:34">
      <c r="B1073" s="72" t="s">
        <v>1419</v>
      </c>
      <c r="C1073" s="72"/>
      <c r="D1073" s="72"/>
      <c r="F1073" s="72"/>
      <c r="G1073" s="72"/>
      <c r="H1073" s="72"/>
      <c r="P1073" s="72"/>
      <c r="Q1073" s="72"/>
      <c r="R1073" s="72"/>
      <c r="S1073" s="72"/>
      <c r="T1073" s="72"/>
      <c r="U1073" s="72"/>
      <c r="V1073" s="72"/>
      <c r="W1073" s="72"/>
      <c r="X1073" s="72"/>
      <c r="Y1073" s="72"/>
      <c r="Z1073" s="72"/>
      <c r="AA1073" s="72"/>
      <c r="AF1073" s="72"/>
      <c r="AG1073" s="72"/>
      <c r="AH1073" s="72"/>
    </row>
    <row r="1074" spans="2:34">
      <c r="B1074" s="72" t="s">
        <v>1418</v>
      </c>
      <c r="C1074" s="72"/>
      <c r="D1074" s="72"/>
      <c r="F1074" s="72"/>
      <c r="G1074" s="72"/>
      <c r="H1074" s="72"/>
      <c r="P1074" s="72"/>
      <c r="Q1074" s="72"/>
      <c r="R1074" s="72"/>
      <c r="S1074" s="72"/>
      <c r="T1074" s="72"/>
      <c r="U1074" s="72"/>
      <c r="V1074" s="72"/>
      <c r="W1074" s="72"/>
      <c r="X1074" s="72"/>
      <c r="Y1074" s="72"/>
      <c r="Z1074" s="72"/>
      <c r="AA1074" s="72"/>
      <c r="AF1074" s="72"/>
      <c r="AG1074" s="72"/>
      <c r="AH1074" s="72"/>
    </row>
    <row r="1075" spans="2:34">
      <c r="B1075" s="72" t="s">
        <v>1417</v>
      </c>
      <c r="C1075" s="72"/>
      <c r="D1075" s="72"/>
      <c r="F1075" s="72"/>
      <c r="G1075" s="72"/>
      <c r="H1075" s="72"/>
      <c r="P1075" s="72"/>
      <c r="Q1075" s="72"/>
      <c r="R1075" s="72"/>
      <c r="S1075" s="72"/>
      <c r="T1075" s="72"/>
      <c r="U1075" s="72"/>
      <c r="V1075" s="72"/>
      <c r="W1075" s="72"/>
      <c r="X1075" s="72"/>
      <c r="Y1075" s="72"/>
      <c r="Z1075" s="72"/>
      <c r="AA1075" s="72"/>
      <c r="AF1075" s="72"/>
      <c r="AG1075" s="72"/>
      <c r="AH1075" s="72"/>
    </row>
    <row r="1076" spans="2:34">
      <c r="B1076" s="72" t="s">
        <v>1416</v>
      </c>
      <c r="C1076" s="72"/>
      <c r="D1076" s="72"/>
      <c r="F1076" s="72"/>
      <c r="G1076" s="72"/>
      <c r="H1076" s="72"/>
      <c r="P1076" s="72"/>
      <c r="Q1076" s="72"/>
      <c r="R1076" s="72"/>
      <c r="S1076" s="72"/>
      <c r="T1076" s="72"/>
      <c r="U1076" s="72"/>
      <c r="V1076" s="72"/>
      <c r="W1076" s="72"/>
      <c r="X1076" s="72"/>
      <c r="Y1076" s="72"/>
      <c r="Z1076" s="72"/>
      <c r="AA1076" s="72"/>
      <c r="AF1076" s="72"/>
      <c r="AG1076" s="72"/>
      <c r="AH1076" s="72"/>
    </row>
    <row r="1077" spans="2:34">
      <c r="B1077" s="72" t="s">
        <v>1415</v>
      </c>
      <c r="C1077" s="72"/>
      <c r="D1077" s="72"/>
      <c r="F1077" s="72"/>
      <c r="G1077" s="72"/>
      <c r="H1077" s="72"/>
      <c r="P1077" s="72"/>
      <c r="Q1077" s="72"/>
      <c r="R1077" s="72"/>
      <c r="S1077" s="72"/>
      <c r="T1077" s="72"/>
      <c r="U1077" s="72"/>
      <c r="V1077" s="72"/>
      <c r="W1077" s="72"/>
      <c r="X1077" s="72"/>
      <c r="Y1077" s="72"/>
      <c r="Z1077" s="72"/>
      <c r="AA1077" s="72"/>
      <c r="AF1077" s="72"/>
      <c r="AG1077" s="72"/>
      <c r="AH1077" s="72"/>
    </row>
    <row r="1078" spans="2:34">
      <c r="B1078" s="72" t="s">
        <v>1414</v>
      </c>
      <c r="C1078" s="72"/>
      <c r="D1078" s="72"/>
      <c r="F1078" s="72"/>
      <c r="G1078" s="72"/>
      <c r="H1078" s="72"/>
      <c r="P1078" s="72"/>
      <c r="Q1078" s="72"/>
      <c r="R1078" s="72"/>
      <c r="S1078" s="72"/>
      <c r="T1078" s="72"/>
      <c r="U1078" s="72"/>
      <c r="V1078" s="72"/>
      <c r="W1078" s="72"/>
      <c r="X1078" s="72"/>
      <c r="Y1078" s="72"/>
      <c r="Z1078" s="72"/>
      <c r="AA1078" s="72"/>
      <c r="AF1078" s="72"/>
      <c r="AG1078" s="72"/>
      <c r="AH1078" s="72"/>
    </row>
    <row r="1079" spans="2:34">
      <c r="B1079" s="72" t="s">
        <v>1413</v>
      </c>
      <c r="C1079" s="72"/>
      <c r="D1079" s="72"/>
      <c r="F1079" s="72"/>
      <c r="G1079" s="72"/>
      <c r="H1079" s="72"/>
      <c r="P1079" s="72"/>
      <c r="Q1079" s="72"/>
      <c r="R1079" s="72"/>
      <c r="S1079" s="72"/>
      <c r="T1079" s="72"/>
      <c r="U1079" s="72"/>
      <c r="V1079" s="72"/>
      <c r="W1079" s="72"/>
      <c r="X1079" s="72"/>
      <c r="Y1079" s="72"/>
      <c r="Z1079" s="72"/>
      <c r="AA1079" s="72"/>
      <c r="AF1079" s="72"/>
      <c r="AG1079" s="72"/>
      <c r="AH1079" s="72"/>
    </row>
    <row r="1080" spans="2:34">
      <c r="B1080" s="72" t="s">
        <v>1412</v>
      </c>
      <c r="C1080" s="72"/>
      <c r="D1080" s="72"/>
      <c r="F1080" s="72"/>
      <c r="G1080" s="72"/>
      <c r="H1080" s="72"/>
      <c r="P1080" s="72"/>
      <c r="Q1080" s="72"/>
      <c r="R1080" s="72"/>
      <c r="S1080" s="72"/>
      <c r="T1080" s="72"/>
      <c r="U1080" s="72"/>
      <c r="V1080" s="72"/>
      <c r="W1080" s="72"/>
      <c r="X1080" s="72"/>
      <c r="Y1080" s="72"/>
      <c r="Z1080" s="72"/>
      <c r="AA1080" s="72"/>
      <c r="AF1080" s="72"/>
      <c r="AG1080" s="72"/>
      <c r="AH1080" s="72"/>
    </row>
    <row r="1081" spans="2:34">
      <c r="B1081" s="72" t="s">
        <v>1411</v>
      </c>
      <c r="C1081" s="72"/>
      <c r="D1081" s="72"/>
      <c r="F1081" s="72"/>
      <c r="G1081" s="72"/>
      <c r="H1081" s="72"/>
      <c r="P1081" s="72"/>
      <c r="Q1081" s="72"/>
      <c r="R1081" s="72"/>
      <c r="S1081" s="72"/>
      <c r="T1081" s="72"/>
      <c r="U1081" s="72"/>
      <c r="V1081" s="72"/>
      <c r="W1081" s="72"/>
      <c r="X1081" s="72"/>
      <c r="Y1081" s="72"/>
      <c r="Z1081" s="72"/>
      <c r="AA1081" s="72"/>
      <c r="AF1081" s="72"/>
      <c r="AG1081" s="72"/>
      <c r="AH1081" s="72"/>
    </row>
    <row r="1082" spans="2:34">
      <c r="B1082" s="72" t="s">
        <v>1410</v>
      </c>
      <c r="C1082" s="72"/>
      <c r="D1082" s="72"/>
      <c r="F1082" s="72"/>
      <c r="G1082" s="72"/>
      <c r="H1082" s="72"/>
      <c r="P1082" s="72"/>
      <c r="Q1082" s="72"/>
      <c r="R1082" s="72"/>
      <c r="S1082" s="72"/>
      <c r="T1082" s="72"/>
      <c r="U1082" s="72"/>
      <c r="V1082" s="72"/>
      <c r="W1082" s="72"/>
      <c r="X1082" s="72"/>
      <c r="Y1082" s="72"/>
      <c r="Z1082" s="72"/>
      <c r="AA1082" s="72"/>
      <c r="AF1082" s="72"/>
      <c r="AG1082" s="72"/>
      <c r="AH1082" s="72"/>
    </row>
    <row r="1083" spans="2:34">
      <c r="B1083" s="72" t="s">
        <v>1409</v>
      </c>
      <c r="C1083" s="72"/>
      <c r="D1083" s="72"/>
      <c r="F1083" s="72"/>
      <c r="G1083" s="72"/>
      <c r="H1083" s="72"/>
      <c r="P1083" s="72"/>
      <c r="Q1083" s="72"/>
      <c r="R1083" s="72"/>
      <c r="S1083" s="72"/>
      <c r="T1083" s="72"/>
      <c r="U1083" s="72"/>
      <c r="V1083" s="72"/>
      <c r="W1083" s="72"/>
      <c r="X1083" s="72"/>
      <c r="Y1083" s="72"/>
      <c r="Z1083" s="72"/>
      <c r="AA1083" s="72"/>
      <c r="AF1083" s="72"/>
      <c r="AG1083" s="72"/>
      <c r="AH1083" s="72"/>
    </row>
    <row r="1084" spans="2:34">
      <c r="B1084" s="72" t="s">
        <v>1408</v>
      </c>
      <c r="C1084" s="72"/>
      <c r="D1084" s="72"/>
      <c r="F1084" s="72"/>
      <c r="G1084" s="72"/>
      <c r="H1084" s="72"/>
      <c r="P1084" s="72"/>
      <c r="Q1084" s="72"/>
      <c r="R1084" s="72"/>
      <c r="S1084" s="72"/>
      <c r="T1084" s="72"/>
      <c r="U1084" s="72"/>
      <c r="V1084" s="72"/>
      <c r="W1084" s="72"/>
      <c r="X1084" s="72"/>
      <c r="Y1084" s="72"/>
      <c r="Z1084" s="72"/>
      <c r="AA1084" s="72"/>
      <c r="AF1084" s="72"/>
      <c r="AG1084" s="72"/>
      <c r="AH1084" s="72"/>
    </row>
    <row r="1085" spans="2:34">
      <c r="B1085" s="72" t="s">
        <v>1407</v>
      </c>
      <c r="C1085" s="72"/>
      <c r="D1085" s="72"/>
      <c r="F1085" s="72"/>
      <c r="G1085" s="72"/>
      <c r="H1085" s="72"/>
      <c r="P1085" s="72"/>
      <c r="Q1085" s="72"/>
      <c r="R1085" s="72"/>
      <c r="S1085" s="72"/>
      <c r="T1085" s="72"/>
      <c r="U1085" s="72"/>
      <c r="V1085" s="72"/>
      <c r="W1085" s="72"/>
      <c r="X1085" s="72"/>
      <c r="Y1085" s="72"/>
      <c r="Z1085" s="72"/>
      <c r="AA1085" s="72"/>
      <c r="AF1085" s="72"/>
      <c r="AG1085" s="72"/>
      <c r="AH1085" s="72"/>
    </row>
    <row r="1086" spans="2:34">
      <c r="B1086" s="72" t="s">
        <v>1406</v>
      </c>
      <c r="C1086" s="72"/>
      <c r="D1086" s="72"/>
      <c r="F1086" s="72"/>
      <c r="G1086" s="72"/>
      <c r="H1086" s="72"/>
      <c r="P1086" s="72"/>
      <c r="Q1086" s="72"/>
      <c r="R1086" s="72"/>
      <c r="S1086" s="72"/>
      <c r="T1086" s="72"/>
      <c r="U1086" s="72"/>
      <c r="V1086" s="72"/>
      <c r="W1086" s="72"/>
      <c r="X1086" s="72"/>
      <c r="Y1086" s="72"/>
      <c r="Z1086" s="72"/>
      <c r="AA1086" s="72"/>
      <c r="AF1086" s="72"/>
      <c r="AG1086" s="72"/>
      <c r="AH1086" s="72"/>
    </row>
    <row r="1087" spans="2:34">
      <c r="B1087" s="72" t="s">
        <v>1405</v>
      </c>
      <c r="C1087" s="72"/>
      <c r="D1087" s="72"/>
      <c r="F1087" s="72"/>
      <c r="G1087" s="72"/>
      <c r="H1087" s="72"/>
      <c r="P1087" s="72"/>
      <c r="Q1087" s="72"/>
      <c r="R1087" s="72"/>
      <c r="S1087" s="72"/>
      <c r="T1087" s="72"/>
      <c r="U1087" s="72"/>
      <c r="V1087" s="72"/>
      <c r="W1087" s="72"/>
      <c r="X1087" s="72"/>
      <c r="Y1087" s="72"/>
      <c r="Z1087" s="72"/>
      <c r="AA1087" s="72"/>
      <c r="AF1087" s="72"/>
      <c r="AG1087" s="72"/>
      <c r="AH1087" s="72"/>
    </row>
    <row r="1088" spans="2:34">
      <c r="B1088" s="72" t="s">
        <v>1404</v>
      </c>
      <c r="C1088" s="72"/>
      <c r="D1088" s="72"/>
      <c r="F1088" s="72"/>
      <c r="G1088" s="72"/>
      <c r="H1088" s="72"/>
      <c r="P1088" s="72"/>
      <c r="Q1088" s="72"/>
      <c r="R1088" s="72"/>
      <c r="S1088" s="72"/>
      <c r="T1088" s="72"/>
      <c r="U1088" s="72"/>
      <c r="V1088" s="72"/>
      <c r="W1088" s="72"/>
      <c r="X1088" s="72"/>
      <c r="Y1088" s="72"/>
      <c r="Z1088" s="72"/>
      <c r="AA1088" s="72"/>
      <c r="AF1088" s="72"/>
      <c r="AG1088" s="72"/>
      <c r="AH1088" s="72"/>
    </row>
    <row r="1089" spans="2:34">
      <c r="B1089" s="72" t="s">
        <v>1403</v>
      </c>
      <c r="C1089" s="72"/>
      <c r="D1089" s="72"/>
      <c r="F1089" s="72"/>
      <c r="G1089" s="72"/>
      <c r="H1089" s="72"/>
      <c r="P1089" s="72"/>
      <c r="Q1089" s="72"/>
      <c r="R1089" s="72"/>
      <c r="S1089" s="72"/>
      <c r="T1089" s="72"/>
      <c r="U1089" s="72"/>
      <c r="V1089" s="72"/>
      <c r="W1089" s="72"/>
      <c r="X1089" s="72"/>
      <c r="Y1089" s="72"/>
      <c r="Z1089" s="72"/>
      <c r="AA1089" s="72"/>
      <c r="AF1089" s="72"/>
      <c r="AG1089" s="72"/>
      <c r="AH1089" s="72"/>
    </row>
    <row r="1090" spans="2:34">
      <c r="B1090" s="72" t="s">
        <v>1402</v>
      </c>
      <c r="C1090" s="72"/>
      <c r="D1090" s="72"/>
      <c r="F1090" s="72"/>
      <c r="G1090" s="72"/>
      <c r="H1090" s="72"/>
      <c r="P1090" s="72"/>
      <c r="Q1090" s="72"/>
      <c r="R1090" s="72"/>
      <c r="S1090" s="72"/>
      <c r="T1090" s="72"/>
      <c r="U1090" s="72"/>
      <c r="V1090" s="72"/>
      <c r="W1090" s="72"/>
      <c r="X1090" s="72"/>
      <c r="Y1090" s="72"/>
      <c r="Z1090" s="72"/>
      <c r="AA1090" s="72"/>
      <c r="AF1090" s="72"/>
      <c r="AG1090" s="72"/>
      <c r="AH1090" s="72"/>
    </row>
    <row r="1091" spans="2:34">
      <c r="B1091" s="72" t="s">
        <v>1401</v>
      </c>
      <c r="C1091" s="72"/>
      <c r="D1091" s="72"/>
      <c r="F1091" s="72"/>
      <c r="G1091" s="72"/>
      <c r="H1091" s="72"/>
      <c r="P1091" s="72"/>
      <c r="Q1091" s="72"/>
      <c r="R1091" s="72"/>
      <c r="S1091" s="72"/>
      <c r="T1091" s="72"/>
      <c r="U1091" s="72"/>
      <c r="V1091" s="72"/>
      <c r="W1091" s="72"/>
      <c r="X1091" s="72"/>
      <c r="Y1091" s="72"/>
      <c r="Z1091" s="72"/>
      <c r="AA1091" s="72"/>
      <c r="AF1091" s="72"/>
      <c r="AG1091" s="72"/>
      <c r="AH1091" s="72"/>
    </row>
    <row r="1092" spans="2:34">
      <c r="B1092" s="72" t="s">
        <v>1400</v>
      </c>
      <c r="C1092" s="72"/>
      <c r="D1092" s="72"/>
      <c r="F1092" s="72"/>
      <c r="G1092" s="72"/>
      <c r="H1092" s="72"/>
      <c r="P1092" s="72"/>
      <c r="Q1092" s="72"/>
      <c r="R1092" s="72"/>
      <c r="S1092" s="72"/>
      <c r="T1092" s="72"/>
      <c r="U1092" s="72"/>
      <c r="V1092" s="72"/>
      <c r="W1092" s="72"/>
      <c r="X1092" s="72"/>
      <c r="Y1092" s="72"/>
      <c r="Z1092" s="72"/>
      <c r="AA1092" s="72"/>
      <c r="AF1092" s="72"/>
      <c r="AG1092" s="72"/>
      <c r="AH1092" s="72"/>
    </row>
    <row r="1093" spans="2:34">
      <c r="B1093" s="72" t="s">
        <v>1399</v>
      </c>
      <c r="C1093" s="72"/>
      <c r="D1093" s="72"/>
      <c r="F1093" s="72"/>
      <c r="G1093" s="72"/>
      <c r="H1093" s="72"/>
      <c r="P1093" s="72"/>
      <c r="Q1093" s="72"/>
      <c r="R1093" s="72"/>
      <c r="S1093" s="72"/>
      <c r="T1093" s="72"/>
      <c r="U1093" s="72"/>
      <c r="V1093" s="72"/>
      <c r="W1093" s="72"/>
      <c r="X1093" s="72"/>
      <c r="Y1093" s="72"/>
      <c r="Z1093" s="72"/>
      <c r="AA1093" s="72"/>
      <c r="AF1093" s="72"/>
      <c r="AG1093" s="72"/>
      <c r="AH1093" s="72"/>
    </row>
    <row r="1094" spans="2:34">
      <c r="B1094" s="72" t="s">
        <v>1398</v>
      </c>
      <c r="C1094" s="72"/>
      <c r="D1094" s="72"/>
      <c r="F1094" s="72"/>
      <c r="G1094" s="72"/>
      <c r="H1094" s="72"/>
      <c r="P1094" s="72"/>
      <c r="Q1094" s="72"/>
      <c r="R1094" s="72"/>
      <c r="S1094" s="72"/>
      <c r="T1094" s="72"/>
      <c r="U1094" s="72"/>
      <c r="V1094" s="72"/>
      <c r="W1094" s="72"/>
      <c r="X1094" s="72"/>
      <c r="Y1094" s="72"/>
      <c r="Z1094" s="72"/>
      <c r="AA1094" s="72"/>
      <c r="AF1094" s="72"/>
      <c r="AG1094" s="72"/>
      <c r="AH1094" s="72"/>
    </row>
    <row r="1095" spans="2:34">
      <c r="B1095" s="72" t="s">
        <v>1397</v>
      </c>
      <c r="C1095" s="72"/>
      <c r="D1095" s="72"/>
      <c r="F1095" s="72"/>
      <c r="G1095" s="72"/>
      <c r="H1095" s="72"/>
      <c r="P1095" s="72"/>
      <c r="Q1095" s="72"/>
      <c r="R1095" s="72"/>
      <c r="S1095" s="72"/>
      <c r="T1095" s="72"/>
      <c r="U1095" s="72"/>
      <c r="V1095" s="72"/>
      <c r="W1095" s="72"/>
      <c r="X1095" s="72"/>
      <c r="Y1095" s="72"/>
      <c r="Z1095" s="72"/>
      <c r="AA1095" s="72"/>
      <c r="AF1095" s="72"/>
      <c r="AG1095" s="72"/>
      <c r="AH1095" s="72"/>
    </row>
    <row r="1096" spans="2:34">
      <c r="B1096" s="72" t="s">
        <v>1396</v>
      </c>
      <c r="C1096" s="72"/>
      <c r="D1096" s="72"/>
      <c r="F1096" s="72"/>
      <c r="G1096" s="72"/>
      <c r="H1096" s="72"/>
      <c r="P1096" s="72"/>
      <c r="Q1096" s="72"/>
      <c r="R1096" s="72"/>
      <c r="S1096" s="72"/>
      <c r="T1096" s="72"/>
      <c r="U1096" s="72"/>
      <c r="V1096" s="72"/>
      <c r="W1096" s="72"/>
      <c r="X1096" s="72"/>
      <c r="Y1096" s="72"/>
      <c r="Z1096" s="72"/>
      <c r="AA1096" s="72"/>
      <c r="AF1096" s="72"/>
      <c r="AG1096" s="72"/>
      <c r="AH1096" s="72"/>
    </row>
    <row r="1097" spans="2:34">
      <c r="B1097" s="72" t="s">
        <v>1395</v>
      </c>
      <c r="C1097" s="72"/>
      <c r="D1097" s="72"/>
      <c r="F1097" s="72"/>
      <c r="G1097" s="72"/>
      <c r="H1097" s="72"/>
      <c r="P1097" s="72"/>
      <c r="Q1097" s="72"/>
      <c r="R1097" s="72"/>
      <c r="S1097" s="72"/>
      <c r="T1097" s="72"/>
      <c r="U1097" s="72"/>
      <c r="V1097" s="72"/>
      <c r="W1097" s="72"/>
      <c r="X1097" s="72"/>
      <c r="Y1097" s="72"/>
      <c r="Z1097" s="72"/>
      <c r="AA1097" s="72"/>
      <c r="AF1097" s="72"/>
      <c r="AG1097" s="72"/>
      <c r="AH1097" s="72"/>
    </row>
    <row r="1098" spans="2:34">
      <c r="B1098" s="72" t="s">
        <v>1394</v>
      </c>
      <c r="C1098" s="72"/>
      <c r="D1098" s="72"/>
      <c r="F1098" s="72"/>
      <c r="G1098" s="72"/>
      <c r="H1098" s="72"/>
      <c r="P1098" s="72"/>
      <c r="Q1098" s="72"/>
      <c r="R1098" s="72"/>
      <c r="S1098" s="72"/>
      <c r="T1098" s="72"/>
      <c r="U1098" s="72"/>
      <c r="V1098" s="72"/>
      <c r="W1098" s="72"/>
      <c r="X1098" s="72"/>
      <c r="Y1098" s="72"/>
      <c r="Z1098" s="72"/>
      <c r="AA1098" s="72"/>
      <c r="AF1098" s="72"/>
      <c r="AG1098" s="72"/>
      <c r="AH1098" s="72"/>
    </row>
    <row r="1099" spans="2:34">
      <c r="B1099" s="72" t="s">
        <v>1393</v>
      </c>
      <c r="C1099" s="72"/>
      <c r="D1099" s="72"/>
      <c r="F1099" s="72"/>
      <c r="G1099" s="72"/>
      <c r="H1099" s="72"/>
      <c r="P1099" s="72"/>
      <c r="Q1099" s="72"/>
      <c r="R1099" s="72"/>
      <c r="S1099" s="72"/>
      <c r="T1099" s="72"/>
      <c r="U1099" s="72"/>
      <c r="V1099" s="72"/>
      <c r="W1099" s="72"/>
      <c r="X1099" s="72"/>
      <c r="Y1099" s="72"/>
      <c r="Z1099" s="72"/>
      <c r="AA1099" s="72"/>
      <c r="AF1099" s="72"/>
      <c r="AG1099" s="72"/>
      <c r="AH1099" s="72"/>
    </row>
    <row r="1100" spans="2:34">
      <c r="B1100" s="72" t="s">
        <v>1392</v>
      </c>
      <c r="C1100" s="72"/>
      <c r="D1100" s="72"/>
      <c r="F1100" s="72"/>
      <c r="G1100" s="72"/>
      <c r="H1100" s="72"/>
      <c r="P1100" s="72"/>
      <c r="Q1100" s="72"/>
      <c r="R1100" s="72"/>
      <c r="S1100" s="72"/>
      <c r="T1100" s="72"/>
      <c r="U1100" s="72"/>
      <c r="V1100" s="72"/>
      <c r="W1100" s="72"/>
      <c r="X1100" s="72"/>
      <c r="Y1100" s="72"/>
      <c r="Z1100" s="72"/>
      <c r="AA1100" s="72"/>
      <c r="AF1100" s="72"/>
      <c r="AG1100" s="72"/>
      <c r="AH1100" s="72"/>
    </row>
    <row r="1101" spans="2:34">
      <c r="B1101" s="72" t="s">
        <v>1391</v>
      </c>
      <c r="C1101" s="72"/>
      <c r="D1101" s="72"/>
      <c r="F1101" s="72"/>
      <c r="G1101" s="72"/>
      <c r="H1101" s="72"/>
      <c r="P1101" s="72"/>
      <c r="Q1101" s="72"/>
      <c r="R1101" s="72"/>
      <c r="S1101" s="72"/>
      <c r="T1101" s="72"/>
      <c r="U1101" s="72"/>
      <c r="V1101" s="72"/>
      <c r="W1101" s="72"/>
      <c r="X1101" s="72"/>
      <c r="Y1101" s="72"/>
      <c r="Z1101" s="72"/>
      <c r="AA1101" s="72"/>
      <c r="AF1101" s="72"/>
      <c r="AG1101" s="72"/>
      <c r="AH1101" s="72"/>
    </row>
    <row r="1102" spans="2:34">
      <c r="B1102" s="72" t="s">
        <v>1390</v>
      </c>
      <c r="C1102" s="72"/>
      <c r="D1102" s="72"/>
      <c r="F1102" s="72"/>
      <c r="G1102" s="72"/>
      <c r="H1102" s="72"/>
      <c r="P1102" s="72"/>
      <c r="Q1102" s="72"/>
      <c r="R1102" s="72"/>
      <c r="S1102" s="72"/>
      <c r="T1102" s="72"/>
      <c r="U1102" s="72"/>
      <c r="V1102" s="72"/>
      <c r="W1102" s="72"/>
      <c r="X1102" s="72"/>
      <c r="Y1102" s="72"/>
      <c r="Z1102" s="72"/>
      <c r="AA1102" s="72"/>
      <c r="AF1102" s="72"/>
      <c r="AG1102" s="72"/>
      <c r="AH1102" s="72"/>
    </row>
    <row r="1103" spans="2:34">
      <c r="B1103" s="72" t="s">
        <v>1389</v>
      </c>
      <c r="C1103" s="72"/>
      <c r="D1103" s="72"/>
      <c r="F1103" s="72"/>
      <c r="G1103" s="72"/>
      <c r="H1103" s="72"/>
      <c r="P1103" s="72"/>
      <c r="Q1103" s="72"/>
      <c r="R1103" s="72"/>
      <c r="S1103" s="72"/>
      <c r="T1103" s="72"/>
      <c r="U1103" s="72"/>
      <c r="V1103" s="72"/>
      <c r="W1103" s="72"/>
      <c r="X1103" s="72"/>
      <c r="Y1103" s="72"/>
      <c r="Z1103" s="72"/>
      <c r="AA1103" s="72"/>
      <c r="AF1103" s="72"/>
      <c r="AG1103" s="72"/>
      <c r="AH1103" s="72"/>
    </row>
    <row r="1104" spans="2:34">
      <c r="B1104" s="72" t="s">
        <v>1388</v>
      </c>
      <c r="C1104" s="72"/>
      <c r="D1104" s="72"/>
      <c r="F1104" s="72"/>
      <c r="G1104" s="72"/>
      <c r="H1104" s="72"/>
      <c r="P1104" s="72"/>
      <c r="Q1104" s="72"/>
      <c r="R1104" s="72"/>
      <c r="S1104" s="72"/>
      <c r="T1104" s="72"/>
      <c r="U1104" s="72"/>
      <c r="V1104" s="72"/>
      <c r="W1104" s="72"/>
      <c r="X1104" s="72"/>
      <c r="Y1104" s="72"/>
      <c r="Z1104" s="72"/>
      <c r="AA1104" s="72"/>
      <c r="AF1104" s="72"/>
      <c r="AG1104" s="72"/>
      <c r="AH1104" s="72"/>
    </row>
    <row r="1105" spans="2:34">
      <c r="B1105" s="72" t="s">
        <v>1387</v>
      </c>
      <c r="C1105" s="72"/>
      <c r="D1105" s="72"/>
      <c r="F1105" s="72"/>
      <c r="G1105" s="72"/>
      <c r="H1105" s="72"/>
      <c r="P1105" s="72"/>
      <c r="Q1105" s="72"/>
      <c r="R1105" s="72"/>
      <c r="S1105" s="72"/>
      <c r="T1105" s="72"/>
      <c r="U1105" s="72"/>
      <c r="V1105" s="72"/>
      <c r="W1105" s="72"/>
      <c r="X1105" s="72"/>
      <c r="Y1105" s="72"/>
      <c r="Z1105" s="72"/>
      <c r="AA1105" s="72"/>
      <c r="AF1105" s="72"/>
      <c r="AG1105" s="72"/>
      <c r="AH1105" s="72"/>
    </row>
    <row r="1106" spans="2:34">
      <c r="B1106" s="72" t="s">
        <v>1386</v>
      </c>
      <c r="C1106" s="72"/>
      <c r="D1106" s="72"/>
      <c r="F1106" s="72"/>
      <c r="G1106" s="72"/>
      <c r="H1106" s="72"/>
      <c r="P1106" s="72"/>
      <c r="Q1106" s="72"/>
      <c r="R1106" s="72"/>
      <c r="S1106" s="72"/>
      <c r="T1106" s="72"/>
      <c r="U1106" s="72"/>
      <c r="V1106" s="72"/>
      <c r="W1106" s="72"/>
      <c r="X1106" s="72"/>
      <c r="Y1106" s="72"/>
      <c r="Z1106" s="72"/>
      <c r="AA1106" s="72"/>
      <c r="AF1106" s="72"/>
      <c r="AG1106" s="72"/>
      <c r="AH1106" s="72"/>
    </row>
    <row r="1107" spans="2:34">
      <c r="B1107" s="72" t="s">
        <v>1385</v>
      </c>
      <c r="C1107" s="72"/>
      <c r="D1107" s="72"/>
      <c r="F1107" s="72"/>
      <c r="G1107" s="72"/>
      <c r="H1107" s="72"/>
      <c r="P1107" s="72"/>
      <c r="Q1107" s="72"/>
      <c r="R1107" s="72"/>
      <c r="S1107" s="72"/>
      <c r="T1107" s="72"/>
      <c r="U1107" s="72"/>
      <c r="V1107" s="72"/>
      <c r="W1107" s="72"/>
      <c r="X1107" s="72"/>
      <c r="Y1107" s="72"/>
      <c r="Z1107" s="72"/>
      <c r="AA1107" s="72"/>
      <c r="AF1107" s="72"/>
      <c r="AG1107" s="72"/>
      <c r="AH1107" s="72"/>
    </row>
    <row r="1108" spans="2:34">
      <c r="B1108" s="72" t="s">
        <v>1384</v>
      </c>
      <c r="C1108" s="72"/>
      <c r="D1108" s="72"/>
      <c r="F1108" s="72"/>
      <c r="G1108" s="72"/>
      <c r="H1108" s="72"/>
      <c r="P1108" s="72"/>
      <c r="Q1108" s="72"/>
      <c r="R1108" s="72"/>
      <c r="S1108" s="72"/>
      <c r="T1108" s="72"/>
      <c r="U1108" s="72"/>
      <c r="V1108" s="72"/>
      <c r="W1108" s="72"/>
      <c r="X1108" s="72"/>
      <c r="Y1108" s="72"/>
      <c r="Z1108" s="72"/>
      <c r="AA1108" s="72"/>
      <c r="AF1108" s="72"/>
      <c r="AG1108" s="72"/>
      <c r="AH1108" s="72"/>
    </row>
    <row r="1109" spans="2:34">
      <c r="B1109" s="72" t="s">
        <v>1383</v>
      </c>
      <c r="C1109" s="72"/>
      <c r="D1109" s="72"/>
      <c r="F1109" s="72"/>
      <c r="G1109" s="72"/>
      <c r="H1109" s="72"/>
      <c r="P1109" s="72"/>
      <c r="Q1109" s="72"/>
      <c r="R1109" s="72"/>
      <c r="S1109" s="72"/>
      <c r="T1109" s="72"/>
      <c r="U1109" s="72"/>
      <c r="V1109" s="72"/>
      <c r="W1109" s="72"/>
      <c r="X1109" s="72"/>
      <c r="Y1109" s="72"/>
      <c r="Z1109" s="72"/>
      <c r="AA1109" s="72"/>
      <c r="AF1109" s="72"/>
      <c r="AG1109" s="72"/>
      <c r="AH1109" s="72"/>
    </row>
    <row r="1110" spans="2:34">
      <c r="B1110" s="72" t="s">
        <v>1382</v>
      </c>
      <c r="C1110" s="72"/>
      <c r="D1110" s="72"/>
      <c r="F1110" s="72"/>
      <c r="G1110" s="72"/>
      <c r="H1110" s="72"/>
      <c r="P1110" s="72"/>
      <c r="Q1110" s="72"/>
      <c r="R1110" s="72"/>
      <c r="S1110" s="72"/>
      <c r="T1110" s="72"/>
      <c r="U1110" s="72"/>
      <c r="V1110" s="72"/>
      <c r="W1110" s="72"/>
      <c r="X1110" s="72"/>
      <c r="Y1110" s="72"/>
      <c r="Z1110" s="72"/>
      <c r="AA1110" s="72"/>
      <c r="AF1110" s="72"/>
      <c r="AG1110" s="72"/>
      <c r="AH1110" s="72"/>
    </row>
    <row r="1111" spans="2:34">
      <c r="B1111" s="72" t="s">
        <v>1381</v>
      </c>
      <c r="C1111" s="72"/>
      <c r="D1111" s="72"/>
      <c r="F1111" s="72"/>
      <c r="G1111" s="72"/>
      <c r="H1111" s="72"/>
      <c r="P1111" s="72"/>
      <c r="Q1111" s="72"/>
      <c r="R1111" s="72"/>
      <c r="S1111" s="72"/>
      <c r="T1111" s="72"/>
      <c r="U1111" s="72"/>
      <c r="V1111" s="72"/>
      <c r="W1111" s="72"/>
      <c r="X1111" s="72"/>
      <c r="Y1111" s="72"/>
      <c r="Z1111" s="72"/>
      <c r="AA1111" s="72"/>
      <c r="AF1111" s="72"/>
      <c r="AG1111" s="72"/>
      <c r="AH1111" s="72"/>
    </row>
    <row r="1112" spans="2:34">
      <c r="B1112" s="72" t="s">
        <v>1380</v>
      </c>
      <c r="C1112" s="72"/>
      <c r="D1112" s="72"/>
      <c r="F1112" s="72"/>
      <c r="G1112" s="72"/>
      <c r="H1112" s="72"/>
      <c r="P1112" s="72"/>
      <c r="Q1112" s="72"/>
      <c r="R1112" s="72"/>
      <c r="S1112" s="72"/>
      <c r="T1112" s="72"/>
      <c r="U1112" s="72"/>
      <c r="V1112" s="72"/>
      <c r="W1112" s="72"/>
      <c r="X1112" s="72"/>
      <c r="Y1112" s="72"/>
      <c r="Z1112" s="72"/>
      <c r="AA1112" s="72"/>
      <c r="AF1112" s="72"/>
      <c r="AG1112" s="72"/>
      <c r="AH1112" s="72"/>
    </row>
    <row r="1113" spans="2:34">
      <c r="B1113" s="72" t="s">
        <v>1379</v>
      </c>
      <c r="C1113" s="72"/>
      <c r="D1113" s="72"/>
      <c r="F1113" s="72"/>
      <c r="G1113" s="72"/>
      <c r="H1113" s="72"/>
      <c r="P1113" s="72"/>
      <c r="Q1113" s="72"/>
      <c r="R1113" s="72"/>
      <c r="S1113" s="72"/>
      <c r="T1113" s="72"/>
      <c r="U1113" s="72"/>
      <c r="V1113" s="72"/>
      <c r="W1113" s="72"/>
      <c r="X1113" s="72"/>
      <c r="Y1113" s="72"/>
      <c r="Z1113" s="72"/>
      <c r="AA1113" s="72"/>
      <c r="AF1113" s="72"/>
      <c r="AG1113" s="72"/>
      <c r="AH1113" s="72"/>
    </row>
    <row r="1114" spans="2:34">
      <c r="B1114" s="72" t="s">
        <v>1378</v>
      </c>
      <c r="C1114" s="72"/>
      <c r="D1114" s="72"/>
      <c r="F1114" s="72"/>
      <c r="G1114" s="72"/>
      <c r="H1114" s="72"/>
      <c r="P1114" s="72"/>
      <c r="Q1114" s="72"/>
      <c r="R1114" s="72"/>
      <c r="S1114" s="72"/>
      <c r="T1114" s="72"/>
      <c r="U1114" s="72"/>
      <c r="V1114" s="72"/>
      <c r="W1114" s="72"/>
      <c r="X1114" s="72"/>
      <c r="Y1114" s="72"/>
      <c r="Z1114" s="72"/>
      <c r="AA1114" s="72"/>
      <c r="AF1114" s="72"/>
      <c r="AG1114" s="72"/>
      <c r="AH1114" s="72"/>
    </row>
    <row r="1115" spans="2:34">
      <c r="B1115" s="72" t="s">
        <v>1377</v>
      </c>
      <c r="C1115" s="72"/>
      <c r="D1115" s="72"/>
      <c r="F1115" s="72"/>
      <c r="G1115" s="72"/>
      <c r="H1115" s="72"/>
      <c r="P1115" s="72"/>
      <c r="Q1115" s="72"/>
      <c r="R1115" s="72"/>
      <c r="S1115" s="72"/>
      <c r="T1115" s="72"/>
      <c r="U1115" s="72"/>
      <c r="V1115" s="72"/>
      <c r="W1115" s="72"/>
      <c r="X1115" s="72"/>
      <c r="Y1115" s="72"/>
      <c r="Z1115" s="72"/>
      <c r="AA1115" s="72"/>
      <c r="AF1115" s="72"/>
      <c r="AG1115" s="72"/>
      <c r="AH1115" s="72"/>
    </row>
    <row r="1116" spans="2:34">
      <c r="B1116" s="72" t="s">
        <v>1376</v>
      </c>
      <c r="C1116" s="72"/>
      <c r="D1116" s="72"/>
      <c r="F1116" s="72"/>
      <c r="G1116" s="72"/>
      <c r="H1116" s="72"/>
      <c r="P1116" s="72"/>
      <c r="Q1116" s="72"/>
      <c r="R1116" s="72"/>
      <c r="S1116" s="72"/>
      <c r="T1116" s="72"/>
      <c r="U1116" s="72"/>
      <c r="V1116" s="72"/>
      <c r="W1116" s="72"/>
      <c r="X1116" s="72"/>
      <c r="Y1116" s="72"/>
      <c r="Z1116" s="72"/>
      <c r="AA1116" s="72"/>
      <c r="AF1116" s="72"/>
      <c r="AG1116" s="72"/>
      <c r="AH1116" s="72"/>
    </row>
    <row r="1117" spans="2:34">
      <c r="B1117" s="72" t="s">
        <v>1375</v>
      </c>
      <c r="C1117" s="72"/>
      <c r="D1117" s="72"/>
      <c r="F1117" s="72"/>
      <c r="G1117" s="72"/>
      <c r="H1117" s="72"/>
      <c r="P1117" s="72"/>
      <c r="Q1117" s="72"/>
      <c r="R1117" s="72"/>
      <c r="S1117" s="72"/>
      <c r="T1117" s="72"/>
      <c r="U1117" s="72"/>
      <c r="V1117" s="72"/>
      <c r="W1117" s="72"/>
      <c r="X1117" s="72"/>
      <c r="Y1117" s="72"/>
      <c r="Z1117" s="72"/>
      <c r="AA1117" s="72"/>
      <c r="AF1117" s="72"/>
      <c r="AG1117" s="72"/>
      <c r="AH1117" s="72"/>
    </row>
    <row r="1118" spans="2:34">
      <c r="B1118" s="72" t="s">
        <v>1374</v>
      </c>
      <c r="C1118" s="72"/>
      <c r="D1118" s="72"/>
      <c r="F1118" s="72"/>
      <c r="G1118" s="72"/>
      <c r="H1118" s="72"/>
      <c r="P1118" s="72"/>
      <c r="Q1118" s="72"/>
      <c r="R1118" s="72"/>
      <c r="S1118" s="72"/>
      <c r="T1118" s="72"/>
      <c r="U1118" s="72"/>
      <c r="V1118" s="72"/>
      <c r="W1118" s="72"/>
      <c r="X1118" s="72"/>
      <c r="Y1118" s="72"/>
      <c r="Z1118" s="72"/>
      <c r="AA1118" s="72"/>
      <c r="AF1118" s="72"/>
      <c r="AG1118" s="72"/>
      <c r="AH1118" s="72"/>
    </row>
    <row r="1119" spans="2:34">
      <c r="B1119" s="72" t="s">
        <v>1373</v>
      </c>
      <c r="C1119" s="72"/>
      <c r="D1119" s="72"/>
      <c r="F1119" s="72"/>
      <c r="G1119" s="72"/>
      <c r="H1119" s="72"/>
      <c r="P1119" s="72"/>
      <c r="Q1119" s="72"/>
      <c r="R1119" s="72"/>
      <c r="S1119" s="72"/>
      <c r="T1119" s="72"/>
      <c r="U1119" s="72"/>
      <c r="V1119" s="72"/>
      <c r="W1119" s="72"/>
      <c r="X1119" s="72"/>
      <c r="Y1119" s="72"/>
      <c r="Z1119" s="72"/>
      <c r="AA1119" s="72"/>
      <c r="AF1119" s="72"/>
      <c r="AG1119" s="72"/>
      <c r="AH1119" s="72"/>
    </row>
    <row r="1120" spans="2:34">
      <c r="B1120" s="72" t="s">
        <v>1372</v>
      </c>
      <c r="C1120" s="72"/>
      <c r="D1120" s="72"/>
      <c r="F1120" s="72"/>
      <c r="G1120" s="72"/>
      <c r="H1120" s="72"/>
      <c r="P1120" s="72"/>
      <c r="Q1120" s="72"/>
      <c r="R1120" s="72"/>
      <c r="S1120" s="72"/>
      <c r="T1120" s="72"/>
      <c r="U1120" s="72"/>
      <c r="V1120" s="72"/>
      <c r="W1120" s="72"/>
      <c r="X1120" s="72"/>
      <c r="Y1120" s="72"/>
      <c r="Z1120" s="72"/>
      <c r="AA1120" s="72"/>
      <c r="AF1120" s="72"/>
      <c r="AG1120" s="72"/>
      <c r="AH1120" s="72"/>
    </row>
    <row r="1121" spans="2:34">
      <c r="B1121" s="72" t="s">
        <v>1371</v>
      </c>
      <c r="C1121" s="72"/>
      <c r="D1121" s="72"/>
      <c r="F1121" s="72"/>
      <c r="G1121" s="72"/>
      <c r="H1121" s="72"/>
      <c r="P1121" s="72"/>
      <c r="Q1121" s="72"/>
      <c r="R1121" s="72"/>
      <c r="S1121" s="72"/>
      <c r="T1121" s="72"/>
      <c r="U1121" s="72"/>
      <c r="V1121" s="72"/>
      <c r="W1121" s="72"/>
      <c r="X1121" s="72"/>
      <c r="Y1121" s="72"/>
      <c r="Z1121" s="72"/>
      <c r="AA1121" s="72"/>
      <c r="AF1121" s="72"/>
      <c r="AG1121" s="72"/>
      <c r="AH1121" s="72"/>
    </row>
    <row r="1122" spans="2:34">
      <c r="B1122" s="72" t="s">
        <v>1370</v>
      </c>
      <c r="C1122" s="72"/>
      <c r="D1122" s="72"/>
      <c r="F1122" s="72"/>
      <c r="G1122" s="72"/>
      <c r="H1122" s="72"/>
      <c r="P1122" s="72"/>
      <c r="Q1122" s="72"/>
      <c r="R1122" s="72"/>
      <c r="S1122" s="72"/>
      <c r="T1122" s="72"/>
      <c r="U1122" s="72"/>
      <c r="V1122" s="72"/>
      <c r="W1122" s="72"/>
      <c r="X1122" s="72"/>
      <c r="Y1122" s="72"/>
      <c r="Z1122" s="72"/>
      <c r="AA1122" s="72"/>
      <c r="AF1122" s="72"/>
      <c r="AG1122" s="72"/>
      <c r="AH1122" s="72"/>
    </row>
    <row r="1123" spans="2:34">
      <c r="B1123" s="72" t="s">
        <v>1369</v>
      </c>
      <c r="C1123" s="72"/>
      <c r="D1123" s="72"/>
      <c r="F1123" s="72"/>
      <c r="G1123" s="72"/>
      <c r="H1123" s="72"/>
      <c r="P1123" s="72"/>
      <c r="Q1123" s="72"/>
      <c r="R1123" s="72"/>
      <c r="S1123" s="72"/>
      <c r="T1123" s="72"/>
      <c r="U1123" s="72"/>
      <c r="V1123" s="72"/>
      <c r="W1123" s="72"/>
      <c r="X1123" s="72"/>
      <c r="Y1123" s="72"/>
      <c r="Z1123" s="72"/>
      <c r="AA1123" s="72"/>
      <c r="AF1123" s="72"/>
      <c r="AG1123" s="72"/>
      <c r="AH1123" s="72"/>
    </row>
    <row r="1124" spans="2:34">
      <c r="B1124" s="72" t="s">
        <v>1368</v>
      </c>
      <c r="C1124" s="72"/>
      <c r="D1124" s="72"/>
      <c r="F1124" s="72"/>
      <c r="G1124" s="72"/>
      <c r="H1124" s="72"/>
      <c r="P1124" s="72"/>
      <c r="Q1124" s="72"/>
      <c r="R1124" s="72"/>
      <c r="S1124" s="72"/>
      <c r="T1124" s="72"/>
      <c r="U1124" s="72"/>
      <c r="V1124" s="72"/>
      <c r="W1124" s="72"/>
      <c r="X1124" s="72"/>
      <c r="Y1124" s="72"/>
      <c r="Z1124" s="72"/>
      <c r="AA1124" s="72"/>
      <c r="AF1124" s="72"/>
      <c r="AG1124" s="72"/>
      <c r="AH1124" s="72"/>
    </row>
    <row r="1125" spans="2:34">
      <c r="B1125" s="72" t="s">
        <v>1367</v>
      </c>
      <c r="C1125" s="72"/>
      <c r="D1125" s="72"/>
      <c r="F1125" s="72"/>
      <c r="G1125" s="72"/>
      <c r="H1125" s="72"/>
      <c r="P1125" s="72"/>
      <c r="Q1125" s="72"/>
      <c r="R1125" s="72"/>
      <c r="S1125" s="72"/>
      <c r="T1125" s="72"/>
      <c r="U1125" s="72"/>
      <c r="V1125" s="72"/>
      <c r="W1125" s="72"/>
      <c r="X1125" s="72"/>
      <c r="Y1125" s="72"/>
      <c r="Z1125" s="72"/>
      <c r="AA1125" s="72"/>
      <c r="AF1125" s="72"/>
      <c r="AG1125" s="72"/>
      <c r="AH1125" s="72"/>
    </row>
    <row r="1126" spans="2:34">
      <c r="B1126" s="72" t="s">
        <v>1366</v>
      </c>
      <c r="C1126" s="72"/>
      <c r="D1126" s="72"/>
      <c r="F1126" s="72"/>
      <c r="G1126" s="72"/>
      <c r="H1126" s="72"/>
      <c r="P1126" s="72"/>
      <c r="Q1126" s="72"/>
      <c r="R1126" s="72"/>
      <c r="S1126" s="72"/>
      <c r="T1126" s="72"/>
      <c r="U1126" s="72"/>
      <c r="V1126" s="72"/>
      <c r="W1126" s="72"/>
      <c r="X1126" s="72"/>
      <c r="Y1126" s="72"/>
      <c r="Z1126" s="72"/>
      <c r="AA1126" s="72"/>
      <c r="AF1126" s="72"/>
      <c r="AG1126" s="72"/>
      <c r="AH1126" s="72"/>
    </row>
    <row r="1127" spans="2:34">
      <c r="B1127" s="72" t="s">
        <v>1365</v>
      </c>
      <c r="C1127" s="72"/>
      <c r="D1127" s="72"/>
      <c r="F1127" s="72"/>
      <c r="G1127" s="72"/>
      <c r="H1127" s="72"/>
      <c r="P1127" s="72"/>
      <c r="Q1127" s="72"/>
      <c r="R1127" s="72"/>
      <c r="S1127" s="72"/>
      <c r="T1127" s="72"/>
      <c r="U1127" s="72"/>
      <c r="V1127" s="72"/>
      <c r="W1127" s="72"/>
      <c r="X1127" s="72"/>
      <c r="Y1127" s="72"/>
      <c r="Z1127" s="72"/>
      <c r="AA1127" s="72"/>
      <c r="AF1127" s="72"/>
      <c r="AG1127" s="72"/>
      <c r="AH1127" s="72"/>
    </row>
    <row r="1128" spans="2:34">
      <c r="B1128" s="72" t="s">
        <v>1364</v>
      </c>
      <c r="C1128" s="72"/>
      <c r="D1128" s="72"/>
      <c r="F1128" s="72"/>
      <c r="G1128" s="72"/>
      <c r="H1128" s="72"/>
      <c r="P1128" s="72"/>
      <c r="Q1128" s="72"/>
      <c r="R1128" s="72"/>
      <c r="S1128" s="72"/>
      <c r="T1128" s="72"/>
      <c r="U1128" s="72"/>
      <c r="V1128" s="72"/>
      <c r="W1128" s="72"/>
      <c r="X1128" s="72"/>
      <c r="Y1128" s="72"/>
      <c r="Z1128" s="72"/>
      <c r="AA1128" s="72"/>
      <c r="AE1128" s="25" t="s">
        <v>9727</v>
      </c>
      <c r="AF1128" s="72"/>
      <c r="AG1128" s="72"/>
      <c r="AH1128" s="72"/>
    </row>
    <row r="1129" spans="2:34">
      <c r="B1129" s="72" t="s">
        <v>1363</v>
      </c>
      <c r="C1129" s="72"/>
      <c r="D1129" s="72"/>
      <c r="F1129" s="72"/>
      <c r="G1129" s="72"/>
      <c r="H1129" s="72"/>
      <c r="P1129" s="72"/>
      <c r="Q1129" s="72"/>
      <c r="R1129" s="72"/>
      <c r="S1129" s="72"/>
      <c r="T1129" s="72"/>
      <c r="U1129" s="72"/>
      <c r="V1129" s="72"/>
      <c r="W1129" s="72"/>
      <c r="X1129" s="72"/>
      <c r="Y1129" s="72"/>
      <c r="Z1129" s="72"/>
      <c r="AA1129" s="72"/>
      <c r="AF1129" s="72"/>
      <c r="AG1129" s="72"/>
      <c r="AH1129" s="72"/>
    </row>
    <row r="1130" spans="2:34">
      <c r="B1130" s="72" t="s">
        <v>1362</v>
      </c>
      <c r="C1130" s="72"/>
      <c r="D1130" s="72"/>
      <c r="F1130" s="72"/>
      <c r="G1130" s="72"/>
      <c r="H1130" s="72"/>
      <c r="P1130" s="72"/>
      <c r="Q1130" s="72"/>
      <c r="R1130" s="72"/>
      <c r="S1130" s="72"/>
      <c r="T1130" s="72"/>
      <c r="U1130" s="72"/>
      <c r="V1130" s="72"/>
      <c r="W1130" s="72"/>
      <c r="X1130" s="72"/>
      <c r="Y1130" s="72"/>
      <c r="Z1130" s="72"/>
      <c r="AA1130" s="72"/>
      <c r="AF1130" s="72"/>
      <c r="AG1130" s="72"/>
      <c r="AH1130" s="72"/>
    </row>
    <row r="1131" spans="2:34">
      <c r="B1131" s="72" t="s">
        <v>1361</v>
      </c>
      <c r="C1131" s="72"/>
      <c r="D1131" s="72"/>
      <c r="F1131" s="72"/>
      <c r="G1131" s="72"/>
      <c r="H1131" s="72"/>
      <c r="P1131" s="72"/>
      <c r="Q1131" s="72"/>
      <c r="R1131" s="72"/>
      <c r="S1131" s="72"/>
      <c r="T1131" s="72"/>
      <c r="U1131" s="72"/>
      <c r="V1131" s="72"/>
      <c r="W1131" s="72"/>
      <c r="X1131" s="72"/>
      <c r="Y1131" s="72"/>
      <c r="Z1131" s="72"/>
      <c r="AA1131" s="72"/>
      <c r="AF1131" s="72"/>
      <c r="AG1131" s="72"/>
      <c r="AH1131" s="72"/>
    </row>
    <row r="1132" spans="2:34">
      <c r="B1132" s="72" t="s">
        <v>1360</v>
      </c>
      <c r="C1132" s="72"/>
      <c r="D1132" s="72"/>
      <c r="F1132" s="72"/>
      <c r="G1132" s="72"/>
      <c r="H1132" s="72"/>
      <c r="P1132" s="72"/>
      <c r="Q1132" s="72"/>
      <c r="R1132" s="72"/>
      <c r="S1132" s="72"/>
      <c r="T1132" s="72"/>
      <c r="U1132" s="72"/>
      <c r="V1132" s="72"/>
      <c r="W1132" s="72"/>
      <c r="X1132" s="72"/>
      <c r="Y1132" s="72"/>
      <c r="Z1132" s="72"/>
      <c r="AA1132" s="72"/>
      <c r="AF1132" s="72"/>
      <c r="AG1132" s="72"/>
      <c r="AH1132" s="72"/>
    </row>
    <row r="1133" spans="2:34">
      <c r="B1133" s="72" t="s">
        <v>1359</v>
      </c>
      <c r="C1133" s="72"/>
      <c r="D1133" s="72"/>
      <c r="F1133" s="72"/>
      <c r="G1133" s="72"/>
      <c r="H1133" s="72"/>
      <c r="P1133" s="72"/>
      <c r="Q1133" s="72"/>
      <c r="R1133" s="72"/>
      <c r="S1133" s="72"/>
      <c r="T1133" s="72"/>
      <c r="U1133" s="72"/>
      <c r="V1133" s="72"/>
      <c r="W1133" s="72"/>
      <c r="X1133" s="72"/>
      <c r="Y1133" s="72"/>
      <c r="Z1133" s="72"/>
      <c r="AA1133" s="72"/>
      <c r="AF1133" s="72"/>
      <c r="AG1133" s="72"/>
      <c r="AH1133" s="72"/>
    </row>
    <row r="1134" spans="2:34">
      <c r="B1134" s="72" t="s">
        <v>1358</v>
      </c>
      <c r="C1134" s="72"/>
      <c r="D1134" s="72"/>
      <c r="F1134" s="72"/>
      <c r="G1134" s="72"/>
      <c r="H1134" s="72"/>
      <c r="P1134" s="72"/>
      <c r="Q1134" s="72"/>
      <c r="R1134" s="72"/>
      <c r="S1134" s="72"/>
      <c r="T1134" s="72"/>
      <c r="U1134" s="72"/>
      <c r="V1134" s="72"/>
      <c r="W1134" s="72"/>
      <c r="X1134" s="72"/>
      <c r="Y1134" s="72"/>
      <c r="Z1134" s="72"/>
      <c r="AA1134" s="72"/>
      <c r="AF1134" s="72"/>
      <c r="AG1134" s="72"/>
      <c r="AH1134" s="72"/>
    </row>
    <row r="1135" spans="2:34">
      <c r="B1135" s="72" t="s">
        <v>1357</v>
      </c>
      <c r="C1135" s="72"/>
      <c r="D1135" s="72"/>
      <c r="F1135" s="72"/>
      <c r="G1135" s="72"/>
      <c r="H1135" s="72"/>
      <c r="P1135" s="72"/>
      <c r="Q1135" s="72"/>
      <c r="R1135" s="72"/>
      <c r="S1135" s="72"/>
      <c r="T1135" s="72"/>
      <c r="U1135" s="72"/>
      <c r="V1135" s="72"/>
      <c r="W1135" s="72"/>
      <c r="X1135" s="72"/>
      <c r="Y1135" s="72"/>
      <c r="Z1135" s="72"/>
      <c r="AA1135" s="72"/>
      <c r="AF1135" s="72"/>
      <c r="AG1135" s="72"/>
      <c r="AH1135" s="72"/>
    </row>
    <row r="1136" spans="2:34">
      <c r="B1136" s="72" t="s">
        <v>1356</v>
      </c>
      <c r="C1136" s="72"/>
      <c r="D1136" s="72"/>
      <c r="F1136" s="72"/>
      <c r="G1136" s="72"/>
      <c r="H1136" s="72"/>
      <c r="P1136" s="72"/>
      <c r="Q1136" s="72"/>
      <c r="R1136" s="72"/>
      <c r="S1136" s="72"/>
      <c r="T1136" s="72"/>
      <c r="U1136" s="72"/>
      <c r="V1136" s="72"/>
      <c r="W1136" s="72"/>
      <c r="X1136" s="72"/>
      <c r="Y1136" s="72"/>
      <c r="Z1136" s="72"/>
      <c r="AA1136" s="72"/>
      <c r="AF1136" s="72"/>
      <c r="AG1136" s="72"/>
      <c r="AH1136" s="72"/>
    </row>
    <row r="1137" spans="2:34">
      <c r="B1137" s="72" t="s">
        <v>1355</v>
      </c>
      <c r="C1137" s="72"/>
      <c r="D1137" s="72"/>
      <c r="F1137" s="72"/>
      <c r="G1137" s="72"/>
      <c r="H1137" s="72"/>
      <c r="P1137" s="72"/>
      <c r="Q1137" s="72"/>
      <c r="R1137" s="72"/>
      <c r="S1137" s="72"/>
      <c r="T1137" s="72"/>
      <c r="U1137" s="72"/>
      <c r="V1137" s="72"/>
      <c r="W1137" s="72"/>
      <c r="X1137" s="72"/>
      <c r="Y1137" s="72"/>
      <c r="Z1137" s="72"/>
      <c r="AA1137" s="72"/>
      <c r="AF1137" s="72"/>
      <c r="AG1137" s="72"/>
      <c r="AH1137" s="72"/>
    </row>
    <row r="1138" spans="2:34">
      <c r="B1138" s="72" t="s">
        <v>1354</v>
      </c>
      <c r="C1138" s="72"/>
      <c r="D1138" s="72"/>
      <c r="F1138" s="72"/>
      <c r="G1138" s="72"/>
      <c r="H1138" s="72"/>
      <c r="P1138" s="72"/>
      <c r="Q1138" s="72"/>
      <c r="R1138" s="72"/>
      <c r="S1138" s="72"/>
      <c r="T1138" s="72"/>
      <c r="U1138" s="72"/>
      <c r="V1138" s="72"/>
      <c r="W1138" s="72"/>
      <c r="X1138" s="72"/>
      <c r="Y1138" s="72"/>
      <c r="Z1138" s="72"/>
      <c r="AA1138" s="72"/>
      <c r="AF1138" s="72"/>
      <c r="AG1138" s="72"/>
      <c r="AH1138" s="72"/>
    </row>
    <row r="1139" spans="2:34">
      <c r="B1139" s="72" t="s">
        <v>1353</v>
      </c>
      <c r="C1139" s="72"/>
      <c r="D1139" s="72"/>
      <c r="F1139" s="72"/>
      <c r="G1139" s="72"/>
      <c r="H1139" s="72"/>
      <c r="P1139" s="72"/>
      <c r="Q1139" s="72"/>
      <c r="R1139" s="72"/>
      <c r="S1139" s="72"/>
      <c r="T1139" s="72"/>
      <c r="U1139" s="72"/>
      <c r="V1139" s="72"/>
      <c r="W1139" s="72"/>
      <c r="X1139" s="72"/>
      <c r="Y1139" s="72"/>
      <c r="Z1139" s="72"/>
      <c r="AA1139" s="72"/>
      <c r="AF1139" s="72"/>
      <c r="AG1139" s="72"/>
      <c r="AH1139" s="72"/>
    </row>
    <row r="1140" spans="2:34">
      <c r="B1140" s="72" t="s">
        <v>1352</v>
      </c>
      <c r="C1140" s="72"/>
      <c r="D1140" s="72"/>
      <c r="F1140" s="72"/>
      <c r="G1140" s="72"/>
      <c r="H1140" s="72"/>
      <c r="P1140" s="72"/>
      <c r="Q1140" s="72"/>
      <c r="R1140" s="72"/>
      <c r="S1140" s="72"/>
      <c r="T1140" s="72"/>
      <c r="U1140" s="72"/>
      <c r="V1140" s="72"/>
      <c r="W1140" s="72"/>
      <c r="X1140" s="72"/>
      <c r="Y1140" s="72"/>
      <c r="Z1140" s="72"/>
      <c r="AA1140" s="72"/>
      <c r="AF1140" s="72"/>
      <c r="AG1140" s="72"/>
      <c r="AH1140" s="72"/>
    </row>
    <row r="1141" spans="2:34">
      <c r="B1141" s="72" t="s">
        <v>1351</v>
      </c>
      <c r="C1141" s="72"/>
      <c r="D1141" s="72"/>
      <c r="F1141" s="72"/>
      <c r="G1141" s="72"/>
      <c r="H1141" s="72"/>
      <c r="P1141" s="72"/>
      <c r="Q1141" s="72"/>
      <c r="R1141" s="72"/>
      <c r="S1141" s="72"/>
      <c r="T1141" s="72"/>
      <c r="U1141" s="72"/>
      <c r="V1141" s="72"/>
      <c r="W1141" s="72"/>
      <c r="X1141" s="72"/>
      <c r="Y1141" s="72"/>
      <c r="Z1141" s="72"/>
      <c r="AA1141" s="72"/>
      <c r="AF1141" s="72"/>
      <c r="AG1141" s="72"/>
      <c r="AH1141" s="72"/>
    </row>
    <row r="1142" spans="2:34">
      <c r="B1142" s="72" t="s">
        <v>1350</v>
      </c>
      <c r="C1142" s="72"/>
      <c r="D1142" s="72"/>
      <c r="F1142" s="72"/>
      <c r="G1142" s="72"/>
      <c r="H1142" s="72"/>
      <c r="P1142" s="72"/>
      <c r="Q1142" s="72"/>
      <c r="R1142" s="72"/>
      <c r="S1142" s="72"/>
      <c r="T1142" s="72"/>
      <c r="U1142" s="72"/>
      <c r="V1142" s="72"/>
      <c r="W1142" s="72"/>
      <c r="X1142" s="72"/>
      <c r="Y1142" s="72"/>
      <c r="Z1142" s="72"/>
      <c r="AA1142" s="72"/>
      <c r="AF1142" s="72"/>
      <c r="AG1142" s="72"/>
      <c r="AH1142" s="72"/>
    </row>
    <row r="1143" spans="2:34">
      <c r="B1143" s="72" t="s">
        <v>1349</v>
      </c>
      <c r="C1143" s="72"/>
      <c r="D1143" s="72"/>
      <c r="F1143" s="72"/>
      <c r="G1143" s="72"/>
      <c r="H1143" s="72"/>
      <c r="P1143" s="72"/>
      <c r="Q1143" s="72"/>
      <c r="R1143" s="72"/>
      <c r="S1143" s="72"/>
      <c r="T1143" s="72"/>
      <c r="U1143" s="72"/>
      <c r="V1143" s="72"/>
      <c r="W1143" s="72"/>
      <c r="X1143" s="72"/>
      <c r="Y1143" s="72"/>
      <c r="Z1143" s="72"/>
      <c r="AA1143" s="72"/>
      <c r="AF1143" s="72"/>
      <c r="AG1143" s="72"/>
      <c r="AH1143" s="72"/>
    </row>
    <row r="1144" spans="2:34">
      <c r="B1144" s="72" t="s">
        <v>1348</v>
      </c>
      <c r="C1144" s="72"/>
      <c r="D1144" s="72"/>
      <c r="F1144" s="72"/>
      <c r="G1144" s="72"/>
      <c r="H1144" s="72"/>
      <c r="P1144" s="72"/>
      <c r="Q1144" s="72"/>
      <c r="R1144" s="72"/>
      <c r="S1144" s="72"/>
      <c r="T1144" s="72"/>
      <c r="U1144" s="72"/>
      <c r="V1144" s="72"/>
      <c r="W1144" s="72"/>
      <c r="X1144" s="72"/>
      <c r="Y1144" s="72"/>
      <c r="Z1144" s="72"/>
      <c r="AA1144" s="72"/>
      <c r="AF1144" s="72"/>
      <c r="AG1144" s="72"/>
      <c r="AH1144" s="72"/>
    </row>
    <row r="1145" spans="2:34">
      <c r="B1145" s="72" t="s">
        <v>1347</v>
      </c>
      <c r="C1145" s="72"/>
      <c r="D1145" s="72"/>
      <c r="F1145" s="72"/>
      <c r="G1145" s="72"/>
      <c r="H1145" s="72"/>
      <c r="P1145" s="72"/>
      <c r="Q1145" s="72"/>
      <c r="R1145" s="72"/>
      <c r="S1145" s="72"/>
      <c r="T1145" s="72"/>
      <c r="U1145" s="72"/>
      <c r="V1145" s="72"/>
      <c r="W1145" s="72"/>
      <c r="X1145" s="72"/>
      <c r="Y1145" s="72"/>
      <c r="Z1145" s="72"/>
      <c r="AA1145" s="72"/>
      <c r="AF1145" s="72"/>
      <c r="AG1145" s="72"/>
      <c r="AH1145" s="72"/>
    </row>
    <row r="1146" spans="2:34">
      <c r="B1146" s="72" t="s">
        <v>1346</v>
      </c>
      <c r="C1146" s="72"/>
      <c r="D1146" s="72"/>
      <c r="F1146" s="72"/>
      <c r="G1146" s="72"/>
      <c r="H1146" s="72"/>
      <c r="P1146" s="72"/>
      <c r="Q1146" s="72"/>
      <c r="R1146" s="72"/>
      <c r="S1146" s="72"/>
      <c r="T1146" s="72"/>
      <c r="U1146" s="72"/>
      <c r="V1146" s="72"/>
      <c r="W1146" s="72"/>
      <c r="X1146" s="72"/>
      <c r="Y1146" s="72"/>
      <c r="Z1146" s="72"/>
      <c r="AA1146" s="72"/>
      <c r="AF1146" s="72"/>
      <c r="AG1146" s="72"/>
      <c r="AH1146" s="72"/>
    </row>
    <row r="1147" spans="2:34">
      <c r="B1147" s="72" t="s">
        <v>1345</v>
      </c>
      <c r="C1147" s="72"/>
      <c r="D1147" s="72"/>
      <c r="F1147" s="72"/>
      <c r="G1147" s="72"/>
      <c r="H1147" s="72"/>
      <c r="P1147" s="72"/>
      <c r="Q1147" s="72"/>
      <c r="R1147" s="72"/>
      <c r="S1147" s="72"/>
      <c r="T1147" s="72"/>
      <c r="U1147" s="72"/>
      <c r="V1147" s="72"/>
      <c r="W1147" s="72"/>
      <c r="X1147" s="72"/>
      <c r="Y1147" s="72"/>
      <c r="Z1147" s="72"/>
      <c r="AA1147" s="72"/>
      <c r="AF1147" s="72"/>
      <c r="AG1147" s="72"/>
      <c r="AH1147" s="72"/>
    </row>
    <row r="1148" spans="2:34">
      <c r="B1148" s="72" t="s">
        <v>1344</v>
      </c>
      <c r="C1148" s="72"/>
      <c r="D1148" s="72"/>
      <c r="F1148" s="72"/>
      <c r="G1148" s="72"/>
      <c r="H1148" s="72"/>
      <c r="P1148" s="72"/>
      <c r="Q1148" s="72"/>
      <c r="R1148" s="72"/>
      <c r="S1148" s="72"/>
      <c r="T1148" s="72"/>
      <c r="U1148" s="72"/>
      <c r="V1148" s="72"/>
      <c r="W1148" s="72"/>
      <c r="X1148" s="72"/>
      <c r="Y1148" s="72"/>
      <c r="Z1148" s="72"/>
      <c r="AA1148" s="72"/>
      <c r="AF1148" s="72"/>
      <c r="AG1148" s="72"/>
      <c r="AH1148" s="72"/>
    </row>
    <row r="1149" spans="2:34">
      <c r="B1149" s="72" t="s">
        <v>1343</v>
      </c>
      <c r="C1149" s="72"/>
      <c r="D1149" s="72"/>
      <c r="F1149" s="72"/>
      <c r="G1149" s="72"/>
      <c r="H1149" s="72"/>
      <c r="P1149" s="72"/>
      <c r="Q1149" s="72"/>
      <c r="R1149" s="72"/>
      <c r="S1149" s="72"/>
      <c r="T1149" s="72"/>
      <c r="U1149" s="72"/>
      <c r="V1149" s="72"/>
      <c r="W1149" s="72"/>
      <c r="X1149" s="72"/>
      <c r="Y1149" s="72"/>
      <c r="Z1149" s="72"/>
      <c r="AA1149" s="72"/>
      <c r="AF1149" s="72"/>
      <c r="AG1149" s="72"/>
      <c r="AH1149" s="72"/>
    </row>
    <row r="1150" spans="2:34">
      <c r="B1150" s="72" t="s">
        <v>1342</v>
      </c>
      <c r="C1150" s="72"/>
      <c r="D1150" s="72"/>
      <c r="F1150" s="72"/>
      <c r="G1150" s="72"/>
      <c r="H1150" s="72"/>
      <c r="P1150" s="72"/>
      <c r="Q1150" s="72"/>
      <c r="R1150" s="72"/>
      <c r="S1150" s="72"/>
      <c r="T1150" s="72"/>
      <c r="U1150" s="72"/>
      <c r="V1150" s="72"/>
      <c r="W1150" s="72"/>
      <c r="X1150" s="72"/>
      <c r="Y1150" s="72"/>
      <c r="Z1150" s="72"/>
      <c r="AA1150" s="72"/>
      <c r="AF1150" s="72"/>
      <c r="AG1150" s="72"/>
      <c r="AH1150" s="72"/>
    </row>
    <row r="1151" spans="2:34">
      <c r="B1151" s="72" t="s">
        <v>1341</v>
      </c>
      <c r="C1151" s="72"/>
      <c r="D1151" s="72"/>
      <c r="F1151" s="72"/>
      <c r="G1151" s="72"/>
      <c r="H1151" s="72"/>
      <c r="P1151" s="72"/>
      <c r="Q1151" s="72"/>
      <c r="R1151" s="72"/>
      <c r="S1151" s="72"/>
      <c r="T1151" s="72"/>
      <c r="U1151" s="72"/>
      <c r="V1151" s="72"/>
      <c r="W1151" s="72"/>
      <c r="X1151" s="72"/>
      <c r="Y1151" s="72"/>
      <c r="Z1151" s="72"/>
      <c r="AA1151" s="72"/>
      <c r="AF1151" s="72"/>
      <c r="AG1151" s="72"/>
      <c r="AH1151" s="72"/>
    </row>
    <row r="1152" spans="2:34">
      <c r="B1152" s="72" t="s">
        <v>1340</v>
      </c>
      <c r="C1152" s="72"/>
      <c r="D1152" s="72"/>
      <c r="F1152" s="72"/>
      <c r="G1152" s="72"/>
      <c r="H1152" s="72"/>
      <c r="P1152" s="72"/>
      <c r="Q1152" s="72"/>
      <c r="R1152" s="72"/>
      <c r="S1152" s="72"/>
      <c r="T1152" s="72"/>
      <c r="U1152" s="72"/>
      <c r="V1152" s="72"/>
      <c r="W1152" s="72"/>
      <c r="X1152" s="72"/>
      <c r="Y1152" s="72"/>
      <c r="Z1152" s="72"/>
      <c r="AA1152" s="72"/>
      <c r="AF1152" s="72"/>
      <c r="AG1152" s="72"/>
      <c r="AH1152" s="72"/>
    </row>
    <row r="1153" spans="2:34">
      <c r="B1153" s="72" t="s">
        <v>1339</v>
      </c>
      <c r="C1153" s="72"/>
      <c r="D1153" s="72"/>
      <c r="F1153" s="72"/>
      <c r="G1153" s="72"/>
      <c r="H1153" s="72"/>
      <c r="P1153" s="72"/>
      <c r="Q1153" s="72"/>
      <c r="R1153" s="72"/>
      <c r="S1153" s="72"/>
      <c r="T1153" s="72"/>
      <c r="U1153" s="72"/>
      <c r="V1153" s="72"/>
      <c r="W1153" s="72"/>
      <c r="X1153" s="72"/>
      <c r="Y1153" s="72"/>
      <c r="Z1153" s="72"/>
      <c r="AA1153" s="72"/>
      <c r="AF1153" s="72"/>
      <c r="AG1153" s="72"/>
      <c r="AH1153" s="72"/>
    </row>
    <row r="1154" spans="2:34">
      <c r="B1154" s="72" t="s">
        <v>1338</v>
      </c>
      <c r="C1154" s="72"/>
      <c r="D1154" s="72"/>
      <c r="F1154" s="72"/>
      <c r="G1154" s="72"/>
      <c r="H1154" s="72"/>
      <c r="P1154" s="72"/>
      <c r="Q1154" s="72"/>
      <c r="R1154" s="72"/>
      <c r="S1154" s="72"/>
      <c r="T1154" s="72"/>
      <c r="U1154" s="72"/>
      <c r="V1154" s="72"/>
      <c r="W1154" s="72"/>
      <c r="X1154" s="72"/>
      <c r="Y1154" s="72"/>
      <c r="Z1154" s="72"/>
      <c r="AA1154" s="72"/>
      <c r="AF1154" s="72"/>
      <c r="AG1154" s="72"/>
      <c r="AH1154" s="72"/>
    </row>
    <row r="1155" spans="2:34">
      <c r="B1155" s="72" t="s">
        <v>1337</v>
      </c>
      <c r="C1155" s="72"/>
      <c r="D1155" s="72"/>
      <c r="F1155" s="72"/>
      <c r="G1155" s="72"/>
      <c r="H1155" s="72"/>
      <c r="P1155" s="72"/>
      <c r="Q1155" s="72"/>
      <c r="R1155" s="72"/>
      <c r="S1155" s="72"/>
      <c r="T1155" s="72"/>
      <c r="U1155" s="72"/>
      <c r="V1155" s="72"/>
      <c r="W1155" s="72"/>
      <c r="X1155" s="72"/>
      <c r="Y1155" s="72"/>
      <c r="Z1155" s="72"/>
      <c r="AA1155" s="72"/>
      <c r="AF1155" s="72"/>
      <c r="AG1155" s="72"/>
      <c r="AH1155" s="72"/>
    </row>
    <row r="1156" spans="2:34">
      <c r="B1156" s="72" t="s">
        <v>1336</v>
      </c>
      <c r="C1156" s="72"/>
      <c r="D1156" s="72"/>
      <c r="F1156" s="72"/>
      <c r="G1156" s="72"/>
      <c r="H1156" s="72"/>
      <c r="P1156" s="72"/>
      <c r="Q1156" s="72"/>
      <c r="R1156" s="72"/>
      <c r="S1156" s="72"/>
      <c r="T1156" s="72"/>
      <c r="U1156" s="72"/>
      <c r="V1156" s="72"/>
      <c r="W1156" s="72"/>
      <c r="X1156" s="72"/>
      <c r="Y1156" s="72"/>
      <c r="Z1156" s="72"/>
      <c r="AA1156" s="72"/>
      <c r="AF1156" s="72"/>
      <c r="AG1156" s="72"/>
      <c r="AH1156" s="72"/>
    </row>
    <row r="1157" spans="2:34">
      <c r="B1157" s="72" t="s">
        <v>1335</v>
      </c>
      <c r="C1157" s="72"/>
      <c r="D1157" s="72"/>
      <c r="F1157" s="72"/>
      <c r="G1157" s="72"/>
      <c r="H1157" s="72"/>
      <c r="P1157" s="72"/>
      <c r="Q1157" s="72"/>
      <c r="R1157" s="72"/>
      <c r="S1157" s="72"/>
      <c r="T1157" s="72"/>
      <c r="U1157" s="72"/>
      <c r="V1157" s="72"/>
      <c r="W1157" s="72"/>
      <c r="X1157" s="72"/>
      <c r="Y1157" s="72"/>
      <c r="Z1157" s="72"/>
      <c r="AA1157" s="72"/>
      <c r="AF1157" s="72"/>
      <c r="AG1157" s="72"/>
      <c r="AH1157" s="72"/>
    </row>
    <row r="1158" spans="2:34">
      <c r="B1158" s="72" t="s">
        <v>1334</v>
      </c>
      <c r="P1158" s="72"/>
      <c r="Q1158" s="72"/>
      <c r="R1158" s="72"/>
      <c r="S1158" s="72"/>
      <c r="T1158" s="72"/>
      <c r="U1158" s="72"/>
      <c r="V1158" s="72"/>
      <c r="W1158" s="72"/>
      <c r="X1158" s="72"/>
      <c r="Y1158" s="72"/>
      <c r="Z1158" s="72"/>
      <c r="AA1158" s="72"/>
      <c r="AF1158" s="72"/>
      <c r="AG1158" s="72"/>
      <c r="AH1158" s="72"/>
    </row>
    <row r="1159" spans="2:34">
      <c r="B1159" s="72" t="s">
        <v>1333</v>
      </c>
      <c r="P1159" s="72"/>
      <c r="Q1159" s="72"/>
      <c r="R1159" s="72"/>
      <c r="S1159" s="72"/>
      <c r="T1159" s="72"/>
      <c r="U1159" s="72"/>
      <c r="V1159" s="72"/>
      <c r="W1159" s="72"/>
      <c r="X1159" s="72"/>
      <c r="Y1159" s="72"/>
      <c r="Z1159" s="72"/>
      <c r="AA1159" s="72"/>
      <c r="AF1159" s="72"/>
      <c r="AG1159" s="72"/>
      <c r="AH1159" s="72"/>
    </row>
    <row r="1160" spans="2:34">
      <c r="B1160" s="72" t="s">
        <v>1332</v>
      </c>
      <c r="P1160" s="72"/>
      <c r="Q1160" s="72"/>
      <c r="R1160" s="72"/>
      <c r="S1160" s="72"/>
      <c r="T1160" s="72"/>
      <c r="U1160" s="72"/>
      <c r="V1160" s="72"/>
      <c r="W1160" s="72"/>
      <c r="X1160" s="72"/>
      <c r="Y1160" s="72"/>
      <c r="Z1160" s="72"/>
      <c r="AA1160" s="72"/>
      <c r="AF1160" s="72"/>
      <c r="AG1160" s="72"/>
      <c r="AH1160" s="72"/>
    </row>
    <row r="1161" spans="2:34">
      <c r="B1161" s="72" t="s">
        <v>1331</v>
      </c>
      <c r="P1161" s="72"/>
      <c r="Q1161" s="72"/>
      <c r="R1161" s="72"/>
      <c r="S1161" s="72"/>
      <c r="T1161" s="72"/>
      <c r="U1161" s="72"/>
      <c r="V1161" s="72"/>
      <c r="W1161" s="72"/>
      <c r="X1161" s="72"/>
      <c r="Y1161" s="72"/>
      <c r="Z1161" s="72"/>
      <c r="AA1161" s="72"/>
      <c r="AF1161" s="72"/>
      <c r="AG1161" s="72"/>
      <c r="AH1161" s="72"/>
    </row>
    <row r="1162" spans="2:34">
      <c r="B1162" s="72" t="s">
        <v>1330</v>
      </c>
      <c r="P1162" s="72"/>
      <c r="Q1162" s="72"/>
      <c r="R1162" s="72"/>
      <c r="S1162" s="72"/>
      <c r="T1162" s="72"/>
      <c r="U1162" s="72"/>
      <c r="V1162" s="72"/>
      <c r="W1162" s="72"/>
      <c r="X1162" s="72"/>
      <c r="Y1162" s="72"/>
      <c r="Z1162" s="72"/>
      <c r="AA1162" s="72"/>
      <c r="AF1162" s="72"/>
      <c r="AG1162" s="72"/>
      <c r="AH1162" s="72"/>
    </row>
    <row r="1163" spans="2:34">
      <c r="B1163" s="72" t="s">
        <v>1329</v>
      </c>
      <c r="K1163" s="72" t="s">
        <v>3331</v>
      </c>
      <c r="L1163" s="72" t="s">
        <v>3331</v>
      </c>
      <c r="P1163" s="72"/>
      <c r="Q1163" s="72"/>
      <c r="R1163" s="72"/>
      <c r="S1163" s="72"/>
      <c r="T1163" s="72"/>
      <c r="U1163" s="72"/>
      <c r="V1163" s="72"/>
      <c r="W1163" s="72"/>
      <c r="X1163" s="72"/>
      <c r="Y1163" s="72"/>
      <c r="Z1163" s="72"/>
      <c r="AA1163" s="72"/>
      <c r="AF1163" s="72"/>
      <c r="AG1163" s="72"/>
      <c r="AH1163" s="72"/>
    </row>
    <row r="1164" spans="2:34">
      <c r="B1164" s="72" t="s">
        <v>1328</v>
      </c>
      <c r="P1164" s="72"/>
      <c r="Q1164" s="72"/>
      <c r="R1164" s="72"/>
      <c r="S1164" s="72"/>
      <c r="T1164" s="72"/>
      <c r="U1164" s="72"/>
      <c r="V1164" s="72"/>
      <c r="W1164" s="72"/>
      <c r="X1164" s="72"/>
      <c r="Y1164" s="72"/>
      <c r="Z1164" s="72"/>
      <c r="AA1164" s="72"/>
      <c r="AF1164" s="72"/>
      <c r="AG1164" s="72"/>
      <c r="AH1164" s="72"/>
    </row>
    <row r="1165" spans="2:34">
      <c r="B1165" s="72" t="s">
        <v>1327</v>
      </c>
      <c r="P1165" s="72"/>
      <c r="Q1165" s="72"/>
      <c r="R1165" s="72"/>
      <c r="S1165" s="72"/>
      <c r="T1165" s="72"/>
      <c r="U1165" s="72"/>
      <c r="V1165" s="72"/>
      <c r="W1165" s="72"/>
      <c r="X1165" s="72"/>
      <c r="Y1165" s="72"/>
      <c r="Z1165" s="72"/>
      <c r="AA1165" s="72"/>
      <c r="AF1165" s="72"/>
      <c r="AG1165" s="72"/>
      <c r="AH1165" s="72"/>
    </row>
    <row r="1166" spans="2:34">
      <c r="B1166" s="72" t="s">
        <v>1326</v>
      </c>
      <c r="P1166" s="72"/>
      <c r="Q1166" s="72"/>
      <c r="R1166" s="72"/>
      <c r="S1166" s="72"/>
      <c r="T1166" s="72"/>
      <c r="U1166" s="72"/>
      <c r="V1166" s="72"/>
      <c r="W1166" s="72"/>
      <c r="X1166" s="72"/>
      <c r="Y1166" s="72"/>
      <c r="Z1166" s="72"/>
      <c r="AA1166" s="72"/>
      <c r="AF1166" s="72"/>
      <c r="AG1166" s="72"/>
      <c r="AH1166" s="72"/>
    </row>
    <row r="1167" spans="2:34">
      <c r="B1167" s="72" t="s">
        <v>1325</v>
      </c>
      <c r="P1167" s="72"/>
      <c r="Q1167" s="72"/>
      <c r="R1167" s="72"/>
      <c r="S1167" s="72"/>
      <c r="T1167" s="72"/>
      <c r="U1167" s="72"/>
      <c r="V1167" s="72"/>
      <c r="W1167" s="72"/>
      <c r="X1167" s="72"/>
      <c r="Y1167" s="72"/>
      <c r="Z1167" s="72"/>
      <c r="AA1167" s="72"/>
      <c r="AF1167" s="72"/>
      <c r="AG1167" s="72"/>
      <c r="AH1167" s="72"/>
    </row>
    <row r="1168" spans="2:34">
      <c r="B1168" s="72" t="s">
        <v>1324</v>
      </c>
      <c r="P1168" s="72"/>
      <c r="Q1168" s="72"/>
      <c r="R1168" s="72"/>
      <c r="S1168" s="72"/>
      <c r="T1168" s="72"/>
      <c r="U1168" s="72"/>
      <c r="V1168" s="72"/>
      <c r="W1168" s="72"/>
      <c r="X1168" s="72"/>
      <c r="Y1168" s="72"/>
      <c r="Z1168" s="72"/>
      <c r="AA1168" s="72"/>
      <c r="AF1168" s="72"/>
      <c r="AG1168" s="72"/>
      <c r="AH1168" s="72"/>
    </row>
    <row r="1169" spans="2:34">
      <c r="B1169" s="72" t="s">
        <v>1323</v>
      </c>
      <c r="P1169" s="72"/>
      <c r="Q1169" s="72"/>
      <c r="R1169" s="72"/>
      <c r="S1169" s="72"/>
      <c r="T1169" s="72"/>
      <c r="U1169" s="72"/>
      <c r="V1169" s="72"/>
      <c r="W1169" s="72"/>
      <c r="X1169" s="72"/>
      <c r="Y1169" s="72"/>
      <c r="Z1169" s="72"/>
      <c r="AA1169" s="72"/>
      <c r="AF1169" s="72"/>
      <c r="AG1169" s="72"/>
      <c r="AH1169" s="72"/>
    </row>
    <row r="1170" spans="2:34">
      <c r="B1170" s="72" t="s">
        <v>1322</v>
      </c>
      <c r="P1170" s="72"/>
      <c r="Q1170" s="72"/>
      <c r="R1170" s="72"/>
      <c r="S1170" s="72"/>
      <c r="T1170" s="72"/>
      <c r="U1170" s="72"/>
      <c r="V1170" s="72"/>
      <c r="W1170" s="72"/>
      <c r="X1170" s="72"/>
      <c r="Y1170" s="72"/>
      <c r="Z1170" s="72"/>
      <c r="AA1170" s="72"/>
      <c r="AF1170" s="72"/>
      <c r="AG1170" s="72"/>
      <c r="AH1170" s="72"/>
    </row>
    <row r="1171" spans="2:34">
      <c r="B1171" s="72" t="s">
        <v>1321</v>
      </c>
      <c r="P1171" s="72"/>
      <c r="Q1171" s="72"/>
      <c r="R1171" s="72"/>
      <c r="S1171" s="72"/>
      <c r="T1171" s="72"/>
      <c r="U1171" s="72"/>
      <c r="V1171" s="72"/>
      <c r="W1171" s="72"/>
      <c r="X1171" s="72"/>
      <c r="Y1171" s="72"/>
      <c r="Z1171" s="72"/>
      <c r="AA1171" s="72"/>
      <c r="AF1171" s="72"/>
      <c r="AG1171" s="72"/>
      <c r="AH1171" s="72"/>
    </row>
    <row r="1172" spans="2:34">
      <c r="B1172" s="72" t="s">
        <v>1320</v>
      </c>
      <c r="P1172" s="72"/>
      <c r="Q1172" s="72"/>
      <c r="R1172" s="72"/>
      <c r="S1172" s="72"/>
      <c r="T1172" s="72"/>
      <c r="U1172" s="72"/>
      <c r="V1172" s="72"/>
      <c r="W1172" s="72"/>
      <c r="X1172" s="72"/>
      <c r="Y1172" s="72"/>
      <c r="Z1172" s="72"/>
      <c r="AA1172" s="72"/>
      <c r="AF1172" s="72"/>
      <c r="AG1172" s="72"/>
      <c r="AH1172" s="72"/>
    </row>
    <row r="1173" spans="2:34">
      <c r="B1173" s="72" t="s">
        <v>1319</v>
      </c>
      <c r="P1173" s="72"/>
      <c r="Q1173" s="72"/>
      <c r="R1173" s="72"/>
      <c r="S1173" s="72"/>
      <c r="T1173" s="72"/>
      <c r="U1173" s="72"/>
      <c r="V1173" s="72"/>
      <c r="W1173" s="72"/>
      <c r="X1173" s="72"/>
      <c r="Y1173" s="72"/>
      <c r="Z1173" s="72"/>
      <c r="AA1173" s="72"/>
      <c r="AF1173" s="72"/>
      <c r="AG1173" s="72"/>
      <c r="AH1173" s="72"/>
    </row>
    <row r="1174" spans="2:34">
      <c r="B1174" s="72" t="s">
        <v>1318</v>
      </c>
      <c r="C1174" s="72"/>
      <c r="D1174" s="72"/>
      <c r="F1174" s="72"/>
      <c r="G1174" s="72"/>
      <c r="H1174" s="72"/>
      <c r="P1174" s="72"/>
      <c r="Q1174" s="72"/>
      <c r="R1174" s="72"/>
      <c r="S1174" s="72"/>
      <c r="T1174" s="72"/>
      <c r="U1174" s="72"/>
      <c r="V1174" s="72"/>
      <c r="W1174" s="72"/>
      <c r="X1174" s="72"/>
      <c r="Y1174" s="72"/>
      <c r="Z1174" s="72"/>
      <c r="AA1174" s="72"/>
      <c r="AF1174" s="72"/>
      <c r="AG1174" s="72"/>
      <c r="AH1174" s="72"/>
    </row>
    <row r="1175" spans="2:34">
      <c r="B1175" s="72" t="s">
        <v>1317</v>
      </c>
      <c r="C1175" s="72"/>
      <c r="D1175" s="72"/>
      <c r="F1175" s="72"/>
      <c r="G1175" s="72"/>
      <c r="H1175" s="72"/>
      <c r="P1175" s="72"/>
      <c r="Q1175" s="72"/>
      <c r="R1175" s="72"/>
      <c r="S1175" s="72"/>
      <c r="T1175" s="72"/>
      <c r="U1175" s="72"/>
      <c r="V1175" s="72"/>
      <c r="W1175" s="72"/>
      <c r="X1175" s="72"/>
      <c r="Y1175" s="72"/>
      <c r="Z1175" s="72"/>
      <c r="AA1175" s="72"/>
      <c r="AF1175" s="72"/>
      <c r="AG1175" s="72"/>
      <c r="AH1175" s="72"/>
    </row>
    <row r="1176" spans="2:34">
      <c r="B1176" s="72" t="s">
        <v>1316</v>
      </c>
      <c r="C1176" s="72"/>
      <c r="D1176" s="72"/>
      <c r="F1176" s="72"/>
      <c r="G1176" s="72"/>
      <c r="H1176" s="72"/>
      <c r="P1176" s="72"/>
      <c r="Q1176" s="72"/>
      <c r="R1176" s="72"/>
      <c r="S1176" s="72"/>
      <c r="T1176" s="72"/>
      <c r="U1176" s="72"/>
      <c r="V1176" s="72"/>
      <c r="W1176" s="72"/>
      <c r="X1176" s="72"/>
      <c r="Y1176" s="72"/>
      <c r="Z1176" s="72"/>
      <c r="AA1176" s="72"/>
      <c r="AF1176" s="72"/>
      <c r="AG1176" s="72"/>
      <c r="AH1176" s="72"/>
    </row>
    <row r="1177" spans="2:34">
      <c r="B1177" s="72" t="s">
        <v>1315</v>
      </c>
      <c r="C1177" s="72"/>
      <c r="D1177" s="72"/>
      <c r="F1177" s="72"/>
      <c r="G1177" s="72"/>
      <c r="H1177" s="72"/>
      <c r="P1177" s="72"/>
      <c r="Q1177" s="72"/>
      <c r="R1177" s="72"/>
      <c r="S1177" s="72"/>
      <c r="T1177" s="72"/>
      <c r="U1177" s="72"/>
      <c r="V1177" s="72"/>
      <c r="W1177" s="72"/>
      <c r="X1177" s="72"/>
      <c r="Y1177" s="72"/>
      <c r="Z1177" s="72"/>
      <c r="AA1177" s="72"/>
      <c r="AF1177" s="72"/>
      <c r="AG1177" s="72"/>
      <c r="AH1177" s="72"/>
    </row>
    <row r="1178" spans="2:34">
      <c r="B1178" s="72" t="s">
        <v>1314</v>
      </c>
      <c r="C1178" s="72"/>
      <c r="D1178" s="72"/>
      <c r="F1178" s="72"/>
      <c r="G1178" s="72"/>
      <c r="H1178" s="72"/>
      <c r="P1178" s="72"/>
      <c r="Q1178" s="72"/>
      <c r="R1178" s="72"/>
      <c r="S1178" s="72"/>
      <c r="T1178" s="72"/>
      <c r="U1178" s="72"/>
      <c r="V1178" s="72"/>
      <c r="W1178" s="72"/>
      <c r="X1178" s="72"/>
      <c r="Y1178" s="72"/>
      <c r="Z1178" s="72"/>
      <c r="AA1178" s="72"/>
      <c r="AF1178" s="72"/>
      <c r="AG1178" s="72"/>
      <c r="AH1178" s="72"/>
    </row>
    <row r="1179" spans="2:34">
      <c r="B1179" s="72" t="s">
        <v>1313</v>
      </c>
      <c r="C1179" s="72"/>
      <c r="D1179" s="72"/>
      <c r="F1179" s="72"/>
      <c r="G1179" s="72"/>
      <c r="H1179" s="72"/>
      <c r="P1179" s="72"/>
      <c r="Q1179" s="72"/>
      <c r="R1179" s="72"/>
      <c r="S1179" s="72"/>
      <c r="T1179" s="72"/>
      <c r="U1179" s="72"/>
      <c r="V1179" s="72"/>
      <c r="W1179" s="72"/>
      <c r="X1179" s="72"/>
      <c r="Y1179" s="72"/>
      <c r="Z1179" s="72"/>
      <c r="AA1179" s="72"/>
      <c r="AF1179" s="72"/>
      <c r="AG1179" s="72"/>
      <c r="AH1179" s="72"/>
    </row>
    <row r="1180" spans="2:34">
      <c r="B1180" s="72" t="s">
        <v>1312</v>
      </c>
      <c r="C1180" s="72"/>
      <c r="D1180" s="72"/>
      <c r="F1180" s="72"/>
      <c r="G1180" s="72"/>
      <c r="H1180" s="72"/>
      <c r="P1180" s="72"/>
      <c r="Q1180" s="72"/>
      <c r="R1180" s="72"/>
      <c r="S1180" s="72"/>
      <c r="T1180" s="72"/>
      <c r="U1180" s="72"/>
      <c r="V1180" s="72"/>
      <c r="W1180" s="72"/>
      <c r="X1180" s="72"/>
      <c r="Y1180" s="72"/>
      <c r="Z1180" s="72"/>
      <c r="AA1180" s="72"/>
      <c r="AF1180" s="72"/>
      <c r="AG1180" s="72"/>
      <c r="AH1180" s="72"/>
    </row>
    <row r="1181" spans="2:34">
      <c r="B1181" s="72" t="s">
        <v>1311</v>
      </c>
      <c r="C1181" s="72"/>
      <c r="D1181" s="72"/>
      <c r="F1181" s="72"/>
      <c r="G1181" s="72"/>
      <c r="H1181" s="72"/>
      <c r="P1181" s="72"/>
      <c r="Q1181" s="72"/>
      <c r="R1181" s="72"/>
      <c r="S1181" s="72"/>
      <c r="T1181" s="72"/>
      <c r="U1181" s="72"/>
      <c r="V1181" s="72"/>
      <c r="W1181" s="72"/>
      <c r="X1181" s="72"/>
      <c r="Y1181" s="72"/>
      <c r="Z1181" s="72"/>
      <c r="AA1181" s="72"/>
      <c r="AF1181" s="72"/>
      <c r="AG1181" s="72"/>
      <c r="AH1181" s="72"/>
    </row>
    <row r="1182" spans="2:34">
      <c r="B1182" s="72" t="s">
        <v>1310</v>
      </c>
      <c r="C1182" s="72"/>
      <c r="D1182" s="72"/>
      <c r="F1182" s="72"/>
      <c r="G1182" s="72"/>
      <c r="H1182" s="72"/>
      <c r="P1182" s="72"/>
      <c r="Q1182" s="72"/>
      <c r="R1182" s="72"/>
      <c r="S1182" s="72"/>
      <c r="T1182" s="72"/>
      <c r="U1182" s="72"/>
      <c r="V1182" s="72"/>
      <c r="W1182" s="72"/>
      <c r="X1182" s="72"/>
      <c r="Y1182" s="72"/>
      <c r="Z1182" s="72"/>
      <c r="AA1182" s="72"/>
      <c r="AF1182" s="72"/>
      <c r="AG1182" s="72"/>
      <c r="AH1182" s="72"/>
    </row>
    <row r="1183" spans="2:34">
      <c r="B1183" s="72" t="s">
        <v>1309</v>
      </c>
      <c r="C1183" s="72"/>
      <c r="D1183" s="72"/>
      <c r="F1183" s="72"/>
      <c r="G1183" s="72"/>
      <c r="H1183" s="72"/>
      <c r="P1183" s="72"/>
      <c r="Q1183" s="72"/>
      <c r="R1183" s="72"/>
      <c r="S1183" s="72"/>
      <c r="T1183" s="72"/>
      <c r="U1183" s="72"/>
      <c r="V1183" s="72"/>
      <c r="W1183" s="72"/>
      <c r="X1183" s="72"/>
      <c r="Y1183" s="72"/>
      <c r="Z1183" s="72"/>
      <c r="AA1183" s="72"/>
      <c r="AF1183" s="72"/>
      <c r="AG1183" s="72"/>
      <c r="AH1183" s="72"/>
    </row>
    <row r="1184" spans="2:34">
      <c r="B1184" s="72" t="s">
        <v>1308</v>
      </c>
      <c r="C1184" s="72"/>
      <c r="D1184" s="72"/>
      <c r="F1184" s="72"/>
      <c r="G1184" s="72"/>
      <c r="H1184" s="72"/>
      <c r="P1184" s="72"/>
      <c r="Q1184" s="72"/>
      <c r="R1184" s="72"/>
      <c r="S1184" s="72"/>
      <c r="T1184" s="72"/>
      <c r="U1184" s="72"/>
      <c r="V1184" s="72"/>
      <c r="W1184" s="72"/>
      <c r="X1184" s="72"/>
      <c r="Y1184" s="72"/>
      <c r="Z1184" s="72"/>
      <c r="AA1184" s="72"/>
      <c r="AF1184" s="72"/>
      <c r="AG1184" s="72"/>
      <c r="AH1184" s="72"/>
    </row>
    <row r="1185" spans="2:34">
      <c r="B1185" s="72" t="s">
        <v>1307</v>
      </c>
      <c r="C1185" s="72"/>
      <c r="D1185" s="72"/>
      <c r="F1185" s="72"/>
      <c r="G1185" s="72"/>
      <c r="H1185" s="72"/>
      <c r="P1185" s="72"/>
      <c r="Q1185" s="72"/>
      <c r="R1185" s="72"/>
      <c r="S1185" s="72"/>
      <c r="T1185" s="72"/>
      <c r="U1185" s="72"/>
      <c r="V1185" s="72"/>
      <c r="W1185" s="72"/>
      <c r="X1185" s="72"/>
      <c r="Y1185" s="72"/>
      <c r="Z1185" s="72"/>
      <c r="AA1185" s="72"/>
      <c r="AF1185" s="72"/>
      <c r="AG1185" s="72"/>
      <c r="AH1185" s="72"/>
    </row>
    <row r="1186" spans="2:34">
      <c r="B1186" s="72" t="s">
        <v>1306</v>
      </c>
      <c r="C1186" s="72"/>
      <c r="D1186" s="72"/>
      <c r="F1186" s="72"/>
      <c r="G1186" s="72"/>
      <c r="H1186" s="72"/>
      <c r="P1186" s="72"/>
      <c r="Q1186" s="72"/>
      <c r="R1186" s="72"/>
      <c r="S1186" s="72"/>
      <c r="T1186" s="72"/>
      <c r="U1186" s="72"/>
      <c r="V1186" s="72"/>
      <c r="W1186" s="72"/>
      <c r="X1186" s="72"/>
      <c r="Y1186" s="72"/>
      <c r="Z1186" s="72"/>
      <c r="AA1186" s="72"/>
      <c r="AF1186" s="72"/>
      <c r="AG1186" s="72"/>
      <c r="AH1186" s="72"/>
    </row>
    <row r="1187" spans="2:34">
      <c r="B1187" s="72" t="s">
        <v>1305</v>
      </c>
      <c r="C1187" s="72"/>
      <c r="D1187" s="72"/>
      <c r="F1187" s="72"/>
      <c r="G1187" s="72"/>
      <c r="H1187" s="72"/>
      <c r="P1187" s="72"/>
      <c r="Q1187" s="72"/>
      <c r="R1187" s="72"/>
      <c r="S1187" s="72"/>
      <c r="T1187" s="72"/>
      <c r="U1187" s="72"/>
      <c r="V1187" s="72"/>
      <c r="W1187" s="72"/>
      <c r="X1187" s="72"/>
      <c r="Y1187" s="72"/>
      <c r="Z1187" s="72"/>
      <c r="AA1187" s="72"/>
      <c r="AF1187" s="72"/>
      <c r="AG1187" s="72"/>
      <c r="AH1187" s="72"/>
    </row>
    <row r="1188" spans="2:34">
      <c r="B1188" s="72" t="s">
        <v>1304</v>
      </c>
      <c r="C1188" s="72"/>
      <c r="D1188" s="72"/>
      <c r="F1188" s="72"/>
      <c r="G1188" s="72"/>
      <c r="H1188" s="72"/>
      <c r="P1188" s="72"/>
      <c r="Q1188" s="72"/>
      <c r="R1188" s="72"/>
      <c r="S1188" s="72"/>
      <c r="T1188" s="72"/>
      <c r="U1188" s="72"/>
      <c r="V1188" s="72"/>
      <c r="W1188" s="72"/>
      <c r="X1188" s="72"/>
      <c r="Y1188" s="72"/>
      <c r="Z1188" s="72"/>
      <c r="AA1188" s="72"/>
      <c r="AF1188" s="72"/>
      <c r="AG1188" s="72"/>
      <c r="AH1188" s="72"/>
    </row>
    <row r="1189" spans="2:34">
      <c r="B1189" s="72" t="s">
        <v>4294</v>
      </c>
      <c r="C1189" s="72"/>
      <c r="D1189" s="72"/>
      <c r="F1189" s="72"/>
      <c r="G1189" s="72"/>
      <c r="H1189" s="72"/>
      <c r="P1189" s="72"/>
      <c r="Q1189" s="72"/>
      <c r="R1189" s="72"/>
      <c r="S1189" s="72"/>
      <c r="T1189" s="72"/>
      <c r="U1189" s="72"/>
      <c r="V1189" s="72"/>
      <c r="W1189" s="72"/>
      <c r="X1189" s="72"/>
      <c r="Y1189" s="72"/>
      <c r="Z1189" s="72"/>
      <c r="AA1189" s="72"/>
      <c r="AF1189" s="72"/>
      <c r="AG1189" s="72"/>
      <c r="AH1189" s="72"/>
    </row>
    <row r="1190" spans="2:34">
      <c r="B1190" s="72" t="s">
        <v>1303</v>
      </c>
      <c r="C1190" s="72"/>
      <c r="D1190" s="72"/>
      <c r="F1190" s="72"/>
      <c r="G1190" s="72"/>
      <c r="H1190" s="72"/>
      <c r="P1190" s="72"/>
      <c r="Q1190" s="72"/>
      <c r="R1190" s="72"/>
      <c r="S1190" s="72"/>
      <c r="T1190" s="72"/>
      <c r="U1190" s="72"/>
      <c r="V1190" s="72"/>
      <c r="W1190" s="72"/>
      <c r="X1190" s="72"/>
      <c r="Y1190" s="72"/>
      <c r="Z1190" s="72"/>
      <c r="AA1190" s="72"/>
      <c r="AF1190" s="72"/>
      <c r="AG1190" s="72"/>
      <c r="AH1190" s="72"/>
    </row>
    <row r="1191" spans="2:34">
      <c r="B1191" s="72" t="s">
        <v>1302</v>
      </c>
      <c r="C1191" s="72"/>
      <c r="D1191" s="72"/>
      <c r="F1191" s="72"/>
      <c r="G1191" s="72"/>
      <c r="H1191" s="72"/>
      <c r="P1191" s="72"/>
      <c r="Q1191" s="72"/>
      <c r="R1191" s="72"/>
      <c r="S1191" s="72"/>
      <c r="T1191" s="72"/>
      <c r="U1191" s="72"/>
      <c r="V1191" s="72"/>
      <c r="W1191" s="72"/>
      <c r="X1191" s="72"/>
      <c r="Y1191" s="72"/>
      <c r="Z1191" s="72"/>
      <c r="AA1191" s="72"/>
      <c r="AF1191" s="72"/>
      <c r="AG1191" s="72"/>
      <c r="AH1191" s="72"/>
    </row>
    <row r="1192" spans="2:34">
      <c r="B1192" s="72" t="s">
        <v>1301</v>
      </c>
      <c r="C1192" s="72"/>
      <c r="D1192" s="72"/>
      <c r="F1192" s="72"/>
      <c r="G1192" s="72"/>
      <c r="H1192" s="72"/>
      <c r="P1192" s="72"/>
      <c r="Q1192" s="72"/>
      <c r="R1192" s="72"/>
      <c r="S1192" s="72"/>
      <c r="T1192" s="72"/>
      <c r="U1192" s="72"/>
      <c r="V1192" s="72"/>
      <c r="W1192" s="72"/>
      <c r="X1192" s="72"/>
      <c r="Y1192" s="72"/>
      <c r="Z1192" s="72"/>
      <c r="AA1192" s="72"/>
      <c r="AF1192" s="72"/>
      <c r="AG1192" s="72"/>
      <c r="AH1192" s="72"/>
    </row>
    <row r="1193" spans="2:34">
      <c r="B1193" s="72" t="s">
        <v>1300</v>
      </c>
      <c r="C1193" s="72"/>
      <c r="D1193" s="72"/>
      <c r="F1193" s="72"/>
      <c r="G1193" s="72"/>
      <c r="H1193" s="72"/>
      <c r="P1193" s="72"/>
      <c r="Q1193" s="72"/>
      <c r="R1193" s="72"/>
      <c r="S1193" s="72"/>
      <c r="T1193" s="72"/>
      <c r="U1193" s="72"/>
      <c r="V1193" s="72"/>
      <c r="W1193" s="72"/>
      <c r="X1193" s="72"/>
      <c r="Y1193" s="72"/>
      <c r="Z1193" s="72"/>
      <c r="AA1193" s="72"/>
      <c r="AF1193" s="72"/>
      <c r="AG1193" s="72"/>
      <c r="AH1193" s="72"/>
    </row>
    <row r="1194" spans="2:34">
      <c r="B1194" s="72" t="s">
        <v>1299</v>
      </c>
      <c r="C1194" s="72"/>
      <c r="D1194" s="72"/>
      <c r="F1194" s="72"/>
      <c r="G1194" s="72"/>
      <c r="H1194" s="72"/>
      <c r="P1194" s="72"/>
      <c r="Q1194" s="72"/>
      <c r="R1194" s="72"/>
      <c r="S1194" s="72"/>
      <c r="T1194" s="72"/>
      <c r="U1194" s="72"/>
      <c r="V1194" s="72"/>
      <c r="W1194" s="72"/>
      <c r="X1194" s="72"/>
      <c r="Y1194" s="72"/>
      <c r="Z1194" s="72"/>
      <c r="AA1194" s="72"/>
      <c r="AF1194" s="72"/>
      <c r="AG1194" s="72"/>
      <c r="AH1194" s="72"/>
    </row>
    <row r="1195" spans="2:34">
      <c r="B1195" s="72" t="s">
        <v>1298</v>
      </c>
      <c r="C1195" s="72"/>
      <c r="D1195" s="72"/>
      <c r="F1195" s="72"/>
      <c r="G1195" s="72"/>
      <c r="H1195" s="72"/>
      <c r="P1195" s="72"/>
      <c r="Q1195" s="72"/>
      <c r="R1195" s="72"/>
      <c r="S1195" s="72"/>
      <c r="T1195" s="72"/>
      <c r="U1195" s="72"/>
      <c r="V1195" s="72"/>
      <c r="W1195" s="72"/>
      <c r="X1195" s="72"/>
      <c r="Y1195" s="72"/>
      <c r="Z1195" s="72"/>
      <c r="AA1195" s="72"/>
      <c r="AF1195" s="72"/>
      <c r="AG1195" s="72"/>
      <c r="AH1195" s="72"/>
    </row>
    <row r="1196" spans="2:34">
      <c r="B1196" s="72" t="s">
        <v>1297</v>
      </c>
      <c r="C1196" s="72"/>
      <c r="D1196" s="72"/>
      <c r="F1196" s="72"/>
      <c r="G1196" s="72"/>
      <c r="H1196" s="72"/>
      <c r="P1196" s="72"/>
      <c r="Q1196" s="72"/>
      <c r="R1196" s="72"/>
      <c r="S1196" s="72"/>
      <c r="T1196" s="72"/>
      <c r="U1196" s="72"/>
      <c r="V1196" s="72"/>
      <c r="W1196" s="72"/>
      <c r="X1196" s="72"/>
      <c r="Y1196" s="72"/>
      <c r="Z1196" s="72"/>
      <c r="AA1196" s="72"/>
      <c r="AF1196" s="72"/>
      <c r="AG1196" s="72"/>
      <c r="AH1196" s="72"/>
    </row>
    <row r="1197" spans="2:34">
      <c r="B1197" s="72" t="s">
        <v>1296</v>
      </c>
      <c r="C1197" s="72"/>
      <c r="D1197" s="72"/>
      <c r="F1197" s="72"/>
      <c r="G1197" s="72"/>
      <c r="H1197" s="72"/>
      <c r="P1197" s="72"/>
      <c r="Q1197" s="72"/>
      <c r="R1197" s="72"/>
      <c r="S1197" s="72"/>
      <c r="T1197" s="72"/>
      <c r="U1197" s="72"/>
      <c r="V1197" s="72"/>
      <c r="W1197" s="72"/>
      <c r="X1197" s="72"/>
      <c r="Y1197" s="72"/>
      <c r="Z1197" s="72"/>
      <c r="AA1197" s="72"/>
      <c r="AF1197" s="72"/>
      <c r="AG1197" s="72"/>
      <c r="AH1197" s="72"/>
    </row>
    <row r="1198" spans="2:34">
      <c r="B1198" s="72" t="s">
        <v>1295</v>
      </c>
      <c r="C1198" s="72"/>
      <c r="D1198" s="72"/>
      <c r="F1198" s="72"/>
      <c r="G1198" s="72"/>
      <c r="H1198" s="72"/>
      <c r="P1198" s="72"/>
      <c r="Q1198" s="72"/>
      <c r="R1198" s="72"/>
      <c r="S1198" s="72"/>
      <c r="T1198" s="72"/>
      <c r="U1198" s="72"/>
      <c r="V1198" s="72"/>
      <c r="W1198" s="72"/>
      <c r="X1198" s="72"/>
      <c r="Y1198" s="72"/>
      <c r="Z1198" s="72"/>
      <c r="AA1198" s="72"/>
      <c r="AF1198" s="72"/>
      <c r="AG1198" s="72"/>
      <c r="AH1198" s="72"/>
    </row>
    <row r="1199" spans="2:34">
      <c r="B1199" s="72" t="s">
        <v>1294</v>
      </c>
      <c r="C1199" s="72"/>
      <c r="D1199" s="72"/>
      <c r="F1199" s="72"/>
      <c r="G1199" s="72"/>
      <c r="H1199" s="72"/>
      <c r="P1199" s="72"/>
      <c r="Q1199" s="72"/>
      <c r="R1199" s="72"/>
      <c r="S1199" s="72"/>
      <c r="T1199" s="72"/>
      <c r="U1199" s="72"/>
      <c r="V1199" s="72"/>
      <c r="W1199" s="72"/>
      <c r="X1199" s="72"/>
      <c r="Y1199" s="72"/>
      <c r="Z1199" s="72"/>
      <c r="AA1199" s="72"/>
      <c r="AF1199" s="72"/>
      <c r="AG1199" s="72"/>
      <c r="AH1199" s="72"/>
    </row>
    <row r="1200" spans="2:34">
      <c r="B1200" s="72" t="s">
        <v>1293</v>
      </c>
      <c r="C1200" s="72"/>
      <c r="D1200" s="72"/>
      <c r="F1200" s="72"/>
      <c r="G1200" s="72"/>
      <c r="H1200" s="72"/>
      <c r="P1200" s="72"/>
      <c r="Q1200" s="72"/>
      <c r="R1200" s="72"/>
      <c r="S1200" s="72"/>
      <c r="T1200" s="72"/>
      <c r="U1200" s="72"/>
      <c r="V1200" s="72"/>
      <c r="W1200" s="72"/>
      <c r="X1200" s="72"/>
      <c r="Y1200" s="72"/>
      <c r="Z1200" s="72"/>
      <c r="AA1200" s="72"/>
      <c r="AF1200" s="72"/>
      <c r="AG1200" s="72"/>
      <c r="AH1200" s="72"/>
    </row>
    <row r="1201" spans="2:34">
      <c r="B1201" s="72" t="s">
        <v>1292</v>
      </c>
      <c r="C1201" s="72"/>
      <c r="D1201" s="72"/>
      <c r="F1201" s="72"/>
      <c r="G1201" s="72"/>
      <c r="H1201" s="72"/>
      <c r="P1201" s="72"/>
      <c r="Q1201" s="72"/>
      <c r="R1201" s="72"/>
      <c r="S1201" s="72"/>
      <c r="T1201" s="72"/>
      <c r="U1201" s="72"/>
      <c r="V1201" s="72"/>
      <c r="W1201" s="72"/>
      <c r="X1201" s="72"/>
      <c r="Y1201" s="72"/>
      <c r="Z1201" s="72"/>
      <c r="AA1201" s="72"/>
      <c r="AF1201" s="72"/>
      <c r="AG1201" s="72"/>
      <c r="AH1201" s="72"/>
    </row>
    <row r="1202" spans="2:34">
      <c r="B1202" s="72" t="s">
        <v>1291</v>
      </c>
      <c r="C1202" s="72"/>
      <c r="D1202" s="72"/>
      <c r="F1202" s="72"/>
      <c r="G1202" s="72"/>
      <c r="H1202" s="72"/>
      <c r="P1202" s="72"/>
      <c r="Q1202" s="72"/>
      <c r="R1202" s="72"/>
      <c r="S1202" s="72"/>
      <c r="T1202" s="72"/>
      <c r="U1202" s="72"/>
      <c r="V1202" s="72"/>
      <c r="W1202" s="72"/>
      <c r="X1202" s="72"/>
      <c r="Y1202" s="72"/>
      <c r="Z1202" s="72"/>
      <c r="AA1202" s="72"/>
      <c r="AF1202" s="72"/>
      <c r="AG1202" s="72"/>
      <c r="AH1202" s="72"/>
    </row>
    <row r="1203" spans="2:34">
      <c r="B1203" s="72" t="s">
        <v>1290</v>
      </c>
      <c r="C1203" s="72"/>
      <c r="D1203" s="72"/>
      <c r="F1203" s="72"/>
      <c r="G1203" s="72"/>
      <c r="H1203" s="72"/>
      <c r="P1203" s="72"/>
      <c r="Q1203" s="72"/>
      <c r="R1203" s="72"/>
      <c r="S1203" s="72"/>
      <c r="T1203" s="72"/>
      <c r="U1203" s="72"/>
      <c r="V1203" s="72"/>
      <c r="W1203" s="72"/>
      <c r="X1203" s="72"/>
      <c r="Y1203" s="72"/>
      <c r="Z1203" s="72"/>
      <c r="AA1203" s="72"/>
      <c r="AF1203" s="72"/>
      <c r="AG1203" s="72"/>
      <c r="AH1203" s="72"/>
    </row>
    <row r="1204" spans="2:34">
      <c r="B1204" s="72" t="s">
        <v>1289</v>
      </c>
      <c r="C1204" s="72"/>
      <c r="D1204" s="72"/>
      <c r="F1204" s="72"/>
      <c r="G1204" s="72"/>
      <c r="H1204" s="72"/>
      <c r="P1204" s="72"/>
      <c r="Q1204" s="72"/>
      <c r="R1204" s="72"/>
      <c r="S1204" s="72"/>
      <c r="T1204" s="72"/>
      <c r="U1204" s="72"/>
      <c r="V1204" s="72"/>
      <c r="W1204" s="72"/>
      <c r="X1204" s="72"/>
      <c r="Y1204" s="72"/>
      <c r="Z1204" s="72"/>
      <c r="AA1204" s="72"/>
      <c r="AF1204" s="72"/>
      <c r="AG1204" s="72"/>
      <c r="AH1204" s="72"/>
    </row>
    <row r="1205" spans="2:34">
      <c r="B1205" s="72" t="s">
        <v>1288</v>
      </c>
      <c r="C1205" s="72"/>
      <c r="D1205" s="72"/>
      <c r="F1205" s="72"/>
      <c r="G1205" s="72"/>
      <c r="H1205" s="72"/>
      <c r="P1205" s="72"/>
      <c r="Q1205" s="72"/>
      <c r="R1205" s="72"/>
      <c r="S1205" s="72"/>
      <c r="T1205" s="72"/>
      <c r="U1205" s="72"/>
      <c r="V1205" s="72"/>
      <c r="W1205" s="72"/>
      <c r="X1205" s="72"/>
      <c r="Y1205" s="72"/>
      <c r="Z1205" s="72"/>
      <c r="AA1205" s="72"/>
      <c r="AF1205" s="72"/>
      <c r="AG1205" s="72"/>
      <c r="AH1205" s="72"/>
    </row>
    <row r="1206" spans="2:34">
      <c r="B1206" s="72" t="s">
        <v>1287</v>
      </c>
      <c r="C1206" s="72"/>
      <c r="D1206" s="72"/>
      <c r="F1206" s="72"/>
      <c r="G1206" s="72"/>
      <c r="H1206" s="72"/>
      <c r="P1206" s="72"/>
      <c r="Q1206" s="72"/>
      <c r="R1206" s="72"/>
      <c r="S1206" s="72"/>
      <c r="T1206" s="72"/>
      <c r="U1206" s="72"/>
      <c r="V1206" s="72"/>
      <c r="W1206" s="72"/>
      <c r="X1206" s="72"/>
      <c r="Y1206" s="72"/>
      <c r="Z1206" s="72"/>
      <c r="AA1206" s="72"/>
      <c r="AF1206" s="72"/>
      <c r="AG1206" s="72"/>
      <c r="AH1206" s="72"/>
    </row>
    <row r="1207" spans="2:34">
      <c r="B1207" s="72" t="s">
        <v>1286</v>
      </c>
      <c r="C1207" s="72"/>
      <c r="D1207" s="72"/>
      <c r="F1207" s="72"/>
      <c r="G1207" s="72"/>
      <c r="H1207" s="72"/>
      <c r="P1207" s="72"/>
      <c r="Q1207" s="72"/>
      <c r="R1207" s="72"/>
      <c r="S1207" s="72"/>
      <c r="T1207" s="72"/>
      <c r="U1207" s="72"/>
      <c r="V1207" s="72"/>
      <c r="W1207" s="72"/>
      <c r="X1207" s="72"/>
      <c r="Y1207" s="72"/>
      <c r="Z1207" s="72"/>
      <c r="AA1207" s="72"/>
      <c r="AF1207" s="72"/>
      <c r="AG1207" s="72"/>
      <c r="AH1207" s="72"/>
    </row>
    <row r="1208" spans="2:34">
      <c r="B1208" s="72" t="s">
        <v>1285</v>
      </c>
      <c r="C1208" s="72"/>
      <c r="D1208" s="72"/>
      <c r="F1208" s="72"/>
      <c r="G1208" s="72"/>
      <c r="H1208" s="72"/>
      <c r="P1208" s="72"/>
      <c r="Q1208" s="72"/>
      <c r="R1208" s="72"/>
      <c r="S1208" s="72"/>
      <c r="T1208" s="72"/>
      <c r="U1208" s="72"/>
      <c r="V1208" s="72"/>
      <c r="W1208" s="72"/>
      <c r="X1208" s="72"/>
      <c r="Y1208" s="72"/>
      <c r="Z1208" s="72"/>
      <c r="AA1208" s="72"/>
      <c r="AF1208" s="72"/>
      <c r="AG1208" s="72"/>
      <c r="AH1208" s="72"/>
    </row>
    <row r="1209" spans="2:34">
      <c r="B1209" s="72" t="s">
        <v>1284</v>
      </c>
      <c r="C1209" s="72"/>
      <c r="D1209" s="72"/>
      <c r="F1209" s="72"/>
      <c r="G1209" s="72"/>
      <c r="H1209" s="72"/>
      <c r="P1209" s="72"/>
      <c r="Q1209" s="72"/>
      <c r="R1209" s="72"/>
      <c r="S1209" s="72"/>
      <c r="T1209" s="72"/>
      <c r="U1209" s="72"/>
      <c r="V1209" s="72"/>
      <c r="W1209" s="72"/>
      <c r="X1209" s="72"/>
      <c r="Y1209" s="72"/>
      <c r="Z1209" s="72"/>
      <c r="AA1209" s="72"/>
      <c r="AF1209" s="72"/>
      <c r="AG1209" s="72"/>
      <c r="AH1209" s="72"/>
    </row>
    <row r="1210" spans="2:34">
      <c r="B1210" s="72" t="s">
        <v>1283</v>
      </c>
      <c r="C1210" s="72"/>
      <c r="D1210" s="72"/>
      <c r="F1210" s="72"/>
      <c r="G1210" s="72"/>
      <c r="H1210" s="72"/>
      <c r="P1210" s="72"/>
      <c r="Q1210" s="72"/>
      <c r="R1210" s="72"/>
      <c r="S1210" s="72"/>
      <c r="T1210" s="72"/>
      <c r="U1210" s="72"/>
      <c r="V1210" s="72"/>
      <c r="W1210" s="72"/>
      <c r="X1210" s="72"/>
      <c r="Y1210" s="72"/>
      <c r="Z1210" s="72"/>
      <c r="AA1210" s="72"/>
      <c r="AF1210" s="72"/>
      <c r="AG1210" s="72"/>
      <c r="AH1210" s="72"/>
    </row>
    <row r="1211" spans="2:34">
      <c r="B1211" s="72" t="s">
        <v>1282</v>
      </c>
      <c r="C1211" s="72"/>
      <c r="D1211" s="72"/>
      <c r="F1211" s="72"/>
      <c r="G1211" s="72"/>
      <c r="H1211" s="72"/>
      <c r="P1211" s="72"/>
      <c r="Q1211" s="72"/>
      <c r="R1211" s="72"/>
      <c r="S1211" s="72"/>
      <c r="T1211" s="72"/>
      <c r="U1211" s="72"/>
      <c r="V1211" s="72"/>
      <c r="W1211" s="72"/>
      <c r="X1211" s="72"/>
      <c r="Y1211" s="72"/>
      <c r="Z1211" s="72"/>
      <c r="AA1211" s="72"/>
      <c r="AF1211" s="72"/>
      <c r="AG1211" s="72"/>
      <c r="AH1211" s="72"/>
    </row>
    <row r="1212" spans="2:34">
      <c r="B1212" s="72" t="s">
        <v>1281</v>
      </c>
      <c r="C1212" s="72"/>
      <c r="D1212" s="72"/>
      <c r="F1212" s="72"/>
      <c r="G1212" s="72"/>
      <c r="H1212" s="72"/>
      <c r="P1212" s="72"/>
      <c r="Q1212" s="72"/>
      <c r="R1212" s="72"/>
      <c r="S1212" s="72"/>
      <c r="T1212" s="72"/>
      <c r="U1212" s="72"/>
      <c r="V1212" s="72"/>
      <c r="W1212" s="72"/>
      <c r="X1212" s="72"/>
      <c r="Y1212" s="72"/>
      <c r="Z1212" s="72"/>
      <c r="AA1212" s="72"/>
      <c r="AF1212" s="72"/>
      <c r="AG1212" s="72"/>
      <c r="AH1212" s="72"/>
    </row>
    <row r="1213" spans="2:34">
      <c r="B1213" s="72" t="s">
        <v>1280</v>
      </c>
      <c r="C1213" s="72"/>
      <c r="D1213" s="72"/>
      <c r="F1213" s="72"/>
      <c r="G1213" s="72"/>
      <c r="H1213" s="72"/>
      <c r="P1213" s="72"/>
      <c r="Q1213" s="72"/>
      <c r="R1213" s="72"/>
      <c r="S1213" s="72"/>
      <c r="T1213" s="72"/>
      <c r="U1213" s="72"/>
      <c r="V1213" s="72"/>
      <c r="W1213" s="72"/>
      <c r="X1213" s="72"/>
      <c r="Y1213" s="72"/>
      <c r="Z1213" s="72"/>
      <c r="AA1213" s="72"/>
      <c r="AF1213" s="72"/>
      <c r="AG1213" s="72"/>
      <c r="AH1213" s="72"/>
    </row>
    <row r="1214" spans="2:34">
      <c r="B1214" s="72" t="s">
        <v>1279</v>
      </c>
      <c r="C1214" s="72"/>
      <c r="D1214" s="72"/>
      <c r="F1214" s="72"/>
      <c r="G1214" s="72"/>
      <c r="H1214" s="72"/>
      <c r="P1214" s="72"/>
      <c r="Q1214" s="72"/>
      <c r="R1214" s="72"/>
      <c r="S1214" s="72"/>
      <c r="T1214" s="72"/>
      <c r="U1214" s="72"/>
      <c r="V1214" s="72"/>
      <c r="W1214" s="72"/>
      <c r="X1214" s="72"/>
      <c r="Y1214" s="72"/>
      <c r="Z1214" s="72"/>
      <c r="AA1214" s="72"/>
      <c r="AF1214" s="72"/>
      <c r="AG1214" s="72"/>
      <c r="AH1214" s="72"/>
    </row>
    <row r="1215" spans="2:34">
      <c r="B1215" s="72" t="s">
        <v>1278</v>
      </c>
      <c r="C1215" s="72"/>
      <c r="D1215" s="72"/>
      <c r="F1215" s="72"/>
      <c r="G1215" s="72"/>
      <c r="H1215" s="72"/>
      <c r="P1215" s="72"/>
      <c r="Q1215" s="72"/>
      <c r="R1215" s="72"/>
      <c r="S1215" s="72"/>
      <c r="T1215" s="72"/>
      <c r="U1215" s="72"/>
      <c r="V1215" s="72"/>
      <c r="W1215" s="72"/>
      <c r="X1215" s="72"/>
      <c r="Y1215" s="72"/>
      <c r="Z1215" s="72"/>
      <c r="AA1215" s="72"/>
      <c r="AF1215" s="72"/>
      <c r="AG1215" s="72"/>
      <c r="AH1215" s="72"/>
    </row>
    <row r="1216" spans="2:34">
      <c r="B1216" s="72" t="s">
        <v>1277</v>
      </c>
      <c r="C1216" s="72"/>
      <c r="D1216" s="72"/>
      <c r="F1216" s="72"/>
      <c r="G1216" s="72"/>
      <c r="H1216" s="72"/>
      <c r="P1216" s="72"/>
      <c r="Q1216" s="72"/>
      <c r="R1216" s="72"/>
      <c r="S1216" s="72"/>
      <c r="T1216" s="72"/>
      <c r="U1216" s="72"/>
      <c r="V1216" s="72"/>
      <c r="W1216" s="72"/>
      <c r="X1216" s="72"/>
      <c r="Y1216" s="72"/>
      <c r="Z1216" s="72"/>
      <c r="AA1216" s="72"/>
      <c r="AF1216" s="72"/>
      <c r="AG1216" s="72"/>
      <c r="AH1216" s="72"/>
    </row>
    <row r="1217" spans="2:34">
      <c r="B1217" s="72" t="s">
        <v>1276</v>
      </c>
      <c r="C1217" s="72"/>
      <c r="D1217" s="72"/>
      <c r="F1217" s="72"/>
      <c r="G1217" s="72"/>
      <c r="H1217" s="72"/>
      <c r="P1217" s="72"/>
      <c r="Q1217" s="72"/>
      <c r="R1217" s="72"/>
      <c r="S1217" s="72"/>
      <c r="T1217" s="72"/>
      <c r="U1217" s="72"/>
      <c r="V1217" s="72"/>
      <c r="W1217" s="72"/>
      <c r="X1217" s="72"/>
      <c r="Y1217" s="72"/>
      <c r="Z1217" s="72"/>
      <c r="AA1217" s="72"/>
      <c r="AF1217" s="72"/>
      <c r="AG1217" s="72"/>
      <c r="AH1217" s="72"/>
    </row>
    <row r="1218" spans="2:34">
      <c r="B1218" s="72" t="s">
        <v>1275</v>
      </c>
      <c r="C1218" s="72"/>
      <c r="D1218" s="72"/>
      <c r="F1218" s="72"/>
      <c r="G1218" s="72"/>
      <c r="H1218" s="72"/>
      <c r="P1218" s="72"/>
      <c r="Q1218" s="72"/>
      <c r="R1218" s="72"/>
      <c r="S1218" s="72"/>
      <c r="T1218" s="72"/>
      <c r="U1218" s="72"/>
      <c r="V1218" s="72"/>
      <c r="W1218" s="72"/>
      <c r="X1218" s="72"/>
      <c r="Y1218" s="72"/>
      <c r="Z1218" s="72"/>
      <c r="AA1218" s="72"/>
      <c r="AF1218" s="72"/>
      <c r="AG1218" s="72"/>
      <c r="AH1218" s="72"/>
    </row>
    <row r="1219" spans="2:34">
      <c r="B1219" s="72" t="s">
        <v>1274</v>
      </c>
      <c r="C1219" s="72"/>
      <c r="D1219" s="72"/>
      <c r="F1219" s="72"/>
      <c r="G1219" s="72"/>
      <c r="H1219" s="72"/>
      <c r="P1219" s="72"/>
      <c r="Q1219" s="72"/>
      <c r="R1219" s="72"/>
      <c r="S1219" s="72"/>
      <c r="T1219" s="72"/>
      <c r="U1219" s="72"/>
      <c r="V1219" s="72"/>
      <c r="W1219" s="72"/>
      <c r="X1219" s="72"/>
      <c r="Y1219" s="72"/>
      <c r="Z1219" s="72"/>
      <c r="AA1219" s="72"/>
      <c r="AF1219" s="72"/>
      <c r="AG1219" s="72"/>
      <c r="AH1219" s="72"/>
    </row>
    <row r="1220" spans="2:34">
      <c r="B1220" s="72" t="s">
        <v>1273</v>
      </c>
      <c r="C1220" s="72"/>
      <c r="D1220" s="72"/>
      <c r="F1220" s="72"/>
      <c r="G1220" s="72"/>
      <c r="H1220" s="72"/>
      <c r="P1220" s="72"/>
      <c r="Q1220" s="72"/>
      <c r="R1220" s="72"/>
      <c r="S1220" s="72"/>
      <c r="T1220" s="72"/>
      <c r="U1220" s="72"/>
      <c r="V1220" s="72"/>
      <c r="W1220" s="72"/>
      <c r="X1220" s="72"/>
      <c r="Y1220" s="72"/>
      <c r="Z1220" s="72"/>
      <c r="AA1220" s="72"/>
      <c r="AF1220" s="72"/>
      <c r="AG1220" s="72"/>
      <c r="AH1220" s="72"/>
    </row>
    <row r="1221" spans="2:34">
      <c r="B1221" s="72" t="s">
        <v>1272</v>
      </c>
      <c r="C1221" s="72"/>
      <c r="D1221" s="72"/>
      <c r="F1221" s="72"/>
      <c r="G1221" s="72"/>
      <c r="H1221" s="72"/>
      <c r="P1221" s="72"/>
      <c r="Q1221" s="72"/>
      <c r="R1221" s="72"/>
      <c r="S1221" s="72"/>
      <c r="T1221" s="72"/>
      <c r="U1221" s="72"/>
      <c r="V1221" s="72"/>
      <c r="W1221" s="72"/>
      <c r="X1221" s="72"/>
      <c r="Y1221" s="72"/>
      <c r="Z1221" s="72"/>
      <c r="AA1221" s="72"/>
      <c r="AF1221" s="72"/>
      <c r="AG1221" s="72"/>
      <c r="AH1221" s="72"/>
    </row>
    <row r="1222" spans="2:34">
      <c r="B1222" s="72" t="s">
        <v>1271</v>
      </c>
      <c r="C1222" s="72"/>
      <c r="D1222" s="72"/>
      <c r="F1222" s="72"/>
      <c r="G1222" s="72"/>
      <c r="H1222" s="72"/>
      <c r="P1222" s="72"/>
      <c r="Q1222" s="72"/>
      <c r="R1222" s="72"/>
      <c r="S1222" s="72"/>
      <c r="T1222" s="72"/>
      <c r="U1222" s="72"/>
      <c r="V1222" s="72"/>
      <c r="W1222" s="72"/>
      <c r="X1222" s="72"/>
      <c r="Y1222" s="72"/>
      <c r="Z1222" s="72"/>
      <c r="AA1222" s="72"/>
      <c r="AF1222" s="72"/>
      <c r="AG1222" s="72"/>
      <c r="AH1222" s="72"/>
    </row>
    <row r="1223" spans="2:34">
      <c r="B1223" s="72" t="s">
        <v>1270</v>
      </c>
      <c r="C1223" s="72"/>
      <c r="D1223" s="72"/>
      <c r="F1223" s="72"/>
      <c r="G1223" s="72"/>
      <c r="H1223" s="72"/>
      <c r="P1223" s="72"/>
      <c r="Q1223" s="72"/>
      <c r="R1223" s="72"/>
      <c r="S1223" s="72"/>
      <c r="T1223" s="72"/>
      <c r="U1223" s="72"/>
      <c r="V1223" s="72"/>
      <c r="W1223" s="72"/>
      <c r="X1223" s="72"/>
      <c r="Y1223" s="72"/>
      <c r="Z1223" s="72"/>
      <c r="AA1223" s="72"/>
      <c r="AF1223" s="72"/>
      <c r="AG1223" s="72"/>
      <c r="AH1223" s="72"/>
    </row>
    <row r="1224" spans="2:34">
      <c r="B1224" s="72" t="s">
        <v>1269</v>
      </c>
      <c r="C1224" s="72"/>
      <c r="D1224" s="72"/>
      <c r="F1224" s="72"/>
      <c r="G1224" s="72"/>
      <c r="H1224" s="72"/>
      <c r="P1224" s="72"/>
      <c r="Q1224" s="72"/>
      <c r="R1224" s="72"/>
      <c r="S1224" s="72"/>
      <c r="T1224" s="72"/>
      <c r="U1224" s="72"/>
      <c r="V1224" s="72"/>
      <c r="W1224" s="72"/>
      <c r="X1224" s="72"/>
      <c r="Y1224" s="72"/>
      <c r="Z1224" s="72"/>
      <c r="AA1224" s="72"/>
      <c r="AF1224" s="72"/>
      <c r="AG1224" s="72"/>
      <c r="AH1224" s="72"/>
    </row>
    <row r="1225" spans="2:34">
      <c r="B1225" s="72" t="s">
        <v>1268</v>
      </c>
      <c r="C1225" s="72"/>
      <c r="D1225" s="72"/>
      <c r="F1225" s="72"/>
      <c r="G1225" s="72"/>
      <c r="H1225" s="72"/>
      <c r="P1225" s="72"/>
      <c r="Q1225" s="72"/>
      <c r="R1225" s="72"/>
      <c r="S1225" s="72"/>
      <c r="T1225" s="72"/>
      <c r="U1225" s="72"/>
      <c r="V1225" s="72"/>
      <c r="W1225" s="72"/>
      <c r="X1225" s="72"/>
      <c r="Y1225" s="72"/>
      <c r="Z1225" s="72"/>
      <c r="AA1225" s="72"/>
      <c r="AF1225" s="72"/>
      <c r="AG1225" s="72"/>
      <c r="AH1225" s="72"/>
    </row>
    <row r="1226" spans="2:34">
      <c r="B1226" s="72" t="s">
        <v>1267</v>
      </c>
      <c r="C1226" s="72"/>
      <c r="D1226" s="72"/>
      <c r="F1226" s="72"/>
      <c r="G1226" s="72"/>
      <c r="H1226" s="72"/>
      <c r="P1226" s="72"/>
      <c r="Q1226" s="72"/>
      <c r="R1226" s="72"/>
      <c r="S1226" s="72"/>
      <c r="T1226" s="72"/>
      <c r="U1226" s="72"/>
      <c r="V1226" s="72"/>
      <c r="W1226" s="72"/>
      <c r="X1226" s="72"/>
      <c r="Y1226" s="72"/>
      <c r="Z1226" s="72"/>
      <c r="AA1226" s="72"/>
      <c r="AF1226" s="72"/>
      <c r="AG1226" s="72"/>
      <c r="AH1226" s="72"/>
    </row>
    <row r="1227" spans="2:34">
      <c r="B1227" s="72" t="s">
        <v>1266</v>
      </c>
      <c r="C1227" s="72"/>
      <c r="D1227" s="72"/>
      <c r="F1227" s="72"/>
      <c r="G1227" s="72"/>
      <c r="H1227" s="72"/>
      <c r="P1227" s="72"/>
      <c r="Q1227" s="72"/>
      <c r="R1227" s="72"/>
      <c r="S1227" s="72"/>
      <c r="T1227" s="72"/>
      <c r="U1227" s="72"/>
      <c r="V1227" s="72"/>
      <c r="W1227" s="72"/>
      <c r="X1227" s="72"/>
      <c r="Y1227" s="72"/>
      <c r="Z1227" s="72"/>
      <c r="AA1227" s="72"/>
      <c r="AF1227" s="72"/>
      <c r="AG1227" s="72"/>
      <c r="AH1227" s="72"/>
    </row>
    <row r="1228" spans="2:34">
      <c r="B1228" s="72" t="s">
        <v>1265</v>
      </c>
      <c r="C1228" s="72"/>
      <c r="D1228" s="72"/>
      <c r="F1228" s="72"/>
      <c r="G1228" s="72"/>
      <c r="H1228" s="72"/>
      <c r="P1228" s="72"/>
      <c r="Q1228" s="72"/>
      <c r="R1228" s="72"/>
      <c r="S1228" s="72"/>
      <c r="T1228" s="72"/>
      <c r="U1228" s="72"/>
      <c r="V1228" s="72"/>
      <c r="W1228" s="72"/>
      <c r="X1228" s="72"/>
      <c r="Y1228" s="72"/>
      <c r="Z1228" s="72"/>
      <c r="AA1228" s="72"/>
      <c r="AF1228" s="72"/>
      <c r="AG1228" s="72"/>
      <c r="AH1228" s="72"/>
    </row>
    <row r="1229" spans="2:34">
      <c r="B1229" s="72" t="s">
        <v>1264</v>
      </c>
      <c r="C1229" s="72"/>
      <c r="D1229" s="72"/>
      <c r="F1229" s="72"/>
      <c r="G1229" s="72"/>
      <c r="H1229" s="72"/>
      <c r="P1229" s="72"/>
      <c r="Q1229" s="72"/>
      <c r="R1229" s="72"/>
      <c r="S1229" s="72"/>
      <c r="T1229" s="72"/>
      <c r="U1229" s="72"/>
      <c r="V1229" s="72"/>
      <c r="W1229" s="72"/>
      <c r="X1229" s="72"/>
      <c r="Y1229" s="72"/>
      <c r="Z1229" s="72"/>
      <c r="AA1229" s="72"/>
      <c r="AF1229" s="72"/>
      <c r="AG1229" s="72"/>
      <c r="AH1229" s="72"/>
    </row>
    <row r="1230" spans="2:34">
      <c r="B1230" s="72" t="s">
        <v>1263</v>
      </c>
      <c r="C1230" s="72"/>
      <c r="D1230" s="72"/>
      <c r="F1230" s="72"/>
      <c r="G1230" s="72"/>
      <c r="H1230" s="72"/>
      <c r="P1230" s="72"/>
      <c r="Q1230" s="72"/>
      <c r="R1230" s="72"/>
      <c r="S1230" s="72"/>
      <c r="T1230" s="72"/>
      <c r="U1230" s="72"/>
      <c r="V1230" s="72"/>
      <c r="W1230" s="72"/>
      <c r="X1230" s="72"/>
      <c r="Y1230" s="72"/>
      <c r="Z1230" s="72"/>
      <c r="AA1230" s="72"/>
      <c r="AF1230" s="72"/>
      <c r="AG1230" s="72"/>
      <c r="AH1230" s="72"/>
    </row>
    <row r="1231" spans="2:34">
      <c r="B1231" s="72" t="s">
        <v>1262</v>
      </c>
      <c r="C1231" s="72"/>
      <c r="D1231" s="72"/>
      <c r="F1231" s="72"/>
      <c r="G1231" s="72"/>
      <c r="H1231" s="72"/>
      <c r="P1231" s="72"/>
      <c r="Q1231" s="72"/>
      <c r="R1231" s="72"/>
      <c r="S1231" s="72"/>
      <c r="T1231" s="72"/>
      <c r="U1231" s="72"/>
      <c r="V1231" s="72"/>
      <c r="W1231" s="72"/>
      <c r="X1231" s="72"/>
      <c r="Y1231" s="72"/>
      <c r="Z1231" s="72"/>
      <c r="AA1231" s="72"/>
      <c r="AF1231" s="72"/>
      <c r="AG1231" s="72"/>
      <c r="AH1231" s="72"/>
    </row>
    <row r="1232" spans="2:34">
      <c r="B1232" s="72" t="s">
        <v>1261</v>
      </c>
      <c r="C1232" s="72"/>
      <c r="D1232" s="72"/>
      <c r="F1232" s="72"/>
      <c r="G1232" s="72"/>
      <c r="H1232" s="72"/>
      <c r="P1232" s="72"/>
      <c r="Q1232" s="72"/>
      <c r="R1232" s="72"/>
      <c r="S1232" s="72"/>
      <c r="T1232" s="72"/>
      <c r="U1232" s="72"/>
      <c r="V1232" s="72"/>
      <c r="W1232" s="72"/>
      <c r="X1232" s="72"/>
      <c r="Y1232" s="72"/>
      <c r="Z1232" s="72"/>
      <c r="AA1232" s="72"/>
      <c r="AF1232" s="72"/>
      <c r="AG1232" s="72"/>
      <c r="AH1232" s="72"/>
    </row>
    <row r="1233" spans="2:34">
      <c r="B1233" s="72" t="s">
        <v>1260</v>
      </c>
      <c r="C1233" s="72"/>
      <c r="D1233" s="72"/>
      <c r="F1233" s="72"/>
      <c r="G1233" s="72"/>
      <c r="H1233" s="72"/>
      <c r="P1233" s="72"/>
      <c r="Q1233" s="72"/>
      <c r="R1233" s="72"/>
      <c r="S1233" s="72"/>
      <c r="T1233" s="72"/>
      <c r="U1233" s="72"/>
      <c r="V1233" s="72"/>
      <c r="W1233" s="72"/>
      <c r="X1233" s="72"/>
      <c r="Y1233" s="72"/>
      <c r="Z1233" s="72"/>
      <c r="AA1233" s="72"/>
      <c r="AF1233" s="72"/>
      <c r="AG1233" s="72"/>
      <c r="AH1233" s="72"/>
    </row>
    <row r="1234" spans="2:34">
      <c r="B1234" s="72" t="s">
        <v>1259</v>
      </c>
      <c r="C1234" s="72"/>
      <c r="D1234" s="72"/>
      <c r="F1234" s="72"/>
      <c r="G1234" s="72"/>
      <c r="H1234" s="72"/>
      <c r="P1234" s="72"/>
      <c r="Q1234" s="72"/>
      <c r="R1234" s="72"/>
      <c r="S1234" s="72"/>
      <c r="T1234" s="72"/>
      <c r="U1234" s="72"/>
      <c r="V1234" s="72"/>
      <c r="W1234" s="72"/>
      <c r="X1234" s="72"/>
      <c r="Y1234" s="72"/>
      <c r="Z1234" s="72"/>
      <c r="AA1234" s="72"/>
      <c r="AF1234" s="72"/>
      <c r="AG1234" s="72"/>
      <c r="AH1234" s="72"/>
    </row>
    <row r="1235" spans="2:34">
      <c r="B1235" s="72" t="s">
        <v>1258</v>
      </c>
      <c r="C1235" s="72"/>
      <c r="D1235" s="72"/>
      <c r="F1235" s="72"/>
      <c r="G1235" s="72"/>
      <c r="H1235" s="72"/>
      <c r="P1235" s="72"/>
      <c r="Q1235" s="72"/>
      <c r="R1235" s="72"/>
      <c r="S1235" s="72"/>
      <c r="T1235" s="72"/>
      <c r="U1235" s="72"/>
      <c r="V1235" s="72"/>
      <c r="W1235" s="72"/>
      <c r="X1235" s="72"/>
      <c r="Y1235" s="72"/>
      <c r="Z1235" s="72"/>
      <c r="AA1235" s="72"/>
      <c r="AF1235" s="72"/>
      <c r="AG1235" s="72"/>
      <c r="AH1235" s="72"/>
    </row>
    <row r="1236" spans="2:34">
      <c r="B1236" s="72" t="s">
        <v>1257</v>
      </c>
      <c r="C1236" s="72"/>
      <c r="D1236" s="72"/>
      <c r="F1236" s="72"/>
      <c r="G1236" s="72"/>
      <c r="H1236" s="72"/>
      <c r="P1236" s="72"/>
      <c r="Q1236" s="72"/>
      <c r="R1236" s="72"/>
      <c r="S1236" s="72"/>
      <c r="T1236" s="72"/>
      <c r="U1236" s="72"/>
      <c r="V1236" s="72"/>
      <c r="W1236" s="72"/>
      <c r="X1236" s="72"/>
      <c r="Y1236" s="72"/>
      <c r="Z1236" s="72"/>
      <c r="AA1236" s="72"/>
      <c r="AF1236" s="72"/>
      <c r="AG1236" s="72"/>
      <c r="AH1236" s="72"/>
    </row>
    <row r="1237" spans="2:34">
      <c r="B1237" s="72" t="s">
        <v>1256</v>
      </c>
      <c r="C1237" s="72"/>
      <c r="D1237" s="72"/>
      <c r="F1237" s="72"/>
      <c r="G1237" s="72"/>
      <c r="H1237" s="72"/>
      <c r="P1237" s="72"/>
      <c r="Q1237" s="72"/>
      <c r="R1237" s="72"/>
      <c r="S1237" s="72"/>
      <c r="T1237" s="72"/>
      <c r="U1237" s="72"/>
      <c r="V1237" s="72"/>
      <c r="W1237" s="72"/>
      <c r="X1237" s="72"/>
      <c r="Y1237" s="72"/>
      <c r="Z1237" s="72"/>
      <c r="AA1237" s="72"/>
      <c r="AF1237" s="72"/>
      <c r="AG1237" s="72"/>
      <c r="AH1237" s="72"/>
    </row>
    <row r="1238" spans="2:34">
      <c r="B1238" s="72" t="s">
        <v>1255</v>
      </c>
    </row>
    <row r="1239" spans="2:34">
      <c r="B1239" s="72" t="s">
        <v>1254</v>
      </c>
    </row>
    <row r="1240" spans="2:34">
      <c r="B1240" s="72" t="s">
        <v>1253</v>
      </c>
    </row>
    <row r="1241" spans="2:34">
      <c r="B1241" s="72" t="s">
        <v>1252</v>
      </c>
    </row>
    <row r="1242" spans="2:34">
      <c r="B1242" s="72" t="s">
        <v>1251</v>
      </c>
    </row>
    <row r="1243" spans="2:34">
      <c r="B1243" s="72" t="s">
        <v>4305</v>
      </c>
    </row>
    <row r="1244" spans="2:34">
      <c r="B1244" s="72" t="s">
        <v>1250</v>
      </c>
    </row>
    <row r="1245" spans="2:34">
      <c r="B1245" s="72" t="s">
        <v>1249</v>
      </c>
    </row>
    <row r="1246" spans="2:34">
      <c r="B1246" s="72" t="s">
        <v>1248</v>
      </c>
    </row>
    <row r="1247" spans="2:34">
      <c r="B1247" s="72" t="s">
        <v>1247</v>
      </c>
    </row>
    <row r="1248" spans="2:34">
      <c r="B1248" s="72" t="s">
        <v>4306</v>
      </c>
    </row>
    <row r="1249" spans="2:34">
      <c r="B1249" s="72" t="s">
        <v>1246</v>
      </c>
    </row>
    <row r="1250" spans="2:34">
      <c r="B1250" s="72" t="s">
        <v>1245</v>
      </c>
    </row>
    <row r="1251" spans="2:34">
      <c r="B1251" s="72" t="s">
        <v>1244</v>
      </c>
      <c r="AF1251" s="63">
        <v>0.149258</v>
      </c>
      <c r="AG1251" s="68">
        <v>0.11944444444444445</v>
      </c>
      <c r="AH1251" s="68"/>
    </row>
    <row r="1252" spans="2:34">
      <c r="B1252" s="72" t="s">
        <v>1243</v>
      </c>
    </row>
    <row r="1253" spans="2:34">
      <c r="B1253" s="72" t="s">
        <v>1242</v>
      </c>
    </row>
    <row r="1254" spans="2:34">
      <c r="B1254" s="72" t="s">
        <v>1241</v>
      </c>
      <c r="C1254" s="72"/>
      <c r="D1254" s="72"/>
      <c r="F1254" s="72"/>
      <c r="G1254" s="72"/>
      <c r="H1254" s="72"/>
      <c r="P1254" s="72"/>
      <c r="Q1254" s="72"/>
      <c r="R1254" s="72"/>
      <c r="S1254" s="72"/>
      <c r="T1254" s="72"/>
      <c r="U1254" s="72"/>
      <c r="V1254" s="72"/>
      <c r="W1254" s="72"/>
      <c r="X1254" s="72"/>
      <c r="Y1254" s="72"/>
      <c r="Z1254" s="72"/>
      <c r="AA1254" s="72"/>
      <c r="AF1254" s="72"/>
      <c r="AG1254" s="72"/>
      <c r="AH1254" s="72"/>
    </row>
    <row r="1255" spans="2:34">
      <c r="B1255" s="72" t="s">
        <v>1240</v>
      </c>
      <c r="C1255" s="72"/>
      <c r="D1255" s="72"/>
      <c r="F1255" s="72"/>
      <c r="G1255" s="72"/>
      <c r="H1255" s="72"/>
      <c r="P1255" s="72"/>
      <c r="Q1255" s="72"/>
      <c r="R1255" s="72"/>
      <c r="S1255" s="72"/>
      <c r="T1255" s="72"/>
      <c r="U1255" s="72"/>
      <c r="V1255" s="72"/>
      <c r="W1255" s="72"/>
      <c r="X1255" s="72"/>
      <c r="Y1255" s="72"/>
      <c r="Z1255" s="72"/>
      <c r="AA1255" s="72"/>
      <c r="AF1255" s="72"/>
      <c r="AG1255" s="72"/>
      <c r="AH1255" s="72"/>
    </row>
    <row r="1256" spans="2:34">
      <c r="B1256" s="72" t="s">
        <v>1239</v>
      </c>
      <c r="C1256" s="72"/>
      <c r="D1256" s="72"/>
      <c r="F1256" s="72"/>
      <c r="G1256" s="72"/>
      <c r="H1256" s="72"/>
      <c r="P1256" s="72"/>
      <c r="Q1256" s="72"/>
      <c r="R1256" s="72"/>
      <c r="S1256" s="72"/>
      <c r="T1256" s="72"/>
      <c r="U1256" s="72"/>
      <c r="V1256" s="72"/>
      <c r="W1256" s="72"/>
      <c r="X1256" s="72"/>
      <c r="Y1256" s="72"/>
      <c r="Z1256" s="72"/>
      <c r="AA1256" s="72"/>
      <c r="AF1256" s="72"/>
      <c r="AG1256" s="72"/>
      <c r="AH1256" s="72"/>
    </row>
    <row r="1257" spans="2:34">
      <c r="B1257" s="72" t="s">
        <v>1238</v>
      </c>
      <c r="C1257" s="72"/>
      <c r="D1257" s="72"/>
      <c r="F1257" s="72"/>
      <c r="G1257" s="72"/>
      <c r="H1257" s="72"/>
      <c r="P1257" s="72"/>
      <c r="Q1257" s="72"/>
      <c r="R1257" s="72"/>
      <c r="S1257" s="72"/>
      <c r="T1257" s="72"/>
      <c r="U1257" s="72"/>
      <c r="V1257" s="72"/>
      <c r="W1257" s="72"/>
      <c r="X1257" s="72"/>
      <c r="Y1257" s="72"/>
      <c r="Z1257" s="72"/>
      <c r="AA1257" s="72"/>
      <c r="AF1257" s="72"/>
      <c r="AG1257" s="72"/>
      <c r="AH1257" s="72"/>
    </row>
    <row r="1258" spans="2:34">
      <c r="B1258" s="72" t="s">
        <v>1237</v>
      </c>
      <c r="C1258" s="72"/>
      <c r="D1258" s="72"/>
      <c r="F1258" s="72"/>
      <c r="G1258" s="72"/>
      <c r="H1258" s="72"/>
      <c r="P1258" s="72"/>
      <c r="Q1258" s="72"/>
      <c r="R1258" s="72"/>
      <c r="S1258" s="72"/>
      <c r="T1258" s="72"/>
      <c r="U1258" s="72"/>
      <c r="V1258" s="72"/>
      <c r="W1258" s="72"/>
      <c r="X1258" s="72"/>
      <c r="Y1258" s="72"/>
      <c r="Z1258" s="72"/>
      <c r="AA1258" s="72"/>
      <c r="AF1258" s="72"/>
      <c r="AG1258" s="72"/>
      <c r="AH1258" s="72"/>
    </row>
    <row r="1259" spans="2:34">
      <c r="B1259" s="72" t="s">
        <v>1236</v>
      </c>
      <c r="C1259" s="72"/>
      <c r="D1259" s="72"/>
      <c r="F1259" s="72"/>
      <c r="G1259" s="72"/>
      <c r="H1259" s="72"/>
      <c r="P1259" s="72"/>
      <c r="Q1259" s="72"/>
      <c r="R1259" s="72"/>
      <c r="S1259" s="72"/>
      <c r="T1259" s="72"/>
      <c r="U1259" s="72"/>
      <c r="V1259" s="72"/>
      <c r="W1259" s="72"/>
      <c r="X1259" s="72"/>
      <c r="Y1259" s="72"/>
      <c r="Z1259" s="72"/>
      <c r="AA1259" s="72"/>
      <c r="AF1259" s="72"/>
      <c r="AG1259" s="72"/>
      <c r="AH1259" s="72"/>
    </row>
    <row r="1260" spans="2:34">
      <c r="B1260" s="72" t="s">
        <v>1235</v>
      </c>
      <c r="C1260" s="72"/>
      <c r="D1260" s="72"/>
      <c r="F1260" s="72"/>
      <c r="G1260" s="72"/>
      <c r="H1260" s="72"/>
      <c r="P1260" s="72"/>
      <c r="Q1260" s="72"/>
      <c r="R1260" s="72"/>
      <c r="S1260" s="72"/>
      <c r="T1260" s="72"/>
      <c r="U1260" s="72"/>
      <c r="V1260" s="72"/>
      <c r="W1260" s="72"/>
      <c r="X1260" s="72"/>
      <c r="Y1260" s="72"/>
      <c r="Z1260" s="72"/>
      <c r="AA1260" s="72"/>
      <c r="AF1260" s="72"/>
      <c r="AG1260" s="72"/>
      <c r="AH1260" s="72"/>
    </row>
    <row r="1261" spans="2:34">
      <c r="B1261" s="72" t="s">
        <v>1234</v>
      </c>
      <c r="C1261" s="72"/>
      <c r="D1261" s="72"/>
      <c r="F1261" s="72"/>
      <c r="G1261" s="72"/>
      <c r="H1261" s="72"/>
      <c r="P1261" s="72"/>
      <c r="Q1261" s="72"/>
      <c r="R1261" s="72"/>
      <c r="S1261" s="72"/>
      <c r="T1261" s="72"/>
      <c r="U1261" s="72"/>
      <c r="V1261" s="72"/>
      <c r="W1261" s="72"/>
      <c r="X1261" s="72"/>
      <c r="Y1261" s="72"/>
      <c r="Z1261" s="72"/>
      <c r="AA1261" s="72"/>
      <c r="AF1261" s="72"/>
      <c r="AG1261" s="72"/>
      <c r="AH1261" s="72"/>
    </row>
    <row r="1262" spans="2:34">
      <c r="B1262" s="72" t="s">
        <v>1233</v>
      </c>
      <c r="C1262" s="72"/>
      <c r="D1262" s="72"/>
      <c r="F1262" s="72"/>
      <c r="G1262" s="72"/>
      <c r="H1262" s="72"/>
      <c r="P1262" s="72"/>
      <c r="Q1262" s="72"/>
      <c r="R1262" s="72"/>
      <c r="S1262" s="72"/>
      <c r="T1262" s="72"/>
      <c r="U1262" s="72"/>
      <c r="V1262" s="72"/>
      <c r="W1262" s="72"/>
      <c r="X1262" s="72"/>
      <c r="Y1262" s="72"/>
      <c r="Z1262" s="72"/>
      <c r="AA1262" s="72"/>
      <c r="AF1262" s="72"/>
      <c r="AG1262" s="72"/>
      <c r="AH1262" s="72"/>
    </row>
    <row r="1263" spans="2:34">
      <c r="B1263" s="72" t="s">
        <v>1232</v>
      </c>
      <c r="C1263" s="72"/>
      <c r="D1263" s="72"/>
      <c r="F1263" s="72"/>
      <c r="G1263" s="72"/>
      <c r="H1263" s="72"/>
      <c r="P1263" s="72"/>
      <c r="Q1263" s="72"/>
      <c r="R1263" s="72"/>
      <c r="S1263" s="72"/>
      <c r="T1263" s="72"/>
      <c r="U1263" s="72"/>
      <c r="V1263" s="72"/>
      <c r="W1263" s="72"/>
      <c r="X1263" s="72"/>
      <c r="Y1263" s="72"/>
      <c r="Z1263" s="72"/>
      <c r="AA1263" s="72"/>
      <c r="AF1263" s="72"/>
      <c r="AG1263" s="72"/>
      <c r="AH1263" s="72"/>
    </row>
    <row r="1264" spans="2:34">
      <c r="B1264" s="72" t="s">
        <v>1231</v>
      </c>
      <c r="C1264" s="72"/>
      <c r="D1264" s="72"/>
      <c r="F1264" s="72"/>
      <c r="G1264" s="72"/>
      <c r="H1264" s="72"/>
      <c r="P1264" s="72"/>
      <c r="Q1264" s="72"/>
      <c r="R1264" s="72"/>
      <c r="S1264" s="72"/>
      <c r="T1264" s="72"/>
      <c r="U1264" s="72"/>
      <c r="V1264" s="72"/>
      <c r="W1264" s="72"/>
      <c r="X1264" s="72"/>
      <c r="Y1264" s="72"/>
      <c r="Z1264" s="72"/>
      <c r="AA1264" s="72"/>
      <c r="AF1264" s="72"/>
      <c r="AG1264" s="72"/>
      <c r="AH1264" s="72"/>
    </row>
    <row r="1265" spans="2:34">
      <c r="B1265" s="72" t="s">
        <v>1230</v>
      </c>
      <c r="C1265" s="72"/>
      <c r="D1265" s="72"/>
      <c r="F1265" s="72"/>
      <c r="G1265" s="72"/>
      <c r="H1265" s="72"/>
      <c r="P1265" s="72"/>
      <c r="Q1265" s="72"/>
      <c r="R1265" s="72"/>
      <c r="S1265" s="72"/>
      <c r="T1265" s="72"/>
      <c r="U1265" s="72"/>
      <c r="V1265" s="72"/>
      <c r="W1265" s="72"/>
      <c r="X1265" s="72"/>
      <c r="Y1265" s="72"/>
      <c r="Z1265" s="72"/>
      <c r="AA1265" s="72"/>
      <c r="AF1265" s="72"/>
      <c r="AG1265" s="72"/>
      <c r="AH1265" s="72"/>
    </row>
    <row r="1266" spans="2:34">
      <c r="B1266" s="72" t="s">
        <v>1229</v>
      </c>
      <c r="C1266" s="72"/>
      <c r="D1266" s="72"/>
      <c r="F1266" s="72"/>
      <c r="G1266" s="72"/>
      <c r="H1266" s="72"/>
      <c r="P1266" s="72"/>
      <c r="Q1266" s="72"/>
      <c r="R1266" s="72"/>
      <c r="S1266" s="72"/>
      <c r="T1266" s="72"/>
      <c r="U1266" s="72"/>
      <c r="V1266" s="72"/>
      <c r="W1266" s="72"/>
      <c r="X1266" s="72"/>
      <c r="Y1266" s="72"/>
      <c r="Z1266" s="72"/>
      <c r="AA1266" s="72"/>
      <c r="AF1266" s="72"/>
      <c r="AG1266" s="72"/>
      <c r="AH1266" s="72"/>
    </row>
    <row r="1267" spans="2:34">
      <c r="B1267" s="72" t="s">
        <v>1228</v>
      </c>
      <c r="C1267" s="72"/>
      <c r="D1267" s="72"/>
      <c r="F1267" s="72"/>
      <c r="G1267" s="72"/>
      <c r="H1267" s="72"/>
      <c r="P1267" s="72"/>
      <c r="Q1267" s="72"/>
      <c r="R1267" s="72"/>
      <c r="S1267" s="72"/>
      <c r="T1267" s="72"/>
      <c r="U1267" s="72"/>
      <c r="V1267" s="72"/>
      <c r="W1267" s="72"/>
      <c r="X1267" s="72"/>
      <c r="Y1267" s="72"/>
      <c r="Z1267" s="72"/>
      <c r="AA1267" s="72"/>
      <c r="AF1267" s="72"/>
      <c r="AG1267" s="72"/>
      <c r="AH1267" s="72"/>
    </row>
    <row r="1268" spans="2:34">
      <c r="B1268" s="72" t="s">
        <v>1227</v>
      </c>
      <c r="C1268" s="72"/>
      <c r="D1268" s="72"/>
      <c r="F1268" s="72"/>
      <c r="G1268" s="72"/>
      <c r="H1268" s="72"/>
      <c r="P1268" s="72"/>
      <c r="Q1268" s="72"/>
      <c r="R1268" s="72"/>
      <c r="S1268" s="72"/>
      <c r="T1268" s="72"/>
      <c r="U1268" s="72"/>
      <c r="V1268" s="72"/>
      <c r="W1268" s="72"/>
      <c r="X1268" s="72"/>
      <c r="Y1268" s="72"/>
      <c r="Z1268" s="72"/>
      <c r="AA1268" s="72"/>
      <c r="AF1268" s="72"/>
      <c r="AG1268" s="72"/>
      <c r="AH1268" s="72"/>
    </row>
    <row r="1269" spans="2:34">
      <c r="B1269" s="72" t="s">
        <v>1226</v>
      </c>
      <c r="C1269" s="72"/>
      <c r="D1269" s="72"/>
      <c r="F1269" s="72"/>
      <c r="G1269" s="72"/>
      <c r="H1269" s="72"/>
      <c r="P1269" s="72"/>
      <c r="Q1269" s="72"/>
      <c r="R1269" s="72"/>
      <c r="S1269" s="72"/>
      <c r="T1269" s="72"/>
      <c r="U1269" s="72"/>
      <c r="V1269" s="72"/>
      <c r="W1269" s="72"/>
      <c r="X1269" s="72"/>
      <c r="Y1269" s="72"/>
      <c r="Z1269" s="72"/>
      <c r="AA1269" s="72"/>
      <c r="AF1269" s="72"/>
      <c r="AG1269" s="72"/>
      <c r="AH1269" s="72"/>
    </row>
    <row r="1270" spans="2:34">
      <c r="B1270" s="72" t="s">
        <v>1225</v>
      </c>
      <c r="C1270" s="72"/>
      <c r="D1270" s="72"/>
      <c r="F1270" s="72"/>
      <c r="G1270" s="72"/>
      <c r="H1270" s="72"/>
      <c r="P1270" s="72"/>
      <c r="Q1270" s="72"/>
      <c r="R1270" s="72"/>
      <c r="S1270" s="72"/>
      <c r="T1270" s="72"/>
      <c r="U1270" s="72"/>
      <c r="V1270" s="72"/>
      <c r="W1270" s="72"/>
      <c r="X1270" s="72"/>
      <c r="Y1270" s="72"/>
      <c r="Z1270" s="72"/>
      <c r="AA1270" s="72"/>
      <c r="AF1270" s="72"/>
      <c r="AG1270" s="72"/>
      <c r="AH1270" s="72"/>
    </row>
    <row r="1271" spans="2:34">
      <c r="B1271" s="72" t="s">
        <v>1224</v>
      </c>
      <c r="C1271" s="72"/>
      <c r="D1271" s="72"/>
      <c r="F1271" s="72"/>
      <c r="G1271" s="72"/>
      <c r="H1271" s="72"/>
      <c r="P1271" s="72"/>
      <c r="Q1271" s="72"/>
      <c r="R1271" s="72"/>
      <c r="S1271" s="72"/>
      <c r="T1271" s="72"/>
      <c r="U1271" s="72"/>
      <c r="V1271" s="72"/>
      <c r="W1271" s="72"/>
      <c r="X1271" s="72"/>
      <c r="Y1271" s="72"/>
      <c r="Z1271" s="72"/>
      <c r="AA1271" s="72"/>
      <c r="AF1271" s="72"/>
      <c r="AG1271" s="72"/>
      <c r="AH1271" s="72"/>
    </row>
    <row r="1272" spans="2:34">
      <c r="B1272" s="72" t="s">
        <v>1223</v>
      </c>
      <c r="C1272" s="72"/>
      <c r="D1272" s="72"/>
      <c r="F1272" s="72"/>
      <c r="G1272" s="72"/>
      <c r="H1272" s="72"/>
      <c r="P1272" s="72"/>
      <c r="Q1272" s="72"/>
      <c r="R1272" s="72"/>
      <c r="S1272" s="72"/>
      <c r="T1272" s="72"/>
      <c r="U1272" s="72"/>
      <c r="V1272" s="72"/>
      <c r="W1272" s="72"/>
      <c r="X1272" s="72"/>
      <c r="Y1272" s="72"/>
      <c r="Z1272" s="72"/>
      <c r="AA1272" s="72"/>
      <c r="AF1272" s="72"/>
      <c r="AG1272" s="72"/>
      <c r="AH1272" s="72"/>
    </row>
    <row r="1273" spans="2:34">
      <c r="B1273" s="72" t="s">
        <v>1222</v>
      </c>
      <c r="C1273" s="72"/>
      <c r="D1273" s="72"/>
      <c r="F1273" s="72"/>
      <c r="G1273" s="72"/>
      <c r="H1273" s="72"/>
      <c r="P1273" s="72"/>
      <c r="Q1273" s="72"/>
      <c r="R1273" s="72"/>
      <c r="S1273" s="72"/>
      <c r="T1273" s="72"/>
      <c r="U1273" s="72"/>
      <c r="V1273" s="72"/>
      <c r="W1273" s="72"/>
      <c r="X1273" s="72"/>
      <c r="Y1273" s="72"/>
      <c r="Z1273" s="72"/>
      <c r="AA1273" s="72"/>
      <c r="AF1273" s="72"/>
      <c r="AG1273" s="72"/>
      <c r="AH1273" s="72"/>
    </row>
    <row r="1274" spans="2:34">
      <c r="B1274" s="72" t="s">
        <v>1221</v>
      </c>
      <c r="C1274" s="72"/>
      <c r="D1274" s="72"/>
      <c r="F1274" s="72"/>
      <c r="G1274" s="72"/>
      <c r="H1274" s="72"/>
      <c r="P1274" s="72"/>
      <c r="Q1274" s="72"/>
      <c r="R1274" s="72"/>
      <c r="S1274" s="72"/>
      <c r="T1274" s="72"/>
      <c r="U1274" s="72"/>
      <c r="V1274" s="72"/>
      <c r="W1274" s="72"/>
      <c r="X1274" s="72"/>
      <c r="Y1274" s="72"/>
      <c r="Z1274" s="72"/>
      <c r="AA1274" s="72"/>
      <c r="AF1274" s="72"/>
      <c r="AG1274" s="72"/>
      <c r="AH1274" s="72"/>
    </row>
    <row r="1275" spans="2:34">
      <c r="B1275" s="72" t="s">
        <v>1220</v>
      </c>
      <c r="C1275" s="72"/>
      <c r="D1275" s="72"/>
      <c r="F1275" s="72"/>
      <c r="G1275" s="72"/>
      <c r="H1275" s="72"/>
      <c r="P1275" s="72"/>
      <c r="Q1275" s="72"/>
      <c r="R1275" s="72"/>
      <c r="S1275" s="72"/>
      <c r="T1275" s="72"/>
      <c r="U1275" s="72"/>
      <c r="V1275" s="72"/>
      <c r="W1275" s="72"/>
      <c r="X1275" s="72"/>
      <c r="Y1275" s="72"/>
      <c r="Z1275" s="72"/>
      <c r="AA1275" s="72"/>
      <c r="AF1275" s="72"/>
      <c r="AG1275" s="72"/>
      <c r="AH1275" s="72"/>
    </row>
    <row r="1276" spans="2:34">
      <c r="B1276" s="72" t="s">
        <v>1219</v>
      </c>
      <c r="C1276" s="72"/>
      <c r="D1276" s="72"/>
      <c r="F1276" s="72"/>
      <c r="G1276" s="72"/>
      <c r="H1276" s="72"/>
      <c r="P1276" s="72"/>
      <c r="Q1276" s="72"/>
      <c r="R1276" s="72"/>
      <c r="S1276" s="72"/>
      <c r="T1276" s="72"/>
      <c r="U1276" s="72"/>
      <c r="V1276" s="72"/>
      <c r="W1276" s="72"/>
      <c r="X1276" s="72"/>
      <c r="Y1276" s="72"/>
      <c r="Z1276" s="72"/>
      <c r="AA1276" s="72"/>
      <c r="AF1276" s="72"/>
      <c r="AG1276" s="72"/>
      <c r="AH1276" s="72"/>
    </row>
    <row r="1277" spans="2:34">
      <c r="B1277" s="72" t="s">
        <v>1218</v>
      </c>
      <c r="C1277" s="72"/>
      <c r="D1277" s="72"/>
      <c r="F1277" s="72"/>
      <c r="G1277" s="72"/>
      <c r="H1277" s="72"/>
      <c r="P1277" s="72"/>
      <c r="Q1277" s="72"/>
      <c r="R1277" s="72"/>
      <c r="S1277" s="72"/>
      <c r="T1277" s="72"/>
      <c r="U1277" s="72"/>
      <c r="V1277" s="72"/>
      <c r="W1277" s="72"/>
      <c r="X1277" s="72"/>
      <c r="Y1277" s="72"/>
      <c r="Z1277" s="72"/>
      <c r="AA1277" s="72"/>
      <c r="AF1277" s="72"/>
      <c r="AG1277" s="72"/>
      <c r="AH1277" s="72"/>
    </row>
    <row r="1278" spans="2:34">
      <c r="B1278" s="72" t="s">
        <v>1217</v>
      </c>
      <c r="C1278" s="72"/>
      <c r="D1278" s="72"/>
      <c r="F1278" s="72"/>
      <c r="G1278" s="72"/>
      <c r="H1278" s="72"/>
      <c r="P1278" s="72"/>
      <c r="Q1278" s="72"/>
      <c r="R1278" s="72"/>
      <c r="S1278" s="72"/>
      <c r="T1278" s="72"/>
      <c r="U1278" s="72"/>
      <c r="V1278" s="72"/>
      <c r="W1278" s="72"/>
      <c r="X1278" s="72"/>
      <c r="Y1278" s="72"/>
      <c r="Z1278" s="72"/>
      <c r="AA1278" s="72"/>
      <c r="AF1278" s="72"/>
      <c r="AG1278" s="72"/>
      <c r="AH1278" s="72"/>
    </row>
    <row r="1279" spans="2:34">
      <c r="B1279" s="72" t="s">
        <v>1216</v>
      </c>
      <c r="C1279" s="72"/>
      <c r="D1279" s="72"/>
      <c r="F1279" s="72"/>
      <c r="G1279" s="72"/>
      <c r="H1279" s="72"/>
      <c r="P1279" s="72"/>
      <c r="Q1279" s="72"/>
      <c r="R1279" s="72"/>
      <c r="S1279" s="72"/>
      <c r="T1279" s="72"/>
      <c r="U1279" s="72"/>
      <c r="V1279" s="72"/>
      <c r="W1279" s="72"/>
      <c r="X1279" s="72"/>
      <c r="Y1279" s="72"/>
      <c r="Z1279" s="72"/>
      <c r="AA1279" s="72"/>
      <c r="AF1279" s="72"/>
      <c r="AG1279" s="72"/>
      <c r="AH1279" s="72"/>
    </row>
    <row r="1280" spans="2:34">
      <c r="B1280" s="72" t="s">
        <v>1215</v>
      </c>
      <c r="C1280" s="72"/>
      <c r="D1280" s="72"/>
      <c r="F1280" s="72"/>
      <c r="G1280" s="72"/>
      <c r="H1280" s="72"/>
      <c r="P1280" s="72"/>
      <c r="Q1280" s="72"/>
      <c r="R1280" s="72"/>
      <c r="S1280" s="72"/>
      <c r="T1280" s="72"/>
      <c r="U1280" s="72"/>
      <c r="V1280" s="72"/>
      <c r="W1280" s="72"/>
      <c r="X1280" s="72"/>
      <c r="Y1280" s="72"/>
      <c r="Z1280" s="72"/>
      <c r="AA1280" s="72"/>
      <c r="AF1280" s="72"/>
      <c r="AG1280" s="72"/>
      <c r="AH1280" s="72"/>
    </row>
    <row r="1281" spans="2:38">
      <c r="B1281" s="72" t="s">
        <v>1214</v>
      </c>
      <c r="C1281" s="72"/>
      <c r="D1281" s="72"/>
      <c r="F1281" s="72"/>
      <c r="G1281" s="72"/>
      <c r="H1281" s="72"/>
      <c r="P1281" s="72"/>
      <c r="Q1281" s="72"/>
      <c r="R1281" s="72"/>
      <c r="S1281" s="72"/>
      <c r="T1281" s="72"/>
      <c r="U1281" s="72"/>
      <c r="V1281" s="72"/>
      <c r="W1281" s="72"/>
      <c r="X1281" s="72"/>
      <c r="Y1281" s="72"/>
      <c r="Z1281" s="72"/>
      <c r="AA1281" s="72"/>
      <c r="AF1281" s="72"/>
      <c r="AG1281" s="72"/>
      <c r="AH1281" s="72"/>
    </row>
    <row r="1282" spans="2:38">
      <c r="B1282" s="72" t="s">
        <v>1213</v>
      </c>
      <c r="C1282" s="72"/>
      <c r="D1282" s="72"/>
      <c r="F1282" s="72"/>
      <c r="G1282" s="72"/>
      <c r="H1282" s="72"/>
      <c r="P1282" s="72"/>
      <c r="Q1282" s="72"/>
      <c r="R1282" s="72"/>
      <c r="S1282" s="72"/>
      <c r="T1282" s="72"/>
      <c r="U1282" s="72"/>
      <c r="V1282" s="72"/>
      <c r="W1282" s="72"/>
      <c r="X1282" s="72"/>
      <c r="Y1282" s="72"/>
      <c r="Z1282" s="72"/>
      <c r="AA1282" s="72"/>
      <c r="AF1282" s="72"/>
      <c r="AG1282" s="72"/>
      <c r="AH1282" s="72"/>
    </row>
    <row r="1283" spans="2:38">
      <c r="B1283" s="72" t="s">
        <v>1212</v>
      </c>
      <c r="C1283" s="72"/>
      <c r="D1283" s="72"/>
      <c r="F1283" s="72"/>
      <c r="G1283" s="72"/>
      <c r="H1283" s="72"/>
      <c r="P1283" s="72"/>
      <c r="Q1283" s="72"/>
      <c r="R1283" s="72"/>
      <c r="S1283" s="72"/>
      <c r="T1283" s="72"/>
      <c r="U1283" s="72"/>
      <c r="V1283" s="72"/>
      <c r="W1283" s="72"/>
      <c r="X1283" s="72"/>
      <c r="Y1283" s="72"/>
      <c r="Z1283" s="72"/>
      <c r="AA1283" s="72"/>
      <c r="AF1283" s="72"/>
      <c r="AG1283" s="72"/>
      <c r="AH1283" s="72"/>
    </row>
    <row r="1284" spans="2:38">
      <c r="B1284" s="72" t="s">
        <v>1211</v>
      </c>
      <c r="C1284" s="72"/>
      <c r="D1284" s="72"/>
      <c r="F1284" s="72"/>
      <c r="G1284" s="72"/>
      <c r="H1284" s="72"/>
      <c r="P1284" s="72"/>
      <c r="Q1284" s="72"/>
      <c r="R1284" s="72"/>
      <c r="S1284" s="72"/>
      <c r="T1284" s="72"/>
      <c r="U1284" s="72"/>
      <c r="V1284" s="72"/>
      <c r="W1284" s="72"/>
      <c r="X1284" s="72"/>
      <c r="Y1284" s="72"/>
      <c r="Z1284" s="72"/>
      <c r="AA1284" s="72"/>
      <c r="AF1284" s="72"/>
      <c r="AG1284" s="72"/>
      <c r="AH1284" s="72"/>
    </row>
    <row r="1285" spans="2:38">
      <c r="B1285" s="72" t="s">
        <v>1210</v>
      </c>
      <c r="C1285" s="72"/>
      <c r="D1285" s="72"/>
      <c r="F1285" s="72"/>
      <c r="G1285" s="72"/>
      <c r="H1285" s="72"/>
      <c r="P1285" s="72"/>
      <c r="Q1285" s="72"/>
      <c r="R1285" s="72"/>
      <c r="S1285" s="72"/>
      <c r="T1285" s="72"/>
      <c r="U1285" s="72"/>
      <c r="V1285" s="72"/>
      <c r="W1285" s="72"/>
      <c r="X1285" s="72"/>
      <c r="Y1285" s="72"/>
      <c r="Z1285" s="72"/>
      <c r="AA1285" s="72"/>
      <c r="AF1285" s="72"/>
      <c r="AG1285" s="72"/>
      <c r="AH1285" s="72"/>
    </row>
    <row r="1286" spans="2:38">
      <c r="B1286" s="72" t="s">
        <v>1209</v>
      </c>
    </row>
    <row r="1287" spans="2:38">
      <c r="B1287" s="72" t="s">
        <v>1208</v>
      </c>
    </row>
    <row r="1288" spans="2:38">
      <c r="B1288" s="72" t="s">
        <v>1207</v>
      </c>
    </row>
    <row r="1289" spans="2:38">
      <c r="B1289" s="72" t="s">
        <v>1206</v>
      </c>
    </row>
    <row r="1290" spans="2:38">
      <c r="B1290" s="72" t="s">
        <v>1205</v>
      </c>
    </row>
    <row r="1291" spans="2:38">
      <c r="B1291" s="72" t="s">
        <v>161</v>
      </c>
    </row>
    <row r="1292" spans="2:38">
      <c r="B1292" s="72" t="s">
        <v>1204</v>
      </c>
      <c r="AL1292" s="89"/>
    </row>
    <row r="1293" spans="2:38">
      <c r="B1293" s="72" t="s">
        <v>1203</v>
      </c>
    </row>
    <row r="1294" spans="2:38">
      <c r="B1294" s="72" t="s">
        <v>1202</v>
      </c>
    </row>
    <row r="1295" spans="2:38">
      <c r="B1295" s="72" t="s">
        <v>1201</v>
      </c>
    </row>
    <row r="1296" spans="2:38">
      <c r="B1296" s="72" t="s">
        <v>1200</v>
      </c>
    </row>
    <row r="1297" spans="2:34">
      <c r="B1297" s="72" t="s">
        <v>1199</v>
      </c>
    </row>
    <row r="1298" spans="2:34">
      <c r="B1298" s="72" t="s">
        <v>1198</v>
      </c>
    </row>
    <row r="1299" spans="2:34">
      <c r="B1299" s="72" t="s">
        <v>1197</v>
      </c>
    </row>
    <row r="1300" spans="2:34">
      <c r="B1300" s="72" t="s">
        <v>1196</v>
      </c>
    </row>
    <row r="1301" spans="2:34">
      <c r="B1301" s="72" t="s">
        <v>1195</v>
      </c>
    </row>
    <row r="1302" spans="2:34">
      <c r="B1302" s="72" t="s">
        <v>1194</v>
      </c>
      <c r="C1302" s="72"/>
      <c r="D1302" s="72"/>
      <c r="F1302" s="72"/>
      <c r="G1302" s="72"/>
      <c r="H1302" s="72"/>
      <c r="P1302" s="72"/>
      <c r="Q1302" s="72"/>
      <c r="R1302" s="72"/>
      <c r="S1302" s="72"/>
      <c r="T1302" s="72"/>
      <c r="U1302" s="72"/>
      <c r="V1302" s="72"/>
      <c r="W1302" s="72"/>
      <c r="X1302" s="72"/>
      <c r="Y1302" s="72"/>
      <c r="Z1302" s="72"/>
      <c r="AA1302" s="72"/>
      <c r="AF1302" s="72"/>
      <c r="AG1302" s="72"/>
      <c r="AH1302" s="72"/>
    </row>
    <row r="1303" spans="2:34">
      <c r="B1303" s="72" t="s">
        <v>1193</v>
      </c>
      <c r="C1303" s="72"/>
      <c r="D1303" s="72"/>
      <c r="F1303" s="72"/>
      <c r="G1303" s="72"/>
      <c r="H1303" s="72"/>
      <c r="P1303" s="72"/>
      <c r="Q1303" s="72"/>
      <c r="R1303" s="72"/>
      <c r="S1303" s="72"/>
      <c r="T1303" s="72"/>
      <c r="U1303" s="72"/>
      <c r="V1303" s="72"/>
      <c r="W1303" s="72"/>
      <c r="X1303" s="72"/>
      <c r="Y1303" s="72"/>
      <c r="Z1303" s="72"/>
      <c r="AA1303" s="72"/>
      <c r="AF1303" s="72"/>
      <c r="AG1303" s="72"/>
      <c r="AH1303" s="72"/>
    </row>
    <row r="1304" spans="2:34">
      <c r="B1304" s="72" t="s">
        <v>1192</v>
      </c>
      <c r="C1304" s="72"/>
      <c r="D1304" s="72"/>
      <c r="F1304" s="72"/>
      <c r="G1304" s="72"/>
      <c r="H1304" s="72"/>
      <c r="P1304" s="72"/>
      <c r="Q1304" s="72"/>
      <c r="R1304" s="72"/>
      <c r="S1304" s="72"/>
      <c r="T1304" s="72"/>
      <c r="U1304" s="72"/>
      <c r="V1304" s="72"/>
      <c r="W1304" s="72"/>
      <c r="X1304" s="72"/>
      <c r="Y1304" s="72"/>
      <c r="Z1304" s="72"/>
      <c r="AA1304" s="72"/>
      <c r="AF1304" s="72"/>
      <c r="AG1304" s="72"/>
      <c r="AH1304" s="72"/>
    </row>
    <row r="1305" spans="2:34">
      <c r="B1305" s="72" t="s">
        <v>1191</v>
      </c>
      <c r="C1305" s="72"/>
      <c r="D1305" s="72"/>
      <c r="F1305" s="72"/>
      <c r="G1305" s="72"/>
      <c r="H1305" s="72"/>
      <c r="P1305" s="72"/>
      <c r="Q1305" s="72"/>
      <c r="R1305" s="72"/>
      <c r="S1305" s="72"/>
      <c r="T1305" s="72"/>
      <c r="U1305" s="72"/>
      <c r="V1305" s="72"/>
      <c r="W1305" s="72"/>
      <c r="X1305" s="72"/>
      <c r="Y1305" s="72"/>
      <c r="Z1305" s="72"/>
      <c r="AA1305" s="72"/>
      <c r="AF1305" s="72"/>
      <c r="AG1305" s="72"/>
      <c r="AH1305" s="72"/>
    </row>
    <row r="1306" spans="2:34">
      <c r="B1306" s="72" t="s">
        <v>1190</v>
      </c>
      <c r="C1306" s="72"/>
      <c r="D1306" s="72"/>
      <c r="F1306" s="72"/>
      <c r="G1306" s="72"/>
      <c r="H1306" s="72"/>
      <c r="P1306" s="72"/>
      <c r="Q1306" s="72"/>
      <c r="R1306" s="72"/>
      <c r="S1306" s="72"/>
      <c r="T1306" s="72"/>
      <c r="U1306" s="72"/>
      <c r="V1306" s="72"/>
      <c r="W1306" s="72"/>
      <c r="X1306" s="72"/>
      <c r="Y1306" s="72"/>
      <c r="Z1306" s="72"/>
      <c r="AA1306" s="72"/>
      <c r="AF1306" s="72"/>
      <c r="AG1306" s="72"/>
      <c r="AH1306" s="72"/>
    </row>
    <row r="1307" spans="2:34">
      <c r="B1307" s="72" t="s">
        <v>1189</v>
      </c>
      <c r="C1307" s="72"/>
      <c r="D1307" s="72"/>
      <c r="F1307" s="72"/>
      <c r="G1307" s="72"/>
      <c r="H1307" s="72"/>
      <c r="P1307" s="72"/>
      <c r="Q1307" s="72"/>
      <c r="R1307" s="72"/>
      <c r="S1307" s="72"/>
      <c r="T1307" s="72"/>
      <c r="U1307" s="72"/>
      <c r="V1307" s="72"/>
      <c r="W1307" s="72"/>
      <c r="X1307" s="72"/>
      <c r="Y1307" s="72"/>
      <c r="Z1307" s="72"/>
      <c r="AA1307" s="72"/>
      <c r="AF1307" s="72"/>
      <c r="AG1307" s="72"/>
      <c r="AH1307" s="72"/>
    </row>
    <row r="1308" spans="2:34">
      <c r="B1308" s="72" t="s">
        <v>1188</v>
      </c>
      <c r="C1308" s="72"/>
      <c r="D1308" s="72"/>
      <c r="F1308" s="72"/>
      <c r="G1308" s="72"/>
      <c r="H1308" s="72"/>
      <c r="P1308" s="72"/>
      <c r="Q1308" s="72"/>
      <c r="R1308" s="72"/>
      <c r="S1308" s="72"/>
      <c r="T1308" s="72"/>
      <c r="U1308" s="72"/>
      <c r="V1308" s="72"/>
      <c r="W1308" s="72"/>
      <c r="X1308" s="72"/>
      <c r="Y1308" s="72"/>
      <c r="Z1308" s="72"/>
      <c r="AA1308" s="72"/>
      <c r="AF1308" s="72"/>
      <c r="AG1308" s="72"/>
      <c r="AH1308" s="72"/>
    </row>
    <row r="1309" spans="2:34">
      <c r="B1309" s="72" t="s">
        <v>1187</v>
      </c>
      <c r="C1309" s="72"/>
      <c r="D1309" s="72"/>
      <c r="F1309" s="72"/>
      <c r="G1309" s="72"/>
      <c r="H1309" s="72"/>
      <c r="P1309" s="72"/>
      <c r="Q1309" s="72"/>
      <c r="R1309" s="72"/>
      <c r="S1309" s="72"/>
      <c r="T1309" s="72"/>
      <c r="U1309" s="72"/>
      <c r="V1309" s="72"/>
      <c r="W1309" s="72"/>
      <c r="X1309" s="72"/>
      <c r="Y1309" s="72"/>
      <c r="Z1309" s="72"/>
      <c r="AA1309" s="72"/>
      <c r="AF1309" s="72"/>
      <c r="AG1309" s="72"/>
      <c r="AH1309" s="72"/>
    </row>
    <row r="1310" spans="2:34">
      <c r="B1310" s="72" t="s">
        <v>1186</v>
      </c>
      <c r="C1310" s="72"/>
      <c r="D1310" s="72"/>
      <c r="F1310" s="72"/>
      <c r="G1310" s="72"/>
      <c r="H1310" s="72"/>
      <c r="P1310" s="72"/>
      <c r="Q1310" s="72"/>
      <c r="R1310" s="72"/>
      <c r="S1310" s="72"/>
      <c r="T1310" s="72"/>
      <c r="U1310" s="72"/>
      <c r="V1310" s="72"/>
      <c r="W1310" s="72"/>
      <c r="X1310" s="72"/>
      <c r="Y1310" s="72"/>
      <c r="Z1310" s="72"/>
      <c r="AA1310" s="72"/>
      <c r="AF1310" s="72"/>
      <c r="AG1310" s="72"/>
      <c r="AH1310" s="72"/>
    </row>
    <row r="1311" spans="2:34">
      <c r="B1311" s="72" t="s">
        <v>1185</v>
      </c>
      <c r="C1311" s="72"/>
      <c r="D1311" s="72"/>
      <c r="F1311" s="72"/>
      <c r="G1311" s="72"/>
      <c r="H1311" s="72"/>
      <c r="P1311" s="72"/>
      <c r="Q1311" s="72"/>
      <c r="R1311" s="72"/>
      <c r="S1311" s="72"/>
      <c r="T1311" s="72"/>
      <c r="U1311" s="72"/>
      <c r="V1311" s="72"/>
      <c r="W1311" s="72"/>
      <c r="X1311" s="72"/>
      <c r="Y1311" s="72"/>
      <c r="Z1311" s="72"/>
      <c r="AA1311" s="72"/>
      <c r="AF1311" s="72"/>
      <c r="AG1311" s="72"/>
      <c r="AH1311" s="72"/>
    </row>
    <row r="1312" spans="2:34">
      <c r="B1312" s="72" t="s">
        <v>1184</v>
      </c>
      <c r="C1312" s="72"/>
      <c r="D1312" s="72"/>
      <c r="F1312" s="72"/>
      <c r="G1312" s="72"/>
      <c r="H1312" s="72"/>
      <c r="P1312" s="72"/>
      <c r="Q1312" s="72"/>
      <c r="R1312" s="72"/>
      <c r="S1312" s="72"/>
      <c r="T1312" s="72"/>
      <c r="U1312" s="72"/>
      <c r="V1312" s="72"/>
      <c r="W1312" s="72"/>
      <c r="X1312" s="72"/>
      <c r="Y1312" s="72"/>
      <c r="Z1312" s="72"/>
      <c r="AA1312" s="72"/>
      <c r="AF1312" s="72"/>
      <c r="AG1312" s="72"/>
      <c r="AH1312" s="72"/>
    </row>
    <row r="1313" spans="2:34">
      <c r="B1313" s="72" t="s">
        <v>1183</v>
      </c>
      <c r="C1313" s="72"/>
      <c r="D1313" s="72"/>
      <c r="F1313" s="72"/>
      <c r="G1313" s="72"/>
      <c r="H1313" s="72"/>
      <c r="P1313" s="72"/>
      <c r="Q1313" s="72"/>
      <c r="R1313" s="72"/>
      <c r="S1313" s="72"/>
      <c r="T1313" s="72"/>
      <c r="U1313" s="72"/>
      <c r="V1313" s="72"/>
      <c r="W1313" s="72"/>
      <c r="X1313" s="72"/>
      <c r="Y1313" s="72"/>
      <c r="Z1313" s="72"/>
      <c r="AA1313" s="72"/>
      <c r="AF1313" s="72"/>
      <c r="AG1313" s="72"/>
      <c r="AH1313" s="72"/>
    </row>
    <row r="1314" spans="2:34">
      <c r="B1314" s="72" t="s">
        <v>1182</v>
      </c>
      <c r="C1314" s="72"/>
      <c r="D1314" s="72"/>
      <c r="F1314" s="72"/>
      <c r="G1314" s="72"/>
      <c r="H1314" s="72"/>
      <c r="P1314" s="72"/>
      <c r="Q1314" s="72"/>
      <c r="R1314" s="72"/>
      <c r="S1314" s="72"/>
      <c r="T1314" s="72"/>
      <c r="U1314" s="72"/>
      <c r="V1314" s="72"/>
      <c r="W1314" s="72"/>
      <c r="X1314" s="72"/>
      <c r="Y1314" s="72"/>
      <c r="Z1314" s="72"/>
      <c r="AA1314" s="72"/>
      <c r="AF1314" s="72"/>
      <c r="AG1314" s="72"/>
      <c r="AH1314" s="72"/>
    </row>
    <row r="1315" spans="2:34">
      <c r="B1315" s="72" t="s">
        <v>1181</v>
      </c>
      <c r="C1315" s="72"/>
      <c r="D1315" s="72"/>
      <c r="F1315" s="72"/>
      <c r="G1315" s="72"/>
      <c r="H1315" s="72"/>
      <c r="P1315" s="72"/>
      <c r="Q1315" s="72"/>
      <c r="R1315" s="72"/>
      <c r="S1315" s="72"/>
      <c r="T1315" s="72"/>
      <c r="U1315" s="72"/>
      <c r="V1315" s="72"/>
      <c r="W1315" s="72"/>
      <c r="X1315" s="72"/>
      <c r="Y1315" s="72"/>
      <c r="Z1315" s="72"/>
      <c r="AA1315" s="72"/>
      <c r="AF1315" s="72"/>
      <c r="AG1315" s="72"/>
      <c r="AH1315" s="72"/>
    </row>
    <row r="1316" spans="2:34">
      <c r="B1316" s="72" t="s">
        <v>1180</v>
      </c>
      <c r="C1316" s="72"/>
      <c r="D1316" s="72"/>
      <c r="F1316" s="72"/>
      <c r="G1316" s="72"/>
      <c r="H1316" s="72"/>
      <c r="P1316" s="72"/>
      <c r="Q1316" s="72"/>
      <c r="R1316" s="72"/>
      <c r="S1316" s="72"/>
      <c r="T1316" s="72"/>
      <c r="U1316" s="72"/>
      <c r="V1316" s="72"/>
      <c r="W1316" s="72"/>
      <c r="X1316" s="72"/>
      <c r="Y1316" s="72"/>
      <c r="Z1316" s="72"/>
      <c r="AA1316" s="72"/>
      <c r="AF1316" s="72"/>
      <c r="AG1316" s="72"/>
      <c r="AH1316" s="72"/>
    </row>
    <row r="1317" spans="2:34">
      <c r="B1317" s="72" t="s">
        <v>1179</v>
      </c>
      <c r="C1317" s="72"/>
      <c r="D1317" s="72"/>
      <c r="F1317" s="72"/>
      <c r="G1317" s="72"/>
      <c r="H1317" s="72"/>
      <c r="P1317" s="72"/>
      <c r="Q1317" s="72"/>
      <c r="R1317" s="72"/>
      <c r="S1317" s="72"/>
      <c r="T1317" s="72"/>
      <c r="U1317" s="72"/>
      <c r="V1317" s="72"/>
      <c r="W1317" s="72"/>
      <c r="X1317" s="72"/>
      <c r="Y1317" s="72"/>
      <c r="Z1317" s="72"/>
      <c r="AA1317" s="72"/>
      <c r="AF1317" s="72"/>
      <c r="AG1317" s="72"/>
      <c r="AH1317" s="72"/>
    </row>
    <row r="1318" spans="2:34">
      <c r="B1318" s="72" t="s">
        <v>1178</v>
      </c>
      <c r="C1318" s="72"/>
      <c r="D1318" s="72"/>
      <c r="F1318" s="72"/>
      <c r="G1318" s="72"/>
      <c r="H1318" s="72"/>
      <c r="P1318" s="72"/>
      <c r="Q1318" s="72"/>
      <c r="R1318" s="72"/>
      <c r="S1318" s="72"/>
      <c r="T1318" s="72"/>
      <c r="U1318" s="72"/>
      <c r="V1318" s="72"/>
      <c r="W1318" s="72"/>
      <c r="X1318" s="72"/>
      <c r="Y1318" s="72"/>
      <c r="Z1318" s="72"/>
      <c r="AA1318" s="72"/>
      <c r="AF1318" s="72"/>
      <c r="AG1318" s="72"/>
      <c r="AH1318" s="72"/>
    </row>
    <row r="1319" spans="2:34">
      <c r="B1319" s="72" t="s">
        <v>1177</v>
      </c>
      <c r="C1319" s="72"/>
      <c r="D1319" s="72"/>
      <c r="F1319" s="72"/>
      <c r="G1319" s="72"/>
      <c r="H1319" s="72"/>
      <c r="P1319" s="72"/>
      <c r="Q1319" s="72"/>
      <c r="R1319" s="72"/>
      <c r="S1319" s="72"/>
      <c r="T1319" s="72"/>
      <c r="U1319" s="72"/>
      <c r="V1319" s="72"/>
      <c r="W1319" s="72"/>
      <c r="X1319" s="72"/>
      <c r="Y1319" s="72"/>
      <c r="Z1319" s="72"/>
      <c r="AA1319" s="72"/>
      <c r="AF1319" s="72"/>
      <c r="AG1319" s="72"/>
      <c r="AH1319" s="72"/>
    </row>
    <row r="1320" spans="2:34">
      <c r="B1320" s="72" t="s">
        <v>1176</v>
      </c>
      <c r="C1320" s="72"/>
      <c r="D1320" s="72"/>
      <c r="F1320" s="72"/>
      <c r="G1320" s="72"/>
      <c r="H1320" s="72"/>
      <c r="P1320" s="72"/>
      <c r="Q1320" s="72"/>
      <c r="R1320" s="72"/>
      <c r="S1320" s="72"/>
      <c r="T1320" s="72"/>
      <c r="U1320" s="72"/>
      <c r="V1320" s="72"/>
      <c r="W1320" s="72"/>
      <c r="X1320" s="72"/>
      <c r="Y1320" s="72"/>
      <c r="Z1320" s="72"/>
      <c r="AA1320" s="72"/>
      <c r="AF1320" s="72"/>
      <c r="AG1320" s="72"/>
      <c r="AH1320" s="72"/>
    </row>
    <row r="1321" spans="2:34">
      <c r="B1321" s="72" t="s">
        <v>1175</v>
      </c>
      <c r="C1321" s="72"/>
      <c r="D1321" s="72"/>
      <c r="F1321" s="72"/>
      <c r="G1321" s="72"/>
      <c r="H1321" s="72"/>
      <c r="P1321" s="72"/>
      <c r="Q1321" s="72"/>
      <c r="R1321" s="72"/>
      <c r="S1321" s="72"/>
      <c r="T1321" s="72"/>
      <c r="U1321" s="72"/>
      <c r="V1321" s="72"/>
      <c r="W1321" s="72"/>
      <c r="X1321" s="72"/>
      <c r="Y1321" s="72"/>
      <c r="Z1321" s="72"/>
      <c r="AA1321" s="72"/>
      <c r="AF1321" s="72"/>
      <c r="AG1321" s="72"/>
      <c r="AH1321" s="72"/>
    </row>
    <row r="1322" spans="2:34">
      <c r="B1322" s="72" t="s">
        <v>1174</v>
      </c>
      <c r="C1322" s="72"/>
      <c r="D1322" s="72"/>
      <c r="F1322" s="72"/>
      <c r="G1322" s="72"/>
      <c r="H1322" s="72"/>
      <c r="P1322" s="72"/>
      <c r="Q1322" s="72"/>
      <c r="R1322" s="72"/>
      <c r="S1322" s="72"/>
      <c r="T1322" s="72"/>
      <c r="U1322" s="72"/>
      <c r="V1322" s="72"/>
      <c r="W1322" s="72"/>
      <c r="X1322" s="72"/>
      <c r="Y1322" s="72"/>
      <c r="Z1322" s="72"/>
      <c r="AA1322" s="72"/>
      <c r="AF1322" s="72"/>
      <c r="AG1322" s="72"/>
      <c r="AH1322" s="72"/>
    </row>
    <row r="1323" spans="2:34">
      <c r="B1323" s="72" t="s">
        <v>1173</v>
      </c>
      <c r="C1323" s="72"/>
      <c r="D1323" s="72"/>
      <c r="F1323" s="72"/>
      <c r="G1323" s="72"/>
      <c r="H1323" s="72"/>
      <c r="P1323" s="72"/>
      <c r="Q1323" s="72"/>
      <c r="R1323" s="72"/>
      <c r="S1323" s="72"/>
      <c r="T1323" s="72"/>
      <c r="U1323" s="72"/>
      <c r="V1323" s="72"/>
      <c r="W1323" s="72"/>
      <c r="X1323" s="72"/>
      <c r="Y1323" s="72"/>
      <c r="Z1323" s="72"/>
      <c r="AA1323" s="72"/>
      <c r="AF1323" s="72"/>
      <c r="AG1323" s="72"/>
      <c r="AH1323" s="72"/>
    </row>
    <row r="1324" spans="2:34">
      <c r="B1324" s="72" t="s">
        <v>1172</v>
      </c>
      <c r="C1324" s="72"/>
      <c r="D1324" s="72"/>
      <c r="F1324" s="72"/>
      <c r="G1324" s="72"/>
      <c r="H1324" s="72"/>
      <c r="P1324" s="72"/>
      <c r="Q1324" s="72"/>
      <c r="R1324" s="72"/>
      <c r="S1324" s="72"/>
      <c r="T1324" s="72"/>
      <c r="U1324" s="72"/>
      <c r="V1324" s="72"/>
      <c r="W1324" s="72"/>
      <c r="X1324" s="72"/>
      <c r="Y1324" s="72"/>
      <c r="Z1324" s="72"/>
      <c r="AA1324" s="72"/>
      <c r="AF1324" s="72"/>
      <c r="AG1324" s="72"/>
      <c r="AH1324" s="72"/>
    </row>
    <row r="1325" spans="2:34">
      <c r="B1325" s="72" t="s">
        <v>1171</v>
      </c>
      <c r="C1325" s="72"/>
      <c r="D1325" s="72"/>
      <c r="F1325" s="72"/>
      <c r="G1325" s="72"/>
      <c r="H1325" s="72"/>
      <c r="P1325" s="72"/>
      <c r="Q1325" s="72"/>
      <c r="R1325" s="72"/>
      <c r="S1325" s="72"/>
      <c r="T1325" s="72"/>
      <c r="U1325" s="72"/>
      <c r="V1325" s="72"/>
      <c r="W1325" s="72"/>
      <c r="X1325" s="72"/>
      <c r="Y1325" s="72"/>
      <c r="Z1325" s="72"/>
      <c r="AA1325" s="72"/>
      <c r="AF1325" s="72"/>
      <c r="AG1325" s="72"/>
      <c r="AH1325" s="72"/>
    </row>
    <row r="1326" spans="2:34">
      <c r="B1326" s="72" t="s">
        <v>1170</v>
      </c>
      <c r="C1326" s="72"/>
      <c r="D1326" s="72"/>
      <c r="F1326" s="72"/>
      <c r="G1326" s="72"/>
      <c r="H1326" s="72"/>
      <c r="P1326" s="72"/>
      <c r="Q1326" s="72"/>
      <c r="R1326" s="72"/>
      <c r="S1326" s="72"/>
      <c r="T1326" s="72"/>
      <c r="U1326" s="72"/>
      <c r="V1326" s="72"/>
      <c r="W1326" s="72"/>
      <c r="X1326" s="72"/>
      <c r="Y1326" s="72"/>
      <c r="Z1326" s="72"/>
      <c r="AA1326" s="72"/>
      <c r="AF1326" s="72"/>
      <c r="AG1326" s="72"/>
      <c r="AH1326" s="72"/>
    </row>
    <row r="1327" spans="2:34">
      <c r="B1327" s="72" t="s">
        <v>1169</v>
      </c>
      <c r="C1327" s="72"/>
      <c r="D1327" s="72"/>
      <c r="F1327" s="72"/>
      <c r="G1327" s="72"/>
      <c r="H1327" s="72"/>
      <c r="P1327" s="72"/>
      <c r="Q1327" s="72"/>
      <c r="R1327" s="72"/>
      <c r="S1327" s="72"/>
      <c r="T1327" s="72"/>
      <c r="U1327" s="72"/>
      <c r="V1327" s="72"/>
      <c r="W1327" s="72"/>
      <c r="X1327" s="72"/>
      <c r="Y1327" s="72"/>
      <c r="Z1327" s="72"/>
      <c r="AA1327" s="72"/>
      <c r="AF1327" s="72"/>
      <c r="AG1327" s="72"/>
      <c r="AH1327" s="72"/>
    </row>
    <row r="1328" spans="2:34">
      <c r="B1328" s="72" t="s">
        <v>1168</v>
      </c>
      <c r="C1328" s="72"/>
      <c r="D1328" s="72"/>
      <c r="F1328" s="72"/>
      <c r="G1328" s="72"/>
      <c r="H1328" s="72"/>
      <c r="P1328" s="72"/>
      <c r="Q1328" s="72"/>
      <c r="R1328" s="72"/>
      <c r="S1328" s="72"/>
      <c r="T1328" s="72"/>
      <c r="U1328" s="72"/>
      <c r="V1328" s="72"/>
      <c r="W1328" s="72"/>
      <c r="X1328" s="72"/>
      <c r="Y1328" s="72"/>
      <c r="Z1328" s="72"/>
      <c r="AA1328" s="72"/>
      <c r="AF1328" s="72"/>
      <c r="AG1328" s="72"/>
      <c r="AH1328" s="72"/>
    </row>
    <row r="1329" spans="2:34">
      <c r="B1329" s="238" t="s">
        <v>7503</v>
      </c>
      <c r="C1329" s="72"/>
      <c r="D1329" s="72"/>
      <c r="F1329" s="72"/>
      <c r="G1329" s="72"/>
      <c r="H1329" s="72"/>
      <c r="P1329" s="72"/>
      <c r="Q1329" s="72"/>
      <c r="R1329" s="72"/>
      <c r="S1329" s="72"/>
      <c r="T1329" s="72"/>
      <c r="U1329" s="72"/>
      <c r="V1329" s="72"/>
      <c r="W1329" s="72"/>
      <c r="X1329" s="72"/>
      <c r="Y1329" s="72"/>
      <c r="Z1329" s="72"/>
      <c r="AA1329" s="72"/>
      <c r="AF1329" s="72"/>
      <c r="AG1329" s="72"/>
      <c r="AH1329" s="72"/>
    </row>
    <row r="1330" spans="2:34">
      <c r="B1330" s="72" t="s">
        <v>1167</v>
      </c>
      <c r="C1330" s="72"/>
      <c r="D1330" s="72"/>
      <c r="F1330" s="72"/>
      <c r="G1330" s="72"/>
      <c r="H1330" s="72"/>
      <c r="P1330" s="72"/>
      <c r="Q1330" s="72"/>
      <c r="R1330" s="72"/>
      <c r="S1330" s="72"/>
      <c r="T1330" s="72"/>
      <c r="U1330" s="72"/>
      <c r="V1330" s="72"/>
      <c r="W1330" s="72"/>
      <c r="X1330" s="72"/>
      <c r="Y1330" s="72"/>
      <c r="Z1330" s="72"/>
      <c r="AA1330" s="72"/>
      <c r="AF1330" s="72"/>
      <c r="AG1330" s="72"/>
      <c r="AH1330" s="72"/>
    </row>
    <row r="1331" spans="2:34">
      <c r="B1331" s="72" t="s">
        <v>1166</v>
      </c>
      <c r="C1331" s="72"/>
      <c r="D1331" s="72"/>
      <c r="F1331" s="72"/>
      <c r="G1331" s="72"/>
      <c r="H1331" s="72"/>
      <c r="P1331" s="72"/>
      <c r="Q1331" s="72"/>
      <c r="R1331" s="72"/>
      <c r="S1331" s="72"/>
      <c r="T1331" s="72"/>
      <c r="U1331" s="72"/>
      <c r="V1331" s="72"/>
      <c r="W1331" s="72"/>
      <c r="X1331" s="72"/>
      <c r="Y1331" s="72"/>
      <c r="Z1331" s="72"/>
      <c r="AA1331" s="72"/>
      <c r="AF1331" s="72"/>
      <c r="AG1331" s="72"/>
      <c r="AH1331" s="72"/>
    </row>
    <row r="1332" spans="2:34">
      <c r="B1332" s="72" t="s">
        <v>4271</v>
      </c>
      <c r="C1332" s="72"/>
      <c r="D1332" s="72"/>
      <c r="F1332" s="72"/>
      <c r="G1332" s="72"/>
      <c r="H1332" s="72"/>
      <c r="P1332" s="72"/>
      <c r="Q1332" s="72"/>
      <c r="R1332" s="72"/>
      <c r="S1332" s="72"/>
      <c r="T1332" s="72"/>
      <c r="U1332" s="72"/>
      <c r="V1332" s="72"/>
      <c r="W1332" s="72"/>
      <c r="X1332" s="72"/>
      <c r="Y1332" s="72"/>
      <c r="Z1332" s="72"/>
      <c r="AA1332" s="72"/>
      <c r="AF1332" s="72"/>
      <c r="AG1332" s="72"/>
      <c r="AH1332" s="72"/>
    </row>
    <row r="1333" spans="2:34">
      <c r="B1333" s="72" t="s">
        <v>4275</v>
      </c>
      <c r="C1333" s="72"/>
      <c r="D1333" s="72"/>
      <c r="F1333" s="72"/>
      <c r="G1333" s="72"/>
      <c r="H1333" s="72"/>
      <c r="P1333" s="72"/>
      <c r="Q1333" s="72"/>
      <c r="R1333" s="72"/>
      <c r="S1333" s="72"/>
      <c r="T1333" s="72"/>
      <c r="U1333" s="72"/>
      <c r="V1333" s="72"/>
      <c r="W1333" s="72"/>
      <c r="X1333" s="72"/>
      <c r="Y1333" s="72"/>
      <c r="Z1333" s="72"/>
      <c r="AA1333" s="72"/>
      <c r="AF1333" s="72"/>
      <c r="AG1333" s="72"/>
      <c r="AH1333" s="72"/>
    </row>
    <row r="1334" spans="2:34">
      <c r="B1334" s="72" t="s">
        <v>4277</v>
      </c>
      <c r="C1334" s="72"/>
      <c r="D1334" s="72"/>
      <c r="F1334" s="72"/>
      <c r="G1334" s="72"/>
      <c r="H1334" s="72"/>
      <c r="P1334" s="72"/>
      <c r="Q1334" s="72"/>
      <c r="R1334" s="72"/>
      <c r="S1334" s="72"/>
      <c r="T1334" s="72"/>
      <c r="U1334" s="72"/>
      <c r="V1334" s="72"/>
      <c r="W1334" s="72"/>
      <c r="X1334" s="72"/>
      <c r="Y1334" s="72"/>
      <c r="Z1334" s="72"/>
      <c r="AA1334" s="72"/>
      <c r="AF1334" s="72"/>
      <c r="AG1334" s="72"/>
      <c r="AH1334" s="72"/>
    </row>
    <row r="1335" spans="2:34">
      <c r="B1335" s="72" t="s">
        <v>4278</v>
      </c>
      <c r="C1335" s="72"/>
      <c r="D1335" s="72"/>
      <c r="F1335" s="72"/>
      <c r="G1335" s="72"/>
      <c r="H1335" s="72"/>
      <c r="P1335" s="72"/>
      <c r="Q1335" s="72"/>
      <c r="R1335" s="72"/>
      <c r="S1335" s="72"/>
      <c r="T1335" s="72"/>
      <c r="U1335" s="72"/>
      <c r="V1335" s="72"/>
      <c r="W1335" s="72"/>
      <c r="X1335" s="72"/>
      <c r="Y1335" s="72"/>
      <c r="Z1335" s="72"/>
      <c r="AA1335" s="72"/>
      <c r="AF1335" s="72"/>
      <c r="AG1335" s="72"/>
      <c r="AH1335" s="72"/>
    </row>
    <row r="1336" spans="2:34">
      <c r="B1336" s="72" t="s">
        <v>4279</v>
      </c>
      <c r="C1336" s="72"/>
      <c r="D1336" s="72"/>
      <c r="F1336" s="72"/>
      <c r="G1336" s="72"/>
      <c r="H1336" s="72"/>
      <c r="P1336" s="72"/>
      <c r="Q1336" s="72"/>
      <c r="R1336" s="72"/>
      <c r="S1336" s="72"/>
      <c r="T1336" s="72"/>
      <c r="U1336" s="72"/>
      <c r="V1336" s="72"/>
      <c r="W1336" s="72"/>
      <c r="X1336" s="72"/>
      <c r="Y1336" s="72"/>
      <c r="Z1336" s="72"/>
      <c r="AA1336" s="72"/>
      <c r="AF1336" s="72"/>
      <c r="AG1336" s="72"/>
      <c r="AH1336" s="72"/>
    </row>
    <row r="1337" spans="2:34">
      <c r="B1337" s="72" t="s">
        <v>4280</v>
      </c>
      <c r="C1337" s="72"/>
      <c r="D1337" s="72"/>
      <c r="F1337" s="72"/>
      <c r="G1337" s="72"/>
      <c r="H1337" s="72"/>
      <c r="P1337" s="72"/>
      <c r="Q1337" s="72"/>
      <c r="R1337" s="72"/>
      <c r="S1337" s="72"/>
      <c r="T1337" s="72"/>
      <c r="U1337" s="72"/>
      <c r="V1337" s="72"/>
      <c r="W1337" s="72"/>
      <c r="X1337" s="72"/>
      <c r="Y1337" s="72"/>
      <c r="Z1337" s="72"/>
      <c r="AA1337" s="72"/>
      <c r="AF1337" s="72"/>
      <c r="AG1337" s="72"/>
      <c r="AH1337" s="72"/>
    </row>
    <row r="1338" spans="2:34">
      <c r="B1338" s="72" t="s">
        <v>4281</v>
      </c>
      <c r="C1338" s="72"/>
      <c r="D1338" s="72"/>
      <c r="F1338" s="72"/>
      <c r="G1338" s="72"/>
      <c r="H1338" s="72"/>
      <c r="P1338" s="72"/>
      <c r="Q1338" s="72"/>
      <c r="R1338" s="72"/>
      <c r="S1338" s="72"/>
      <c r="T1338" s="72"/>
      <c r="U1338" s="72"/>
      <c r="V1338" s="72"/>
      <c r="W1338" s="72"/>
      <c r="X1338" s="72"/>
      <c r="Y1338" s="72"/>
      <c r="Z1338" s="72"/>
      <c r="AA1338" s="72"/>
      <c r="AF1338" s="72"/>
      <c r="AG1338" s="72"/>
      <c r="AH1338" s="72"/>
    </row>
    <row r="1339" spans="2:34">
      <c r="B1339" s="72" t="s">
        <v>4282</v>
      </c>
      <c r="C1339" s="72"/>
      <c r="D1339" s="72"/>
      <c r="F1339" s="72"/>
      <c r="G1339" s="72"/>
      <c r="H1339" s="72"/>
      <c r="P1339" s="72"/>
      <c r="Q1339" s="72"/>
      <c r="R1339" s="72"/>
      <c r="S1339" s="72"/>
      <c r="T1339" s="72"/>
      <c r="U1339" s="72"/>
      <c r="V1339" s="72"/>
      <c r="W1339" s="72"/>
      <c r="X1339" s="72"/>
      <c r="Y1339" s="72"/>
      <c r="Z1339" s="72"/>
      <c r="AA1339" s="72"/>
      <c r="AF1339" s="72"/>
      <c r="AG1339" s="72"/>
      <c r="AH1339" s="72"/>
    </row>
    <row r="1340" spans="2:34">
      <c r="B1340" s="72" t="s">
        <v>4283</v>
      </c>
      <c r="C1340" s="72"/>
      <c r="D1340" s="72"/>
      <c r="F1340" s="72"/>
      <c r="G1340" s="72"/>
      <c r="H1340" s="72"/>
      <c r="P1340" s="72"/>
      <c r="Q1340" s="72"/>
      <c r="R1340" s="72"/>
      <c r="S1340" s="72"/>
      <c r="T1340" s="72"/>
      <c r="U1340" s="72"/>
      <c r="V1340" s="72"/>
      <c r="W1340" s="72"/>
      <c r="X1340" s="72"/>
      <c r="Y1340" s="72"/>
      <c r="Z1340" s="72"/>
      <c r="AA1340" s="72"/>
      <c r="AF1340" s="72"/>
      <c r="AG1340" s="72"/>
      <c r="AH1340" s="72"/>
    </row>
    <row r="1341" spans="2:34">
      <c r="B1341" s="72" t="s">
        <v>4284</v>
      </c>
      <c r="C1341" s="72"/>
      <c r="D1341" s="72"/>
      <c r="F1341" s="72"/>
      <c r="G1341" s="72"/>
      <c r="H1341" s="72"/>
      <c r="P1341" s="72"/>
      <c r="Q1341" s="72"/>
      <c r="R1341" s="72"/>
      <c r="S1341" s="72"/>
      <c r="T1341" s="72"/>
      <c r="U1341" s="72"/>
      <c r="V1341" s="72"/>
      <c r="W1341" s="72"/>
      <c r="X1341" s="72"/>
      <c r="Y1341" s="72"/>
      <c r="Z1341" s="72"/>
      <c r="AA1341" s="72"/>
      <c r="AF1341" s="72"/>
      <c r="AG1341" s="72"/>
      <c r="AH1341" s="72"/>
    </row>
    <row r="1342" spans="2:34">
      <c r="B1342" s="72" t="s">
        <v>4286</v>
      </c>
      <c r="C1342" s="72"/>
      <c r="D1342" s="72"/>
      <c r="F1342" s="72"/>
      <c r="G1342" s="72"/>
      <c r="H1342" s="72"/>
      <c r="P1342" s="72"/>
      <c r="Q1342" s="72"/>
      <c r="R1342" s="72"/>
      <c r="S1342" s="72"/>
      <c r="T1342" s="72"/>
      <c r="U1342" s="72"/>
      <c r="V1342" s="72"/>
      <c r="W1342" s="72"/>
      <c r="X1342" s="72"/>
      <c r="Y1342" s="72"/>
      <c r="Z1342" s="72"/>
      <c r="AA1342" s="72"/>
      <c r="AF1342" s="72"/>
      <c r="AG1342" s="72"/>
      <c r="AH1342" s="72"/>
    </row>
    <row r="1343" spans="2:34">
      <c r="B1343" s="72" t="s">
        <v>4287</v>
      </c>
      <c r="C1343" s="72"/>
      <c r="D1343" s="72"/>
      <c r="F1343" s="72"/>
      <c r="G1343" s="72"/>
      <c r="H1343" s="72"/>
      <c r="P1343" s="72"/>
      <c r="Q1343" s="72"/>
      <c r="R1343" s="72"/>
      <c r="S1343" s="72"/>
      <c r="T1343" s="72"/>
      <c r="U1343" s="72"/>
      <c r="V1343" s="72"/>
      <c r="W1343" s="72"/>
      <c r="X1343" s="72"/>
      <c r="Y1343" s="72"/>
      <c r="Z1343" s="72"/>
      <c r="AA1343" s="72"/>
      <c r="AF1343" s="72"/>
      <c r="AG1343" s="72"/>
      <c r="AH1343" s="72"/>
    </row>
    <row r="1344" spans="2:34">
      <c r="B1344" s="72" t="s">
        <v>4288</v>
      </c>
      <c r="C1344" s="72"/>
      <c r="D1344" s="72"/>
      <c r="F1344" s="72"/>
      <c r="G1344" s="72"/>
      <c r="H1344" s="72"/>
      <c r="P1344" s="72"/>
      <c r="Q1344" s="72"/>
      <c r="R1344" s="72"/>
      <c r="S1344" s="72"/>
      <c r="T1344" s="72"/>
      <c r="U1344" s="72"/>
      <c r="V1344" s="72"/>
      <c r="W1344" s="72"/>
      <c r="X1344" s="72"/>
      <c r="Y1344" s="72"/>
      <c r="Z1344" s="72"/>
      <c r="AA1344" s="72"/>
      <c r="AF1344" s="72"/>
      <c r="AG1344" s="72"/>
      <c r="AH1344" s="72"/>
    </row>
    <row r="1345" spans="2:34">
      <c r="B1345" s="72" t="s">
        <v>4289</v>
      </c>
      <c r="C1345" s="72"/>
      <c r="D1345" s="72"/>
      <c r="F1345" s="72"/>
      <c r="G1345" s="72"/>
      <c r="H1345" s="72"/>
      <c r="P1345" s="72"/>
      <c r="Q1345" s="72"/>
      <c r="R1345" s="72"/>
      <c r="S1345" s="72"/>
      <c r="T1345" s="72"/>
      <c r="U1345" s="72"/>
      <c r="V1345" s="72"/>
      <c r="W1345" s="72"/>
      <c r="X1345" s="72"/>
      <c r="Y1345" s="72"/>
      <c r="Z1345" s="72"/>
      <c r="AA1345" s="72"/>
      <c r="AF1345" s="72"/>
      <c r="AG1345" s="72"/>
      <c r="AH1345" s="72"/>
    </row>
    <row r="1346" spans="2:34">
      <c r="B1346" s="72" t="s">
        <v>4290</v>
      </c>
      <c r="C1346" s="72"/>
      <c r="D1346" s="72"/>
      <c r="F1346" s="72"/>
      <c r="G1346" s="72"/>
      <c r="H1346" s="72"/>
      <c r="P1346" s="72"/>
      <c r="Q1346" s="72"/>
      <c r="R1346" s="72"/>
      <c r="S1346" s="72"/>
      <c r="T1346" s="72"/>
      <c r="U1346" s="72"/>
      <c r="V1346" s="72"/>
      <c r="W1346" s="72"/>
      <c r="X1346" s="72"/>
      <c r="Y1346" s="72"/>
      <c r="Z1346" s="72"/>
      <c r="AA1346" s="72"/>
      <c r="AF1346" s="72"/>
      <c r="AG1346" s="72"/>
      <c r="AH1346" s="72"/>
    </row>
    <row r="1347" spans="2:34">
      <c r="B1347" s="72" t="s">
        <v>4291</v>
      </c>
      <c r="C1347" s="72"/>
      <c r="D1347" s="72"/>
      <c r="F1347" s="72"/>
      <c r="G1347" s="72"/>
      <c r="H1347" s="72"/>
      <c r="P1347" s="72"/>
      <c r="Q1347" s="72"/>
      <c r="R1347" s="72"/>
      <c r="S1347" s="72"/>
      <c r="T1347" s="72"/>
      <c r="U1347" s="72"/>
      <c r="V1347" s="72"/>
      <c r="W1347" s="72"/>
      <c r="X1347" s="72"/>
      <c r="Y1347" s="72"/>
      <c r="Z1347" s="72"/>
      <c r="AA1347" s="72"/>
      <c r="AF1347" s="72"/>
      <c r="AG1347" s="72"/>
      <c r="AH1347" s="72"/>
    </row>
    <row r="1348" spans="2:34">
      <c r="B1348" s="72" t="s">
        <v>4292</v>
      </c>
      <c r="C1348" s="72"/>
      <c r="D1348" s="72"/>
      <c r="F1348" s="72"/>
      <c r="G1348" s="72"/>
      <c r="H1348" s="72"/>
      <c r="P1348" s="72"/>
      <c r="Q1348" s="72"/>
      <c r="R1348" s="72"/>
      <c r="S1348" s="72"/>
      <c r="T1348" s="72"/>
      <c r="U1348" s="72"/>
      <c r="V1348" s="72"/>
      <c r="W1348" s="72"/>
      <c r="X1348" s="72"/>
      <c r="Y1348" s="72"/>
      <c r="Z1348" s="72"/>
      <c r="AA1348" s="72"/>
      <c r="AF1348" s="72"/>
      <c r="AG1348" s="72"/>
      <c r="AH1348" s="72"/>
    </row>
    <row r="1349" spans="2:34">
      <c r="B1349" s="72" t="s">
        <v>4297</v>
      </c>
      <c r="C1349" s="72"/>
      <c r="D1349" s="72"/>
      <c r="F1349" s="72"/>
      <c r="G1349" s="72"/>
      <c r="H1349" s="72"/>
      <c r="P1349" s="72"/>
      <c r="Q1349" s="72"/>
      <c r="R1349" s="72"/>
      <c r="S1349" s="72"/>
      <c r="T1349" s="72"/>
      <c r="U1349" s="72"/>
      <c r="V1349" s="72"/>
      <c r="W1349" s="72"/>
      <c r="X1349" s="72"/>
      <c r="Y1349" s="72"/>
      <c r="Z1349" s="72"/>
      <c r="AA1349" s="72"/>
      <c r="AF1349" s="72"/>
      <c r="AG1349" s="72"/>
      <c r="AH1349" s="72"/>
    </row>
    <row r="1350" spans="2:34">
      <c r="B1350" s="72" t="s">
        <v>4298</v>
      </c>
      <c r="C1350" s="72"/>
      <c r="D1350" s="72"/>
      <c r="F1350" s="72"/>
      <c r="G1350" s="72"/>
      <c r="H1350" s="72"/>
      <c r="P1350" s="72"/>
      <c r="Q1350" s="72"/>
      <c r="R1350" s="72"/>
      <c r="S1350" s="72"/>
      <c r="T1350" s="72"/>
      <c r="U1350" s="72"/>
      <c r="V1350" s="72"/>
      <c r="W1350" s="72"/>
      <c r="X1350" s="72"/>
      <c r="Y1350" s="72"/>
      <c r="Z1350" s="72"/>
      <c r="AA1350" s="72"/>
      <c r="AF1350" s="72"/>
      <c r="AG1350" s="72"/>
      <c r="AH1350" s="72"/>
    </row>
    <row r="1351" spans="2:34">
      <c r="B1351" s="72" t="s">
        <v>4299</v>
      </c>
      <c r="D1351" s="72"/>
      <c r="F1351" s="72"/>
      <c r="G1351" s="72"/>
      <c r="H1351" s="72"/>
      <c r="P1351" s="72"/>
      <c r="Q1351" s="72"/>
      <c r="R1351" s="72"/>
      <c r="S1351" s="72"/>
      <c r="T1351" s="72"/>
      <c r="U1351" s="72"/>
      <c r="V1351" s="72"/>
      <c r="W1351" s="72"/>
      <c r="X1351" s="72"/>
      <c r="Y1351" s="72"/>
      <c r="Z1351" s="72"/>
      <c r="AA1351" s="72"/>
      <c r="AF1351" s="72"/>
      <c r="AG1351" s="72"/>
      <c r="AH1351" s="72"/>
    </row>
    <row r="1352" spans="2:34">
      <c r="B1352" s="72" t="s">
        <v>4300</v>
      </c>
      <c r="D1352" s="72"/>
      <c r="F1352" s="72"/>
      <c r="G1352" s="72"/>
      <c r="H1352" s="72"/>
      <c r="P1352" s="72"/>
      <c r="Q1352" s="72"/>
      <c r="R1352" s="72"/>
      <c r="S1352" s="72"/>
      <c r="T1352" s="72"/>
      <c r="U1352" s="72"/>
      <c r="V1352" s="72"/>
      <c r="W1352" s="72"/>
      <c r="X1352" s="72"/>
      <c r="Y1352" s="72"/>
      <c r="Z1352" s="72"/>
      <c r="AA1352" s="72"/>
      <c r="AF1352" s="72"/>
      <c r="AG1352" s="72"/>
      <c r="AH1352" s="72"/>
    </row>
    <row r="1353" spans="2:34">
      <c r="B1353" s="72" t="s">
        <v>1947</v>
      </c>
      <c r="D1353" s="72"/>
      <c r="F1353" s="72"/>
      <c r="G1353" s="72"/>
      <c r="H1353" s="72"/>
      <c r="P1353" s="72"/>
      <c r="Q1353" s="72"/>
      <c r="R1353" s="72"/>
      <c r="S1353" s="72"/>
      <c r="T1353" s="72"/>
      <c r="U1353" s="72"/>
      <c r="V1353" s="72"/>
      <c r="W1353" s="72"/>
      <c r="X1353" s="72"/>
      <c r="Y1353" s="72"/>
      <c r="Z1353" s="72"/>
      <c r="AA1353" s="72"/>
      <c r="AF1353" s="72"/>
      <c r="AG1353" s="72"/>
      <c r="AH1353" s="72"/>
    </row>
    <row r="1354" spans="2:34">
      <c r="B1354" s="72" t="s">
        <v>4301</v>
      </c>
      <c r="D1354" s="72"/>
      <c r="F1354" s="72"/>
      <c r="G1354" s="72"/>
      <c r="H1354" s="72"/>
      <c r="P1354" s="72"/>
      <c r="Q1354" s="72"/>
      <c r="R1354" s="72"/>
      <c r="S1354" s="72"/>
      <c r="T1354" s="72"/>
      <c r="U1354" s="72"/>
      <c r="V1354" s="72"/>
      <c r="W1354" s="72"/>
      <c r="X1354" s="72"/>
      <c r="Y1354" s="72"/>
      <c r="Z1354" s="72"/>
      <c r="AA1354" s="72"/>
      <c r="AF1354" s="72"/>
      <c r="AG1354" s="72"/>
      <c r="AH1354" s="72"/>
    </row>
    <row r="1355" spans="2:34">
      <c r="B1355" s="72" t="s">
        <v>4302</v>
      </c>
      <c r="D1355" s="72"/>
      <c r="F1355" s="72"/>
      <c r="G1355" s="72"/>
      <c r="H1355" s="72"/>
      <c r="P1355" s="72"/>
      <c r="Q1355" s="72"/>
      <c r="R1355" s="72"/>
      <c r="S1355" s="72"/>
      <c r="T1355" s="72"/>
      <c r="U1355" s="72"/>
      <c r="V1355" s="72"/>
      <c r="W1355" s="72"/>
      <c r="X1355" s="72"/>
      <c r="Y1355" s="72"/>
      <c r="Z1355" s="72"/>
      <c r="AA1355" s="72"/>
      <c r="AF1355" s="72"/>
      <c r="AG1355" s="72"/>
      <c r="AH1355" s="72"/>
    </row>
    <row r="1356" spans="2:34">
      <c r="B1356" s="72" t="s">
        <v>4303</v>
      </c>
      <c r="D1356" s="72"/>
      <c r="F1356" s="72"/>
      <c r="G1356" s="72"/>
      <c r="H1356" s="72"/>
      <c r="P1356" s="72"/>
      <c r="Q1356" s="72"/>
      <c r="R1356" s="72"/>
      <c r="S1356" s="72"/>
      <c r="T1356" s="72"/>
      <c r="U1356" s="72"/>
      <c r="V1356" s="72"/>
      <c r="W1356" s="72"/>
      <c r="X1356" s="72"/>
      <c r="Y1356" s="72"/>
      <c r="Z1356" s="72"/>
      <c r="AA1356" s="72"/>
      <c r="AF1356" s="72"/>
      <c r="AG1356" s="72"/>
      <c r="AH1356" s="72"/>
    </row>
    <row r="1357" spans="2:34">
      <c r="B1357" s="72" t="s">
        <v>4304</v>
      </c>
      <c r="C1357" s="73" t="s">
        <v>2138</v>
      </c>
      <c r="D1357" s="72"/>
      <c r="F1357" s="72"/>
      <c r="G1357" s="72"/>
      <c r="H1357" s="72"/>
      <c r="P1357" s="72"/>
      <c r="Q1357" s="72"/>
      <c r="R1357" s="72"/>
      <c r="S1357" s="72"/>
      <c r="T1357" s="72"/>
      <c r="U1357" s="72"/>
      <c r="V1357" s="72"/>
      <c r="W1357" s="72"/>
      <c r="X1357" s="72"/>
      <c r="Y1357" s="72"/>
      <c r="Z1357" s="72"/>
      <c r="AA1357" s="72"/>
      <c r="AF1357" s="72"/>
      <c r="AG1357" s="72"/>
      <c r="AH1357" s="72"/>
    </row>
    <row r="1358" spans="2:34">
      <c r="B1358" s="72" t="s">
        <v>4308</v>
      </c>
      <c r="C1358" s="73" t="s">
        <v>4309</v>
      </c>
      <c r="D1358" s="72"/>
      <c r="F1358" s="72"/>
      <c r="G1358" s="72"/>
      <c r="H1358" s="72"/>
      <c r="P1358" s="72"/>
      <c r="Q1358" s="72"/>
      <c r="R1358" s="72"/>
      <c r="S1358" s="72"/>
      <c r="T1358" s="72"/>
      <c r="U1358" s="72"/>
      <c r="V1358" s="72"/>
      <c r="W1358" s="72"/>
      <c r="X1358" s="72"/>
      <c r="Y1358" s="72"/>
      <c r="Z1358" s="72"/>
      <c r="AA1358" s="72"/>
      <c r="AF1358" s="72"/>
      <c r="AG1358" s="72"/>
      <c r="AH1358" s="72"/>
    </row>
    <row r="1359" spans="2:34">
      <c r="B1359" s="72" t="s">
        <v>4311</v>
      </c>
      <c r="D1359" s="72"/>
      <c r="F1359" s="72"/>
      <c r="G1359" s="72"/>
      <c r="H1359" s="72"/>
      <c r="P1359" s="72"/>
      <c r="Q1359" s="72"/>
      <c r="R1359" s="72"/>
      <c r="S1359" s="72"/>
      <c r="T1359" s="72"/>
      <c r="U1359" s="72"/>
      <c r="V1359" s="72"/>
      <c r="W1359" s="72"/>
      <c r="X1359" s="72"/>
      <c r="Y1359" s="72"/>
      <c r="Z1359" s="72"/>
      <c r="AA1359" s="72"/>
      <c r="AF1359" s="72"/>
      <c r="AG1359" s="72"/>
      <c r="AH1359" s="72"/>
    </row>
    <row r="1360" spans="2:34">
      <c r="B1360" s="72" t="s">
        <v>4312</v>
      </c>
      <c r="D1360" s="72"/>
      <c r="F1360" s="72"/>
      <c r="G1360" s="72"/>
      <c r="H1360" s="72"/>
      <c r="P1360" s="72"/>
      <c r="Q1360" s="72"/>
      <c r="R1360" s="72"/>
      <c r="S1360" s="72"/>
      <c r="T1360" s="72"/>
      <c r="U1360" s="72"/>
      <c r="V1360" s="72"/>
      <c r="W1360" s="72"/>
      <c r="X1360" s="72"/>
      <c r="Y1360" s="72"/>
      <c r="Z1360" s="72"/>
      <c r="AA1360" s="72"/>
      <c r="AF1360" s="72"/>
      <c r="AG1360" s="72"/>
      <c r="AH1360" s="72"/>
    </row>
    <row r="1361" spans="2:34">
      <c r="B1361" s="72" t="s">
        <v>4313</v>
      </c>
      <c r="D1361" s="72"/>
      <c r="F1361" s="72"/>
      <c r="G1361" s="72"/>
      <c r="H1361" s="72"/>
      <c r="P1361" s="72"/>
      <c r="Q1361" s="72"/>
      <c r="R1361" s="72"/>
      <c r="S1361" s="72"/>
      <c r="T1361" s="72"/>
      <c r="U1361" s="72"/>
      <c r="V1361" s="72"/>
      <c r="W1361" s="72"/>
      <c r="X1361" s="72"/>
      <c r="Y1361" s="72"/>
      <c r="Z1361" s="72"/>
      <c r="AA1361" s="72"/>
      <c r="AF1361" s="72"/>
      <c r="AG1361" s="72"/>
      <c r="AH1361" s="72"/>
    </row>
    <row r="1362" spans="2:34">
      <c r="B1362" s="72" t="s">
        <v>4314</v>
      </c>
      <c r="D1362" s="72"/>
      <c r="F1362" s="72"/>
      <c r="G1362" s="72"/>
      <c r="H1362" s="72"/>
      <c r="P1362" s="72"/>
      <c r="Q1362" s="72"/>
      <c r="R1362" s="72"/>
      <c r="S1362" s="72"/>
      <c r="T1362" s="72"/>
      <c r="U1362" s="72"/>
      <c r="V1362" s="72"/>
      <c r="W1362" s="72"/>
      <c r="X1362" s="72"/>
      <c r="Y1362" s="72"/>
      <c r="Z1362" s="72"/>
      <c r="AA1362" s="72"/>
      <c r="AF1362" s="72"/>
      <c r="AG1362" s="72"/>
      <c r="AH1362" s="72"/>
    </row>
    <row r="1363" spans="2:34">
      <c r="B1363" s="72" t="s">
        <v>4316</v>
      </c>
      <c r="D1363" s="72"/>
      <c r="F1363" s="72"/>
      <c r="G1363" s="72"/>
      <c r="H1363" s="72"/>
      <c r="P1363" s="72"/>
      <c r="Q1363" s="72"/>
      <c r="R1363" s="72"/>
      <c r="S1363" s="72"/>
      <c r="T1363" s="72"/>
      <c r="U1363" s="72"/>
      <c r="V1363" s="72"/>
      <c r="W1363" s="72"/>
      <c r="X1363" s="72"/>
      <c r="Y1363" s="72"/>
      <c r="Z1363" s="72"/>
      <c r="AA1363" s="72"/>
      <c r="AF1363" s="72"/>
      <c r="AG1363" s="72"/>
      <c r="AH1363" s="72"/>
    </row>
    <row r="1364" spans="2:34">
      <c r="B1364" s="72" t="s">
        <v>4317</v>
      </c>
      <c r="D1364" s="72"/>
      <c r="F1364" s="72"/>
      <c r="G1364" s="72"/>
      <c r="H1364" s="72"/>
      <c r="P1364" s="72"/>
      <c r="Q1364" s="72"/>
      <c r="R1364" s="72"/>
      <c r="S1364" s="72"/>
      <c r="T1364" s="72"/>
      <c r="U1364" s="72"/>
      <c r="V1364" s="72"/>
      <c r="W1364" s="72"/>
      <c r="X1364" s="72"/>
      <c r="Y1364" s="72"/>
      <c r="Z1364" s="72"/>
      <c r="AA1364" s="72"/>
      <c r="AF1364" s="72"/>
      <c r="AG1364" s="72"/>
      <c r="AH1364" s="72"/>
    </row>
    <row r="1365" spans="2:34">
      <c r="B1365" s="72" t="s">
        <v>4354</v>
      </c>
      <c r="D1365" s="72"/>
      <c r="F1365" s="72"/>
      <c r="G1365" s="72"/>
      <c r="H1365" s="72"/>
      <c r="P1365" s="72"/>
      <c r="Q1365" s="72"/>
      <c r="R1365" s="72"/>
      <c r="S1365" s="72"/>
      <c r="T1365" s="72"/>
      <c r="U1365" s="72"/>
      <c r="V1365" s="72"/>
      <c r="W1365" s="72"/>
      <c r="X1365" s="72"/>
      <c r="Y1365" s="72"/>
      <c r="Z1365" s="72"/>
      <c r="AA1365" s="72"/>
      <c r="AF1365" s="72"/>
      <c r="AG1365" s="72"/>
      <c r="AH1365" s="72"/>
    </row>
    <row r="1366" spans="2:34">
      <c r="B1366" s="72" t="s">
        <v>4382</v>
      </c>
      <c r="D1366" s="72"/>
      <c r="F1366" s="72"/>
      <c r="G1366" s="72"/>
      <c r="H1366" s="72"/>
      <c r="P1366" s="72"/>
      <c r="Q1366" s="72"/>
      <c r="R1366" s="72"/>
      <c r="S1366" s="72"/>
      <c r="T1366" s="72"/>
      <c r="U1366" s="72"/>
      <c r="V1366" s="72"/>
      <c r="W1366" s="72"/>
      <c r="X1366" s="72"/>
      <c r="Y1366" s="72"/>
      <c r="Z1366" s="72"/>
      <c r="AA1366" s="72"/>
      <c r="AF1366" s="72"/>
      <c r="AG1366" s="72"/>
      <c r="AH1366" s="72"/>
    </row>
    <row r="1367" spans="2:34">
      <c r="B1367" s="72" t="s">
        <v>4383</v>
      </c>
    </row>
    <row r="1368" spans="2:34">
      <c r="B1368" s="72" t="s">
        <v>4385</v>
      </c>
    </row>
    <row r="1369" spans="2:34">
      <c r="B1369" s="72" t="s">
        <v>4462</v>
      </c>
      <c r="J1369" s="72" t="s">
        <v>4464</v>
      </c>
      <c r="M1369" s="72">
        <v>2020</v>
      </c>
      <c r="AB1369" s="72" t="s">
        <v>2048</v>
      </c>
      <c r="AE1369" s="25" t="s">
        <v>4463</v>
      </c>
      <c r="AF1369" s="64"/>
      <c r="AG1369" s="59"/>
      <c r="AH1369" s="59"/>
    </row>
    <row r="1370" spans="2:34">
      <c r="B1370" s="72" t="s">
        <v>4837</v>
      </c>
    </row>
    <row r="1371" spans="2:34">
      <c r="B1371" s="72" t="s">
        <v>4879</v>
      </c>
    </row>
    <row r="1372" spans="2:34">
      <c r="B1372" s="72" t="s">
        <v>4974</v>
      </c>
    </row>
    <row r="1373" spans="2:34">
      <c r="B1373" s="72" t="s">
        <v>5008</v>
      </c>
    </row>
    <row r="1374" spans="2:34">
      <c r="B1374" s="72" t="s">
        <v>5010</v>
      </c>
    </row>
    <row r="1375" spans="2:34">
      <c r="B1375" s="72" t="s">
        <v>5063</v>
      </c>
    </row>
    <row r="1376" spans="2:34">
      <c r="B1376" s="72" t="s">
        <v>5064</v>
      </c>
    </row>
    <row r="1377" spans="2:34">
      <c r="B1377" s="72" t="s">
        <v>5076</v>
      </c>
    </row>
    <row r="1378" spans="2:34">
      <c r="B1378" s="72" t="s">
        <v>5088</v>
      </c>
    </row>
    <row r="1379" spans="2:34">
      <c r="B1379" s="72" t="s">
        <v>5090</v>
      </c>
    </row>
    <row r="1380" spans="2:34">
      <c r="B1380" s="72" t="s">
        <v>5091</v>
      </c>
    </row>
    <row r="1381" spans="2:34">
      <c r="B1381" s="72" t="s">
        <v>5110</v>
      </c>
    </row>
    <row r="1382" spans="2:34">
      <c r="B1382" s="72" t="s">
        <v>5111</v>
      </c>
    </row>
    <row r="1383" spans="2:34">
      <c r="B1383" s="72" t="s">
        <v>5113</v>
      </c>
      <c r="C1383" s="72"/>
      <c r="D1383" s="72"/>
      <c r="F1383" s="72"/>
      <c r="G1383" s="72"/>
      <c r="H1383" s="72"/>
      <c r="P1383" s="72"/>
      <c r="Q1383" s="72"/>
      <c r="R1383" s="72"/>
      <c r="S1383" s="72"/>
      <c r="T1383" s="72"/>
      <c r="U1383" s="72"/>
      <c r="V1383" s="72"/>
      <c r="W1383" s="72"/>
      <c r="X1383" s="72"/>
      <c r="Y1383" s="72"/>
      <c r="Z1383" s="72"/>
      <c r="AA1383" s="72"/>
      <c r="AF1383" s="72"/>
      <c r="AG1383" s="72"/>
      <c r="AH1383" s="72"/>
    </row>
    <row r="1384" spans="2:34">
      <c r="B1384" s="72" t="s">
        <v>5119</v>
      </c>
      <c r="C1384" s="72"/>
      <c r="D1384" s="72"/>
      <c r="F1384" s="72"/>
      <c r="G1384" s="72"/>
      <c r="H1384" s="72"/>
      <c r="P1384" s="72"/>
      <c r="Q1384" s="72"/>
      <c r="R1384" s="72"/>
      <c r="S1384" s="72"/>
      <c r="T1384" s="72"/>
      <c r="U1384" s="72"/>
      <c r="V1384" s="72"/>
      <c r="W1384" s="72"/>
      <c r="X1384" s="72"/>
      <c r="Y1384" s="72"/>
      <c r="Z1384" s="72"/>
      <c r="AA1384" s="72"/>
      <c r="AF1384" s="72"/>
      <c r="AG1384" s="72"/>
      <c r="AH1384" s="72"/>
    </row>
    <row r="1385" spans="2:34">
      <c r="B1385" s="72" t="s">
        <v>5120</v>
      </c>
      <c r="C1385" s="72"/>
      <c r="D1385" s="72"/>
      <c r="F1385" s="72"/>
      <c r="G1385" s="72"/>
      <c r="H1385" s="72"/>
      <c r="P1385" s="72"/>
      <c r="Q1385" s="72"/>
      <c r="R1385" s="72"/>
      <c r="S1385" s="72"/>
      <c r="T1385" s="72"/>
      <c r="U1385" s="72"/>
      <c r="V1385" s="72"/>
      <c r="W1385" s="72"/>
      <c r="X1385" s="72"/>
      <c r="Y1385" s="72"/>
      <c r="Z1385" s="72"/>
      <c r="AA1385" s="72"/>
      <c r="AF1385" s="72"/>
      <c r="AG1385" s="72"/>
      <c r="AH1385" s="72"/>
    </row>
    <row r="1386" spans="2:34">
      <c r="B1386" s="72" t="s">
        <v>5125</v>
      </c>
      <c r="C1386" s="72"/>
      <c r="D1386" s="72"/>
      <c r="F1386" s="72"/>
      <c r="G1386" s="72"/>
      <c r="H1386" s="72"/>
      <c r="P1386" s="72"/>
      <c r="Q1386" s="72"/>
      <c r="R1386" s="72"/>
      <c r="S1386" s="72"/>
      <c r="T1386" s="72"/>
      <c r="U1386" s="72"/>
      <c r="V1386" s="72"/>
      <c r="W1386" s="72"/>
      <c r="X1386" s="72"/>
      <c r="Y1386" s="72"/>
      <c r="Z1386" s="72"/>
      <c r="AA1386" s="72"/>
      <c r="AF1386" s="72"/>
      <c r="AG1386" s="72"/>
      <c r="AH1386" s="72"/>
    </row>
    <row r="1387" spans="2:34">
      <c r="B1387" s="72" t="s">
        <v>5126</v>
      </c>
      <c r="C1387" s="72"/>
      <c r="D1387" s="72"/>
      <c r="F1387" s="72"/>
      <c r="G1387" s="72"/>
      <c r="H1387" s="72"/>
      <c r="P1387" s="72"/>
      <c r="Q1387" s="72"/>
      <c r="R1387" s="72"/>
      <c r="S1387" s="72"/>
      <c r="T1387" s="72"/>
      <c r="U1387" s="72"/>
      <c r="V1387" s="72"/>
      <c r="W1387" s="72"/>
      <c r="X1387" s="72"/>
      <c r="Y1387" s="72"/>
      <c r="Z1387" s="72"/>
      <c r="AA1387" s="72"/>
      <c r="AF1387" s="72"/>
      <c r="AG1387" s="72"/>
      <c r="AH1387" s="72"/>
    </row>
    <row r="1388" spans="2:34">
      <c r="B1388" s="72" t="s">
        <v>5127</v>
      </c>
      <c r="C1388" s="72"/>
      <c r="D1388" s="72"/>
      <c r="F1388" s="72"/>
      <c r="G1388" s="72"/>
      <c r="H1388" s="72"/>
      <c r="P1388" s="72"/>
      <c r="Q1388" s="72"/>
      <c r="R1388" s="72"/>
      <c r="S1388" s="72"/>
      <c r="T1388" s="72"/>
      <c r="U1388" s="72"/>
      <c r="V1388" s="72"/>
      <c r="W1388" s="72"/>
      <c r="X1388" s="72"/>
      <c r="Y1388" s="72"/>
      <c r="Z1388" s="72"/>
      <c r="AA1388" s="72"/>
      <c r="AF1388" s="72"/>
      <c r="AG1388" s="72"/>
      <c r="AH1388" s="72"/>
    </row>
    <row r="1389" spans="2:34">
      <c r="B1389" s="72" t="s">
        <v>5128</v>
      </c>
      <c r="C1389" s="72"/>
      <c r="D1389" s="72"/>
      <c r="F1389" s="72"/>
      <c r="G1389" s="72"/>
      <c r="H1389" s="72"/>
      <c r="P1389" s="72"/>
      <c r="Q1389" s="72"/>
      <c r="R1389" s="72"/>
      <c r="S1389" s="72"/>
      <c r="T1389" s="72"/>
      <c r="U1389" s="72"/>
      <c r="V1389" s="72"/>
      <c r="W1389" s="72"/>
      <c r="X1389" s="72"/>
      <c r="Y1389" s="72"/>
      <c r="Z1389" s="72"/>
      <c r="AA1389" s="72"/>
      <c r="AF1389" s="72"/>
      <c r="AG1389" s="72"/>
      <c r="AH1389" s="72"/>
    </row>
    <row r="1390" spans="2:34">
      <c r="B1390" s="72" t="s">
        <v>5131</v>
      </c>
      <c r="C1390" s="72"/>
      <c r="D1390" s="72"/>
      <c r="F1390" s="72"/>
      <c r="G1390" s="72"/>
      <c r="H1390" s="72"/>
      <c r="P1390" s="72"/>
      <c r="Q1390" s="72"/>
      <c r="R1390" s="72"/>
      <c r="S1390" s="72"/>
      <c r="T1390" s="72"/>
      <c r="U1390" s="72"/>
      <c r="V1390" s="72"/>
      <c r="W1390" s="72"/>
      <c r="X1390" s="72"/>
      <c r="Y1390" s="72"/>
      <c r="Z1390" s="72"/>
      <c r="AA1390" s="72"/>
      <c r="AF1390" s="72"/>
      <c r="AG1390" s="72"/>
      <c r="AH1390" s="72"/>
    </row>
    <row r="1391" spans="2:34">
      <c r="B1391" s="72" t="s">
        <v>5143</v>
      </c>
      <c r="C1391" s="72"/>
      <c r="D1391" s="72"/>
      <c r="F1391" s="72"/>
      <c r="G1391" s="72"/>
      <c r="H1391" s="72"/>
      <c r="P1391" s="72"/>
      <c r="Q1391" s="72"/>
      <c r="R1391" s="72"/>
      <c r="S1391" s="72"/>
      <c r="T1391" s="72"/>
      <c r="U1391" s="72"/>
      <c r="V1391" s="72"/>
      <c r="W1391" s="72"/>
      <c r="X1391" s="72"/>
      <c r="Y1391" s="72"/>
      <c r="Z1391" s="72"/>
      <c r="AA1391" s="72"/>
      <c r="AF1391" s="72"/>
      <c r="AG1391" s="72"/>
      <c r="AH1391" s="72"/>
    </row>
    <row r="1392" spans="2:34">
      <c r="B1392" s="72" t="s">
        <v>5158</v>
      </c>
      <c r="C1392" s="72"/>
      <c r="D1392" s="72"/>
      <c r="F1392" s="72"/>
      <c r="G1392" s="72"/>
      <c r="H1392" s="72"/>
      <c r="P1392" s="72"/>
      <c r="Q1392" s="72"/>
      <c r="R1392" s="72"/>
      <c r="S1392" s="72"/>
      <c r="T1392" s="72"/>
      <c r="U1392" s="72"/>
      <c r="V1392" s="72"/>
      <c r="W1392" s="72"/>
      <c r="X1392" s="72"/>
      <c r="Y1392" s="72"/>
      <c r="Z1392" s="72"/>
      <c r="AA1392" s="72"/>
      <c r="AF1392" s="72"/>
      <c r="AG1392" s="72"/>
      <c r="AH1392" s="72"/>
    </row>
    <row r="1393" spans="2:34">
      <c r="B1393" s="72" t="s">
        <v>5162</v>
      </c>
      <c r="C1393" s="72"/>
      <c r="D1393" s="72"/>
      <c r="F1393" s="72"/>
      <c r="G1393" s="72"/>
      <c r="H1393" s="72"/>
      <c r="P1393" s="72"/>
      <c r="Q1393" s="72"/>
      <c r="R1393" s="72"/>
      <c r="S1393" s="72"/>
      <c r="T1393" s="72"/>
      <c r="U1393" s="72"/>
      <c r="V1393" s="72"/>
      <c r="W1393" s="72"/>
      <c r="X1393" s="72"/>
      <c r="Y1393" s="72"/>
      <c r="Z1393" s="72"/>
      <c r="AA1393" s="72"/>
      <c r="AF1393" s="72"/>
      <c r="AG1393" s="72"/>
      <c r="AH1393" s="72"/>
    </row>
    <row r="1394" spans="2:34">
      <c r="B1394" s="72" t="s">
        <v>5163</v>
      </c>
      <c r="C1394" s="72"/>
      <c r="D1394" s="72"/>
      <c r="F1394" s="72"/>
      <c r="G1394" s="72"/>
      <c r="H1394" s="72"/>
      <c r="P1394" s="72"/>
      <c r="Q1394" s="72"/>
      <c r="R1394" s="72"/>
      <c r="S1394" s="72"/>
      <c r="T1394" s="72"/>
      <c r="U1394" s="72"/>
      <c r="V1394" s="72"/>
      <c r="W1394" s="72"/>
      <c r="X1394" s="72"/>
      <c r="Y1394" s="72"/>
      <c r="Z1394" s="72"/>
      <c r="AA1394" s="72"/>
      <c r="AF1394" s="72"/>
      <c r="AG1394" s="72"/>
      <c r="AH1394" s="72"/>
    </row>
    <row r="1395" spans="2:34">
      <c r="B1395" s="72" t="s">
        <v>5164</v>
      </c>
      <c r="C1395" s="72"/>
      <c r="D1395" s="72"/>
      <c r="F1395" s="72"/>
      <c r="G1395" s="72"/>
      <c r="H1395" s="72"/>
      <c r="P1395" s="72"/>
      <c r="Q1395" s="72"/>
      <c r="R1395" s="72"/>
      <c r="S1395" s="72"/>
      <c r="T1395" s="72"/>
      <c r="U1395" s="72"/>
      <c r="V1395" s="72"/>
      <c r="W1395" s="72"/>
      <c r="X1395" s="72"/>
      <c r="Y1395" s="72"/>
      <c r="Z1395" s="72"/>
      <c r="AA1395" s="72"/>
      <c r="AF1395" s="72"/>
      <c r="AG1395" s="72"/>
      <c r="AH1395" s="72"/>
    </row>
    <row r="1396" spans="2:34">
      <c r="B1396" s="72" t="s">
        <v>5165</v>
      </c>
      <c r="C1396" s="72"/>
      <c r="D1396" s="72"/>
      <c r="F1396" s="72"/>
      <c r="G1396" s="72"/>
      <c r="H1396" s="72"/>
      <c r="P1396" s="72"/>
      <c r="Q1396" s="72"/>
      <c r="R1396" s="72"/>
      <c r="S1396" s="72"/>
      <c r="T1396" s="72"/>
      <c r="U1396" s="72"/>
      <c r="V1396" s="72"/>
      <c r="W1396" s="72"/>
      <c r="X1396" s="72"/>
      <c r="Y1396" s="72"/>
      <c r="Z1396" s="72"/>
      <c r="AA1396" s="72"/>
      <c r="AF1396" s="72"/>
      <c r="AG1396" s="72"/>
      <c r="AH1396" s="72"/>
    </row>
    <row r="1397" spans="2:34">
      <c r="B1397" s="72" t="s">
        <v>5166</v>
      </c>
      <c r="C1397" s="72"/>
      <c r="D1397" s="72"/>
      <c r="F1397" s="72"/>
      <c r="G1397" s="72"/>
      <c r="H1397" s="72"/>
      <c r="P1397" s="72"/>
      <c r="Q1397" s="72"/>
      <c r="R1397" s="72"/>
      <c r="S1397" s="72"/>
      <c r="T1397" s="72"/>
      <c r="U1397" s="72"/>
      <c r="V1397" s="72"/>
      <c r="W1397" s="72"/>
      <c r="X1397" s="72"/>
      <c r="Y1397" s="72"/>
      <c r="Z1397" s="72"/>
      <c r="AA1397" s="72"/>
      <c r="AF1397" s="72"/>
      <c r="AG1397" s="72"/>
      <c r="AH1397" s="72"/>
    </row>
    <row r="1398" spans="2:34">
      <c r="B1398" s="72" t="s">
        <v>5167</v>
      </c>
      <c r="C1398" s="72"/>
      <c r="D1398" s="72"/>
      <c r="F1398" s="72"/>
      <c r="G1398" s="72"/>
      <c r="H1398" s="72"/>
      <c r="P1398" s="72"/>
      <c r="Q1398" s="72"/>
      <c r="R1398" s="72"/>
      <c r="S1398" s="72"/>
      <c r="T1398" s="72"/>
      <c r="U1398" s="72"/>
      <c r="V1398" s="72"/>
      <c r="W1398" s="72"/>
      <c r="X1398" s="72"/>
      <c r="Y1398" s="72"/>
      <c r="Z1398" s="72"/>
      <c r="AA1398" s="72"/>
      <c r="AF1398" s="72"/>
      <c r="AG1398" s="72"/>
      <c r="AH1398" s="72"/>
    </row>
    <row r="1399" spans="2:34">
      <c r="B1399" s="72" t="s">
        <v>5168</v>
      </c>
      <c r="AF1399" s="72"/>
      <c r="AG1399" s="72"/>
      <c r="AH1399" s="72"/>
    </row>
    <row r="1400" spans="2:34">
      <c r="B1400" s="72" t="s">
        <v>5169</v>
      </c>
      <c r="AF1400" s="72"/>
      <c r="AG1400" s="72"/>
      <c r="AH1400" s="72"/>
    </row>
    <row r="1401" spans="2:34">
      <c r="B1401" s="72" t="s">
        <v>5172</v>
      </c>
      <c r="AF1401" s="72"/>
      <c r="AG1401" s="72"/>
      <c r="AH1401" s="72"/>
    </row>
    <row r="1402" spans="2:34">
      <c r="B1402" s="72" t="s">
        <v>5213</v>
      </c>
      <c r="AF1402" s="72"/>
      <c r="AG1402" s="72"/>
      <c r="AH1402" s="72"/>
    </row>
    <row r="1403" spans="2:34">
      <c r="B1403" s="91" t="s">
        <v>5227</v>
      </c>
      <c r="AF1403" s="72"/>
      <c r="AG1403" s="72"/>
      <c r="AH1403" s="72"/>
    </row>
    <row r="1404" spans="2:34">
      <c r="B1404" s="91" t="s">
        <v>5288</v>
      </c>
      <c r="AF1404" s="72"/>
      <c r="AG1404" s="72"/>
      <c r="AH1404" s="72"/>
    </row>
    <row r="1405" spans="2:34">
      <c r="B1405" s="91" t="s">
        <v>5400</v>
      </c>
      <c r="AF1405" s="72"/>
      <c r="AG1405" s="72"/>
      <c r="AH1405" s="72"/>
    </row>
    <row r="1406" spans="2:34">
      <c r="B1406" s="91" t="s">
        <v>5439</v>
      </c>
      <c r="C1406" s="96" t="s">
        <v>1691</v>
      </c>
      <c r="F1406" s="74">
        <v>6.6</v>
      </c>
      <c r="J1406" s="91" t="s">
        <v>5441</v>
      </c>
      <c r="M1406" s="72">
        <v>2022</v>
      </c>
      <c r="AB1406" s="91" t="s">
        <v>2152</v>
      </c>
      <c r="AC1406" s="91"/>
      <c r="AD1406" s="91"/>
      <c r="AE1406" s="91" t="s">
        <v>5440</v>
      </c>
      <c r="AF1406" s="72"/>
      <c r="AG1406" s="72"/>
      <c r="AH1406" s="72"/>
    </row>
    <row r="1407" spans="2:34">
      <c r="B1407" s="91" t="s">
        <v>5442</v>
      </c>
      <c r="AB1407" s="91" t="s">
        <v>2048</v>
      </c>
      <c r="AC1407" s="91"/>
      <c r="AD1407" s="91"/>
      <c r="AE1407" s="91" t="s">
        <v>5443</v>
      </c>
      <c r="AF1407" s="72"/>
      <c r="AG1407" s="72"/>
      <c r="AH1407" s="72"/>
    </row>
    <row r="1408" spans="2:34">
      <c r="B1408" s="91" t="s">
        <v>5444</v>
      </c>
      <c r="C1408" s="96" t="s">
        <v>1691</v>
      </c>
      <c r="J1408" s="91" t="s">
        <v>5445</v>
      </c>
      <c r="M1408" s="72">
        <v>2021</v>
      </c>
      <c r="AB1408" s="91" t="s">
        <v>2055</v>
      </c>
      <c r="AC1408" s="91"/>
      <c r="AD1408" s="91"/>
      <c r="AE1408" s="91" t="s">
        <v>5446</v>
      </c>
      <c r="AF1408" s="72"/>
      <c r="AG1408" s="72"/>
      <c r="AH1408" s="72"/>
    </row>
    <row r="1409" spans="2:34">
      <c r="B1409" s="91" t="s">
        <v>5639</v>
      </c>
      <c r="AF1409" s="72"/>
      <c r="AG1409" s="72"/>
      <c r="AH1409" s="72"/>
    </row>
    <row r="1410" spans="2:34">
      <c r="B1410" s="91" t="s">
        <v>5782</v>
      </c>
      <c r="AF1410" s="72"/>
      <c r="AG1410" s="72"/>
      <c r="AH1410" s="72"/>
    </row>
    <row r="1411" spans="2:34">
      <c r="B1411" s="91" t="s">
        <v>5889</v>
      </c>
      <c r="AF1411" s="72"/>
      <c r="AG1411" s="72"/>
      <c r="AH1411" s="72"/>
    </row>
    <row r="1412" spans="2:34">
      <c r="B1412" s="106" t="s">
        <v>6016</v>
      </c>
      <c r="I1412" s="106" t="s">
        <v>6017</v>
      </c>
      <c r="AF1412" s="72"/>
      <c r="AG1412" s="72"/>
      <c r="AH1412" s="72"/>
    </row>
    <row r="1413" spans="2:34">
      <c r="B1413" s="134" t="s">
        <v>6149</v>
      </c>
      <c r="AF1413" s="72"/>
      <c r="AG1413" s="72"/>
      <c r="AH1413" s="72"/>
    </row>
    <row r="1414" spans="2:34">
      <c r="B1414" s="134" t="s">
        <v>6195</v>
      </c>
      <c r="AF1414" s="72"/>
      <c r="AG1414" s="72"/>
      <c r="AH1414" s="72"/>
    </row>
    <row r="1415" spans="2:34">
      <c r="B1415" s="134" t="s">
        <v>6198</v>
      </c>
      <c r="P1415" s="72"/>
      <c r="Q1415" s="72"/>
      <c r="R1415" s="72"/>
      <c r="S1415" s="72"/>
      <c r="T1415" s="72"/>
      <c r="U1415" s="72"/>
      <c r="V1415" s="72"/>
      <c r="W1415" s="72"/>
      <c r="X1415" s="72"/>
      <c r="Y1415" s="72"/>
      <c r="Z1415" s="72"/>
      <c r="AA1415" s="72"/>
      <c r="AF1415" s="72"/>
      <c r="AG1415" s="72"/>
      <c r="AH1415" s="72"/>
    </row>
    <row r="1416" spans="2:34">
      <c r="B1416" s="134" t="s">
        <v>6225</v>
      </c>
      <c r="I1416" s="134" t="s">
        <v>6226</v>
      </c>
      <c r="P1416" s="72"/>
      <c r="Q1416" s="72"/>
      <c r="R1416" s="72"/>
      <c r="S1416" s="72"/>
      <c r="T1416" s="72"/>
      <c r="U1416" s="72"/>
      <c r="V1416" s="72"/>
      <c r="W1416" s="72"/>
      <c r="X1416" s="72"/>
      <c r="Y1416" s="72"/>
      <c r="Z1416" s="72"/>
      <c r="AA1416" s="72"/>
      <c r="AF1416" s="72"/>
      <c r="AG1416" s="72"/>
      <c r="AH1416" s="72"/>
    </row>
    <row r="1417" spans="2:34">
      <c r="B1417" s="134" t="s">
        <v>6287</v>
      </c>
      <c r="P1417" s="72"/>
      <c r="Q1417" s="72"/>
      <c r="R1417" s="72"/>
      <c r="S1417" s="72"/>
      <c r="T1417" s="72"/>
      <c r="U1417" s="72"/>
      <c r="V1417" s="72"/>
      <c r="W1417" s="72"/>
      <c r="X1417" s="72"/>
      <c r="Y1417" s="72"/>
      <c r="Z1417" s="72"/>
      <c r="AA1417" s="72"/>
      <c r="AF1417" s="72"/>
      <c r="AG1417" s="72"/>
      <c r="AH1417" s="72"/>
    </row>
    <row r="1418" spans="2:34">
      <c r="B1418" s="134" t="s">
        <v>6310</v>
      </c>
      <c r="I1418" s="134" t="s">
        <v>6311</v>
      </c>
      <c r="P1418" s="72"/>
      <c r="Q1418" s="72"/>
      <c r="R1418" s="72"/>
      <c r="S1418" s="72"/>
      <c r="T1418" s="72"/>
      <c r="U1418" s="72"/>
      <c r="V1418" s="72"/>
      <c r="W1418" s="72"/>
      <c r="X1418" s="72"/>
      <c r="Y1418" s="72"/>
      <c r="Z1418" s="72"/>
      <c r="AA1418" s="72"/>
      <c r="AF1418" s="72"/>
      <c r="AG1418" s="72"/>
      <c r="AH1418" s="72"/>
    </row>
    <row r="1419" spans="2:34">
      <c r="B1419" s="152" t="s">
        <v>6352</v>
      </c>
      <c r="P1419" s="72"/>
      <c r="Q1419" s="72"/>
      <c r="R1419" s="72"/>
      <c r="S1419" s="72"/>
      <c r="T1419" s="72"/>
      <c r="U1419" s="72"/>
      <c r="V1419" s="72"/>
      <c r="W1419" s="72"/>
      <c r="X1419" s="72"/>
      <c r="Y1419" s="72"/>
      <c r="Z1419" s="72"/>
      <c r="AA1419" s="72"/>
      <c r="AF1419" s="72"/>
      <c r="AG1419" s="72"/>
      <c r="AH1419" s="72"/>
    </row>
    <row r="1420" spans="2:34">
      <c r="B1420" s="152" t="s">
        <v>6353</v>
      </c>
      <c r="P1420" s="72"/>
      <c r="Q1420" s="72"/>
      <c r="R1420" s="72"/>
      <c r="S1420" s="72"/>
      <c r="T1420" s="72"/>
      <c r="U1420" s="72"/>
      <c r="V1420" s="72"/>
      <c r="W1420" s="72"/>
      <c r="X1420" s="72"/>
      <c r="Y1420" s="72"/>
      <c r="Z1420" s="72"/>
      <c r="AA1420" s="72"/>
      <c r="AF1420" s="72"/>
      <c r="AG1420" s="72"/>
      <c r="AH1420" s="72"/>
    </row>
    <row r="1421" spans="2:34">
      <c r="B1421" s="152" t="s">
        <v>6355</v>
      </c>
      <c r="P1421" s="72"/>
      <c r="Q1421" s="72"/>
      <c r="R1421" s="72"/>
      <c r="S1421" s="72"/>
      <c r="T1421" s="72"/>
      <c r="U1421" s="72"/>
      <c r="V1421" s="72"/>
      <c r="W1421" s="72"/>
      <c r="X1421" s="72"/>
      <c r="Y1421" s="72"/>
      <c r="Z1421" s="72"/>
      <c r="AA1421" s="72"/>
      <c r="AF1421" s="72"/>
      <c r="AG1421" s="72"/>
      <c r="AH1421" s="72"/>
    </row>
    <row r="1422" spans="2:34">
      <c r="B1422" s="152" t="s">
        <v>6515</v>
      </c>
      <c r="P1422" s="72"/>
      <c r="Q1422" s="72"/>
      <c r="R1422" s="72"/>
      <c r="S1422" s="72"/>
      <c r="T1422" s="72"/>
      <c r="U1422" s="72"/>
      <c r="V1422" s="72"/>
      <c r="W1422" s="72"/>
      <c r="X1422" s="72"/>
      <c r="Y1422" s="72"/>
      <c r="Z1422" s="72"/>
      <c r="AA1422" s="72"/>
      <c r="AF1422" s="72"/>
      <c r="AG1422" s="72"/>
      <c r="AH1422" s="72"/>
    </row>
    <row r="1423" spans="2:34">
      <c r="B1423" s="152" t="s">
        <v>6550</v>
      </c>
      <c r="P1423" s="72"/>
      <c r="Q1423" s="72"/>
      <c r="R1423" s="72"/>
      <c r="S1423" s="72"/>
      <c r="T1423" s="72"/>
      <c r="U1423" s="72"/>
      <c r="V1423" s="72"/>
      <c r="W1423" s="72"/>
      <c r="X1423" s="72"/>
      <c r="Y1423" s="72"/>
      <c r="Z1423" s="72"/>
      <c r="AA1423" s="72"/>
      <c r="AF1423" s="72"/>
      <c r="AG1423" s="72"/>
      <c r="AH1423" s="72"/>
    </row>
    <row r="1424" spans="2:34">
      <c r="B1424" s="152" t="s">
        <v>6582</v>
      </c>
      <c r="I1424" s="152" t="s">
        <v>6583</v>
      </c>
      <c r="P1424" s="72"/>
      <c r="Q1424" s="72"/>
      <c r="R1424" s="72"/>
      <c r="S1424" s="72"/>
      <c r="T1424" s="72"/>
      <c r="U1424" s="72"/>
      <c r="V1424" s="72"/>
      <c r="W1424" s="72"/>
      <c r="X1424" s="72"/>
      <c r="Y1424" s="72"/>
      <c r="Z1424" s="72"/>
      <c r="AA1424" s="72"/>
      <c r="AF1424" s="72"/>
      <c r="AG1424" s="72"/>
      <c r="AH1424" s="72"/>
    </row>
    <row r="1425" spans="2:34">
      <c r="B1425" s="152" t="s">
        <v>6585</v>
      </c>
      <c r="P1425" s="72"/>
      <c r="Q1425" s="72"/>
      <c r="R1425" s="72"/>
      <c r="S1425" s="72"/>
      <c r="T1425" s="72"/>
      <c r="U1425" s="72"/>
      <c r="V1425" s="72"/>
      <c r="W1425" s="72"/>
      <c r="X1425" s="72"/>
      <c r="Y1425" s="72"/>
      <c r="Z1425" s="72"/>
      <c r="AA1425" s="72"/>
      <c r="AF1425" s="72"/>
      <c r="AG1425" s="72"/>
      <c r="AH1425" s="72"/>
    </row>
    <row r="1426" spans="2:34">
      <c r="B1426" s="176" t="s">
        <v>6676</v>
      </c>
      <c r="P1426" s="72"/>
      <c r="Q1426" s="72"/>
      <c r="R1426" s="72"/>
      <c r="S1426" s="72"/>
      <c r="T1426" s="72"/>
      <c r="U1426" s="72"/>
      <c r="V1426" s="72"/>
      <c r="W1426" s="72"/>
      <c r="X1426" s="72"/>
      <c r="Y1426" s="72"/>
      <c r="Z1426" s="72"/>
      <c r="AA1426" s="72"/>
      <c r="AF1426" s="72"/>
      <c r="AG1426" s="72"/>
      <c r="AH1426" s="72"/>
    </row>
    <row r="1427" spans="2:34">
      <c r="B1427" s="176" t="s">
        <v>6701</v>
      </c>
      <c r="P1427" s="72"/>
      <c r="Q1427" s="72"/>
      <c r="R1427" s="72"/>
      <c r="S1427" s="72"/>
      <c r="T1427" s="72"/>
      <c r="U1427" s="72"/>
      <c r="V1427" s="72"/>
      <c r="W1427" s="72"/>
      <c r="X1427" s="72"/>
      <c r="Y1427" s="72"/>
      <c r="Z1427" s="72"/>
      <c r="AA1427" s="72"/>
      <c r="AF1427" s="72"/>
      <c r="AG1427" s="72"/>
      <c r="AH1427" s="72"/>
    </row>
    <row r="1428" spans="2:34">
      <c r="B1428" s="176" t="s">
        <v>6702</v>
      </c>
      <c r="P1428" s="72"/>
      <c r="Q1428" s="72"/>
      <c r="R1428" s="72"/>
      <c r="S1428" s="72"/>
      <c r="T1428" s="72"/>
      <c r="U1428" s="72"/>
      <c r="V1428" s="72"/>
      <c r="W1428" s="72"/>
      <c r="X1428" s="72"/>
      <c r="Y1428" s="72"/>
      <c r="Z1428" s="72"/>
      <c r="AA1428" s="72"/>
      <c r="AF1428" s="72"/>
      <c r="AG1428" s="72"/>
      <c r="AH1428" s="72"/>
    </row>
    <row r="1429" spans="2:34">
      <c r="B1429" s="176" t="s">
        <v>6711</v>
      </c>
      <c r="P1429" s="72"/>
      <c r="Q1429" s="72"/>
      <c r="R1429" s="72"/>
      <c r="S1429" s="72"/>
      <c r="T1429" s="72"/>
      <c r="U1429" s="72"/>
      <c r="V1429" s="72"/>
      <c r="W1429" s="72"/>
      <c r="X1429" s="72"/>
      <c r="Y1429" s="72"/>
      <c r="Z1429" s="72"/>
      <c r="AA1429" s="72"/>
      <c r="AF1429" s="72"/>
      <c r="AG1429" s="72"/>
      <c r="AH1429" s="72"/>
    </row>
    <row r="1430" spans="2:34">
      <c r="B1430" s="176" t="s">
        <v>6741</v>
      </c>
      <c r="P1430" s="72"/>
      <c r="Q1430" s="72"/>
      <c r="R1430" s="72"/>
      <c r="S1430" s="72"/>
      <c r="T1430" s="72"/>
      <c r="U1430" s="72"/>
      <c r="V1430" s="72"/>
      <c r="W1430" s="72"/>
      <c r="X1430" s="72"/>
      <c r="Y1430" s="72"/>
      <c r="Z1430" s="72"/>
      <c r="AA1430" s="72"/>
      <c r="AF1430" s="72"/>
      <c r="AG1430" s="72"/>
      <c r="AH1430" s="72"/>
    </row>
    <row r="1431" spans="2:34">
      <c r="B1431" s="176" t="s">
        <v>6743</v>
      </c>
      <c r="C1431" s="72"/>
      <c r="D1431" s="72"/>
      <c r="F1431" s="72"/>
      <c r="G1431" s="72"/>
      <c r="H1431" s="72"/>
      <c r="P1431" s="72"/>
      <c r="Q1431" s="72"/>
      <c r="R1431" s="72"/>
      <c r="S1431" s="72"/>
      <c r="T1431" s="72"/>
      <c r="U1431" s="72"/>
      <c r="V1431" s="72"/>
      <c r="W1431" s="72"/>
      <c r="X1431" s="72"/>
      <c r="Y1431" s="72"/>
      <c r="Z1431" s="72"/>
      <c r="AA1431" s="72"/>
      <c r="AF1431" s="72"/>
      <c r="AG1431" s="72"/>
      <c r="AH1431" s="72"/>
    </row>
    <row r="1432" spans="2:34">
      <c r="B1432" s="176" t="s">
        <v>6749</v>
      </c>
      <c r="C1432" s="72"/>
      <c r="D1432" s="72"/>
      <c r="F1432" s="72"/>
      <c r="G1432" s="72"/>
      <c r="H1432" s="72"/>
      <c r="P1432" s="72"/>
      <c r="Q1432" s="72"/>
      <c r="R1432" s="72"/>
      <c r="S1432" s="72"/>
      <c r="T1432" s="72"/>
      <c r="U1432" s="72"/>
      <c r="V1432" s="72"/>
      <c r="W1432" s="72"/>
      <c r="X1432" s="72"/>
      <c r="Y1432" s="72"/>
      <c r="Z1432" s="72"/>
      <c r="AA1432" s="72"/>
      <c r="AF1432" s="72"/>
      <c r="AG1432" s="72"/>
      <c r="AH1432" s="72"/>
    </row>
    <row r="1433" spans="2:34">
      <c r="B1433" s="176" t="s">
        <v>6750</v>
      </c>
      <c r="C1433" s="72"/>
      <c r="D1433" s="72"/>
      <c r="F1433" s="72"/>
      <c r="G1433" s="72"/>
      <c r="H1433" s="72"/>
      <c r="P1433" s="72"/>
      <c r="Q1433" s="72"/>
      <c r="R1433" s="72"/>
      <c r="S1433" s="72"/>
      <c r="T1433" s="72"/>
      <c r="U1433" s="72"/>
      <c r="V1433" s="72"/>
      <c r="W1433" s="72"/>
      <c r="X1433" s="72"/>
      <c r="Y1433" s="72"/>
      <c r="Z1433" s="72"/>
      <c r="AA1433" s="72"/>
      <c r="AF1433" s="72"/>
      <c r="AG1433" s="72"/>
      <c r="AH1433" s="72"/>
    </row>
    <row r="1434" spans="2:34">
      <c r="B1434" s="176" t="s">
        <v>7024</v>
      </c>
      <c r="C1434" s="72"/>
      <c r="D1434" s="72"/>
      <c r="F1434" s="72"/>
      <c r="G1434" s="72"/>
      <c r="H1434" s="72"/>
      <c r="P1434" s="72"/>
      <c r="Q1434" s="72"/>
      <c r="R1434" s="72"/>
      <c r="S1434" s="72"/>
      <c r="T1434" s="72"/>
      <c r="U1434" s="72"/>
      <c r="V1434" s="72"/>
      <c r="W1434" s="72"/>
      <c r="X1434" s="72"/>
      <c r="Y1434" s="72"/>
      <c r="Z1434" s="72"/>
      <c r="AA1434" s="72"/>
      <c r="AF1434" s="72"/>
      <c r="AG1434" s="72"/>
      <c r="AH1434" s="72"/>
    </row>
    <row r="1435" spans="2:34">
      <c r="B1435" s="176" t="s">
        <v>7054</v>
      </c>
      <c r="C1435" s="72"/>
      <c r="D1435" s="72"/>
      <c r="F1435" s="72"/>
      <c r="G1435" s="72"/>
      <c r="H1435" s="72"/>
      <c r="P1435" s="72"/>
      <c r="Q1435" s="72"/>
      <c r="R1435" s="72"/>
      <c r="S1435" s="72"/>
      <c r="T1435" s="72"/>
      <c r="U1435" s="72"/>
      <c r="V1435" s="72"/>
      <c r="W1435" s="72"/>
      <c r="X1435" s="72"/>
      <c r="Y1435" s="72"/>
      <c r="Z1435" s="72"/>
      <c r="AA1435" s="72"/>
      <c r="AF1435" s="72"/>
      <c r="AG1435" s="72"/>
      <c r="AH1435" s="72"/>
    </row>
    <row r="1436" spans="2:34">
      <c r="B1436" s="176" t="s">
        <v>7055</v>
      </c>
      <c r="C1436" s="72"/>
      <c r="D1436" s="72"/>
      <c r="F1436" s="72"/>
      <c r="G1436" s="72"/>
      <c r="H1436" s="72"/>
      <c r="P1436" s="72"/>
      <c r="Q1436" s="72"/>
      <c r="R1436" s="72"/>
      <c r="S1436" s="72"/>
      <c r="T1436" s="72"/>
      <c r="U1436" s="72"/>
      <c r="V1436" s="72"/>
      <c r="W1436" s="72"/>
      <c r="X1436" s="72"/>
      <c r="Y1436" s="72"/>
      <c r="Z1436" s="72"/>
      <c r="AA1436" s="72"/>
      <c r="AF1436" s="72"/>
      <c r="AG1436" s="72"/>
      <c r="AH1436" s="72"/>
    </row>
    <row r="1437" spans="2:34">
      <c r="B1437" s="72" t="s">
        <v>7272</v>
      </c>
    </row>
    <row r="1438" spans="2:34">
      <c r="B1438" s="72" t="s">
        <v>7273</v>
      </c>
    </row>
    <row r="1439" spans="2:34">
      <c r="B1439" s="72" t="s">
        <v>7274</v>
      </c>
    </row>
    <row r="1440" spans="2:34">
      <c r="B1440" s="238" t="s">
        <v>7360</v>
      </c>
    </row>
    <row r="1441" spans="2:31">
      <c r="B1441" s="238" t="s">
        <v>7383</v>
      </c>
      <c r="I1441" s="238" t="s">
        <v>7384</v>
      </c>
      <c r="AE1441" s="238" t="s">
        <v>7385</v>
      </c>
    </row>
    <row r="1442" spans="2:31">
      <c r="B1442" s="238" t="s">
        <v>7388</v>
      </c>
    </row>
    <row r="1443" spans="2:31">
      <c r="B1443" s="238" t="s">
        <v>7389</v>
      </c>
    </row>
    <row r="1444" spans="2:31">
      <c r="B1444" s="238" t="s">
        <v>7399</v>
      </c>
    </row>
    <row r="1445" spans="2:31">
      <c r="B1445" s="238" t="s">
        <v>7400</v>
      </c>
    </row>
    <row r="1446" spans="2:31">
      <c r="B1446" s="238" t="s">
        <v>7401</v>
      </c>
    </row>
    <row r="1447" spans="2:31">
      <c r="B1447" s="238" t="s">
        <v>7430</v>
      </c>
    </row>
    <row r="1448" spans="2:31">
      <c r="B1448" s="238" t="s">
        <v>7497</v>
      </c>
    </row>
    <row r="1449" spans="2:31">
      <c r="B1449" s="238" t="s">
        <v>7498</v>
      </c>
    </row>
    <row r="1450" spans="2:31">
      <c r="B1450" s="238" t="s">
        <v>7499</v>
      </c>
    </row>
    <row r="1451" spans="2:31">
      <c r="B1451" s="238" t="s">
        <v>7500</v>
      </c>
    </row>
    <row r="1452" spans="2:31">
      <c r="B1452" s="238" t="s">
        <v>7501</v>
      </c>
    </row>
    <row r="1453" spans="2:31">
      <c r="B1453" s="238" t="s">
        <v>7502</v>
      </c>
    </row>
    <row r="1454" spans="2:31">
      <c r="B1454" s="238" t="s">
        <v>7504</v>
      </c>
    </row>
    <row r="1455" spans="2:31">
      <c r="B1455" s="238" t="s">
        <v>7505</v>
      </c>
    </row>
    <row r="1456" spans="2:31">
      <c r="B1456" s="238" t="s">
        <v>7506</v>
      </c>
    </row>
    <row r="1457" spans="2:9">
      <c r="B1457" s="238" t="s">
        <v>7512</v>
      </c>
    </row>
    <row r="1458" spans="2:9">
      <c r="B1458" s="238" t="s">
        <v>7515</v>
      </c>
    </row>
    <row r="1459" spans="2:9">
      <c r="B1459" s="238" t="s">
        <v>7516</v>
      </c>
    </row>
    <row r="1460" spans="2:9">
      <c r="B1460" s="238" t="s">
        <v>7517</v>
      </c>
    </row>
    <row r="1461" spans="2:9">
      <c r="B1461" s="238" t="s">
        <v>7634</v>
      </c>
      <c r="I1461" s="238" t="s">
        <v>7574</v>
      </c>
    </row>
    <row r="1462" spans="2:9">
      <c r="B1462" s="238" t="s">
        <v>7656</v>
      </c>
    </row>
    <row r="1463" spans="2:9">
      <c r="B1463" s="238" t="s">
        <v>7657</v>
      </c>
    </row>
    <row r="1464" spans="2:9">
      <c r="B1464" s="264" t="s">
        <v>7879</v>
      </c>
      <c r="I1464" s="264" t="s">
        <v>7880</v>
      </c>
    </row>
    <row r="1465" spans="2:9">
      <c r="B1465" s="264" t="s">
        <v>7939</v>
      </c>
    </row>
    <row r="1466" spans="2:9">
      <c r="B1466" s="264" t="s">
        <v>7940</v>
      </c>
    </row>
    <row r="1467" spans="2:9">
      <c r="B1467" s="274" t="s">
        <v>8028</v>
      </c>
    </row>
    <row r="1468" spans="2:9">
      <c r="B1468" s="274" t="s">
        <v>8883</v>
      </c>
    </row>
    <row r="1469" spans="2:9">
      <c r="B1469" s="274" t="s">
        <v>8884</v>
      </c>
    </row>
    <row r="1470" spans="2:9">
      <c r="B1470" s="274" t="s">
        <v>8912</v>
      </c>
    </row>
    <row r="1471" spans="2:9">
      <c r="B1471" s="274" t="s">
        <v>8919</v>
      </c>
    </row>
    <row r="1472" spans="2:9">
      <c r="B1472" s="274" t="s">
        <v>8926</v>
      </c>
    </row>
    <row r="1473" spans="2:31">
      <c r="B1473" s="274" t="s">
        <v>9072</v>
      </c>
    </row>
    <row r="1474" spans="2:31">
      <c r="B1474" s="274" t="s">
        <v>9073</v>
      </c>
    </row>
    <row r="1475" spans="2:31">
      <c r="B1475" s="274" t="s">
        <v>9074</v>
      </c>
    </row>
    <row r="1476" spans="2:31">
      <c r="B1476" s="381" t="s">
        <v>9541</v>
      </c>
      <c r="AE1476" s="25" t="s">
        <v>9542</v>
      </c>
    </row>
    <row r="1477" spans="2:31">
      <c r="B1477" s="381" t="s">
        <v>9544</v>
      </c>
      <c r="AE1477" s="25" t="s">
        <v>9545</v>
      </c>
    </row>
    <row r="1478" spans="2:31">
      <c r="B1478" s="392" t="s">
        <v>9715</v>
      </c>
    </row>
    <row r="1479" spans="2:31">
      <c r="B1479" s="392" t="s">
        <v>9730</v>
      </c>
    </row>
    <row r="1480" spans="2:31">
      <c r="B1480" s="392" t="s">
        <v>9768</v>
      </c>
      <c r="AE1480" s="392" t="s">
        <v>9769</v>
      </c>
    </row>
    <row r="1481" spans="2:31">
      <c r="B1481" s="392" t="s">
        <v>9771</v>
      </c>
      <c r="AE1481" s="392" t="s">
        <v>9770</v>
      </c>
    </row>
    <row r="1482" spans="2:31">
      <c r="B1482" s="392" t="s">
        <v>9772</v>
      </c>
      <c r="AE1482" s="392" t="s">
        <v>9773</v>
      </c>
    </row>
    <row r="1483" spans="2:31">
      <c r="B1483" s="392" t="s">
        <v>8229</v>
      </c>
      <c r="AE1483" s="392" t="s">
        <v>9774</v>
      </c>
    </row>
    <row r="1484" spans="2:31">
      <c r="B1484" s="392" t="s">
        <v>9795</v>
      </c>
      <c r="AE1484" s="392" t="s">
        <v>9796</v>
      </c>
    </row>
    <row r="1485" spans="2:31">
      <c r="B1485" s="392"/>
      <c r="AE1485" s="392"/>
    </row>
    <row r="1486" spans="2:31">
      <c r="B1486" s="479"/>
    </row>
    <row r="1487" spans="2:31">
      <c r="B1487" s="479"/>
    </row>
    <row r="1488" spans="2:31">
      <c r="B1488" s="479"/>
      <c r="C1488" s="480"/>
    </row>
  </sheetData>
  <autoFilter ref="A2:AG376" xr:uid="{1D086FBF-54A7-D645-B852-D7C36F7A3282}"/>
  <sortState xmlns:xlrd2="http://schemas.microsoft.com/office/spreadsheetml/2017/richdata2" ref="A5:AI565">
    <sortCondition descending="1" ref="AF5:AF565"/>
  </sortState>
  <hyperlinks>
    <hyperlink ref="A1" location="Main!A1" display="Main" xr:uid="{7DC47930-6FDD-2A40-A215-ADB7D7D212D9}"/>
    <hyperlink ref="N60" r:id="rId1" xr:uid="{37B348D1-62FB-CB42-8FDE-DB2286F85AF4}"/>
    <hyperlink ref="N432" r:id="rId2" xr:uid="{63A7BC90-DBBE-514D-9915-3C6B5CB87487}"/>
    <hyperlink ref="AP5" r:id="rId3" location="gid=503924035" xr:uid="{EB939790-927D-6F49-9F17-5978E943E6F0}"/>
    <hyperlink ref="AP3" r:id="rId4" xr:uid="{72758097-3595-0D4C-8A1A-A922DD9B3ACA}"/>
    <hyperlink ref="AE346" r:id="rId5" xr:uid="{ED4C4901-26B0-DD47-8A57-E9851FDE4E45}"/>
    <hyperlink ref="AE370" r:id="rId6" xr:uid="{2DAB4514-E808-DB40-9A64-A8C67F3ECD93}"/>
    <hyperlink ref="AE137" r:id="rId7" xr:uid="{AB3930FA-F679-A344-BA29-64D2D2FEC47E}"/>
    <hyperlink ref="AE128" r:id="rId8" xr:uid="{6CE92E7C-8B8B-A342-AB1F-A673F4460D55}"/>
    <hyperlink ref="AE344" r:id="rId9" xr:uid="{E179990D-B264-E64C-8A3F-16A0D4E9B53C}"/>
    <hyperlink ref="AE82" r:id="rId10" xr:uid="{8C90E27D-4F9D-5D4E-8EA0-BE3C7413319F}"/>
    <hyperlink ref="AE347" r:id="rId11" xr:uid="{B959BFB5-FA17-4049-9F1C-D181B14C9BAC}"/>
    <hyperlink ref="AE22" r:id="rId12" xr:uid="{D3F3CAAC-B165-8641-B49B-D1D231AC1BB5}"/>
    <hyperlink ref="AE29" r:id="rId13" xr:uid="{0D93FA7F-DF31-464B-B7DB-6643E2D277F9}"/>
    <hyperlink ref="AE36" r:id="rId14" xr:uid="{764D5E85-2FA7-3F4A-847E-36641C8801B6}"/>
    <hyperlink ref="AE33" r:id="rId15" xr:uid="{920F94BA-DE8E-5146-98C8-1B194655CBEE}"/>
    <hyperlink ref="AE52" r:id="rId16" xr:uid="{E93BB48A-3B55-A94A-BF1D-F1DB95DB5FE8}"/>
    <hyperlink ref="AE90" r:id="rId17" xr:uid="{72FD1EF1-B4ED-0941-9B52-50EE94060A4E}"/>
    <hyperlink ref="AE21" r:id="rId18" xr:uid="{5ED8BADD-3E21-1647-B238-2661DB750F6A}"/>
    <hyperlink ref="AE35" r:id="rId19" xr:uid="{BFBA0651-87AB-954B-9475-1E4DBB347C42}"/>
    <hyperlink ref="AE413" r:id="rId20" xr:uid="{A8B20ECF-8056-E242-9021-7197D22C0B38}"/>
    <hyperlink ref="AE393" r:id="rId21" xr:uid="{2D8D9379-6E23-AD4C-A876-0968872143E5}"/>
    <hyperlink ref="AE406" r:id="rId22" xr:uid="{022F52CA-9B2E-1044-A61A-10BCCE89F5FA}"/>
    <hyperlink ref="AE400" r:id="rId23" xr:uid="{C6B6BF51-25A9-D149-ADD8-8643DC8033F2}"/>
    <hyperlink ref="AE455" r:id="rId24" xr:uid="{58B96F6A-4A47-594B-AA9F-64985A0568AD}"/>
    <hyperlink ref="AE89" r:id="rId25" xr:uid="{F6F3BAEB-0D08-9A41-AA5D-8FC4FAEE90C4}"/>
    <hyperlink ref="AE185" r:id="rId26" xr:uid="{AF414F64-2DC8-B34A-A112-4B02EDC8CC31}"/>
    <hyperlink ref="AE403" r:id="rId27" xr:uid="{1443711D-B9DB-714F-ADE4-0E99FF7F5888}"/>
    <hyperlink ref="AE38" r:id="rId28" xr:uid="{0E1B45F4-A047-DC46-BBEA-367B4042C6F5}"/>
    <hyperlink ref="AE451" r:id="rId29" xr:uid="{95F915AF-5880-204B-94D3-5AE3004DEF67}"/>
    <hyperlink ref="AE172" r:id="rId30" xr:uid="{720ED47E-6D0B-9D46-A96E-D501FDBC5DEC}"/>
    <hyperlink ref="AE180" r:id="rId31" xr:uid="{7B645E94-5A15-6D40-AC9E-C5EDCCE27A44}"/>
    <hyperlink ref="AE209" r:id="rId32" xr:uid="{06A5BC78-FA4C-1D4F-AB34-ADA02902E774}"/>
    <hyperlink ref="AE18" r:id="rId33" xr:uid="{F13C139A-0782-844D-B0AD-57F47BFEC853}"/>
    <hyperlink ref="AE371" r:id="rId34" xr:uid="{78942238-C074-2F4E-993D-1790D1BAB63C}"/>
    <hyperlink ref="AE134" r:id="rId35" xr:uid="{171EBBA1-AB06-4341-B724-8DD665D29B80}"/>
    <hyperlink ref="AE13" r:id="rId36" xr:uid="{EBFFA5AE-9580-C441-8CBA-814F45F518A6}"/>
    <hyperlink ref="AE407" r:id="rId37" xr:uid="{0C119BC3-D578-2941-AE8A-3F57B9639DE1}"/>
    <hyperlink ref="AE55" r:id="rId38" xr:uid="{6BF6AEA6-6D03-6B4E-83CE-101A2D8F2EAD}"/>
    <hyperlink ref="AE31" r:id="rId39" xr:uid="{C1FD3CDF-9167-074F-AF1C-4ABFE7C01B56}"/>
    <hyperlink ref="AE79" r:id="rId40" xr:uid="{E81664D1-DEF0-324B-B3FE-7F80B17C89A0}"/>
    <hyperlink ref="AE57" r:id="rId41" xr:uid="{18983DD3-B944-F34D-BD3E-3547A0838F94}"/>
    <hyperlink ref="AE24" r:id="rId42" xr:uid="{4390AFC5-4DA5-5B4F-80CE-6A61C4C29D2F}"/>
    <hyperlink ref="AE54" r:id="rId43" xr:uid="{9C818224-4DC6-D34D-9304-6F79AAEA9CDB}"/>
    <hyperlink ref="AE77" r:id="rId44" xr:uid="{72EBC7D9-5D60-C944-8533-1D90793FF099}"/>
    <hyperlink ref="AE401" r:id="rId45" xr:uid="{4E63B0C1-3987-4D40-9857-B61C3A4446FD}"/>
    <hyperlink ref="AE44" r:id="rId46" xr:uid="{8B81CD89-B13C-E246-A976-CBFA55B11F26}"/>
    <hyperlink ref="AE85" r:id="rId47" xr:uid="{E698049E-CA87-2440-A514-617669A5F2DE}"/>
    <hyperlink ref="AE398" r:id="rId48" xr:uid="{EF08B206-7BC2-B347-B3C3-099A76A6C98B}"/>
    <hyperlink ref="AE138" r:id="rId49" xr:uid="{57F72F8F-C3C2-2340-BB94-064E315D07EA}"/>
    <hyperlink ref="AE83" r:id="rId50" xr:uid="{4FE35350-6B01-CE4D-9AA6-C9547D5251C7}"/>
    <hyperlink ref="AE48" r:id="rId51" xr:uid="{822DE1CE-F100-6140-A115-CC1D7D91EB06}"/>
    <hyperlink ref="AE53" r:id="rId52" xr:uid="{5C527B46-95F8-3949-A59B-0C85E4B8FD01}"/>
    <hyperlink ref="AE41" r:id="rId53" xr:uid="{786DD53F-75EA-C54E-8222-9C3C805CDED3}"/>
    <hyperlink ref="AE411" r:id="rId54" xr:uid="{CC40D851-813C-B745-BB91-B1FBA1A75411}"/>
    <hyperlink ref="AE381" r:id="rId55" xr:uid="{718F0717-0D80-D749-AFAC-503136FD614D}"/>
    <hyperlink ref="AE47" r:id="rId56" xr:uid="{3B3A7990-C704-2F48-8F13-639726F48493}"/>
    <hyperlink ref="AE59" r:id="rId57" xr:uid="{8D834950-57B6-1C42-9BD8-9A11223A1EE7}"/>
    <hyperlink ref="AE390" r:id="rId58" xr:uid="{6DEE1342-B5DE-8A4A-9202-3E064FA3552E}"/>
    <hyperlink ref="AE376" r:id="rId59" xr:uid="{0F558832-98B6-A04D-9F3E-A9DD31237A57}"/>
    <hyperlink ref="AE88" r:id="rId60" xr:uid="{8432CAA1-9EA3-3445-B38D-B2C1FB98CAFF}"/>
    <hyperlink ref="AE34" r:id="rId61" xr:uid="{D822643C-567F-9B4F-A9B7-4AA9131C4992}"/>
    <hyperlink ref="AE20" r:id="rId62" xr:uid="{8AEC09E9-BAFC-1747-A44C-E3AC8638062E}"/>
    <hyperlink ref="AE105" r:id="rId63" xr:uid="{C049C314-E5E6-124D-986D-B4ABAA8971A5}"/>
    <hyperlink ref="AE94" r:id="rId64" xr:uid="{41E3F6C5-FE57-7F4C-ABC1-0A929B321F55}"/>
    <hyperlink ref="AE84" r:id="rId65" xr:uid="{EF76843A-20C1-0C40-A724-B82D6732F343}"/>
    <hyperlink ref="AE425" r:id="rId66" xr:uid="{2F3CAC6A-88CD-4446-B4C7-33F81E485CD2}"/>
    <hyperlink ref="AE374" r:id="rId67" xr:uid="{B2CA3E12-3DD8-8042-A982-B5CC5EFFFF91}"/>
    <hyperlink ref="AE95" r:id="rId68" xr:uid="{6C539E22-DAF2-5E4E-9D5C-1E03772465DA}"/>
    <hyperlink ref="AE410" r:id="rId69" xr:uid="{87C25159-B1AC-BF46-9340-62733348B7E0}"/>
    <hyperlink ref="AE96" r:id="rId70" xr:uid="{34C39878-848E-C14A-9B44-00A8BABEE64D}"/>
    <hyperlink ref="AE50" r:id="rId71" xr:uid="{232D0BD7-F897-F845-A366-566DFA7F934D}"/>
    <hyperlink ref="AE116" r:id="rId72" xr:uid="{595EAB48-8F0F-8F40-B4AD-C1440DC5AE74}"/>
    <hyperlink ref="AE115" r:id="rId73" xr:uid="{EED3C4C4-851A-D742-99D1-B00136F25814}"/>
    <hyperlink ref="AE117" r:id="rId74" xr:uid="{25F55270-8D06-1C44-997C-0EFA27FDDE7D}"/>
    <hyperlink ref="AE114" r:id="rId75" xr:uid="{7D172C89-55BA-C74E-9FB6-1B577B13328F}"/>
    <hyperlink ref="AE80" r:id="rId76" xr:uid="{F6B807EF-5B29-A94F-90FB-FBA22E01FFE3}"/>
    <hyperlink ref="AE98" r:id="rId77" xr:uid="{DF04C472-E93F-8D49-883D-3A3083FCFA55}"/>
    <hyperlink ref="AE118" r:id="rId78" xr:uid="{F10A53D6-C97B-5D41-A44E-3A64FC7FC182}"/>
    <hyperlink ref="AE122" r:id="rId79" xr:uid="{C64CEDF1-FA29-CD40-AB6A-A14C8C0914DB}"/>
    <hyperlink ref="AE421" r:id="rId80" xr:uid="{FC157F44-7D10-0D47-9AFE-34FD994F50EF}"/>
    <hyperlink ref="AE130" r:id="rId81" xr:uid="{A71DBD10-F8F8-464A-8ECA-E2701F4707CB}"/>
    <hyperlink ref="AE129" r:id="rId82" xr:uid="{C081AFBB-180A-1245-9F9B-8E5A28D427C8}"/>
    <hyperlink ref="AE255" r:id="rId83" xr:uid="{F3A98648-33B7-224A-A09D-D75043161E67}"/>
    <hyperlink ref="AE147" r:id="rId84" xr:uid="{7D2B6361-8F02-5444-93D0-988B992D86D2}"/>
    <hyperlink ref="AE7" r:id="rId85" xr:uid="{A59A742F-38AD-7047-86D5-6E5D926656E6}"/>
    <hyperlink ref="AE4" r:id="rId86" xr:uid="{CBEC7E01-9F9D-3240-981E-121F02ECC7C0}"/>
    <hyperlink ref="AE8" r:id="rId87" xr:uid="{2413E0E7-66FC-DB43-8E2C-9A0FB2856189}"/>
    <hyperlink ref="AE5" r:id="rId88" xr:uid="{73594C4D-1F19-174B-8EDF-B7B59FE45F56}"/>
    <hyperlink ref="AE3" r:id="rId89" xr:uid="{B35AA33E-6440-8E41-AA74-8887F76170E8}"/>
    <hyperlink ref="AE224" r:id="rId90" xr:uid="{E6BDCB95-87C5-194B-86DD-A6D87ABB61A7}"/>
    <hyperlink ref="AE1022" r:id="rId91" xr:uid="{66BC287C-4E47-2144-AD96-65C577525380}"/>
    <hyperlink ref="AE120" r:id="rId92" xr:uid="{FFF327F4-5C55-A349-AFE2-746952199BBE}"/>
    <hyperlink ref="AE6" r:id="rId93" xr:uid="{4263060B-2033-724A-8D13-455A838F3C0C}"/>
    <hyperlink ref="AE11" r:id="rId94" xr:uid="{D7214A73-B44A-644A-8C81-49C743571541}"/>
    <hyperlink ref="AE12" r:id="rId95" xr:uid="{35BB026E-6743-FE4B-B130-FCE5E9D4AFFD}"/>
    <hyperlink ref="AE16" r:id="rId96" xr:uid="{752CA68D-EF0B-FC49-8B6B-4276B4AC78C5}"/>
    <hyperlink ref="AE14" r:id="rId97" xr:uid="{CE5D58C7-F1C9-F64C-876B-C55C50A18A7D}"/>
    <hyperlink ref="AE19" r:id="rId98" xr:uid="{B6AEBDB8-0696-5F45-BC3E-310DFDF06ED0}"/>
    <hyperlink ref="AE23" r:id="rId99" xr:uid="{88DD3D1B-9840-6341-B1AD-DD0D5176365F}"/>
    <hyperlink ref="AE93" r:id="rId100" xr:uid="{2B2237B7-71A7-2748-B616-CD86EE1251A4}"/>
    <hyperlink ref="AE15" r:id="rId101" xr:uid="{F2075492-7E7A-8B49-9F40-57E8B37CD4D4}"/>
    <hyperlink ref="AE30" r:id="rId102" xr:uid="{054990A6-8D35-D14D-B18E-5D87ACDE132A}"/>
    <hyperlink ref="AE32" r:id="rId103" xr:uid="{21FDF57F-F07F-094B-A2E4-BED4F719F594}"/>
    <hyperlink ref="AE68" r:id="rId104" xr:uid="{AC762AC4-0727-1B4F-B144-DF9EB3F24517}"/>
    <hyperlink ref="AE42" r:id="rId105" xr:uid="{8888E035-8F99-5941-8628-08B4C8962CDB}"/>
    <hyperlink ref="AE45" r:id="rId106" xr:uid="{AD5B981B-F2A5-2145-AC1F-9DDCEB0F8CE2}"/>
    <hyperlink ref="AE43" r:id="rId107" xr:uid="{8216AD65-7A39-F64F-8848-092966213C2C}"/>
    <hyperlink ref="AE258" r:id="rId108" xr:uid="{44EEF2A2-0D97-2340-A353-E6DBC2DA382F}"/>
    <hyperlink ref="AE65" r:id="rId109" xr:uid="{7BE63379-BF9A-7E4B-97DB-FF614886D4FB}"/>
    <hyperlink ref="AE1369" r:id="rId110" xr:uid="{1FE48E92-AC62-274A-893A-145FF5FC4532}"/>
    <hyperlink ref="AE133" r:id="rId111" xr:uid="{8FB42B19-1A8D-F542-9437-186FE8BB6134}"/>
    <hyperlink ref="AE353" r:id="rId112" xr:uid="{FCCC7729-ED5B-3F4E-B1A2-05F6FE381007}"/>
    <hyperlink ref="AE387" r:id="rId113" xr:uid="{990F5320-3B93-42FE-AEFB-F794669BA45D}"/>
    <hyperlink ref="AE348" r:id="rId114" xr:uid="{398B524B-2EF1-45B9-9353-FE15AE719578}"/>
    <hyperlink ref="AE203" r:id="rId115" xr:uid="{3F3503C6-B8FC-493A-B233-C0E80C6B5087}"/>
    <hyperlink ref="AE207" r:id="rId116" xr:uid="{80492207-9DF0-431B-8AC9-0208FAA1BA95}"/>
    <hyperlink ref="AE205" r:id="rId117" xr:uid="{94CCCCD8-53B7-4D82-8980-E75B4AE8658E}"/>
    <hyperlink ref="AE201" r:id="rId118" xr:uid="{8210ED98-C3BC-42F6-B4EB-E990B7F5030E}"/>
    <hyperlink ref="AE200" r:id="rId119" xr:uid="{E1F2E0C9-A428-42BD-BE2F-B6DD4ACD965D}"/>
    <hyperlink ref="AE202" r:id="rId120" xr:uid="{AA82B750-7F33-46A3-8EF1-BAD4E381845A}"/>
    <hyperlink ref="AE206" r:id="rId121" xr:uid="{3DD79ED6-6824-4B66-9AB0-0747EF1570A2}"/>
    <hyperlink ref="AE204" r:id="rId122" xr:uid="{ED72A748-76CA-4959-860E-545788AEC490}"/>
    <hyperlink ref="AE323" r:id="rId123" xr:uid="{2A46D5BC-D2D0-4E9C-9570-2A1AA378909B}"/>
    <hyperlink ref="AE56" r:id="rId124" xr:uid="{0AEAEEA3-1DDA-4713-B310-071B945BF382}"/>
    <hyperlink ref="AE58" r:id="rId125" xr:uid="{F0FE1A7E-AA13-4454-99FA-92546ADBA951}"/>
    <hyperlink ref="AE64" r:id="rId126" xr:uid="{D02EFA09-480E-4E2F-B8E1-C66D33A63C52}"/>
    <hyperlink ref="AE51" r:id="rId127" xr:uid="{E46090F7-8E78-3B4D-B33D-208D8E84BAD6}"/>
    <hyperlink ref="AE66" r:id="rId128" xr:uid="{0A45D2DB-AD10-6743-AA52-F683ADC2807F}"/>
    <hyperlink ref="AE62" r:id="rId129" xr:uid="{287DAC41-74ED-3145-8D6F-AB83DFBB1512}"/>
    <hyperlink ref="AE70" r:id="rId130" xr:uid="{44E30C16-AB80-924A-99D7-9F94F5BD679E}"/>
    <hyperlink ref="AE69" r:id="rId131" xr:uid="{5CF07AED-8491-DE46-A728-2C23F0746031}"/>
    <hyperlink ref="AE76" r:id="rId132" xr:uid="{E0F07144-562B-624B-9953-EBE464AC3725}"/>
    <hyperlink ref="AE28" r:id="rId133" xr:uid="{1527D306-FF1E-3B4D-A06C-6CCE0B837D94}"/>
    <hyperlink ref="AE73" r:id="rId134" xr:uid="{35813410-337F-ED49-9DA5-CBD5D54E5A38}"/>
    <hyperlink ref="AE75" r:id="rId135" xr:uid="{CAB7B190-B358-1A4D-86E6-11A52D535E37}"/>
    <hyperlink ref="AE71" r:id="rId136" xr:uid="{83B8ED7C-26C5-1C4F-AC48-ACEA8B14B965}"/>
    <hyperlink ref="AE216" r:id="rId137" xr:uid="{41C8697D-3284-7F41-8941-BCE95A6D657E}"/>
    <hyperlink ref="AE67" r:id="rId138" xr:uid="{36179F68-B149-6C43-880C-D6DBD071E5E2}"/>
    <hyperlink ref="AE74" r:id="rId139" xr:uid="{9E91F0B4-85AC-DA4F-895B-A2BC8437ACA7}"/>
    <hyperlink ref="AE72" r:id="rId140" xr:uid="{22E1505F-29F7-3A4E-9845-12BDCFBE0C17}"/>
    <hyperlink ref="AE81" r:id="rId141" xr:uid="{503BD61A-567B-1E43-ADC2-6777C017A7CD}"/>
    <hyperlink ref="AE160" r:id="rId142" xr:uid="{00726223-8E26-284E-A769-3F8547042B33}"/>
    <hyperlink ref="AE87" r:id="rId143" xr:uid="{C440704F-6D38-B24A-B860-8800297D28C4}"/>
    <hyperlink ref="AE86" r:id="rId144" xr:uid="{26EE7D3C-38A7-9545-AD98-540CEE640343}"/>
    <hyperlink ref="AE60" r:id="rId145" xr:uid="{69CD3547-9B40-074E-9FB0-7B615CC6E7B8}"/>
    <hyperlink ref="AE91" r:id="rId146" xr:uid="{7C5C3E2F-7780-DE47-A7E4-444ED1AF9A8B}"/>
    <hyperlink ref="AE100" r:id="rId147" xr:uid="{03FE0D2F-F61E-5B4D-B197-FAAE35634B9A}"/>
    <hyperlink ref="AE101" r:id="rId148" xr:uid="{BF971618-A986-104A-BC23-6C3BA9C0B36D}"/>
    <hyperlink ref="AE104" r:id="rId149" xr:uid="{223727F9-C07D-3D4D-B021-C05C36DED526}"/>
    <hyperlink ref="AE92" r:id="rId150" xr:uid="{219A0428-5EC9-9344-BCB4-FDF7372029A0}"/>
    <hyperlink ref="AE102" r:id="rId151" xr:uid="{CD9EF797-F18D-7649-8CF0-D54C545AB75C}"/>
    <hyperlink ref="AE103" r:id="rId152" xr:uid="{2F70E2FB-12D5-D549-8305-6824D2E50448}"/>
    <hyperlink ref="AE99" r:id="rId153" xr:uid="{2E67CCF7-494D-894E-8236-8BD17BFE71EA}"/>
    <hyperlink ref="AE97" r:id="rId154" xr:uid="{404EAABD-FC74-2147-A95F-BD65E4E07E71}"/>
    <hyperlink ref="AE107" r:id="rId155" xr:uid="{796D9E0D-EF83-074B-80EA-7F7A566BBD0C}"/>
    <hyperlink ref="AE106" r:id="rId156" xr:uid="{AFC648B0-0244-9B48-B12F-0B898AEEFA19}"/>
    <hyperlink ref="AE109" r:id="rId157" xr:uid="{AA7FD59A-D95D-5248-8AB6-F9524301B028}"/>
    <hyperlink ref="AE113" r:id="rId158" xr:uid="{92CDA0B7-604C-E045-B8CB-8BABBE89F2EE}"/>
    <hyperlink ref="AE112" r:id="rId159" xr:uid="{822C5D50-DBFA-5D49-AB79-B292DC7F93D1}"/>
    <hyperlink ref="AE119" r:id="rId160" xr:uid="{F56C0C8B-9B2A-6346-A98D-1FE4DA5C251A}"/>
    <hyperlink ref="AE125" r:id="rId161" xr:uid="{64056387-0ADF-6642-B168-15E124BD2D55}"/>
    <hyperlink ref="AE121" r:id="rId162" xr:uid="{04BBB9EC-4AAC-0943-B479-8A3876728243}"/>
    <hyperlink ref="AE124" r:id="rId163" xr:uid="{4D296595-F92A-6C44-A43F-558089F50506}"/>
    <hyperlink ref="AE126" r:id="rId164" xr:uid="{3581FDD4-ABDC-2943-AADD-0752CD3EB218}"/>
    <hyperlink ref="AE25" r:id="rId165" xr:uid="{95705588-C65B-6940-B637-780ECF494B91}"/>
    <hyperlink ref="AE136" r:id="rId166" xr:uid="{7D3E777C-622C-2744-B80B-27DC780661DD}"/>
    <hyperlink ref="AE127" r:id="rId167" xr:uid="{CD9364D2-4793-9341-9EF0-CC3483BDAD70}"/>
    <hyperlink ref="AE135" r:id="rId168" xr:uid="{AEEC97F4-4A4C-0847-ABFF-7C532AD78935}"/>
    <hyperlink ref="AE139" r:id="rId169" xr:uid="{2FD0DC1B-E796-4345-BEE8-D14CC6F5CFF2}"/>
    <hyperlink ref="AE131" r:id="rId170" xr:uid="{F2A69100-160F-2F4B-8F38-C4F1C1EADC4E}"/>
    <hyperlink ref="AE171" r:id="rId171" xr:uid="{9FACA1BB-7F21-544E-9B33-3FE13E3E4FD9}"/>
    <hyperlink ref="AE132" r:id="rId172" xr:uid="{C2CE7640-A6C6-6143-8D90-89F0FC47E93B}"/>
    <hyperlink ref="AE37" r:id="rId173" xr:uid="{189165D7-24F6-E74A-886C-08338AE6EED7}"/>
    <hyperlink ref="AE142" r:id="rId174" xr:uid="{FC5EEB0D-36F1-4241-B7E8-CF9AA3FABC7F}"/>
    <hyperlink ref="AE146" r:id="rId175" xr:uid="{D8D5AD6A-D021-7A44-9696-B49D5C8C028D}"/>
    <hyperlink ref="AE141" r:id="rId176" xr:uid="{A85E971E-1BEF-2843-80C2-8D7C45FC7072}"/>
    <hyperlink ref="AE149" r:id="rId177" xr:uid="{AB845885-3F0E-4148-A81C-198356FF0A4A}"/>
    <hyperlink ref="AE144" r:id="rId178" xr:uid="{1CA8DED2-44B4-A647-AF37-4FA139F70198}"/>
    <hyperlink ref="AE145" r:id="rId179" xr:uid="{CD01578E-B5F4-D844-8CE7-4FDE6910B80D}"/>
    <hyperlink ref="AE140" r:id="rId180" xr:uid="{9FAFF344-E781-7245-B996-1B1302CD28BC}"/>
    <hyperlink ref="AE110" r:id="rId181" xr:uid="{EDEAD548-8B9D-AB47-9AE1-53164F58CC1E}"/>
    <hyperlink ref="AE152" r:id="rId182" xr:uid="{C1462C4F-9289-6242-B7E8-21D217F7911C}"/>
    <hyperlink ref="AE143" r:id="rId183" xr:uid="{F80B3C12-3FFF-C945-99BB-C596BFF957AD}"/>
    <hyperlink ref="AE151" r:id="rId184" xr:uid="{FE972754-0E6E-854B-B0C0-70C72FE34827}"/>
    <hyperlink ref="AE150" r:id="rId185" xr:uid="{02B49A03-4DCA-8F47-9667-A7C3E132B5D1}"/>
    <hyperlink ref="AE153" r:id="rId186" xr:uid="{179D7B5C-E319-0F4C-B610-7C8883F22AAD}"/>
    <hyperlink ref="AE154" r:id="rId187" xr:uid="{94FC1DC2-3C2F-9C4A-B0FA-7C6059C8C77A}"/>
    <hyperlink ref="AE193" r:id="rId188" xr:uid="{47686162-7D56-DA46-B1D8-626585D8762F}"/>
    <hyperlink ref="AE164" r:id="rId189" xr:uid="{93BE207F-A76D-7045-A175-B4FA6D509849}"/>
    <hyperlink ref="AE161" r:id="rId190" xr:uid="{5A3D8CFA-FE3D-9640-8978-3C3C7C73BC35}"/>
    <hyperlink ref="AE187" r:id="rId191" xr:uid="{81A0CF52-2E72-BF45-930C-F428B6C53DFE}"/>
    <hyperlink ref="AE166" r:id="rId192" xr:uid="{0D704F84-17D6-1041-818C-F3B155B318F6}"/>
    <hyperlink ref="AE173" r:id="rId193" xr:uid="{FEE85570-2183-D140-A941-2EA309E048AF}"/>
    <hyperlink ref="AE174" r:id="rId194" xr:uid="{849EBCBE-1E6B-A148-B10B-04C74C75E93C}"/>
    <hyperlink ref="AE156" r:id="rId195" xr:uid="{D2DF8E8C-C408-0C41-BAEC-50FB7E038728}"/>
    <hyperlink ref="AE162" r:id="rId196" xr:uid="{B88943CC-5F3C-FE48-B652-DE2F3B1E584A}"/>
    <hyperlink ref="AE169" r:id="rId197" xr:uid="{3D5A9B18-CD60-F746-8E5B-13FFD613636F}"/>
    <hyperlink ref="AE199" r:id="rId198" xr:uid="{389DFFD7-FB4D-6043-9782-E76E6C1D0F9C}"/>
    <hyperlink ref="AE188" r:id="rId199" xr:uid="{3E4C2378-E2BC-8B4D-B14E-D6B8B19583CF}"/>
    <hyperlink ref="AE168" r:id="rId200" xr:uid="{465E564D-CA8B-7646-BD18-7D80BF9083F3}"/>
    <hyperlink ref="AE46" r:id="rId201" xr:uid="{4FFC79B8-43A3-F74B-988A-C198CCDF051B}"/>
    <hyperlink ref="AE155" r:id="rId202" xr:uid="{F6FC6F0F-BC0F-1945-9673-8BF2326966F4}"/>
    <hyperlink ref="AE175" r:id="rId203" xr:uid="{3044799F-AFA0-6541-AC03-39C4067AF3A7}"/>
    <hyperlink ref="AE165" r:id="rId204" xr:uid="{7A7C1715-EFE7-DC45-80A6-13C06C8CF8AB}"/>
    <hyperlink ref="AE192" r:id="rId205" xr:uid="{E2A94A5E-090A-7745-8227-DDE9B55DC0DB}"/>
    <hyperlink ref="AE163" r:id="rId206" xr:uid="{40A9F733-A6F0-794F-A0AA-71CFA22C7937}"/>
    <hyperlink ref="AE176" r:id="rId207" xr:uid="{5FF881BA-77A5-7646-99CD-77CEFCDB2C5E}"/>
    <hyperlink ref="AE159" r:id="rId208" xr:uid="{8DE1E36E-C230-5E44-BC8B-0064B23E8FA9}"/>
    <hyperlink ref="AE322" r:id="rId209" xr:uid="{DF3626E1-ACB5-B641-8D51-9FD727656B56}"/>
    <hyperlink ref="AE327" r:id="rId210" xr:uid="{05482C5A-7E9E-A04A-8B22-568613912ACC}"/>
    <hyperlink ref="AE341" r:id="rId211" xr:uid="{78A84723-46EC-0344-9897-7DD8CE22AF88}"/>
    <hyperlink ref="AE191" r:id="rId212" xr:uid="{A7005CF4-69AC-2B4D-99A7-37F6148A563A}"/>
    <hyperlink ref="AE182" r:id="rId213" xr:uid="{3D938CEA-38CE-AA40-B0BF-C8F9154BD1B6}"/>
    <hyperlink ref="AE167" r:id="rId214" xr:uid="{C1E46E5A-12EC-2148-928B-63837E4882B7}"/>
    <hyperlink ref="AE177" r:id="rId215" xr:uid="{5502C466-408F-EC46-8627-2098010E205C}"/>
    <hyperlink ref="AE181" r:id="rId216" xr:uid="{635B6037-C220-6C4D-A146-9DF57FEDA72F}"/>
    <hyperlink ref="AE170" r:id="rId217" xr:uid="{71917D6A-2B74-436A-9646-B3E33BD136A2}"/>
    <hyperlink ref="AE178" r:id="rId218" xr:uid="{672CFC1C-1345-435C-B738-4DFE3047F2E1}"/>
    <hyperlink ref="AE184" r:id="rId219" xr:uid="{79E3DCEA-F083-4456-A3C3-47CC711B627B}"/>
    <hyperlink ref="AE186" r:id="rId220" xr:uid="{DCD406E8-9A05-45CC-ABC4-B0FFC6FFC3A8}"/>
    <hyperlink ref="AE337" r:id="rId221" xr:uid="{382A1147-57FF-4F42-8F1B-02F825E14D0F}"/>
    <hyperlink ref="AE183" r:id="rId222" xr:uid="{94BB643C-B897-4ECE-95E8-32F3C61916CD}"/>
    <hyperlink ref="AE158" r:id="rId223" xr:uid="{A6E686A2-D3AD-436E-97EF-9ACB22472403}"/>
    <hyperlink ref="AE179" r:id="rId224" xr:uid="{C78813BD-4FE3-7546-9ABA-91E99EB6FDBF}"/>
    <hyperlink ref="AE208" r:id="rId225" xr:uid="{D7F8333A-B4E9-7B44-AFAC-0A61BD2204D2}"/>
    <hyperlink ref="AE157" r:id="rId226" xr:uid="{1E134B6B-F61A-2D4A-8655-D7E5F2109F28}"/>
    <hyperlink ref="AE190" r:id="rId227" xr:uid="{49AE46D0-F7E8-A844-A5D0-8C78ABA77C3A}"/>
    <hyperlink ref="AE198" r:id="rId228" xr:uid="{1E39F6FF-D503-FD4B-B0B1-5C850DC7BDBC}"/>
    <hyperlink ref="AE148" r:id="rId229" xr:uid="{226F56C4-2CCA-4C0B-B984-92D0358049BA}"/>
    <hyperlink ref="AE468" r:id="rId230" xr:uid="{EFB33F59-3B9A-4172-A43D-594E7561E827}"/>
    <hyperlink ref="AE219" r:id="rId231" xr:uid="{13ECD8E8-1075-4D6F-AFA3-2297D4C486B9}"/>
    <hyperlink ref="AE220" r:id="rId232" xr:uid="{056CFA4B-51AB-4619-AD67-3A74C810CFDF}"/>
    <hyperlink ref="AE222" r:id="rId233" xr:uid="{3F18A77A-4474-4F96-8538-97E60E5DC9C6}"/>
    <hyperlink ref="AE469" r:id="rId234" xr:uid="{C3E9D7AB-3C74-403E-8033-F607ECEEC5E9}"/>
    <hyperlink ref="AE225" r:id="rId235" xr:uid="{1EEC32DF-CDBB-CE4E-895D-6A759C2B9708}"/>
    <hyperlink ref="AE227" r:id="rId236" xr:uid="{3D3C0744-27C6-0746-9E7C-4E6356697DF5}"/>
    <hyperlink ref="AE235" r:id="rId237" xr:uid="{F4827E95-667D-4505-ABD7-FA036BC6EFAC}"/>
    <hyperlink ref="AE212" r:id="rId238" xr:uid="{AA9B6F83-C7CF-4638-BE2E-24169F5EBC8C}"/>
    <hyperlink ref="AE214" r:id="rId239" xr:uid="{615A2B3B-A6A7-4324-93C5-80F6B0523868}"/>
    <hyperlink ref="AE210" r:id="rId240" xr:uid="{23B31A01-AAA1-D841-BA57-62844A7410D0}"/>
    <hyperlink ref="AE213" r:id="rId241" xr:uid="{46A5B2E5-8F4E-BC4D-B887-83EC1EEE8C11}"/>
    <hyperlink ref="AE211" r:id="rId242" xr:uid="{795ED42A-37FC-CA49-AB60-18F9E8350F52}"/>
    <hyperlink ref="AE350" r:id="rId243" xr:uid="{436B0629-F3A6-FD42-A069-7F84C3DCBD76}"/>
    <hyperlink ref="AE351" r:id="rId244" xr:uid="{95723F2F-AA94-5443-98BA-E5717EFF634F}"/>
    <hyperlink ref="AE226" r:id="rId245" xr:uid="{54384C20-B1F9-6D4D-965D-2A929B9D4416}"/>
    <hyperlink ref="AE426" r:id="rId246" xr:uid="{4188DEE7-4934-F148-B803-CF98133B0096}"/>
    <hyperlink ref="AE446" r:id="rId247" xr:uid="{BA085312-B83B-0646-8F76-150DEC1537F9}"/>
    <hyperlink ref="AE108" r:id="rId248" xr:uid="{467F8089-B1B9-0F49-AF05-F9D8796B98B3}"/>
    <hyperlink ref="AE287" r:id="rId249" xr:uid="{47FAD4DB-533D-A141-8D7D-AA7FF92DFCF4}"/>
    <hyperlink ref="AE463" r:id="rId250" xr:uid="{095AFFD9-D256-6445-A825-D0102405CFCA}"/>
    <hyperlink ref="AE261" r:id="rId251" xr:uid="{35E68EDB-C078-DF4F-8678-C4D1F30D1AB0}"/>
    <hyperlink ref="AE27" r:id="rId252" xr:uid="{1BBED3C7-7FB5-F04A-8776-A2610F38ECF5}"/>
    <hyperlink ref="N27" r:id="rId253" xr:uid="{F34DB0AF-F289-024D-AF53-614380091A79}"/>
    <hyperlink ref="AP4" r:id="rId254" xr:uid="{B29AA56E-584F-43FF-B525-838D2ED88232}"/>
    <hyperlink ref="AE197" r:id="rId255" xr:uid="{70ADC80D-201B-414D-B32A-BFCC964CC1C4}"/>
    <hyperlink ref="AE196" r:id="rId256" xr:uid="{0AD08137-F2D4-9742-9A7A-7180CA870641}"/>
    <hyperlink ref="AE195" r:id="rId257" xr:uid="{A9E252BD-17D8-AB4E-BF09-E436A57BCBCF}"/>
    <hyperlink ref="AE194" r:id="rId258" xr:uid="{7B1673DC-4957-CE47-A468-FAA16C79EB1D}"/>
    <hyperlink ref="AE335" r:id="rId259" xr:uid="{26FC4FD2-D5CD-4912-B51E-7896FAD3EBEF}"/>
    <hyperlink ref="AE336" r:id="rId260" xr:uid="{F468CBDE-58BC-4A00-86A8-33F824E35FE7}"/>
    <hyperlink ref="AE422" r:id="rId261" xr:uid="{29F91D18-746A-1941-882C-6831B9F0BC14}"/>
    <hyperlink ref="AE296" r:id="rId262" xr:uid="{DAB31EF2-B5D4-6544-BC54-72CB05ED9B3A}"/>
    <hyperlink ref="AE306" r:id="rId263" xr:uid="{77735A64-3B48-6B4C-A027-6E2D226FD271}"/>
    <hyperlink ref="AE345" r:id="rId264" xr:uid="{58040DD2-16B1-5C49-AE33-0D0F0BE4E7DF}"/>
    <hyperlink ref="AE352" r:id="rId265" xr:uid="{9B8CB591-DBEB-3049-A3C6-AD603150F331}"/>
    <hyperlink ref="AE305" r:id="rId266" xr:uid="{D3F4F672-DF6C-7E41-AF90-01A69DC4E0C6}"/>
    <hyperlink ref="AE111" r:id="rId267" xr:uid="{2B4C61B0-494A-A049-9B0D-F7A9E472AF60}"/>
    <hyperlink ref="AE427" r:id="rId268" xr:uid="{998B1299-0712-8748-A22E-6A0A28B20DB3}"/>
    <hyperlink ref="AE615" r:id="rId269" xr:uid="{6448774F-954D-084F-B0AE-159F52B2709E}"/>
    <hyperlink ref="AE17" r:id="rId270" xr:uid="{07E5AC65-BAA0-7F4E-935A-411ACE776173}"/>
    <hyperlink ref="AE63" r:id="rId271" xr:uid="{162CF5DD-A313-AB4E-86C8-0A30B7553EF0}"/>
    <hyperlink ref="AE215" r:id="rId272" xr:uid="{B17509E6-58BD-F14F-AF8D-2F97279BD6E8}"/>
    <hyperlink ref="AE217" r:id="rId273" xr:uid="{B54068B6-F5BE-FC45-8027-7D3991063DAB}"/>
    <hyperlink ref="AE218" r:id="rId274" xr:uid="{F709ADF5-943A-934E-8BB7-15B15193C5F4}"/>
    <hyperlink ref="AE223" r:id="rId275" xr:uid="{BBAF9042-AA17-7B44-BBD6-6B2A933AE2C7}"/>
    <hyperlink ref="AE228" r:id="rId276" xr:uid="{57A7A4F5-88DD-FD4E-AB0B-20D2C02F7A53}"/>
    <hyperlink ref="AE229" r:id="rId277" xr:uid="{03500AB0-AF32-7B49-BCA6-E167C8C30EAC}"/>
    <hyperlink ref="AE230" r:id="rId278" xr:uid="{6B75DBAB-A2EB-4E4D-9CFC-4C44B462A03A}"/>
    <hyperlink ref="AE231" r:id="rId279" xr:uid="{37628C8F-EFC6-3645-BFB5-9FE28B129995}"/>
    <hyperlink ref="AE232" r:id="rId280" xr:uid="{36FB7EC9-DE9F-0B4B-9CA3-7ADA5AE25533}"/>
    <hyperlink ref="AE233" r:id="rId281" xr:uid="{D071DE85-C41D-2846-8A2B-B143D8F99328}"/>
    <hyperlink ref="AE234" r:id="rId282" xr:uid="{3B9FC79D-9ECF-1E49-9251-5122D5A61384}"/>
    <hyperlink ref="AE236" r:id="rId283" xr:uid="{911324EA-D539-4B4A-B5F9-15A2D340FF56}"/>
    <hyperlink ref="AE237" r:id="rId284" xr:uid="{7F99CF21-62DF-D446-92A8-2ECF4BF3518A}"/>
    <hyperlink ref="AE238" r:id="rId285" xr:uid="{D9958458-8360-D34D-9770-5ABFB6B78B80}"/>
    <hyperlink ref="AE239" r:id="rId286" xr:uid="{C623C855-4637-F84B-974B-E7D666020FD6}"/>
    <hyperlink ref="AE240" r:id="rId287" xr:uid="{70D7883E-54BE-0C49-ADDB-8CC67A1116E1}"/>
    <hyperlink ref="AE241" r:id="rId288" xr:uid="{867AF7CB-4E9E-B04F-950D-512C38B27F49}"/>
    <hyperlink ref="AE242" r:id="rId289" xr:uid="{82848FC8-758F-B847-9783-6E6CBF5C7B2D}"/>
    <hyperlink ref="AE243" r:id="rId290" xr:uid="{3772A5E5-D681-3F45-AAAE-B50A5E4D408F}"/>
    <hyperlink ref="AE244" r:id="rId291" xr:uid="{7BA0A547-9599-9648-84E7-90B30FCB345B}"/>
    <hyperlink ref="AE245" r:id="rId292" xr:uid="{F3C415F1-A956-8742-8CC2-51178B1DE65A}"/>
    <hyperlink ref="AE246" r:id="rId293" xr:uid="{6AF0E442-2172-7F4F-8F8E-2DBD2FF5A282}"/>
    <hyperlink ref="AE247" r:id="rId294" xr:uid="{A53761D3-3F03-1042-980F-0F5090C75D3A}"/>
    <hyperlink ref="AE249" r:id="rId295" xr:uid="{2C763568-BE31-F24B-A317-9A4B230A1CC3}"/>
    <hyperlink ref="AE250" r:id="rId296" xr:uid="{CDADF45A-8F4B-A941-8B0A-9CA53149FCE4}"/>
    <hyperlink ref="AE251" r:id="rId297" xr:uid="{406E3501-C858-5A43-A130-A6BE1875915E}"/>
    <hyperlink ref="AE253" r:id="rId298" xr:uid="{A3F9ED62-6444-CD46-8B28-D0781733216C}"/>
    <hyperlink ref="AE252" r:id="rId299" xr:uid="{18ED7D98-F309-2A49-8D9E-592B384F6583}"/>
    <hyperlink ref="AE254" r:id="rId300" xr:uid="{D06A65CE-8051-4F4A-855E-838300759FB9}"/>
    <hyperlink ref="AE256" r:id="rId301" xr:uid="{6D293C2F-0402-AF4A-91EC-4E505B01799F}"/>
    <hyperlink ref="AE257" r:id="rId302" xr:uid="{B016E171-BC47-4342-8265-39CB9FC84BE3}"/>
    <hyperlink ref="AE259" r:id="rId303" xr:uid="{8D7F2A32-058E-394B-9BD7-9058DF81CFDC}"/>
    <hyperlink ref="AE260" r:id="rId304" xr:uid="{F7739593-1355-5448-BEB6-CE7A91520F1E}"/>
    <hyperlink ref="AE262" r:id="rId305" xr:uid="{D4EA5D56-DCCB-4E4E-9694-E74364388786}"/>
    <hyperlink ref="AE263" r:id="rId306" xr:uid="{FF8700A6-F16B-4F49-9BE7-351B283C42BB}"/>
    <hyperlink ref="AE264" r:id="rId307" xr:uid="{61336400-512D-8344-B225-51ABE3821307}"/>
    <hyperlink ref="AE265" r:id="rId308" xr:uid="{67AFAABF-D577-C446-91DB-94FEA911C4C7}"/>
    <hyperlink ref="AE266" r:id="rId309" xr:uid="{E5DAA746-6501-5144-A849-452A72E44312}"/>
    <hyperlink ref="AE267" r:id="rId310" xr:uid="{87C0987C-7F0F-734C-8E3F-6D493EC7746A}"/>
    <hyperlink ref="AE268" r:id="rId311" xr:uid="{6563F089-78CF-5242-AD94-7FD74ABAE34F}"/>
    <hyperlink ref="AE269" r:id="rId312" xr:uid="{4E6881C9-39B8-6949-9857-73B866BDC94A}"/>
    <hyperlink ref="AE270" r:id="rId313" xr:uid="{BCA07FCC-0ECC-C141-9573-A8277D437927}"/>
    <hyperlink ref="AE271" r:id="rId314" xr:uid="{8506E28C-BD54-9B43-8795-E5AC9360E02C}"/>
    <hyperlink ref="AE272" r:id="rId315" xr:uid="{DA178F23-3BD0-0548-B51C-A27297BF56F7}"/>
    <hyperlink ref="AE273" r:id="rId316" xr:uid="{1E1E11F3-ADC2-584A-BA78-DB4F1A38F3D3}"/>
    <hyperlink ref="AE274" r:id="rId317" xr:uid="{A1E88A77-042B-CA49-A528-17A72AC072D8}"/>
    <hyperlink ref="AE275" r:id="rId318" xr:uid="{EF0B0A4B-C42B-4E48-955A-34F439B1484C}"/>
    <hyperlink ref="AE276" r:id="rId319" xr:uid="{986F7989-64CD-9C46-BA5C-915A95BCBB36}"/>
    <hyperlink ref="AE277" r:id="rId320" xr:uid="{F6BB7280-4064-9C47-885D-E0410BA1063E}"/>
    <hyperlink ref="AE123" r:id="rId321" xr:uid="{E6419996-677E-1443-8377-00E51A11546B}"/>
    <hyperlink ref="AE278" r:id="rId322" xr:uid="{32FF0FBB-34C9-6243-A348-2E3B49D7107B}"/>
    <hyperlink ref="AE279" r:id="rId323" xr:uid="{F0F3E2E4-64DB-2944-B7AE-B89B0A45C135}"/>
    <hyperlink ref="AE280" r:id="rId324" xr:uid="{F9493634-CCE2-0746-9293-73E77A402917}"/>
    <hyperlink ref="AE281" r:id="rId325" xr:uid="{63879ABF-0F4F-E347-B6CD-94C0E02FD1D8}"/>
    <hyperlink ref="AE282" r:id="rId326" xr:uid="{0A22B528-11B1-0145-A559-65DC1FA5D191}"/>
    <hyperlink ref="AE283" r:id="rId327" xr:uid="{FF784A18-78E2-7C40-87E2-5D6F2E0A9AF1}"/>
    <hyperlink ref="AE284" r:id="rId328" xr:uid="{ED266046-9370-284E-9B80-CA57211DFD07}"/>
    <hyperlink ref="AE285" r:id="rId329" xr:uid="{A4DC563E-89E8-4344-BAF6-50FA19223416}"/>
    <hyperlink ref="AE286" r:id="rId330" xr:uid="{EE63A928-876D-DA43-BF32-D9B00B926608}"/>
    <hyperlink ref="AE288" r:id="rId331" xr:uid="{93995FD1-CC95-B34A-B019-912AD7AB28BD}"/>
    <hyperlink ref="AE289" r:id="rId332" xr:uid="{33F8AFA5-8CCF-D347-8B38-1988D3B75B68}"/>
    <hyperlink ref="AE290" r:id="rId333" xr:uid="{21C9B56E-25DC-3B4B-AF49-05D7CBE23570}"/>
    <hyperlink ref="AE291" r:id="rId334" xr:uid="{23D34F7D-1E67-AE48-96C9-A722085BEA01}"/>
    <hyperlink ref="AE489" r:id="rId335" xr:uid="{28A6AC6C-8C61-7F45-851F-5FF77B95421F}"/>
    <hyperlink ref="AE513" r:id="rId336" xr:uid="{DAFEA6A6-09F1-204C-B3F7-26D0F93B55AF}"/>
    <hyperlink ref="AE1476" r:id="rId337" xr:uid="{CB5C08CC-02BF-2149-9A67-A7A20D40490A}"/>
    <hyperlink ref="AE942" r:id="rId338" xr:uid="{82545A85-70B9-114F-B1AC-E4DDF456D72B}"/>
    <hyperlink ref="AE1477" r:id="rId339" xr:uid="{1AC90B83-50A5-704A-8DD2-DD55F019608D}"/>
    <hyperlink ref="AE939" r:id="rId340" xr:uid="{FFC06C76-45C1-6D42-BA5D-7023E793FE4C}"/>
    <hyperlink ref="AE509" r:id="rId341" xr:uid="{A0B40D72-8D96-2A43-B7F0-541B310DA728}"/>
    <hyperlink ref="AE189" r:id="rId342" xr:uid="{CDA2EA26-B0C8-7B40-B794-4E1FF4C3B552}"/>
    <hyperlink ref="AE1128" r:id="rId343" xr:uid="{2B24BEFD-2102-104B-9FD9-47CC56301C6C}"/>
    <hyperlink ref="AE339" r:id="rId344" xr:uid="{768980B5-CEB0-6F43-A857-3C61C2C9232F}"/>
    <hyperlink ref="AE10" r:id="rId345" xr:uid="{95E7B413-0724-E144-99E9-AA34945E946B}"/>
    <hyperlink ref="AE477" r:id="rId346" xr:uid="{6CA1A95D-9F64-6649-BE67-1F4193BC1AB6}"/>
    <hyperlink ref="AE9" r:id="rId347" xr:uid="{4FA0F400-6310-0A47-8650-7B74B3AD9F26}"/>
    <hyperlink ref="AE40" r:id="rId348" xr:uid="{031CC666-5E7E-9B40-9CDA-8EDFDCC1E307}"/>
    <hyperlink ref="AE293" r:id="rId349" xr:uid="{8C576564-24C1-6A42-BC5A-F7C4A422BB64}"/>
  </hyperlinks>
  <pageMargins left="0.7" right="0.7" top="0.75" bottom="0.75" header="0.3" footer="0.3"/>
  <pageSetup orientation="portrait" r:id="rId350"/>
  <legacyDrawing r:id="rId35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D0ECDE-ED0C-42D5-AAF7-64C8DA01956C}">
  <dimension ref="A1:B18"/>
  <sheetViews>
    <sheetView zoomScale="205" zoomScaleNormal="205" workbookViewId="0"/>
  </sheetViews>
  <sheetFormatPr baseColWidth="10" defaultColWidth="9" defaultRowHeight="13"/>
  <cols>
    <col min="1" max="1" width="4.33203125" style="269" bestFit="1" customWidth="1"/>
    <col min="2" max="16384" width="9" style="269"/>
  </cols>
  <sheetData>
    <row r="1" spans="1:2">
      <c r="A1" s="269" t="s">
        <v>1165</v>
      </c>
    </row>
    <row r="2" spans="1:2">
      <c r="B2" s="269" t="s">
        <v>7995</v>
      </c>
    </row>
    <row r="4" spans="1:2">
      <c r="B4" s="269" t="s">
        <v>7994</v>
      </c>
    </row>
    <row r="6" spans="1:2">
      <c r="B6" s="269" t="s">
        <v>7996</v>
      </c>
    </row>
    <row r="8" spans="1:2">
      <c r="B8" s="269" t="s">
        <v>7997</v>
      </c>
    </row>
    <row r="10" spans="1:2">
      <c r="B10" s="269" t="s">
        <v>7998</v>
      </c>
    </row>
    <row r="12" spans="1:2">
      <c r="B12" s="269" t="s">
        <v>1509</v>
      </c>
    </row>
    <row r="14" spans="1:2">
      <c r="B14" s="269" t="s">
        <v>7999</v>
      </c>
    </row>
    <row r="16" spans="1:2">
      <c r="B16" s="269" t="s">
        <v>8000</v>
      </c>
    </row>
    <row r="18" spans="2:2">
      <c r="B18" s="269" t="s">
        <v>8001</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CDD190-9653-A543-B241-E3DBD49AC20B}">
  <dimension ref="A1:C7"/>
  <sheetViews>
    <sheetView zoomScale="160" zoomScaleNormal="160" workbookViewId="0"/>
  </sheetViews>
  <sheetFormatPr baseColWidth="10" defaultColWidth="8.83203125" defaultRowHeight="13"/>
  <cols>
    <col min="1" max="1" width="2.6640625" style="40" bestFit="1" customWidth="1"/>
    <col min="2" max="16384" width="8.83203125" style="40"/>
  </cols>
  <sheetData>
    <row r="1" spans="1:3">
      <c r="A1" s="41" t="s">
        <v>3794</v>
      </c>
    </row>
    <row r="3" spans="1:3">
      <c r="B3" s="42" t="s">
        <v>4169</v>
      </c>
    </row>
    <row r="4" spans="1:3">
      <c r="C4" s="42" t="s">
        <v>4167</v>
      </c>
    </row>
    <row r="6" spans="1:3">
      <c r="B6" s="42" t="s">
        <v>4168</v>
      </c>
    </row>
    <row r="7" spans="1:3">
      <c r="C7" s="42" t="s">
        <v>4167</v>
      </c>
    </row>
  </sheetData>
  <hyperlinks>
    <hyperlink ref="A1" location="AI!A1" display="AI" xr:uid="{2E8934D8-F35E-C542-AE3B-981925D7C4E1}"/>
  </hyperlinks>
  <pageMargins left="0.7" right="0.7" top="0.75" bottom="0.75" header="0.3" footer="0.3"/>
  <pageSetup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4A0DFD-327F-4F43-8622-425A823CDB97}">
  <dimension ref="A1:D14"/>
  <sheetViews>
    <sheetView workbookViewId="0"/>
  </sheetViews>
  <sheetFormatPr baseColWidth="10" defaultColWidth="9" defaultRowHeight="13"/>
  <cols>
    <col min="1" max="1" width="4.33203125" style="269" bestFit="1" customWidth="1"/>
    <col min="2" max="2" width="16.6640625" style="269" bestFit="1" customWidth="1"/>
    <col min="3" max="16384" width="9" style="269"/>
  </cols>
  <sheetData>
    <row r="1" spans="1:4">
      <c r="A1" s="269" t="s">
        <v>1165</v>
      </c>
    </row>
    <row r="2" spans="1:4">
      <c r="B2" s="269" t="s">
        <v>7981</v>
      </c>
      <c r="C2" s="269" t="s">
        <v>7982</v>
      </c>
    </row>
    <row r="3" spans="1:4">
      <c r="B3" s="269" t="s">
        <v>7980</v>
      </c>
    </row>
    <row r="4" spans="1:4">
      <c r="B4" s="49" t="s">
        <v>7979</v>
      </c>
      <c r="C4" s="269" t="s">
        <v>7983</v>
      </c>
      <c r="D4" s="269" t="s">
        <v>8002</v>
      </c>
    </row>
    <row r="5" spans="1:4">
      <c r="B5" s="49" t="s">
        <v>7984</v>
      </c>
    </row>
    <row r="6" spans="1:4">
      <c r="B6" s="49" t="s">
        <v>7985</v>
      </c>
    </row>
    <row r="7" spans="1:4">
      <c r="B7" s="269" t="s">
        <v>7978</v>
      </c>
    </row>
    <row r="8" spans="1:4">
      <c r="B8" s="269" t="s">
        <v>7977</v>
      </c>
    </row>
    <row r="9" spans="1:4">
      <c r="B9" s="269" t="s">
        <v>7976</v>
      </c>
    </row>
    <row r="10" spans="1:4">
      <c r="B10" s="269" t="s">
        <v>7975</v>
      </c>
    </row>
    <row r="11" spans="1:4">
      <c r="B11" s="269" t="s">
        <v>7986</v>
      </c>
    </row>
    <row r="12" spans="1:4">
      <c r="B12" s="269" t="s">
        <v>7987</v>
      </c>
    </row>
    <row r="13" spans="1:4">
      <c r="B13" s="269" t="s">
        <v>7988</v>
      </c>
    </row>
    <row r="14" spans="1:4">
      <c r="B14" s="269" t="s">
        <v>7993</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D47CD3-4A3F-430D-AA0E-A3D62043AE12}">
  <dimension ref="A1:K154"/>
  <sheetViews>
    <sheetView zoomScale="140" zoomScaleNormal="140" workbookViewId="0">
      <pane xSplit="2" ySplit="3" topLeftCell="C4" activePane="bottomRight" state="frozen"/>
      <selection pane="topRight" activeCell="C1" sqref="C1"/>
      <selection pane="bottomLeft" activeCell="A4" sqref="A4"/>
      <selection pane="bottomRight" activeCell="G23" sqref="G23"/>
    </sheetView>
  </sheetViews>
  <sheetFormatPr baseColWidth="10" defaultColWidth="9" defaultRowHeight="13"/>
  <cols>
    <col min="1" max="1" width="4.33203125" style="230" bestFit="1" customWidth="1"/>
    <col min="2" max="2" width="19.6640625" style="230" customWidth="1"/>
    <col min="3" max="4" width="9.6640625" style="231" customWidth="1"/>
    <col min="5" max="6" width="9" style="230"/>
    <col min="7" max="7" width="16.1640625" style="230" customWidth="1"/>
    <col min="8" max="16384" width="9" style="230"/>
  </cols>
  <sheetData>
    <row r="1" spans="1:11">
      <c r="A1" s="25" t="s">
        <v>1165</v>
      </c>
    </row>
    <row r="3" spans="1:11">
      <c r="C3" s="231" t="s">
        <v>4491</v>
      </c>
      <c r="D3" s="231" t="s">
        <v>4492</v>
      </c>
      <c r="E3" s="230" t="s">
        <v>2635</v>
      </c>
      <c r="F3" s="230" t="s">
        <v>4953</v>
      </c>
      <c r="G3" s="230" t="s">
        <v>4225</v>
      </c>
      <c r="H3" s="230" t="s">
        <v>1150</v>
      </c>
      <c r="I3" s="230" t="s">
        <v>5757</v>
      </c>
      <c r="J3" s="230" t="s">
        <v>4630</v>
      </c>
      <c r="K3" s="236" t="s">
        <v>2290</v>
      </c>
    </row>
    <row r="4" spans="1:11">
      <c r="B4" s="230" t="s">
        <v>5603</v>
      </c>
      <c r="G4" s="230" t="s">
        <v>5602</v>
      </c>
    </row>
    <row r="5" spans="1:11">
      <c r="B5" s="230" t="s">
        <v>5605</v>
      </c>
      <c r="G5" s="230" t="s">
        <v>5602</v>
      </c>
    </row>
    <row r="6" spans="1:11">
      <c r="B6" s="230" t="s">
        <v>5556</v>
      </c>
      <c r="G6" s="230" t="s">
        <v>5520</v>
      </c>
    </row>
    <row r="7" spans="1:11">
      <c r="B7" s="230" t="s">
        <v>5823</v>
      </c>
      <c r="E7" s="25" t="s">
        <v>5824</v>
      </c>
      <c r="G7" s="230" t="s">
        <v>5820</v>
      </c>
    </row>
    <row r="8" spans="1:11">
      <c r="B8" s="230" t="s">
        <v>5541</v>
      </c>
      <c r="G8" s="230" t="s">
        <v>5520</v>
      </c>
    </row>
    <row r="9" spans="1:11">
      <c r="B9" s="230" t="s">
        <v>5539</v>
      </c>
      <c r="G9" s="230" t="s">
        <v>5520</v>
      </c>
    </row>
    <row r="10" spans="1:11">
      <c r="B10" s="230" t="s">
        <v>5523</v>
      </c>
      <c r="G10" s="230" t="s">
        <v>5604</v>
      </c>
    </row>
    <row r="11" spans="1:11">
      <c r="B11" s="230" t="s">
        <v>5531</v>
      </c>
      <c r="G11" s="230" t="s">
        <v>5520</v>
      </c>
    </row>
    <row r="12" spans="1:11">
      <c r="B12" s="232" t="s">
        <v>5521</v>
      </c>
      <c r="G12" s="230" t="s">
        <v>5520</v>
      </c>
    </row>
    <row r="13" spans="1:11">
      <c r="B13" s="232" t="s">
        <v>5538</v>
      </c>
    </row>
    <row r="14" spans="1:11">
      <c r="B14" s="232" t="s">
        <v>5606</v>
      </c>
      <c r="G14" s="230" t="s">
        <v>5602</v>
      </c>
    </row>
    <row r="15" spans="1:11">
      <c r="B15" s="232" t="s">
        <v>5569</v>
      </c>
      <c r="G15" s="230" t="s">
        <v>5520</v>
      </c>
    </row>
    <row r="16" spans="1:11">
      <c r="B16" s="230" t="s">
        <v>5364</v>
      </c>
      <c r="E16" s="25" t="s">
        <v>5369</v>
      </c>
      <c r="G16" s="230" t="s">
        <v>5371</v>
      </c>
    </row>
    <row r="17" spans="2:9">
      <c r="B17" s="230" t="s">
        <v>5297</v>
      </c>
      <c r="E17" s="25" t="s">
        <v>5294</v>
      </c>
      <c r="G17" s="230" t="s">
        <v>5298</v>
      </c>
    </row>
    <row r="18" spans="2:9">
      <c r="B18" s="230" t="s">
        <v>5596</v>
      </c>
      <c r="E18" s="25" t="s">
        <v>5597</v>
      </c>
      <c r="G18" s="230" t="s">
        <v>5593</v>
      </c>
    </row>
    <row r="19" spans="2:9">
      <c r="B19" s="230" t="s">
        <v>5607</v>
      </c>
      <c r="E19" s="25"/>
      <c r="G19" s="230" t="s">
        <v>5602</v>
      </c>
    </row>
    <row r="20" spans="2:9">
      <c r="B20" s="230" t="s">
        <v>4948</v>
      </c>
      <c r="E20" s="25"/>
      <c r="G20" s="230" t="s">
        <v>5520</v>
      </c>
    </row>
    <row r="21" spans="2:9">
      <c r="B21" s="277" t="s">
        <v>4498</v>
      </c>
      <c r="E21" s="25"/>
      <c r="G21" s="277" t="s">
        <v>8208</v>
      </c>
    </row>
    <row r="22" spans="2:9">
      <c r="B22" s="277" t="s">
        <v>5519</v>
      </c>
      <c r="E22" s="25"/>
      <c r="G22" s="230" t="s">
        <v>5520</v>
      </c>
    </row>
    <row r="23" spans="2:9">
      <c r="B23" s="230" t="s">
        <v>5610</v>
      </c>
      <c r="E23" s="25"/>
      <c r="G23" s="230" t="s">
        <v>5602</v>
      </c>
    </row>
    <row r="24" spans="2:9">
      <c r="B24" s="230" t="s">
        <v>5598</v>
      </c>
      <c r="E24" s="25" t="s">
        <v>5599</v>
      </c>
      <c r="G24" s="230" t="s">
        <v>5608</v>
      </c>
    </row>
    <row r="25" spans="2:9">
      <c r="B25" s="230" t="s">
        <v>4769</v>
      </c>
      <c r="E25" s="25"/>
      <c r="G25" s="230" t="s">
        <v>5520</v>
      </c>
    </row>
    <row r="26" spans="2:9">
      <c r="B26" s="230" t="s">
        <v>5764</v>
      </c>
    </row>
    <row r="27" spans="2:9">
      <c r="B27" s="230" t="s">
        <v>5558</v>
      </c>
      <c r="E27" s="25"/>
      <c r="G27" s="230" t="s">
        <v>5520</v>
      </c>
    </row>
    <row r="28" spans="2:9">
      <c r="B28" s="230" t="s">
        <v>5583</v>
      </c>
      <c r="E28" s="25" t="s">
        <v>5584</v>
      </c>
      <c r="G28" s="230" t="s">
        <v>5609</v>
      </c>
    </row>
    <row r="29" spans="2:9" s="49" customFormat="1">
      <c r="B29" s="49" t="s">
        <v>3960</v>
      </c>
      <c r="C29" s="99">
        <v>1999</v>
      </c>
      <c r="D29" s="99" t="s">
        <v>4631</v>
      </c>
      <c r="E29" s="25" t="s">
        <v>5585</v>
      </c>
      <c r="G29" s="49" t="s">
        <v>5860</v>
      </c>
      <c r="H29" s="49" t="s">
        <v>5767</v>
      </c>
      <c r="I29" s="49" t="s">
        <v>5766</v>
      </c>
    </row>
    <row r="30" spans="2:9">
      <c r="B30" s="230" t="s">
        <v>5546</v>
      </c>
      <c r="E30" s="25"/>
      <c r="G30" s="230" t="s">
        <v>5520</v>
      </c>
    </row>
    <row r="31" spans="2:9">
      <c r="B31" s="230" t="s">
        <v>5613</v>
      </c>
      <c r="E31" s="25"/>
      <c r="G31" s="230" t="s">
        <v>5602</v>
      </c>
    </row>
    <row r="32" spans="2:9">
      <c r="B32" s="230" t="s">
        <v>5363</v>
      </c>
      <c r="E32" s="25" t="s">
        <v>5370</v>
      </c>
      <c r="G32" s="230" t="s">
        <v>5518</v>
      </c>
    </row>
    <row r="33" spans="2:9">
      <c r="B33" s="230" t="s">
        <v>5567</v>
      </c>
      <c r="E33" s="25"/>
      <c r="G33" s="230" t="s">
        <v>5520</v>
      </c>
    </row>
    <row r="34" spans="2:9">
      <c r="B34" s="236" t="s">
        <v>7549</v>
      </c>
      <c r="E34" s="25" t="s">
        <v>7550</v>
      </c>
      <c r="G34" s="236" t="s">
        <v>7544</v>
      </c>
    </row>
    <row r="35" spans="2:9">
      <c r="B35" s="230" t="s">
        <v>5555</v>
      </c>
      <c r="E35" s="25"/>
      <c r="G35" s="230" t="s">
        <v>5520</v>
      </c>
    </row>
    <row r="36" spans="2:9">
      <c r="B36" s="230" t="s">
        <v>5535</v>
      </c>
      <c r="E36" s="25"/>
      <c r="G36" s="230" t="s">
        <v>5520</v>
      </c>
    </row>
    <row r="37" spans="2:9">
      <c r="B37" s="230" t="s">
        <v>5543</v>
      </c>
      <c r="E37" s="25"/>
      <c r="G37" s="230" t="s">
        <v>5520</v>
      </c>
    </row>
    <row r="38" spans="2:9">
      <c r="B38" s="230" t="s">
        <v>5571</v>
      </c>
      <c r="E38" s="25"/>
      <c r="G38" s="230" t="s">
        <v>5520</v>
      </c>
    </row>
    <row r="39" spans="2:9">
      <c r="B39" s="230" t="s">
        <v>5477</v>
      </c>
      <c r="G39" s="230" t="s">
        <v>5479</v>
      </c>
    </row>
    <row r="40" spans="2:9">
      <c r="B40" s="230" t="s">
        <v>5575</v>
      </c>
      <c r="E40" s="25" t="s">
        <v>5576</v>
      </c>
      <c r="G40" s="230" t="s">
        <v>5520</v>
      </c>
    </row>
    <row r="41" spans="2:9">
      <c r="B41" s="230" t="s">
        <v>5573</v>
      </c>
      <c r="G41" s="230" t="s">
        <v>5520</v>
      </c>
    </row>
    <row r="42" spans="2:9">
      <c r="B42" s="230" t="s">
        <v>5568</v>
      </c>
      <c r="G42" s="230" t="s">
        <v>5520</v>
      </c>
    </row>
    <row r="43" spans="2:9">
      <c r="B43" s="230" t="s">
        <v>5548</v>
      </c>
      <c r="G43" s="230" t="s">
        <v>5520</v>
      </c>
    </row>
    <row r="44" spans="2:9">
      <c r="B44" s="230" t="s">
        <v>5525</v>
      </c>
      <c r="G44" s="230" t="s">
        <v>5520</v>
      </c>
    </row>
    <row r="45" spans="2:9" s="49" customFormat="1">
      <c r="B45" s="49" t="s">
        <v>5545</v>
      </c>
      <c r="C45" s="99">
        <v>1999</v>
      </c>
      <c r="D45" s="99" t="s">
        <v>4631</v>
      </c>
      <c r="E45" s="37" t="s">
        <v>5755</v>
      </c>
      <c r="G45" s="49" t="s">
        <v>5756</v>
      </c>
      <c r="H45" s="49" t="s">
        <v>5763</v>
      </c>
      <c r="I45" s="49" t="s">
        <v>5758</v>
      </c>
    </row>
    <row r="46" spans="2:9">
      <c r="B46" s="230" t="s">
        <v>4495</v>
      </c>
      <c r="G46" s="230" t="s">
        <v>5602</v>
      </c>
      <c r="H46" s="230" t="s">
        <v>5356</v>
      </c>
    </row>
    <row r="47" spans="2:9">
      <c r="B47" s="230" t="s">
        <v>5822</v>
      </c>
      <c r="E47" s="25" t="s">
        <v>7561</v>
      </c>
      <c r="G47" s="236" t="s">
        <v>7560</v>
      </c>
    </row>
    <row r="48" spans="2:9">
      <c r="B48" s="230" t="s">
        <v>5765</v>
      </c>
    </row>
    <row r="49" spans="2:8">
      <c r="B49" s="230" t="s">
        <v>5611</v>
      </c>
      <c r="G49" s="230" t="s">
        <v>5602</v>
      </c>
    </row>
    <row r="50" spans="2:8">
      <c r="B50" s="230" t="s">
        <v>5586</v>
      </c>
      <c r="C50" s="231" t="s">
        <v>5859</v>
      </c>
      <c r="D50" s="231">
        <v>2022</v>
      </c>
      <c r="E50" s="25" t="s">
        <v>5587</v>
      </c>
      <c r="G50" s="230" t="s">
        <v>5858</v>
      </c>
    </row>
    <row r="51" spans="2:8">
      <c r="B51" s="230" t="s">
        <v>5536</v>
      </c>
      <c r="G51" s="230" t="s">
        <v>5520</v>
      </c>
    </row>
    <row r="52" spans="2:8">
      <c r="B52" s="230" t="s">
        <v>5551</v>
      </c>
      <c r="G52" s="230" t="s">
        <v>5520</v>
      </c>
    </row>
    <row r="53" spans="2:8">
      <c r="B53" s="230" t="s">
        <v>5612</v>
      </c>
      <c r="G53" s="230" t="s">
        <v>5602</v>
      </c>
    </row>
    <row r="54" spans="2:8">
      <c r="B54" s="230" t="s">
        <v>5540</v>
      </c>
      <c r="G54" s="230" t="s">
        <v>5604</v>
      </c>
    </row>
    <row r="55" spans="2:8">
      <c r="B55" s="230" t="s">
        <v>5614</v>
      </c>
      <c r="G55" s="230" t="s">
        <v>5602</v>
      </c>
    </row>
    <row r="56" spans="2:8">
      <c r="B56" s="230" t="s">
        <v>5615</v>
      </c>
      <c r="G56" s="230" t="s">
        <v>5602</v>
      </c>
    </row>
    <row r="57" spans="2:8">
      <c r="B57" s="230" t="s">
        <v>4680</v>
      </c>
      <c r="G57" s="230" t="s">
        <v>5602</v>
      </c>
    </row>
    <row r="58" spans="2:8">
      <c r="B58" s="236" t="s">
        <v>7547</v>
      </c>
      <c r="E58" s="25" t="s">
        <v>7548</v>
      </c>
      <c r="G58" s="236" t="s">
        <v>7544</v>
      </c>
    </row>
    <row r="59" spans="2:8">
      <c r="B59" s="230" t="s">
        <v>4967</v>
      </c>
      <c r="E59" s="25" t="s">
        <v>4968</v>
      </c>
      <c r="G59" s="236" t="s">
        <v>7560</v>
      </c>
    </row>
    <row r="60" spans="2:8">
      <c r="B60" s="230" t="s">
        <v>4135</v>
      </c>
      <c r="C60" s="233">
        <v>41334</v>
      </c>
      <c r="D60" s="233">
        <v>42979</v>
      </c>
      <c r="E60" s="138" t="s">
        <v>1</v>
      </c>
      <c r="H60" s="230" t="s">
        <v>6178</v>
      </c>
    </row>
    <row r="61" spans="2:8">
      <c r="B61" s="230" t="s">
        <v>5616</v>
      </c>
      <c r="E61" s="25"/>
      <c r="G61" s="230" t="s">
        <v>5602</v>
      </c>
    </row>
    <row r="62" spans="2:8">
      <c r="B62" s="230" t="s">
        <v>4476</v>
      </c>
      <c r="E62" s="25" t="s">
        <v>5588</v>
      </c>
      <c r="G62" s="230" t="s">
        <v>5581</v>
      </c>
    </row>
    <row r="63" spans="2:8">
      <c r="B63" s="230" t="s">
        <v>5505</v>
      </c>
      <c r="E63" s="25" t="s">
        <v>5506</v>
      </c>
      <c r="G63" s="230" t="s">
        <v>5517</v>
      </c>
    </row>
    <row r="64" spans="2:8">
      <c r="B64" s="230" t="s">
        <v>5365</v>
      </c>
      <c r="E64" s="25" t="s">
        <v>5368</v>
      </c>
      <c r="G64" s="230" t="s">
        <v>5371</v>
      </c>
    </row>
    <row r="65" spans="2:7">
      <c r="B65" s="230" t="s">
        <v>5617</v>
      </c>
      <c r="E65" s="25"/>
      <c r="G65" s="230" t="s">
        <v>5602</v>
      </c>
    </row>
    <row r="66" spans="2:7">
      <c r="B66" s="230" t="s">
        <v>5544</v>
      </c>
      <c r="E66" s="25"/>
      <c r="G66" s="230" t="s">
        <v>5520</v>
      </c>
    </row>
    <row r="67" spans="2:7">
      <c r="B67" s="230" t="s">
        <v>5561</v>
      </c>
      <c r="E67" s="25"/>
      <c r="G67" s="230" t="s">
        <v>5520</v>
      </c>
    </row>
    <row r="68" spans="2:7">
      <c r="B68" s="230" t="s">
        <v>5292</v>
      </c>
      <c r="E68" s="25" t="s">
        <v>5293</v>
      </c>
      <c r="G68" s="230" t="s">
        <v>5298</v>
      </c>
    </row>
    <row r="69" spans="2:7">
      <c r="B69" s="230" t="s">
        <v>5513</v>
      </c>
      <c r="E69" s="25" t="s">
        <v>5514</v>
      </c>
      <c r="G69" s="230" t="s">
        <v>5502</v>
      </c>
    </row>
    <row r="70" spans="2:7">
      <c r="B70" s="230" t="s">
        <v>5552</v>
      </c>
      <c r="E70" s="25"/>
      <c r="G70" s="230" t="s">
        <v>5520</v>
      </c>
    </row>
    <row r="71" spans="2:7">
      <c r="B71" s="230" t="s">
        <v>5515</v>
      </c>
      <c r="E71" s="25" t="s">
        <v>5516</v>
      </c>
      <c r="G71" s="230" t="s">
        <v>5502</v>
      </c>
    </row>
    <row r="72" spans="2:7">
      <c r="B72" s="230" t="s">
        <v>3650</v>
      </c>
      <c r="E72" s="25"/>
      <c r="G72" s="230" t="s">
        <v>5520</v>
      </c>
    </row>
    <row r="73" spans="2:7">
      <c r="B73" s="230" t="s">
        <v>5618</v>
      </c>
      <c r="E73" s="25"/>
      <c r="G73" s="230" t="s">
        <v>5602</v>
      </c>
    </row>
    <row r="74" spans="2:7">
      <c r="B74" s="230" t="s">
        <v>5509</v>
      </c>
      <c r="E74" s="25" t="s">
        <v>5510</v>
      </c>
      <c r="G74" s="230" t="s">
        <v>5502</v>
      </c>
    </row>
    <row r="75" spans="2:7">
      <c r="B75" s="230" t="s">
        <v>5529</v>
      </c>
      <c r="E75" s="25"/>
      <c r="G75" s="230" t="s">
        <v>5520</v>
      </c>
    </row>
    <row r="76" spans="2:7">
      <c r="B76" s="230" t="s">
        <v>5570</v>
      </c>
      <c r="E76" s="25"/>
      <c r="G76" s="230" t="s">
        <v>5520</v>
      </c>
    </row>
    <row r="77" spans="2:7">
      <c r="B77" s="230" t="s">
        <v>5547</v>
      </c>
      <c r="E77" s="25"/>
      <c r="G77" s="230" t="s">
        <v>5520</v>
      </c>
    </row>
    <row r="78" spans="2:7">
      <c r="B78" s="230" t="s">
        <v>5591</v>
      </c>
      <c r="E78" s="25" t="s">
        <v>5592</v>
      </c>
      <c r="G78" s="230" t="s">
        <v>5593</v>
      </c>
    </row>
    <row r="79" spans="2:7">
      <c r="B79" s="230" t="s">
        <v>5580</v>
      </c>
      <c r="E79" s="25" t="s">
        <v>5582</v>
      </c>
      <c r="G79" s="230" t="s">
        <v>5581</v>
      </c>
    </row>
    <row r="80" spans="2:7">
      <c r="B80" s="230" t="s">
        <v>5522</v>
      </c>
      <c r="E80" s="25"/>
      <c r="G80" s="230" t="s">
        <v>5520</v>
      </c>
    </row>
    <row r="81" spans="2:7">
      <c r="B81" s="230" t="s">
        <v>4922</v>
      </c>
      <c r="E81" s="25"/>
      <c r="G81" s="230" t="s">
        <v>5520</v>
      </c>
    </row>
    <row r="82" spans="2:7">
      <c r="B82" s="230" t="s">
        <v>5818</v>
      </c>
      <c r="E82" s="25" t="s">
        <v>5819</v>
      </c>
      <c r="G82" s="230" t="s">
        <v>5820</v>
      </c>
    </row>
    <row r="83" spans="2:7">
      <c r="B83" s="230" t="s">
        <v>5619</v>
      </c>
      <c r="E83" s="25"/>
      <c r="G83" s="230" t="s">
        <v>5602</v>
      </c>
    </row>
    <row r="84" spans="2:7">
      <c r="B84" s="230" t="s">
        <v>5620</v>
      </c>
      <c r="E84" s="25"/>
      <c r="G84" s="230" t="s">
        <v>5602</v>
      </c>
    </row>
    <row r="85" spans="2:7">
      <c r="B85" s="230" t="s">
        <v>5562</v>
      </c>
      <c r="E85" s="25"/>
      <c r="G85" s="230" t="s">
        <v>5520</v>
      </c>
    </row>
    <row r="86" spans="2:7">
      <c r="B86" s="230" t="s">
        <v>5621</v>
      </c>
      <c r="E86" s="25"/>
      <c r="G86" s="230" t="s">
        <v>5602</v>
      </c>
    </row>
    <row r="87" spans="2:7">
      <c r="B87" s="230" t="s">
        <v>5507</v>
      </c>
      <c r="E87" s="25" t="s">
        <v>5508</v>
      </c>
      <c r="G87" s="230" t="s">
        <v>5517</v>
      </c>
    </row>
    <row r="88" spans="2:7">
      <c r="B88" s="230" t="s">
        <v>5622</v>
      </c>
      <c r="E88" s="25"/>
      <c r="G88" s="230" t="s">
        <v>5602</v>
      </c>
    </row>
    <row r="89" spans="2:7">
      <c r="B89" s="230" t="s">
        <v>5557</v>
      </c>
      <c r="E89" s="25"/>
      <c r="G89" s="230" t="s">
        <v>5520</v>
      </c>
    </row>
    <row r="90" spans="2:7">
      <c r="B90" s="230" t="s">
        <v>4966</v>
      </c>
      <c r="D90" s="243" t="s">
        <v>4631</v>
      </c>
      <c r="E90" s="25" t="s">
        <v>4970</v>
      </c>
      <c r="G90" s="236" t="s">
        <v>7544</v>
      </c>
    </row>
    <row r="91" spans="2:7">
      <c r="B91" s="230" t="s">
        <v>5560</v>
      </c>
      <c r="E91" s="25"/>
      <c r="G91" s="230" t="s">
        <v>5520</v>
      </c>
    </row>
    <row r="92" spans="2:7">
      <c r="B92" s="230" t="s">
        <v>5572</v>
      </c>
      <c r="E92" s="25"/>
      <c r="G92" s="230" t="s">
        <v>5520</v>
      </c>
    </row>
    <row r="93" spans="2:7">
      <c r="B93" s="230" t="s">
        <v>5559</v>
      </c>
      <c r="E93" s="25"/>
      <c r="G93" s="230" t="s">
        <v>5520</v>
      </c>
    </row>
    <row r="94" spans="2:7">
      <c r="B94" s="230" t="s">
        <v>5563</v>
      </c>
      <c r="E94" s="25"/>
      <c r="G94" s="230" t="s">
        <v>5520</v>
      </c>
    </row>
    <row r="95" spans="2:7">
      <c r="B95" s="230" t="s">
        <v>5537</v>
      </c>
      <c r="E95" s="25"/>
      <c r="G95" s="230" t="s">
        <v>5520</v>
      </c>
    </row>
    <row r="96" spans="2:7">
      <c r="B96" s="234" t="s">
        <v>5533</v>
      </c>
      <c r="E96" s="25"/>
      <c r="G96" s="230" t="s">
        <v>5520</v>
      </c>
    </row>
    <row r="97" spans="2:8">
      <c r="B97" s="230" t="s">
        <v>5500</v>
      </c>
      <c r="C97" s="230"/>
      <c r="E97" s="25" t="s">
        <v>5501</v>
      </c>
      <c r="G97" s="230" t="s">
        <v>5502</v>
      </c>
    </row>
    <row r="98" spans="2:8">
      <c r="B98" s="230" t="s">
        <v>5530</v>
      </c>
      <c r="E98" s="25"/>
      <c r="G98" s="230" t="s">
        <v>5520</v>
      </c>
    </row>
    <row r="99" spans="2:8">
      <c r="B99" s="230" t="s">
        <v>5534</v>
      </c>
      <c r="E99" s="25"/>
      <c r="G99" s="230" t="s">
        <v>5520</v>
      </c>
    </row>
    <row r="100" spans="2:8">
      <c r="B100" s="230" t="s">
        <v>5827</v>
      </c>
      <c r="E100" s="25" t="s">
        <v>5828</v>
      </c>
      <c r="G100" s="230" t="s">
        <v>5820</v>
      </c>
    </row>
    <row r="101" spans="2:8">
      <c r="B101" s="230" t="s">
        <v>5503</v>
      </c>
      <c r="E101" s="25" t="s">
        <v>5504</v>
      </c>
      <c r="G101" s="230" t="s">
        <v>5517</v>
      </c>
    </row>
    <row r="102" spans="2:8">
      <c r="B102" s="230" t="s">
        <v>5549</v>
      </c>
      <c r="E102" s="25"/>
      <c r="G102" s="230" t="s">
        <v>5520</v>
      </c>
    </row>
    <row r="103" spans="2:8">
      <c r="B103" s="230" t="s">
        <v>5566</v>
      </c>
      <c r="E103" s="25"/>
      <c r="G103" s="230" t="s">
        <v>5520</v>
      </c>
    </row>
    <row r="104" spans="2:8">
      <c r="B104" s="230" t="s">
        <v>5296</v>
      </c>
      <c r="E104" s="25" t="s">
        <v>5295</v>
      </c>
      <c r="G104" s="230" t="s">
        <v>5298</v>
      </c>
    </row>
    <row r="105" spans="2:8">
      <c r="B105" s="230" t="s">
        <v>5349</v>
      </c>
      <c r="H105" s="230" t="s">
        <v>5357</v>
      </c>
    </row>
    <row r="106" spans="2:8">
      <c r="B106" s="230" t="s">
        <v>5526</v>
      </c>
      <c r="G106" s="230" t="s">
        <v>5520</v>
      </c>
    </row>
    <row r="107" spans="2:8">
      <c r="B107" s="230" t="s">
        <v>5623</v>
      </c>
      <c r="G107" s="230" t="s">
        <v>5602</v>
      </c>
    </row>
    <row r="108" spans="2:8">
      <c r="B108" s="236" t="s">
        <v>7555</v>
      </c>
      <c r="E108" s="25" t="s">
        <v>7556</v>
      </c>
      <c r="G108" s="236" t="s">
        <v>7544</v>
      </c>
    </row>
    <row r="109" spans="2:8">
      <c r="B109" s="230" t="s">
        <v>5554</v>
      </c>
      <c r="G109" s="230" t="s">
        <v>5520</v>
      </c>
    </row>
    <row r="110" spans="2:8">
      <c r="B110" s="230" t="s">
        <v>3653</v>
      </c>
      <c r="C110" s="231">
        <v>2001</v>
      </c>
      <c r="D110" s="231" t="s">
        <v>3400</v>
      </c>
      <c r="E110" s="25" t="s">
        <v>5499</v>
      </c>
      <c r="G110" s="230" t="s">
        <v>5579</v>
      </c>
      <c r="H110" s="236" t="s">
        <v>7557</v>
      </c>
    </row>
    <row r="111" spans="2:8">
      <c r="B111" s="230" t="s">
        <v>5527</v>
      </c>
      <c r="E111" s="25"/>
      <c r="G111" s="230" t="s">
        <v>5520</v>
      </c>
    </row>
    <row r="112" spans="2:8">
      <c r="B112" s="230" t="s">
        <v>5624</v>
      </c>
      <c r="E112" s="25"/>
      <c r="G112" s="230" t="s">
        <v>5602</v>
      </c>
    </row>
    <row r="113" spans="2:8">
      <c r="B113" s="230" t="s">
        <v>4504</v>
      </c>
      <c r="E113" s="25" t="s">
        <v>5821</v>
      </c>
      <c r="G113" s="230" t="s">
        <v>5820</v>
      </c>
    </row>
    <row r="114" spans="2:8">
      <c r="B114" s="236" t="s">
        <v>7545</v>
      </c>
      <c r="E114" s="25" t="s">
        <v>7546</v>
      </c>
      <c r="G114" s="236" t="s">
        <v>7544</v>
      </c>
    </row>
    <row r="115" spans="2:8">
      <c r="B115" s="230" t="s">
        <v>5553</v>
      </c>
      <c r="E115" s="25"/>
      <c r="G115" s="230" t="s">
        <v>5520</v>
      </c>
    </row>
    <row r="116" spans="2:8">
      <c r="B116" s="230" t="s">
        <v>5628</v>
      </c>
      <c r="E116" s="25"/>
      <c r="G116" s="230" t="s">
        <v>5602</v>
      </c>
    </row>
    <row r="117" spans="2:8">
      <c r="B117" s="230" t="s">
        <v>4272</v>
      </c>
      <c r="E117" s="25"/>
      <c r="H117" s="230" t="s">
        <v>6265</v>
      </c>
    </row>
    <row r="118" spans="2:8">
      <c r="B118" s="230" t="s">
        <v>4102</v>
      </c>
      <c r="C118" s="231" t="s">
        <v>5594</v>
      </c>
      <c r="D118" s="231">
        <v>2015</v>
      </c>
      <c r="E118" s="25" t="s">
        <v>5595</v>
      </c>
      <c r="G118" s="230" t="s">
        <v>5625</v>
      </c>
      <c r="H118" s="230" t="s">
        <v>5478</v>
      </c>
    </row>
    <row r="119" spans="2:8">
      <c r="B119" s="230" t="s">
        <v>5524</v>
      </c>
      <c r="G119" s="230" t="s">
        <v>5520</v>
      </c>
    </row>
    <row r="120" spans="2:8">
      <c r="B120" s="230" t="s">
        <v>5476</v>
      </c>
      <c r="G120" s="230" t="s">
        <v>5479</v>
      </c>
    </row>
    <row r="121" spans="2:8">
      <c r="B121" s="230" t="s">
        <v>5626</v>
      </c>
      <c r="G121" s="230" t="s">
        <v>5602</v>
      </c>
    </row>
    <row r="122" spans="2:8">
      <c r="B122" s="230" t="s">
        <v>5532</v>
      </c>
      <c r="G122" s="230" t="s">
        <v>5520</v>
      </c>
    </row>
    <row r="123" spans="2:8">
      <c r="B123" s="230" t="s">
        <v>5366</v>
      </c>
      <c r="E123" s="25" t="s">
        <v>5367</v>
      </c>
      <c r="G123" s="230" t="s">
        <v>5371</v>
      </c>
    </row>
    <row r="124" spans="2:8">
      <c r="B124" s="230" t="s">
        <v>5528</v>
      </c>
      <c r="E124" s="25"/>
      <c r="G124" s="230" t="s">
        <v>5520</v>
      </c>
    </row>
    <row r="125" spans="2:8">
      <c r="B125" s="230" t="s">
        <v>5627</v>
      </c>
      <c r="E125" s="25"/>
      <c r="G125" s="230" t="s">
        <v>5602</v>
      </c>
    </row>
    <row r="126" spans="2:8">
      <c r="B126" s="230" t="s">
        <v>5629</v>
      </c>
      <c r="E126" s="25"/>
      <c r="G126" s="230" t="s">
        <v>5602</v>
      </c>
    </row>
    <row r="127" spans="2:8">
      <c r="B127" s="230" t="s">
        <v>5630</v>
      </c>
      <c r="E127" s="25"/>
      <c r="G127" s="230" t="s">
        <v>5602</v>
      </c>
    </row>
    <row r="128" spans="2:8">
      <c r="B128" s="230" t="s">
        <v>5632</v>
      </c>
      <c r="E128" s="25"/>
      <c r="G128" s="230" t="s">
        <v>5602</v>
      </c>
    </row>
    <row r="129" spans="2:11">
      <c r="B129" s="230" t="s">
        <v>4496</v>
      </c>
      <c r="C129" s="243" t="s">
        <v>5859</v>
      </c>
      <c r="D129" s="243" t="s">
        <v>4631</v>
      </c>
      <c r="E129" s="25" t="s">
        <v>4969</v>
      </c>
      <c r="G129" s="236" t="s">
        <v>7551</v>
      </c>
      <c r="H129" s="236" t="s">
        <v>7552</v>
      </c>
      <c r="K129" s="236" t="s">
        <v>7553</v>
      </c>
    </row>
    <row r="130" spans="2:11">
      <c r="B130" s="230" t="s">
        <v>5565</v>
      </c>
      <c r="E130" s="25"/>
      <c r="G130" s="230" t="s">
        <v>5520</v>
      </c>
    </row>
    <row r="131" spans="2:11">
      <c r="B131" s="230" t="s">
        <v>5631</v>
      </c>
      <c r="E131" s="25"/>
      <c r="G131" s="230" t="s">
        <v>5602</v>
      </c>
    </row>
    <row r="132" spans="2:11">
      <c r="B132" s="230" t="s">
        <v>5633</v>
      </c>
      <c r="E132" s="25"/>
      <c r="G132" s="230" t="s">
        <v>5602</v>
      </c>
    </row>
    <row r="133" spans="2:11">
      <c r="B133" s="230" t="s">
        <v>4586</v>
      </c>
      <c r="E133" s="25"/>
      <c r="G133" s="230" t="s">
        <v>5520</v>
      </c>
    </row>
    <row r="134" spans="2:11">
      <c r="B134" s="230" t="s">
        <v>5635</v>
      </c>
      <c r="E134" s="25"/>
      <c r="G134" s="230" t="s">
        <v>5602</v>
      </c>
    </row>
    <row r="135" spans="2:11">
      <c r="B135" s="230" t="s">
        <v>5825</v>
      </c>
      <c r="E135" s="25" t="s">
        <v>5826</v>
      </c>
      <c r="G135" s="230" t="s">
        <v>5820</v>
      </c>
    </row>
    <row r="136" spans="2:11">
      <c r="B136" s="230" t="s">
        <v>5542</v>
      </c>
      <c r="E136" s="25"/>
      <c r="G136" s="230" t="s">
        <v>5520</v>
      </c>
    </row>
    <row r="137" spans="2:11">
      <c r="B137" s="230" t="s">
        <v>5634</v>
      </c>
      <c r="E137" s="25"/>
      <c r="G137" s="230" t="s">
        <v>5602</v>
      </c>
    </row>
    <row r="138" spans="2:11">
      <c r="B138" s="236" t="s">
        <v>7558</v>
      </c>
      <c r="E138" s="25" t="s">
        <v>7559</v>
      </c>
      <c r="G138" s="236" t="s">
        <v>7544</v>
      </c>
    </row>
    <row r="139" spans="2:11">
      <c r="B139" s="230" t="s">
        <v>5636</v>
      </c>
      <c r="E139" s="25"/>
      <c r="G139" s="230" t="s">
        <v>5602</v>
      </c>
    </row>
    <row r="140" spans="2:11">
      <c r="B140" s="230" t="s">
        <v>5550</v>
      </c>
      <c r="E140" s="25"/>
      <c r="G140" s="230" t="s">
        <v>5520</v>
      </c>
    </row>
    <row r="141" spans="2:11">
      <c r="B141" s="230" t="s">
        <v>5511</v>
      </c>
      <c r="E141" s="25" t="s">
        <v>5512</v>
      </c>
      <c r="G141" s="230" t="s">
        <v>5502</v>
      </c>
    </row>
    <row r="142" spans="2:11">
      <c r="B142" s="230" t="s">
        <v>5564</v>
      </c>
      <c r="G142" s="230" t="s">
        <v>5520</v>
      </c>
    </row>
    <row r="143" spans="2:11">
      <c r="B143" s="230" t="s">
        <v>4515</v>
      </c>
      <c r="C143" s="233">
        <v>42522</v>
      </c>
      <c r="D143" s="233">
        <v>44774</v>
      </c>
      <c r="E143" s="25" t="s">
        <v>7040</v>
      </c>
      <c r="F143" s="25" t="s">
        <v>7041</v>
      </c>
      <c r="G143" s="230" t="s">
        <v>5520</v>
      </c>
      <c r="H143" s="230" t="s">
        <v>7038</v>
      </c>
      <c r="J143" s="25"/>
    </row>
    <row r="148" spans="2:4">
      <c r="C148" s="235"/>
      <c r="D148" s="235"/>
    </row>
    <row r="151" spans="2:4">
      <c r="B151" s="230" t="s">
        <v>5759</v>
      </c>
    </row>
    <row r="152" spans="2:4">
      <c r="B152" s="230" t="s">
        <v>5760</v>
      </c>
    </row>
    <row r="153" spans="2:4">
      <c r="B153" s="230" t="s">
        <v>5761</v>
      </c>
    </row>
    <row r="154" spans="2:4">
      <c r="B154" s="230" t="s">
        <v>5762</v>
      </c>
    </row>
  </sheetData>
  <hyperlinks>
    <hyperlink ref="E59" r:id="rId1" xr:uid="{DCC9550A-2C12-4CFB-B1B6-78E6E73B4686}"/>
    <hyperlink ref="E129" r:id="rId2" xr:uid="{49ECD951-ECC0-4153-83E6-34B712CFB982}"/>
    <hyperlink ref="E90" r:id="rId3" xr:uid="{59BCB5BA-FE07-4E3E-99AE-03E04E6845F3}"/>
    <hyperlink ref="A1" location="Main!A1" display="Main" xr:uid="{131E021D-6F6B-42B9-805D-663A92A66C12}"/>
    <hyperlink ref="E68" r:id="rId4" xr:uid="{D1417802-15BA-A84D-8418-6F102C321208}"/>
    <hyperlink ref="E17" r:id="rId5" xr:uid="{62B8CC8F-A0E2-FD4E-BD7B-6754D904D0BA}"/>
    <hyperlink ref="E104" r:id="rId6" xr:uid="{287AEE80-D1B1-D949-98A2-E419ECE6998E}"/>
    <hyperlink ref="E123" r:id="rId7" xr:uid="{4B2D73EF-08E0-2C49-ADF7-54D4D4DF08C6}"/>
    <hyperlink ref="E64" r:id="rId8" xr:uid="{EBF585B9-975E-4F44-BE7F-F5F4E04348AD}"/>
    <hyperlink ref="E16" r:id="rId9" xr:uid="{B9F69C2B-4579-FA4F-A9A6-F37D196895CD}"/>
    <hyperlink ref="E32" r:id="rId10" xr:uid="{9187B0CD-A9A3-024C-AE5D-D2599A126B58}"/>
    <hyperlink ref="E110" r:id="rId11" xr:uid="{463BEA70-4C20-EC4E-8C9C-2EDFAF56ABC2}"/>
    <hyperlink ref="E97" r:id="rId12" xr:uid="{119DB323-1F5E-9643-810D-1CFD07FEEF50}"/>
    <hyperlink ref="E101" r:id="rId13" xr:uid="{6B33DEF4-8BB5-3647-B42D-787ECCF089A0}"/>
    <hyperlink ref="E63" r:id="rId14" xr:uid="{CF55B55E-469B-5C47-8E07-819B69339F80}"/>
    <hyperlink ref="E87" r:id="rId15" xr:uid="{A9EAF0C4-04AF-9A40-B08B-A530CC1DEAFE}"/>
    <hyperlink ref="E74" r:id="rId16" xr:uid="{9614C3CD-1497-8740-8A4B-EA1A351B3453}"/>
    <hyperlink ref="E141" r:id="rId17" xr:uid="{049E8153-DB30-DF49-93EF-319F92AFD47C}"/>
    <hyperlink ref="E69" r:id="rId18" xr:uid="{2CA325AB-4CE2-A34F-B0D2-97416B24C79D}"/>
    <hyperlink ref="E71" r:id="rId19" xr:uid="{513E4CA0-2971-764A-B7D0-600ACABED8ED}"/>
    <hyperlink ref="E40" r:id="rId20" xr:uid="{335FB849-D658-C140-AA4B-217FC657D2F0}"/>
    <hyperlink ref="E143" r:id="rId21" display="barretzoph@google.com" xr:uid="{1BEAF5F9-B3A2-1D49-B610-3FC672440948}"/>
    <hyperlink ref="E79" r:id="rId22" xr:uid="{0FF2DD2F-AEB4-7541-9FB5-B273EBFC8C9E}"/>
    <hyperlink ref="E28" r:id="rId23" xr:uid="{77C11826-C73C-1746-807F-7C0C6529377B}"/>
    <hyperlink ref="E29" r:id="rId24" xr:uid="{7DFD2E35-398B-0E41-8C18-A031BE06CDD8}"/>
    <hyperlink ref="E50" r:id="rId25" xr:uid="{15AAAFF4-C6A7-2A43-A6BC-4838660CA7B1}"/>
    <hyperlink ref="E62" r:id="rId26" xr:uid="{1B924D1B-1B90-0149-975E-2CCC370D2290}"/>
    <hyperlink ref="E78" r:id="rId27" xr:uid="{1C65227C-E79A-854E-AF9D-A355845F8602}"/>
    <hyperlink ref="E118" r:id="rId28" xr:uid="{9E716171-072D-FD4A-AC6A-3FFE580143D3}"/>
    <hyperlink ref="E18" r:id="rId29" xr:uid="{7B840ED0-DA26-BC40-95F2-DE68336BAED6}"/>
    <hyperlink ref="E24" r:id="rId30" xr:uid="{F522E4FC-E97D-C940-AE40-87FD36891B30}"/>
    <hyperlink ref="E45" r:id="rId31" xr:uid="{11E49910-0EF3-DA40-8EDF-9630B7B0400A}"/>
    <hyperlink ref="E82" r:id="rId32" xr:uid="{2CFCEB66-0D8D-2F4D-9B88-8F34BA1B344A}"/>
    <hyperlink ref="E113" r:id="rId33" xr:uid="{E70C74B8-7680-824F-BE47-2DD44D93C071}"/>
    <hyperlink ref="E47" r:id="rId34" display="alex.graves@deepmind.com" xr:uid="{127564C9-E5B7-1E45-8085-FE2D1F6AF8A5}"/>
    <hyperlink ref="E7" r:id="rId35" xr:uid="{9F6721CF-0742-0643-8B76-31D3FD35ACA4}"/>
    <hyperlink ref="E135" r:id="rId36" xr:uid="{7DB383BD-D25C-7E40-9136-11005C9A525A}"/>
    <hyperlink ref="E100" r:id="rId37" xr:uid="{55FD17D9-F5C0-EA41-8EC8-125FA77DE26F}"/>
    <hyperlink ref="F143" r:id="rId38" xr:uid="{F4F11EEA-903B-D643-AAF1-1C9830994D00}"/>
    <hyperlink ref="E114" r:id="rId39" xr:uid="{7A84A9CF-D34E-B547-AFA0-7889468E9F7C}"/>
    <hyperlink ref="E58" r:id="rId40" xr:uid="{1F2C3011-C816-F94D-87ED-A551E4A4935B}"/>
    <hyperlink ref="E34" r:id="rId41" xr:uid="{F8CC7CDA-466E-5A41-86F4-B989CCE7211D}"/>
    <hyperlink ref="E108" r:id="rId42" xr:uid="{FA420625-21CE-BF4B-97DA-40068AE3B934}"/>
    <hyperlink ref="E138" r:id="rId43" xr:uid="{91E63CFE-16D1-7C43-94CF-2B7F5649498A}"/>
  </hyperlinks>
  <pageMargins left="0.7" right="0.7" top="0.75" bottom="0.75" header="0.3" footer="0.3"/>
  <pageSetup orientation="portrait" horizontalDpi="0" verticalDpi="0"/>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8C11B6-A313-40E1-9B03-9414CAEAC5F4}">
  <dimension ref="A1:O298"/>
  <sheetViews>
    <sheetView zoomScale="174" zoomScaleNormal="145" workbookViewId="0">
      <pane xSplit="2" ySplit="2" topLeftCell="C243" activePane="bottomRight" state="frozen"/>
      <selection pane="topRight" activeCell="C1" sqref="C1"/>
      <selection pane="bottomLeft" activeCell="A3" sqref="A3"/>
      <selection pane="bottomRight" activeCell="C65" sqref="C65"/>
    </sheetView>
  </sheetViews>
  <sheetFormatPr baseColWidth="10" defaultColWidth="9" defaultRowHeight="13"/>
  <cols>
    <col min="1" max="1" width="4.33203125" style="107" bestFit="1" customWidth="1"/>
    <col min="2" max="3" width="9" style="517"/>
    <col min="4" max="4" width="20.83203125" style="107" customWidth="1"/>
    <col min="5" max="5" width="31.33203125" style="107" customWidth="1"/>
    <col min="6" max="6" width="9" style="107"/>
    <col min="7" max="8" width="9" style="126"/>
    <col min="9" max="9" width="13.33203125" style="107" customWidth="1"/>
    <col min="10" max="16384" width="9" style="107"/>
  </cols>
  <sheetData>
    <row r="1" spans="1:14">
      <c r="A1" s="25" t="s">
        <v>1165</v>
      </c>
    </row>
    <row r="2" spans="1:14">
      <c r="B2" s="517" t="s">
        <v>4489</v>
      </c>
      <c r="C2" s="518" t="s">
        <v>9587</v>
      </c>
      <c r="D2" s="161" t="s">
        <v>3977</v>
      </c>
      <c r="E2" s="161" t="s">
        <v>6560</v>
      </c>
      <c r="F2" s="107" t="s">
        <v>4629</v>
      </c>
      <c r="G2" s="126" t="s">
        <v>4612</v>
      </c>
      <c r="H2" s="126" t="s">
        <v>4492</v>
      </c>
      <c r="I2" s="107" t="s">
        <v>4630</v>
      </c>
      <c r="J2" s="107" t="s">
        <v>1150</v>
      </c>
      <c r="K2" s="107" t="s">
        <v>4953</v>
      </c>
      <c r="L2" s="107" t="s">
        <v>2290</v>
      </c>
      <c r="M2" s="107" t="s">
        <v>4225</v>
      </c>
      <c r="N2" s="504" t="s">
        <v>15553</v>
      </c>
    </row>
    <row r="3" spans="1:14">
      <c r="B3" s="517">
        <v>1</v>
      </c>
      <c r="C3" s="517">
        <v>1</v>
      </c>
      <c r="D3" s="107" t="s">
        <v>4487</v>
      </c>
      <c r="E3" s="107" t="s">
        <v>4494</v>
      </c>
      <c r="F3" s="107" t="s">
        <v>6261</v>
      </c>
      <c r="G3" s="127">
        <v>42339</v>
      </c>
      <c r="H3" s="126" t="s">
        <v>4631</v>
      </c>
    </row>
    <row r="4" spans="1:14">
      <c r="B4" s="517">
        <v>2</v>
      </c>
      <c r="C4" s="517">
        <v>2</v>
      </c>
      <c r="D4" s="236" t="s">
        <v>4493</v>
      </c>
      <c r="E4" s="107" t="s">
        <v>4647</v>
      </c>
      <c r="F4" s="107" t="s">
        <v>4617</v>
      </c>
      <c r="G4" s="127">
        <v>42339</v>
      </c>
      <c r="H4" s="126" t="s">
        <v>4631</v>
      </c>
    </row>
    <row r="5" spans="1:14" s="317" customFormat="1">
      <c r="B5" s="519">
        <v>3</v>
      </c>
      <c r="C5" s="519"/>
      <c r="D5" s="317" t="s">
        <v>4473</v>
      </c>
      <c r="E5" s="317" t="s">
        <v>4488</v>
      </c>
      <c r="F5" s="317" t="s">
        <v>6260</v>
      </c>
      <c r="G5" s="329">
        <v>42339</v>
      </c>
      <c r="H5" s="330" t="s">
        <v>4631</v>
      </c>
    </row>
    <row r="6" spans="1:14" s="311" customFormat="1">
      <c r="B6" s="519">
        <v>4</v>
      </c>
      <c r="C6" s="519"/>
      <c r="D6" s="311" t="s">
        <v>4490</v>
      </c>
      <c r="E6" s="311" t="s">
        <v>4488</v>
      </c>
      <c r="F6" s="311" t="s">
        <v>6260</v>
      </c>
      <c r="G6" s="312">
        <v>42339</v>
      </c>
      <c r="H6" s="319">
        <v>2018</v>
      </c>
      <c r="I6" s="311" t="s">
        <v>1</v>
      </c>
    </row>
    <row r="7" spans="1:14" s="317" customFormat="1">
      <c r="B7" s="519">
        <f>B6+1</f>
        <v>5</v>
      </c>
      <c r="C7" s="519"/>
      <c r="D7" s="317" t="s">
        <v>4468</v>
      </c>
      <c r="E7" s="317" t="s">
        <v>4469</v>
      </c>
      <c r="F7" s="317" t="s">
        <v>4470</v>
      </c>
      <c r="G7" s="329">
        <v>42339</v>
      </c>
      <c r="H7" s="330" t="s">
        <v>4631</v>
      </c>
      <c r="I7" s="383" t="s">
        <v>4939</v>
      </c>
      <c r="J7" s="317" t="s">
        <v>15555</v>
      </c>
      <c r="K7" s="383" t="s">
        <v>4961</v>
      </c>
      <c r="M7" s="317" t="s">
        <v>4933</v>
      </c>
    </row>
    <row r="8" spans="1:14" s="317" customFormat="1">
      <c r="B8" s="519">
        <f t="shared" ref="B8:B10" si="0">B7+1</f>
        <v>6</v>
      </c>
      <c r="C8" s="519"/>
      <c r="D8" s="514" t="s">
        <v>4102</v>
      </c>
      <c r="E8" s="514" t="s">
        <v>4611</v>
      </c>
      <c r="G8" s="329">
        <v>42339</v>
      </c>
      <c r="H8" s="330" t="s">
        <v>4631</v>
      </c>
      <c r="I8" s="515" t="s">
        <v>4101</v>
      </c>
      <c r="J8" s="317" t="s">
        <v>15556</v>
      </c>
      <c r="M8" s="516" t="s">
        <v>9437</v>
      </c>
    </row>
    <row r="9" spans="1:14" ht="13" customHeight="1">
      <c r="B9" s="517">
        <f t="shared" si="0"/>
        <v>7</v>
      </c>
      <c r="C9" s="517">
        <v>3</v>
      </c>
      <c r="D9" s="107" t="s">
        <v>4505</v>
      </c>
      <c r="E9" s="107" t="s">
        <v>4668</v>
      </c>
      <c r="G9" s="127">
        <v>42339</v>
      </c>
      <c r="H9" s="126" t="s">
        <v>4631</v>
      </c>
      <c r="I9" s="25" t="s">
        <v>5348</v>
      </c>
      <c r="J9" s="277" t="s">
        <v>8289</v>
      </c>
    </row>
    <row r="10" spans="1:14" ht="13" customHeight="1">
      <c r="B10" s="517">
        <f t="shared" si="0"/>
        <v>8</v>
      </c>
      <c r="C10" s="517">
        <v>4</v>
      </c>
      <c r="D10" s="107" t="s">
        <v>4622</v>
      </c>
      <c r="E10" s="107" t="s">
        <v>4624</v>
      </c>
      <c r="F10" s="107" t="s">
        <v>4623</v>
      </c>
      <c r="G10" s="127">
        <v>42339</v>
      </c>
      <c r="H10" s="126" t="s">
        <v>4631</v>
      </c>
      <c r="J10" s="107" t="s">
        <v>6053</v>
      </c>
    </row>
    <row r="11" spans="1:14" s="311" customFormat="1" ht="13" customHeight="1">
      <c r="B11" s="520">
        <f t="shared" ref="B11:B20" si="1">B10+1</f>
        <v>9</v>
      </c>
      <c r="C11" s="520"/>
      <c r="D11" s="311" t="s">
        <v>5361</v>
      </c>
      <c r="E11" s="311" t="s">
        <v>6250</v>
      </c>
      <c r="F11" s="311" t="s">
        <v>6251</v>
      </c>
      <c r="G11" s="312">
        <v>42339</v>
      </c>
      <c r="H11" s="313">
        <v>43070</v>
      </c>
      <c r="I11" s="312" t="s">
        <v>1</v>
      </c>
      <c r="J11" s="311" t="s">
        <v>5351</v>
      </c>
      <c r="L11" s="311" t="s">
        <v>6252</v>
      </c>
    </row>
    <row r="12" spans="1:14" s="311" customFormat="1" ht="13" customHeight="1">
      <c r="B12" s="520">
        <f t="shared" si="1"/>
        <v>10</v>
      </c>
      <c r="C12" s="520"/>
      <c r="D12" s="311" t="s">
        <v>9586</v>
      </c>
      <c r="F12" s="311" t="s">
        <v>2696</v>
      </c>
      <c r="G12" s="312">
        <v>42339</v>
      </c>
      <c r="H12" s="313" t="s">
        <v>8281</v>
      </c>
      <c r="I12" s="312"/>
      <c r="J12" s="311" t="s">
        <v>9588</v>
      </c>
    </row>
    <row r="13" spans="1:14" s="311" customFormat="1" ht="13" customHeight="1">
      <c r="B13" s="520">
        <f t="shared" si="1"/>
        <v>11</v>
      </c>
      <c r="C13" s="520"/>
      <c r="D13" s="311" t="s">
        <v>9589</v>
      </c>
      <c r="G13" s="312">
        <v>42339</v>
      </c>
      <c r="H13" s="313" t="s">
        <v>8281</v>
      </c>
      <c r="I13" s="312"/>
    </row>
    <row r="14" spans="1:14" s="311" customFormat="1" ht="13" customHeight="1">
      <c r="B14" s="520">
        <f t="shared" si="1"/>
        <v>12</v>
      </c>
      <c r="C14" s="520"/>
      <c r="D14" s="311" t="s">
        <v>9590</v>
      </c>
      <c r="G14" s="312">
        <v>42339</v>
      </c>
      <c r="H14" s="313" t="s">
        <v>8281</v>
      </c>
      <c r="I14" s="312"/>
    </row>
    <row r="15" spans="1:14" s="311" customFormat="1" ht="13" customHeight="1">
      <c r="B15" s="520">
        <f t="shared" si="1"/>
        <v>13</v>
      </c>
      <c r="C15" s="520"/>
      <c r="D15" s="311" t="s">
        <v>4495</v>
      </c>
      <c r="E15" s="311" t="s">
        <v>5354</v>
      </c>
      <c r="F15" s="311" t="s">
        <v>5355</v>
      </c>
      <c r="G15" s="312">
        <v>42430</v>
      </c>
      <c r="H15" s="313">
        <v>42795</v>
      </c>
      <c r="I15" s="311" t="s">
        <v>1</v>
      </c>
    </row>
    <row r="16" spans="1:14" s="311" customFormat="1" ht="13" customHeight="1">
      <c r="B16" s="520">
        <f t="shared" si="1"/>
        <v>14</v>
      </c>
      <c r="C16" s="520"/>
      <c r="D16" s="311" t="s">
        <v>5340</v>
      </c>
      <c r="E16" s="311" t="s">
        <v>6259</v>
      </c>
      <c r="F16" s="311" t="s">
        <v>4621</v>
      </c>
      <c r="G16" s="312">
        <v>42461</v>
      </c>
      <c r="H16" s="313">
        <v>43678</v>
      </c>
      <c r="J16" s="311" t="s">
        <v>8285</v>
      </c>
    </row>
    <row r="17" spans="2:14" s="317" customFormat="1">
      <c r="B17" s="520">
        <f t="shared" si="1"/>
        <v>15</v>
      </c>
      <c r="C17" s="520"/>
      <c r="D17" s="317" t="s">
        <v>4471</v>
      </c>
      <c r="G17" s="384">
        <v>42486</v>
      </c>
      <c r="H17" s="330" t="s">
        <v>8281</v>
      </c>
      <c r="J17" s="317" t="s">
        <v>8282</v>
      </c>
    </row>
    <row r="18" spans="2:14" s="311" customFormat="1" ht="13" customHeight="1">
      <c r="B18" s="520">
        <f t="shared" si="1"/>
        <v>16</v>
      </c>
      <c r="C18" s="520"/>
      <c r="D18" s="311" t="s">
        <v>5349</v>
      </c>
      <c r="E18" s="311" t="s">
        <v>5358</v>
      </c>
      <c r="F18" s="311" t="s">
        <v>5360</v>
      </c>
      <c r="G18" s="312">
        <v>42491</v>
      </c>
      <c r="H18" s="313">
        <v>43282</v>
      </c>
      <c r="I18" s="314" t="s">
        <v>5350</v>
      </c>
      <c r="J18" s="311" t="s">
        <v>9584</v>
      </c>
      <c r="L18" s="311" t="s">
        <v>5359</v>
      </c>
    </row>
    <row r="19" spans="2:14" s="277" customFormat="1" ht="14">
      <c r="B19" s="521">
        <f t="shared" ref="B19:B114" si="2">B18+1</f>
        <v>17</v>
      </c>
      <c r="C19" s="521">
        <v>5</v>
      </c>
      <c r="D19" s="277" t="s">
        <v>4571</v>
      </c>
      <c r="E19" s="277" t="s">
        <v>4572</v>
      </c>
      <c r="G19" s="309">
        <v>42491</v>
      </c>
      <c r="H19" s="310" t="s">
        <v>4631</v>
      </c>
      <c r="I19" s="28" t="s">
        <v>8130</v>
      </c>
      <c r="J19" s="277" t="s">
        <v>6056</v>
      </c>
      <c r="M19" s="277" t="s">
        <v>8131</v>
      </c>
    </row>
    <row r="20" spans="2:14" s="277" customFormat="1" ht="14">
      <c r="B20" s="520">
        <f t="shared" si="1"/>
        <v>18</v>
      </c>
      <c r="C20" s="521"/>
      <c r="D20" s="391" t="s">
        <v>9802</v>
      </c>
      <c r="E20" s="391" t="s">
        <v>9803</v>
      </c>
      <c r="G20" s="400" t="s">
        <v>9804</v>
      </c>
      <c r="H20" s="309">
        <v>45415</v>
      </c>
      <c r="I20" s="28"/>
    </row>
    <row r="21" spans="2:14">
      <c r="B21" s="517">
        <f>B20+1</f>
        <v>19</v>
      </c>
      <c r="C21" s="517">
        <f>C19+1</f>
        <v>6</v>
      </c>
      <c r="D21" s="107" t="s">
        <v>4550</v>
      </c>
      <c r="E21" s="107" t="s">
        <v>4531</v>
      </c>
      <c r="G21" s="127">
        <v>42552</v>
      </c>
      <c r="H21" s="511" t="s">
        <v>4631</v>
      </c>
      <c r="J21" s="107" t="s">
        <v>4943</v>
      </c>
      <c r="N21" s="504" t="s">
        <v>15554</v>
      </c>
    </row>
    <row r="22" spans="2:14" s="317" customFormat="1">
      <c r="B22" s="519">
        <f>B21+1</f>
        <v>20</v>
      </c>
      <c r="C22" s="519"/>
      <c r="D22" s="317" t="s">
        <v>4921</v>
      </c>
      <c r="E22" s="317" t="s">
        <v>4909</v>
      </c>
      <c r="G22" s="329">
        <v>42552</v>
      </c>
      <c r="H22" s="329">
        <v>44166</v>
      </c>
      <c r="J22" s="317" t="s">
        <v>15552</v>
      </c>
      <c r="M22" s="317" t="s">
        <v>9437</v>
      </c>
    </row>
    <row r="23" spans="2:14" s="317" customFormat="1">
      <c r="B23" s="519">
        <f>B22+1</f>
        <v>21</v>
      </c>
      <c r="C23" s="519"/>
      <c r="D23" s="317" t="s">
        <v>8286</v>
      </c>
      <c r="G23" s="329">
        <v>42644</v>
      </c>
      <c r="H23" s="329">
        <v>42856</v>
      </c>
      <c r="J23" s="317" t="s">
        <v>2349</v>
      </c>
      <c r="M23" s="317" t="s">
        <v>8282</v>
      </c>
    </row>
    <row r="24" spans="2:14">
      <c r="B24" s="517">
        <f>B23+1</f>
        <v>22</v>
      </c>
      <c r="C24" s="517">
        <f>C21+1</f>
        <v>7</v>
      </c>
      <c r="D24" s="107" t="s">
        <v>4561</v>
      </c>
      <c r="E24" s="391" t="s">
        <v>9805</v>
      </c>
      <c r="F24" s="391" t="s">
        <v>4636</v>
      </c>
      <c r="G24" s="127">
        <v>42767</v>
      </c>
      <c r="H24" s="401" t="s">
        <v>4631</v>
      </c>
      <c r="J24" s="220" t="s">
        <v>7268</v>
      </c>
    </row>
    <row r="25" spans="2:14" ht="13" customHeight="1">
      <c r="B25" s="521">
        <f t="shared" si="2"/>
        <v>23</v>
      </c>
      <c r="C25" s="521">
        <f>C24+1</f>
        <v>8</v>
      </c>
      <c r="D25" s="236" t="s">
        <v>4952</v>
      </c>
      <c r="E25" s="107" t="s">
        <v>6061</v>
      </c>
      <c r="F25" s="107" t="s">
        <v>4636</v>
      </c>
      <c r="G25" s="127">
        <v>42795</v>
      </c>
      <c r="H25" s="126" t="s">
        <v>4631</v>
      </c>
      <c r="M25" s="107" t="s">
        <v>4941</v>
      </c>
    </row>
    <row r="26" spans="2:14" ht="13" customHeight="1">
      <c r="B26" s="517">
        <f>B25+1</f>
        <v>24</v>
      </c>
      <c r="C26" s="521">
        <f>+C25+1</f>
        <v>9</v>
      </c>
      <c r="D26" s="107" t="s">
        <v>4661</v>
      </c>
      <c r="E26" s="107" t="s">
        <v>4662</v>
      </c>
      <c r="G26" s="128">
        <v>42879</v>
      </c>
      <c r="H26" s="126" t="s">
        <v>4631</v>
      </c>
      <c r="I26" s="25" t="s">
        <v>4955</v>
      </c>
      <c r="K26" s="25" t="s">
        <v>4956</v>
      </c>
      <c r="L26" s="107" t="s">
        <v>6062</v>
      </c>
      <c r="M26" s="107" t="s">
        <v>4954</v>
      </c>
    </row>
    <row r="27" spans="2:14" s="311" customFormat="1" ht="13" customHeight="1">
      <c r="B27" s="520">
        <f t="shared" si="2"/>
        <v>25</v>
      </c>
      <c r="C27" s="520"/>
      <c r="D27" s="311" t="s">
        <v>4937</v>
      </c>
      <c r="E27" s="311" t="s">
        <v>5285</v>
      </c>
      <c r="F27" s="311" t="s">
        <v>5286</v>
      </c>
      <c r="G27" s="312">
        <v>42887</v>
      </c>
      <c r="H27" s="313">
        <v>44440</v>
      </c>
      <c r="I27" s="314" t="s">
        <v>5284</v>
      </c>
      <c r="J27" s="311" t="s">
        <v>6058</v>
      </c>
      <c r="K27" s="314" t="s">
        <v>5283</v>
      </c>
      <c r="M27" s="311" t="s">
        <v>6057</v>
      </c>
    </row>
    <row r="28" spans="2:14" s="311" customFormat="1" ht="13" customHeight="1">
      <c r="B28" s="520">
        <f t="shared" si="2"/>
        <v>26</v>
      </c>
      <c r="C28" s="520"/>
      <c r="D28" s="311" t="s">
        <v>4934</v>
      </c>
      <c r="E28" s="311" t="s">
        <v>5291</v>
      </c>
      <c r="F28" s="311" t="s">
        <v>5287</v>
      </c>
      <c r="G28" s="312">
        <v>42887</v>
      </c>
      <c r="H28" s="313">
        <v>44348</v>
      </c>
      <c r="I28" s="314" t="s">
        <v>5289</v>
      </c>
      <c r="K28" s="314" t="s">
        <v>5290</v>
      </c>
      <c r="M28" s="311" t="s">
        <v>4938</v>
      </c>
    </row>
    <row r="29" spans="2:14" s="317" customFormat="1" ht="13" customHeight="1">
      <c r="B29" s="519">
        <f t="shared" ref="B29:B36" si="3">+B28+1</f>
        <v>27</v>
      </c>
      <c r="C29" s="519"/>
      <c r="D29" s="317" t="s">
        <v>4570</v>
      </c>
      <c r="E29" s="317" t="s">
        <v>8275</v>
      </c>
      <c r="G29" s="384">
        <v>42926</v>
      </c>
      <c r="H29" s="329">
        <v>45597</v>
      </c>
      <c r="J29" s="317" t="s">
        <v>8277</v>
      </c>
    </row>
    <row r="30" spans="2:14" ht="13" customHeight="1">
      <c r="B30" s="517">
        <f t="shared" si="3"/>
        <v>28</v>
      </c>
      <c r="C30" s="517">
        <f>C26+1</f>
        <v>10</v>
      </c>
      <c r="D30" s="107" t="s">
        <v>5332</v>
      </c>
      <c r="G30" s="128">
        <v>42926</v>
      </c>
      <c r="H30" s="328" t="s">
        <v>3175</v>
      </c>
      <c r="I30" s="25" t="s">
        <v>8279</v>
      </c>
      <c r="J30" s="277" t="s">
        <v>8278</v>
      </c>
    </row>
    <row r="31" spans="2:14" s="317" customFormat="1" ht="13" customHeight="1">
      <c r="B31" s="519">
        <f t="shared" si="3"/>
        <v>29</v>
      </c>
      <c r="C31" s="519"/>
      <c r="D31" s="317" t="s">
        <v>8280</v>
      </c>
      <c r="G31" s="384">
        <v>42675</v>
      </c>
      <c r="H31" s="512">
        <v>43891</v>
      </c>
      <c r="I31" s="383"/>
      <c r="J31" s="317" t="s">
        <v>8282</v>
      </c>
    </row>
    <row r="32" spans="2:14" s="317" customFormat="1" ht="13" customHeight="1">
      <c r="B32" s="519">
        <f t="shared" si="3"/>
        <v>30</v>
      </c>
      <c r="C32" s="519"/>
      <c r="D32" s="317" t="s">
        <v>4913</v>
      </c>
      <c r="E32" s="317" t="s">
        <v>1545</v>
      </c>
      <c r="G32" s="330">
        <v>2017</v>
      </c>
      <c r="H32" s="330" t="s">
        <v>8284</v>
      </c>
      <c r="J32" s="317" t="s">
        <v>8283</v>
      </c>
    </row>
    <row r="33" spans="2:13" s="317" customFormat="1" ht="13" customHeight="1">
      <c r="B33" s="519">
        <f t="shared" si="3"/>
        <v>31</v>
      </c>
      <c r="C33" s="519"/>
      <c r="D33" s="317" t="s">
        <v>8288</v>
      </c>
      <c r="G33" s="330">
        <v>2017</v>
      </c>
      <c r="H33" s="330" t="s">
        <v>8281</v>
      </c>
      <c r="J33" s="317" t="s">
        <v>8282</v>
      </c>
    </row>
    <row r="34" spans="2:13">
      <c r="B34" s="517">
        <f t="shared" si="3"/>
        <v>32</v>
      </c>
      <c r="C34" s="517">
        <f>C30+1</f>
        <v>11</v>
      </c>
      <c r="D34" s="107" t="s">
        <v>4691</v>
      </c>
      <c r="E34" s="107" t="s">
        <v>5345</v>
      </c>
      <c r="F34" s="107" t="s">
        <v>5347</v>
      </c>
      <c r="G34" s="128">
        <v>42935</v>
      </c>
      <c r="H34" s="126" t="s">
        <v>4631</v>
      </c>
      <c r="I34" s="25" t="s">
        <v>5362</v>
      </c>
      <c r="J34" s="107" t="s">
        <v>6059</v>
      </c>
      <c r="K34" s="25" t="s">
        <v>5344</v>
      </c>
      <c r="M34" s="277" t="s">
        <v>9435</v>
      </c>
    </row>
    <row r="35" spans="2:13">
      <c r="B35" s="517">
        <f t="shared" si="3"/>
        <v>33</v>
      </c>
      <c r="C35" s="517">
        <f t="shared" ref="C35" si="4">+C34+1</f>
        <v>12</v>
      </c>
      <c r="D35" s="107" t="s">
        <v>4536</v>
      </c>
      <c r="E35" s="107" t="s">
        <v>4537</v>
      </c>
      <c r="G35" s="126">
        <v>2017</v>
      </c>
      <c r="H35" s="511" t="s">
        <v>4631</v>
      </c>
      <c r="J35" s="277" t="s">
        <v>8287</v>
      </c>
    </row>
    <row r="36" spans="2:13" s="315" customFormat="1">
      <c r="B36" s="522">
        <f t="shared" si="3"/>
        <v>34</v>
      </c>
      <c r="C36" s="522"/>
      <c r="D36" s="315" t="s">
        <v>4923</v>
      </c>
      <c r="E36" s="315" t="s">
        <v>1545</v>
      </c>
      <c r="F36" s="315" t="s">
        <v>5342</v>
      </c>
      <c r="G36" s="316">
        <v>42943</v>
      </c>
      <c r="H36" s="313">
        <v>44531</v>
      </c>
      <c r="I36" s="315" t="s">
        <v>1</v>
      </c>
      <c r="L36" s="315" t="s">
        <v>5343</v>
      </c>
      <c r="M36" s="315" t="s">
        <v>5337</v>
      </c>
    </row>
    <row r="37" spans="2:13">
      <c r="B37" s="517">
        <f>B63+1</f>
        <v>61</v>
      </c>
      <c r="C37" s="517">
        <v>13</v>
      </c>
      <c r="D37" s="107" t="s">
        <v>4697</v>
      </c>
      <c r="G37" s="525" t="s">
        <v>3280</v>
      </c>
      <c r="H37" s="511" t="s">
        <v>4631</v>
      </c>
      <c r="J37" s="107" t="s">
        <v>4941</v>
      </c>
    </row>
    <row r="38" spans="2:13">
      <c r="B38" s="517">
        <f>B36+1</f>
        <v>35</v>
      </c>
      <c r="C38" s="517">
        <f>C37+1</f>
        <v>14</v>
      </c>
      <c r="D38" s="107" t="s">
        <v>4649</v>
      </c>
      <c r="E38" s="107" t="s">
        <v>4900</v>
      </c>
      <c r="F38" s="107" t="s">
        <v>4628</v>
      </c>
      <c r="G38" s="127">
        <v>43101</v>
      </c>
      <c r="H38" s="126" t="s">
        <v>4631</v>
      </c>
      <c r="J38" s="107" t="s">
        <v>6054</v>
      </c>
      <c r="L38" s="107" t="s">
        <v>6055</v>
      </c>
    </row>
    <row r="39" spans="2:13">
      <c r="B39" s="517">
        <f t="shared" si="2"/>
        <v>36</v>
      </c>
      <c r="C39" s="517">
        <f>C38+1</f>
        <v>15</v>
      </c>
      <c r="D39" s="107" t="s">
        <v>4650</v>
      </c>
      <c r="E39" s="107" t="s">
        <v>4651</v>
      </c>
      <c r="G39" s="127">
        <v>43125</v>
      </c>
      <c r="H39" s="126" t="s">
        <v>4631</v>
      </c>
      <c r="K39" s="25" t="s">
        <v>4965</v>
      </c>
      <c r="M39" s="107" t="s">
        <v>4962</v>
      </c>
    </row>
    <row r="40" spans="2:13" s="311" customFormat="1">
      <c r="B40" s="519">
        <f t="shared" si="2"/>
        <v>37</v>
      </c>
      <c r="C40" s="519"/>
      <c r="D40" s="311" t="s">
        <v>5338</v>
      </c>
      <c r="F40" s="311" t="s">
        <v>6257</v>
      </c>
      <c r="G40" s="312">
        <v>43132</v>
      </c>
      <c r="H40" s="313">
        <v>44805</v>
      </c>
      <c r="J40" s="311" t="s">
        <v>5336</v>
      </c>
    </row>
    <row r="41" spans="2:13" s="317" customFormat="1">
      <c r="B41" s="519">
        <f>B40+1</f>
        <v>38</v>
      </c>
      <c r="C41" s="519"/>
      <c r="D41" s="317" t="s">
        <v>4555</v>
      </c>
      <c r="E41" s="317" t="s">
        <v>4556</v>
      </c>
      <c r="G41" s="329">
        <v>43132</v>
      </c>
      <c r="H41" s="329">
        <v>45597</v>
      </c>
      <c r="J41" s="317" t="s">
        <v>7857</v>
      </c>
    </row>
    <row r="42" spans="2:13">
      <c r="B42" s="517">
        <f>B41+1</f>
        <v>39</v>
      </c>
      <c r="C42" s="517">
        <f>+C39+1</f>
        <v>16</v>
      </c>
      <c r="D42" s="107" t="s">
        <v>4929</v>
      </c>
      <c r="E42" s="277" t="s">
        <v>8128</v>
      </c>
      <c r="F42" s="107" t="s">
        <v>5282</v>
      </c>
      <c r="G42" s="128">
        <v>43167</v>
      </c>
      <c r="H42" s="126" t="s">
        <v>4631</v>
      </c>
      <c r="I42" s="25" t="s">
        <v>5279</v>
      </c>
      <c r="J42" s="25" t="s">
        <v>6060</v>
      </c>
      <c r="K42" s="25" t="s">
        <v>5278</v>
      </c>
      <c r="M42" s="277" t="s">
        <v>8129</v>
      </c>
    </row>
    <row r="43" spans="2:13">
      <c r="B43" s="517">
        <f t="shared" si="2"/>
        <v>40</v>
      </c>
      <c r="C43" s="517">
        <f>+C42+1</f>
        <v>17</v>
      </c>
      <c r="D43" s="107" t="s">
        <v>4906</v>
      </c>
      <c r="F43" s="107" t="s">
        <v>6089</v>
      </c>
      <c r="G43" s="127">
        <v>43191</v>
      </c>
      <c r="H43" s="126" t="s">
        <v>4631</v>
      </c>
      <c r="J43" s="107" t="s">
        <v>4905</v>
      </c>
      <c r="L43" s="107" t="s">
        <v>6249</v>
      </c>
    </row>
    <row r="44" spans="2:13">
      <c r="B44" s="517">
        <f t="shared" si="2"/>
        <v>41</v>
      </c>
      <c r="C44" s="517">
        <f>+C43+1</f>
        <v>18</v>
      </c>
      <c r="D44" s="107" t="s">
        <v>4657</v>
      </c>
      <c r="E44" s="107" t="s">
        <v>4658</v>
      </c>
      <c r="F44" s="107" t="s">
        <v>6089</v>
      </c>
      <c r="G44" s="127">
        <v>43221</v>
      </c>
      <c r="H44" s="126" t="s">
        <v>4631</v>
      </c>
      <c r="J44" s="25" t="s">
        <v>6091</v>
      </c>
      <c r="L44" s="107" t="s">
        <v>6090</v>
      </c>
      <c r="M44" s="107" t="s">
        <v>4905</v>
      </c>
    </row>
    <row r="45" spans="2:13" s="317" customFormat="1">
      <c r="B45" s="519">
        <f t="shared" si="2"/>
        <v>42</v>
      </c>
      <c r="C45" s="519"/>
      <c r="D45" s="317" t="s">
        <v>4949</v>
      </c>
      <c r="G45" s="329">
        <v>43221</v>
      </c>
      <c r="H45" s="329">
        <v>44501</v>
      </c>
    </row>
    <row r="46" spans="2:13">
      <c r="B46" s="517">
        <f>B45+1</f>
        <v>43</v>
      </c>
      <c r="C46" s="517">
        <f>+C44+1</f>
        <v>19</v>
      </c>
      <c r="D46" s="107" t="s">
        <v>4605</v>
      </c>
      <c r="E46" s="107" t="s">
        <v>4572</v>
      </c>
      <c r="G46" s="127">
        <v>43252</v>
      </c>
      <c r="H46" s="126" t="s">
        <v>4631</v>
      </c>
      <c r="I46" s="25" t="s">
        <v>4936</v>
      </c>
      <c r="M46" s="107" t="s">
        <v>4933</v>
      </c>
    </row>
    <row r="47" spans="2:13">
      <c r="B47" s="517">
        <f>B46+1</f>
        <v>44</v>
      </c>
      <c r="C47" s="517">
        <f>C46+1</f>
        <v>20</v>
      </c>
      <c r="D47" s="107" t="s">
        <v>4720</v>
      </c>
      <c r="G47" s="127">
        <v>43252</v>
      </c>
      <c r="H47" s="511" t="s">
        <v>4631</v>
      </c>
    </row>
    <row r="48" spans="2:13" s="317" customFormat="1">
      <c r="B48" s="519">
        <f>B47+1</f>
        <v>45</v>
      </c>
      <c r="C48" s="519"/>
      <c r="D48" s="317" t="s">
        <v>4508</v>
      </c>
      <c r="E48" s="317" t="s">
        <v>4619</v>
      </c>
      <c r="F48" s="317" t="s">
        <v>4620</v>
      </c>
      <c r="G48" s="329">
        <v>43252</v>
      </c>
      <c r="H48" s="329">
        <v>45597</v>
      </c>
    </row>
    <row r="49" spans="2:15">
      <c r="B49" s="517">
        <f t="shared" si="2"/>
        <v>46</v>
      </c>
      <c r="C49" s="517">
        <f>C47+1</f>
        <v>21</v>
      </c>
      <c r="D49" s="107" t="s">
        <v>4507</v>
      </c>
      <c r="E49" s="107" t="s">
        <v>4616</v>
      </c>
      <c r="F49" s="107" t="s">
        <v>4615</v>
      </c>
      <c r="G49" s="127">
        <v>43313</v>
      </c>
      <c r="H49" s="126" t="s">
        <v>4631</v>
      </c>
      <c r="J49" s="236" t="s">
        <v>7851</v>
      </c>
    </row>
    <row r="50" spans="2:15" s="317" customFormat="1">
      <c r="B50" s="517">
        <f t="shared" si="2"/>
        <v>47</v>
      </c>
      <c r="C50" s="519"/>
      <c r="D50" s="317" t="s">
        <v>15560</v>
      </c>
      <c r="G50" s="329">
        <v>43313</v>
      </c>
      <c r="H50" s="329">
        <v>44105</v>
      </c>
      <c r="J50" s="317" t="s">
        <v>5336</v>
      </c>
    </row>
    <row r="51" spans="2:15" s="311" customFormat="1">
      <c r="B51" s="517">
        <f t="shared" si="2"/>
        <v>48</v>
      </c>
      <c r="C51" s="519"/>
      <c r="D51" s="311" t="s">
        <v>5339</v>
      </c>
      <c r="F51" s="311" t="s">
        <v>6258</v>
      </c>
      <c r="G51" s="312">
        <v>43344</v>
      </c>
      <c r="H51" s="313">
        <v>43525</v>
      </c>
      <c r="J51" s="311" t="s">
        <v>5336</v>
      </c>
    </row>
    <row r="52" spans="2:15" s="311" customFormat="1" ht="15">
      <c r="B52" s="519">
        <f t="shared" si="2"/>
        <v>49</v>
      </c>
      <c r="C52" s="519"/>
      <c r="D52" s="311" t="s">
        <v>5341</v>
      </c>
      <c r="F52" s="311" t="s">
        <v>6264</v>
      </c>
      <c r="G52" s="312">
        <v>43374</v>
      </c>
      <c r="H52" s="312">
        <v>43891</v>
      </c>
      <c r="J52" s="311" t="s">
        <v>6262</v>
      </c>
      <c r="K52" s="318" t="s">
        <v>6263</v>
      </c>
    </row>
    <row r="53" spans="2:15">
      <c r="B53" s="517">
        <f t="shared" si="2"/>
        <v>50</v>
      </c>
      <c r="C53" s="517">
        <f>C49+1</f>
        <v>22</v>
      </c>
      <c r="D53" s="107" t="s">
        <v>4667</v>
      </c>
      <c r="E53" s="107" t="s">
        <v>4904</v>
      </c>
      <c r="F53" s="107" t="s">
        <v>6089</v>
      </c>
      <c r="G53" s="127">
        <v>43435</v>
      </c>
      <c r="H53" s="126" t="s">
        <v>4631</v>
      </c>
      <c r="I53" s="25" t="s">
        <v>4932</v>
      </c>
      <c r="J53" s="107" t="s">
        <v>5335</v>
      </c>
    </row>
    <row r="54" spans="2:15">
      <c r="B54" s="517">
        <f t="shared" si="2"/>
        <v>51</v>
      </c>
      <c r="D54" s="107" t="s">
        <v>4700</v>
      </c>
      <c r="F54" s="504" t="s">
        <v>6256</v>
      </c>
      <c r="G54" s="127">
        <v>43435</v>
      </c>
      <c r="H54" s="511" t="s">
        <v>4631</v>
      </c>
      <c r="J54" s="107" t="s">
        <v>5334</v>
      </c>
    </row>
    <row r="55" spans="2:15">
      <c r="B55" s="519">
        <f t="shared" si="2"/>
        <v>52</v>
      </c>
      <c r="C55" s="519"/>
      <c r="D55" s="317" t="s">
        <v>9582</v>
      </c>
      <c r="G55" s="312">
        <v>42979</v>
      </c>
      <c r="H55" s="312">
        <v>43313</v>
      </c>
      <c r="I55" s="383" t="s">
        <v>9583</v>
      </c>
      <c r="J55" s="317" t="s">
        <v>9585</v>
      </c>
      <c r="K55" s="317"/>
      <c r="L55" s="317"/>
      <c r="M55" s="317"/>
      <c r="N55" s="317"/>
      <c r="O55" s="317"/>
    </row>
    <row r="56" spans="2:15" s="311" customFormat="1">
      <c r="B56" s="519">
        <f t="shared" si="2"/>
        <v>53</v>
      </c>
      <c r="C56" s="517"/>
      <c r="D56" s="311" t="s">
        <v>4509</v>
      </c>
      <c r="E56" s="311" t="s">
        <v>4510</v>
      </c>
      <c r="G56" s="319">
        <v>2018</v>
      </c>
      <c r="H56" s="319">
        <v>2023</v>
      </c>
    </row>
    <row r="57" spans="2:15">
      <c r="B57" s="517">
        <f>B56+1</f>
        <v>54</v>
      </c>
      <c r="C57" s="517">
        <f>C53+1</f>
        <v>23</v>
      </c>
      <c r="D57" s="107" t="s">
        <v>4557</v>
      </c>
      <c r="E57" s="107" t="s">
        <v>4558</v>
      </c>
      <c r="F57" s="504" t="s">
        <v>15558</v>
      </c>
      <c r="G57" s="127">
        <v>43466</v>
      </c>
      <c r="H57" s="511" t="s">
        <v>4631</v>
      </c>
    </row>
    <row r="58" spans="2:15">
      <c r="B58" s="517">
        <f t="shared" si="2"/>
        <v>55</v>
      </c>
      <c r="C58" s="517">
        <f t="shared" ref="C58:C83" si="5">C57+1</f>
        <v>24</v>
      </c>
      <c r="D58" s="107" t="s">
        <v>4529</v>
      </c>
      <c r="E58" s="107" t="s">
        <v>4784</v>
      </c>
      <c r="F58" s="107" t="s">
        <v>5324</v>
      </c>
      <c r="G58" s="127">
        <v>43525</v>
      </c>
      <c r="H58" s="126" t="s">
        <v>4631</v>
      </c>
      <c r="I58" s="25" t="s">
        <v>4902</v>
      </c>
      <c r="J58" s="107" t="s">
        <v>5335</v>
      </c>
      <c r="L58" s="107" t="s">
        <v>5325</v>
      </c>
    </row>
    <row r="59" spans="2:15">
      <c r="B59" s="517">
        <f t="shared" si="2"/>
        <v>56</v>
      </c>
      <c r="C59" s="517">
        <f t="shared" si="5"/>
        <v>25</v>
      </c>
      <c r="D59" s="107" t="s">
        <v>4654</v>
      </c>
      <c r="E59" s="107" t="s">
        <v>5328</v>
      </c>
      <c r="F59" s="107" t="s">
        <v>5329</v>
      </c>
      <c r="G59" s="127">
        <v>43525</v>
      </c>
      <c r="H59" s="126" t="s">
        <v>4631</v>
      </c>
      <c r="J59" s="107" t="s">
        <v>5335</v>
      </c>
      <c r="L59" s="107" t="s">
        <v>5330</v>
      </c>
    </row>
    <row r="60" spans="2:15">
      <c r="B60" s="517">
        <f t="shared" si="2"/>
        <v>57</v>
      </c>
      <c r="C60" s="517">
        <f t="shared" si="5"/>
        <v>26</v>
      </c>
      <c r="D60" s="107" t="s">
        <v>4663</v>
      </c>
      <c r="E60" s="107" t="s">
        <v>6244</v>
      </c>
      <c r="F60" s="107" t="s">
        <v>6245</v>
      </c>
      <c r="G60" s="127">
        <v>43525</v>
      </c>
      <c r="H60" s="126" t="s">
        <v>4631</v>
      </c>
      <c r="J60" s="107" t="s">
        <v>5335</v>
      </c>
      <c r="L60" s="107" t="s">
        <v>6246</v>
      </c>
    </row>
    <row r="61" spans="2:15">
      <c r="B61" s="517">
        <f t="shared" si="2"/>
        <v>58</v>
      </c>
      <c r="C61" s="517">
        <f t="shared" si="5"/>
        <v>27</v>
      </c>
      <c r="D61" s="107" t="s">
        <v>4731</v>
      </c>
      <c r="E61" s="107" t="s">
        <v>4780</v>
      </c>
      <c r="G61" s="127">
        <v>43525</v>
      </c>
      <c r="H61" s="511" t="s">
        <v>4631</v>
      </c>
      <c r="J61" s="107" t="s">
        <v>5331</v>
      </c>
    </row>
    <row r="62" spans="2:15">
      <c r="B62" s="517">
        <f t="shared" si="2"/>
        <v>59</v>
      </c>
      <c r="C62" s="517">
        <f t="shared" si="5"/>
        <v>28</v>
      </c>
      <c r="D62" s="107" t="s">
        <v>4676</v>
      </c>
      <c r="E62" s="107" t="s">
        <v>6082</v>
      </c>
      <c r="F62" s="107" t="s">
        <v>6083</v>
      </c>
      <c r="G62" s="127">
        <v>43586</v>
      </c>
      <c r="H62" s="126" t="s">
        <v>4631</v>
      </c>
    </row>
    <row r="63" spans="2:15">
      <c r="B63" s="517">
        <f t="shared" si="2"/>
        <v>60</v>
      </c>
      <c r="C63" s="517">
        <f t="shared" si="5"/>
        <v>29</v>
      </c>
      <c r="D63" s="504" t="s">
        <v>4689</v>
      </c>
      <c r="E63" s="107" t="s">
        <v>4772</v>
      </c>
      <c r="G63" s="127">
        <v>43617</v>
      </c>
      <c r="H63" s="511" t="s">
        <v>4631</v>
      </c>
    </row>
    <row r="64" spans="2:15">
      <c r="B64" s="517">
        <f>B37+1</f>
        <v>62</v>
      </c>
      <c r="C64" s="517">
        <f t="shared" si="5"/>
        <v>30</v>
      </c>
      <c r="D64" s="107" t="s">
        <v>4659</v>
      </c>
      <c r="E64" s="107" t="s">
        <v>4660</v>
      </c>
      <c r="F64" s="107" t="s">
        <v>5323</v>
      </c>
      <c r="G64" s="127">
        <v>43647</v>
      </c>
      <c r="H64" s="126" t="s">
        <v>4631</v>
      </c>
      <c r="J64" s="107" t="s">
        <v>4943</v>
      </c>
      <c r="L64" s="107" t="s">
        <v>5322</v>
      </c>
    </row>
    <row r="65" spans="2:13">
      <c r="B65" s="517">
        <f t="shared" si="2"/>
        <v>63</v>
      </c>
      <c r="C65" s="517">
        <f t="shared" si="5"/>
        <v>31</v>
      </c>
      <c r="D65" s="107" t="s">
        <v>4694</v>
      </c>
      <c r="E65" s="107" t="s">
        <v>4799</v>
      </c>
      <c r="G65" s="524">
        <v>43709</v>
      </c>
      <c r="H65" s="511" t="s">
        <v>4631</v>
      </c>
      <c r="L65" s="504" t="s">
        <v>15550</v>
      </c>
    </row>
    <row r="66" spans="2:13">
      <c r="B66" s="517">
        <f t="shared" si="2"/>
        <v>64</v>
      </c>
      <c r="C66" s="517">
        <f t="shared" si="5"/>
        <v>32</v>
      </c>
      <c r="D66" s="107" t="s">
        <v>4581</v>
      </c>
      <c r="E66" s="107" t="s">
        <v>4582</v>
      </c>
      <c r="F66" s="107" t="s">
        <v>4628</v>
      </c>
      <c r="G66" s="127">
        <v>43862</v>
      </c>
      <c r="H66" s="126" t="s">
        <v>4631</v>
      </c>
      <c r="J66" s="107" t="s">
        <v>4941</v>
      </c>
    </row>
    <row r="67" spans="2:13">
      <c r="B67" s="517">
        <f t="shared" si="2"/>
        <v>65</v>
      </c>
      <c r="C67" s="517">
        <f t="shared" si="5"/>
        <v>33</v>
      </c>
      <c r="D67" s="107" t="s">
        <v>4665</v>
      </c>
      <c r="E67" s="107" t="s">
        <v>4666</v>
      </c>
      <c r="F67" s="107" t="s">
        <v>6253</v>
      </c>
      <c r="G67" s="127">
        <v>43952</v>
      </c>
      <c r="H67" s="126" t="s">
        <v>4631</v>
      </c>
      <c r="L67" s="107" t="s">
        <v>6254</v>
      </c>
    </row>
    <row r="68" spans="2:13">
      <c r="B68" s="517">
        <f t="shared" si="2"/>
        <v>66</v>
      </c>
      <c r="C68" s="517">
        <f t="shared" si="5"/>
        <v>34</v>
      </c>
      <c r="D68" s="107" t="s">
        <v>4637</v>
      </c>
      <c r="E68" s="107" t="s">
        <v>4572</v>
      </c>
      <c r="F68" s="107" t="s">
        <v>4638</v>
      </c>
      <c r="G68" s="127">
        <v>43952</v>
      </c>
      <c r="H68" s="126" t="s">
        <v>4631</v>
      </c>
    </row>
    <row r="69" spans="2:13">
      <c r="B69" s="517">
        <f t="shared" si="2"/>
        <v>67</v>
      </c>
      <c r="C69" s="517">
        <f t="shared" si="5"/>
        <v>35</v>
      </c>
      <c r="D69" s="107" t="s">
        <v>4652</v>
      </c>
      <c r="E69" s="107" t="s">
        <v>4651</v>
      </c>
      <c r="F69" s="107" t="s">
        <v>5315</v>
      </c>
      <c r="G69" s="127">
        <v>43983</v>
      </c>
      <c r="H69" s="126" t="s">
        <v>4631</v>
      </c>
      <c r="J69" s="107" t="s">
        <v>4905</v>
      </c>
    </row>
    <row r="70" spans="2:13">
      <c r="B70" s="517">
        <f t="shared" si="2"/>
        <v>68</v>
      </c>
      <c r="C70" s="517">
        <f t="shared" si="5"/>
        <v>36</v>
      </c>
      <c r="D70" s="504" t="s">
        <v>4562</v>
      </c>
      <c r="E70" s="107" t="s">
        <v>4802</v>
      </c>
      <c r="G70" s="126">
        <v>2020</v>
      </c>
      <c r="H70" s="511" t="s">
        <v>4631</v>
      </c>
      <c r="J70" s="107" t="s">
        <v>4905</v>
      </c>
    </row>
    <row r="71" spans="2:13">
      <c r="B71" s="517">
        <f>B69+1</f>
        <v>68</v>
      </c>
      <c r="C71" s="517">
        <f t="shared" si="5"/>
        <v>37</v>
      </c>
      <c r="D71" s="107" t="s">
        <v>4722</v>
      </c>
      <c r="E71" s="277" t="s">
        <v>8291</v>
      </c>
      <c r="G71" s="127">
        <v>44013</v>
      </c>
      <c r="H71" s="310" t="s">
        <v>4631</v>
      </c>
      <c r="I71" s="25" t="s">
        <v>6087</v>
      </c>
      <c r="J71" s="277" t="s">
        <v>8290</v>
      </c>
    </row>
    <row r="72" spans="2:13">
      <c r="B72" s="517">
        <f t="shared" si="2"/>
        <v>69</v>
      </c>
      <c r="C72" s="517">
        <f t="shared" si="5"/>
        <v>38</v>
      </c>
      <c r="D72" s="107" t="s">
        <v>4917</v>
      </c>
      <c r="E72" s="107" t="s">
        <v>4789</v>
      </c>
      <c r="F72" s="107" t="s">
        <v>6072</v>
      </c>
      <c r="G72" s="127">
        <v>44075</v>
      </c>
      <c r="H72" s="126" t="s">
        <v>4631</v>
      </c>
      <c r="I72" s="25" t="s">
        <v>9498</v>
      </c>
      <c r="J72" s="25" t="s">
        <v>6071</v>
      </c>
      <c r="L72" s="107" t="s">
        <v>6073</v>
      </c>
      <c r="M72" s="107" t="s">
        <v>4905</v>
      </c>
    </row>
    <row r="73" spans="2:13">
      <c r="B73" s="517">
        <f t="shared" si="2"/>
        <v>70</v>
      </c>
      <c r="C73" s="517">
        <f t="shared" si="5"/>
        <v>39</v>
      </c>
      <c r="D73" s="107" t="s">
        <v>4918</v>
      </c>
      <c r="E73" s="107" t="s">
        <v>4664</v>
      </c>
      <c r="F73" s="107" t="s">
        <v>6247</v>
      </c>
      <c r="G73" s="127">
        <v>44105</v>
      </c>
      <c r="H73" s="126" t="s">
        <v>4631</v>
      </c>
      <c r="J73" s="107" t="s">
        <v>4905</v>
      </c>
      <c r="L73" s="107" t="s">
        <v>6248</v>
      </c>
    </row>
    <row r="74" spans="2:13">
      <c r="B74" s="517">
        <f t="shared" si="2"/>
        <v>71</v>
      </c>
      <c r="C74" s="517">
        <f t="shared" si="5"/>
        <v>40</v>
      </c>
      <c r="D74" s="107" t="s">
        <v>4675</v>
      </c>
      <c r="E74" s="107" t="s">
        <v>4670</v>
      </c>
      <c r="F74" s="107" t="s">
        <v>6080</v>
      </c>
      <c r="G74" s="127">
        <v>44166</v>
      </c>
      <c r="H74" s="126" t="s">
        <v>4631</v>
      </c>
      <c r="J74" s="236" t="s">
        <v>7856</v>
      </c>
      <c r="L74" s="107" t="s">
        <v>6081</v>
      </c>
    </row>
    <row r="75" spans="2:13">
      <c r="B75" s="517">
        <f t="shared" si="2"/>
        <v>72</v>
      </c>
      <c r="C75" s="517">
        <f t="shared" si="5"/>
        <v>41</v>
      </c>
      <c r="D75" s="107" t="s">
        <v>4565</v>
      </c>
      <c r="E75" s="107" t="s">
        <v>4566</v>
      </c>
      <c r="F75" s="107" t="s">
        <v>4627</v>
      </c>
      <c r="G75" s="126">
        <v>2021</v>
      </c>
      <c r="H75" s="126" t="s">
        <v>4631</v>
      </c>
    </row>
    <row r="76" spans="2:13">
      <c r="B76" s="517">
        <f t="shared" si="2"/>
        <v>73</v>
      </c>
      <c r="C76" s="517">
        <f t="shared" si="5"/>
        <v>42</v>
      </c>
      <c r="D76" s="107" t="s">
        <v>6255</v>
      </c>
      <c r="E76" s="107" t="s">
        <v>4534</v>
      </c>
      <c r="F76" s="107" t="s">
        <v>6256</v>
      </c>
      <c r="G76" s="126">
        <v>2021</v>
      </c>
      <c r="H76" s="126" t="s">
        <v>4631</v>
      </c>
    </row>
    <row r="77" spans="2:13">
      <c r="B77" s="517">
        <f t="shared" si="2"/>
        <v>74</v>
      </c>
      <c r="C77" s="517">
        <f t="shared" si="5"/>
        <v>43</v>
      </c>
      <c r="D77" s="107" t="s">
        <v>4672</v>
      </c>
      <c r="E77" s="107" t="s">
        <v>6074</v>
      </c>
      <c r="F77" s="107" t="s">
        <v>6075</v>
      </c>
      <c r="G77" s="130" t="s">
        <v>6076</v>
      </c>
      <c r="H77" s="126" t="s">
        <v>4631</v>
      </c>
      <c r="J77" s="236" t="s">
        <v>7851</v>
      </c>
    </row>
    <row r="78" spans="2:13">
      <c r="B78" s="517">
        <f t="shared" si="2"/>
        <v>75</v>
      </c>
      <c r="C78" s="517">
        <f t="shared" si="5"/>
        <v>44</v>
      </c>
      <c r="D78" s="107" t="s">
        <v>4677</v>
      </c>
      <c r="E78" s="107" t="s">
        <v>5316</v>
      </c>
      <c r="F78" s="107" t="s">
        <v>5317</v>
      </c>
      <c r="G78" s="127">
        <v>44197</v>
      </c>
      <c r="H78" s="126" t="s">
        <v>4631</v>
      </c>
      <c r="L78" s="107" t="s">
        <v>5318</v>
      </c>
    </row>
    <row r="79" spans="2:13">
      <c r="B79" s="517">
        <f t="shared" si="2"/>
        <v>76</v>
      </c>
      <c r="C79" s="517">
        <f t="shared" si="5"/>
        <v>45</v>
      </c>
      <c r="D79" s="107" t="s">
        <v>4655</v>
      </c>
      <c r="E79" s="107" t="s">
        <v>4656</v>
      </c>
      <c r="F79" s="107" t="s">
        <v>4628</v>
      </c>
      <c r="G79" s="127">
        <v>44228</v>
      </c>
      <c r="H79" s="126" t="s">
        <v>4631</v>
      </c>
      <c r="J79" s="25" t="s">
        <v>6084</v>
      </c>
      <c r="K79" s="25" t="s">
        <v>6085</v>
      </c>
      <c r="M79" s="107" t="s">
        <v>6086</v>
      </c>
    </row>
    <row r="80" spans="2:13">
      <c r="B80" s="517">
        <f t="shared" si="2"/>
        <v>77</v>
      </c>
      <c r="C80" s="517">
        <f t="shared" si="5"/>
        <v>46</v>
      </c>
      <c r="D80" s="107" t="s">
        <v>4516</v>
      </c>
      <c r="E80" s="107" t="s">
        <v>4517</v>
      </c>
      <c r="G80" s="127">
        <v>44256</v>
      </c>
      <c r="H80" s="126" t="s">
        <v>4631</v>
      </c>
    </row>
    <row r="81" spans="2:12">
      <c r="B81" s="517">
        <f t="shared" si="2"/>
        <v>78</v>
      </c>
      <c r="C81" s="517">
        <f t="shared" si="5"/>
        <v>47</v>
      </c>
      <c r="D81" s="107" t="s">
        <v>4653</v>
      </c>
      <c r="E81" s="107" t="s">
        <v>4779</v>
      </c>
      <c r="F81" s="107" t="s">
        <v>5327</v>
      </c>
      <c r="G81" s="127">
        <v>44287</v>
      </c>
      <c r="H81" s="127">
        <v>45047</v>
      </c>
      <c r="L81" s="107" t="s">
        <v>5326</v>
      </c>
    </row>
    <row r="82" spans="2:12">
      <c r="B82" s="409">
        <f t="shared" si="2"/>
        <v>79</v>
      </c>
      <c r="C82" s="409">
        <f t="shared" si="5"/>
        <v>48</v>
      </c>
      <c r="D82" s="49" t="s">
        <v>4506</v>
      </c>
      <c r="E82" s="49" t="s">
        <v>4614</v>
      </c>
      <c r="F82" s="49" t="s">
        <v>4613</v>
      </c>
      <c r="G82" s="129">
        <v>44287</v>
      </c>
      <c r="H82" s="99" t="s">
        <v>4631</v>
      </c>
      <c r="J82" s="236" t="s">
        <v>7851</v>
      </c>
    </row>
    <row r="83" spans="2:12">
      <c r="B83" s="517">
        <f t="shared" si="2"/>
        <v>80</v>
      </c>
      <c r="C83" s="517">
        <f t="shared" si="5"/>
        <v>49</v>
      </c>
      <c r="D83" s="107" t="s">
        <v>4535</v>
      </c>
      <c r="E83" s="107" t="s">
        <v>4531</v>
      </c>
      <c r="G83" s="127">
        <v>44287</v>
      </c>
      <c r="H83" s="126" t="s">
        <v>4631</v>
      </c>
    </row>
    <row r="84" spans="2:12">
      <c r="B84" s="517">
        <f t="shared" si="2"/>
        <v>81</v>
      </c>
      <c r="D84" s="107" t="s">
        <v>4669</v>
      </c>
      <c r="E84" s="107" t="s">
        <v>4670</v>
      </c>
      <c r="F84" s="107" t="s">
        <v>6067</v>
      </c>
      <c r="G84" s="127">
        <v>44317</v>
      </c>
      <c r="H84" s="126" t="s">
        <v>4631</v>
      </c>
      <c r="L84" s="107" t="s">
        <v>6068</v>
      </c>
    </row>
    <row r="85" spans="2:12">
      <c r="B85" s="517">
        <f t="shared" si="2"/>
        <v>82</v>
      </c>
      <c r="D85" s="107" t="s">
        <v>4559</v>
      </c>
      <c r="E85" s="107" t="s">
        <v>4560</v>
      </c>
      <c r="G85" s="127">
        <v>44470</v>
      </c>
      <c r="H85" s="511" t="s">
        <v>4631</v>
      </c>
    </row>
    <row r="86" spans="2:12">
      <c r="B86" s="517">
        <f t="shared" si="2"/>
        <v>83</v>
      </c>
      <c r="D86" s="107" t="s">
        <v>4524</v>
      </c>
      <c r="E86" s="107" t="s">
        <v>3973</v>
      </c>
      <c r="F86" s="107" t="s">
        <v>4628</v>
      </c>
      <c r="G86" s="127">
        <v>44531</v>
      </c>
      <c r="H86" s="126" t="s">
        <v>4631</v>
      </c>
    </row>
    <row r="87" spans="2:12">
      <c r="B87" s="517">
        <f t="shared" si="2"/>
        <v>84</v>
      </c>
      <c r="D87" s="107" t="s">
        <v>4544</v>
      </c>
      <c r="F87" s="504" t="s">
        <v>6695</v>
      </c>
      <c r="G87" s="127">
        <v>44531</v>
      </c>
      <c r="H87" s="511" t="s">
        <v>4631</v>
      </c>
    </row>
    <row r="88" spans="2:12">
      <c r="B88" s="517">
        <f t="shared" si="2"/>
        <v>85</v>
      </c>
      <c r="D88" s="199" t="s">
        <v>7045</v>
      </c>
      <c r="E88" s="199" t="s">
        <v>7046</v>
      </c>
      <c r="F88" s="199" t="s">
        <v>4627</v>
      </c>
      <c r="G88" s="127">
        <v>44531</v>
      </c>
      <c r="H88" s="200" t="s">
        <v>4631</v>
      </c>
    </row>
    <row r="89" spans="2:12" s="317" customFormat="1">
      <c r="B89" s="519">
        <f t="shared" si="2"/>
        <v>86</v>
      </c>
      <c r="C89" s="519"/>
      <c r="D89" s="317" t="s">
        <v>8276</v>
      </c>
      <c r="G89" s="512" t="s">
        <v>6076</v>
      </c>
      <c r="H89" s="513" t="s">
        <v>3287</v>
      </c>
    </row>
    <row r="90" spans="2:12">
      <c r="B90" s="519">
        <f t="shared" si="2"/>
        <v>87</v>
      </c>
      <c r="D90" s="107" t="s">
        <v>4693</v>
      </c>
      <c r="E90" s="504" t="s">
        <v>6402</v>
      </c>
      <c r="F90" s="504" t="s">
        <v>15561</v>
      </c>
      <c r="G90" s="127">
        <v>44562</v>
      </c>
      <c r="H90" s="511" t="s">
        <v>4631</v>
      </c>
      <c r="J90" s="504" t="s">
        <v>15551</v>
      </c>
    </row>
    <row r="91" spans="2:12" s="49" customFormat="1">
      <c r="B91" s="409">
        <f t="shared" si="2"/>
        <v>88</v>
      </c>
      <c r="C91" s="409"/>
      <c r="D91" s="49" t="s">
        <v>4648</v>
      </c>
      <c r="E91" s="49" t="s">
        <v>4714</v>
      </c>
      <c r="F91" s="49" t="s">
        <v>4898</v>
      </c>
      <c r="G91" s="129">
        <v>44621</v>
      </c>
      <c r="H91" s="99" t="s">
        <v>4631</v>
      </c>
      <c r="J91" s="49" t="s">
        <v>4899</v>
      </c>
    </row>
    <row r="92" spans="2:12">
      <c r="B92" s="517">
        <f t="shared" si="2"/>
        <v>89</v>
      </c>
      <c r="D92" s="107" t="s">
        <v>4673</v>
      </c>
      <c r="E92" s="107" t="s">
        <v>4816</v>
      </c>
      <c r="F92" s="107" t="s">
        <v>6077</v>
      </c>
      <c r="G92" s="127">
        <v>44621</v>
      </c>
      <c r="H92" s="126" t="s">
        <v>4631</v>
      </c>
    </row>
    <row r="93" spans="2:12">
      <c r="B93" s="517">
        <f t="shared" si="2"/>
        <v>90</v>
      </c>
      <c r="D93" s="107" t="s">
        <v>4513</v>
      </c>
      <c r="E93" s="107" t="s">
        <v>4514</v>
      </c>
      <c r="G93" s="127">
        <v>44713</v>
      </c>
      <c r="H93" s="126" t="s">
        <v>4631</v>
      </c>
    </row>
    <row r="94" spans="2:12">
      <c r="B94" s="517">
        <f t="shared" si="2"/>
        <v>91</v>
      </c>
      <c r="D94" s="107" t="s">
        <v>4671</v>
      </c>
      <c r="E94" s="107" t="s">
        <v>4670</v>
      </c>
      <c r="F94" s="107" t="s">
        <v>6069</v>
      </c>
      <c r="G94" s="127">
        <v>44713</v>
      </c>
      <c r="H94" s="126" t="s">
        <v>4631</v>
      </c>
      <c r="L94" s="107" t="s">
        <v>6070</v>
      </c>
    </row>
    <row r="95" spans="2:12" s="317" customFormat="1">
      <c r="B95" s="519">
        <f t="shared" si="2"/>
        <v>92</v>
      </c>
      <c r="C95" s="519"/>
      <c r="D95" s="317" t="s">
        <v>4577</v>
      </c>
      <c r="E95" s="317" t="s">
        <v>4552</v>
      </c>
      <c r="G95" s="329">
        <v>44713</v>
      </c>
      <c r="H95" s="329">
        <v>45505</v>
      </c>
      <c r="J95" s="317" t="s">
        <v>15559</v>
      </c>
    </row>
    <row r="96" spans="2:12">
      <c r="B96" s="517">
        <f t="shared" si="2"/>
        <v>93</v>
      </c>
      <c r="D96" s="107" t="s">
        <v>4573</v>
      </c>
      <c r="E96" s="107" t="s">
        <v>4574</v>
      </c>
      <c r="G96" s="127">
        <v>44743</v>
      </c>
      <c r="H96" s="511" t="s">
        <v>4631</v>
      </c>
    </row>
    <row r="97" spans="2:12" s="199" customFormat="1" ht="14">
      <c r="B97" s="517">
        <f t="shared" si="2"/>
        <v>94</v>
      </c>
      <c r="C97" s="523"/>
      <c r="D97" s="199" t="s">
        <v>4539</v>
      </c>
      <c r="E97" s="199" t="s">
        <v>4538</v>
      </c>
      <c r="F97" s="199" t="s">
        <v>7047</v>
      </c>
      <c r="G97" s="201">
        <v>44774</v>
      </c>
      <c r="H97" s="200" t="s">
        <v>4631</v>
      </c>
      <c r="I97" s="28" t="s">
        <v>7051</v>
      </c>
      <c r="J97" s="28" t="s">
        <v>7048</v>
      </c>
      <c r="K97" s="28" t="s">
        <v>7049</v>
      </c>
      <c r="L97" s="199" t="s">
        <v>7050</v>
      </c>
    </row>
    <row r="98" spans="2:12" s="317" customFormat="1">
      <c r="B98" s="519">
        <f t="shared" si="2"/>
        <v>95</v>
      </c>
      <c r="C98" s="519"/>
      <c r="D98" s="317" t="s">
        <v>4515</v>
      </c>
      <c r="E98" s="317" t="s">
        <v>2928</v>
      </c>
      <c r="F98" s="317" t="s">
        <v>4628</v>
      </c>
      <c r="G98" s="329">
        <v>44805</v>
      </c>
      <c r="H98" s="330" t="s">
        <v>4631</v>
      </c>
    </row>
    <row r="99" spans="2:12">
      <c r="B99" s="517">
        <f>B98+1</f>
        <v>96</v>
      </c>
      <c r="D99" s="107" t="s">
        <v>4579</v>
      </c>
      <c r="E99" s="107" t="s">
        <v>4531</v>
      </c>
      <c r="G99" s="127">
        <v>44835</v>
      </c>
      <c r="H99" s="511" t="s">
        <v>4631</v>
      </c>
    </row>
    <row r="100" spans="2:12">
      <c r="B100" s="517">
        <f>B99+1</f>
        <v>97</v>
      </c>
      <c r="D100" s="107" t="s">
        <v>4599</v>
      </c>
      <c r="E100" s="107" t="s">
        <v>4810</v>
      </c>
      <c r="F100" s="504" t="s">
        <v>4636</v>
      </c>
      <c r="G100" s="127">
        <v>44835</v>
      </c>
      <c r="H100" s="511" t="s">
        <v>4631</v>
      </c>
    </row>
    <row r="101" spans="2:12">
      <c r="B101" s="517">
        <f>B100+1</f>
        <v>98</v>
      </c>
      <c r="D101" s="107" t="s">
        <v>4518</v>
      </c>
      <c r="E101" s="107" t="s">
        <v>4519</v>
      </c>
      <c r="F101" s="107" t="s">
        <v>4621</v>
      </c>
      <c r="G101" s="127">
        <v>44866</v>
      </c>
      <c r="H101" s="126" t="s">
        <v>4631</v>
      </c>
    </row>
    <row r="102" spans="2:12">
      <c r="B102" s="517">
        <f t="shared" si="2"/>
        <v>99</v>
      </c>
      <c r="D102" s="107" t="s">
        <v>4530</v>
      </c>
      <c r="E102" s="107" t="s">
        <v>4531</v>
      </c>
      <c r="F102" s="107" t="s">
        <v>4636</v>
      </c>
      <c r="G102" s="127">
        <v>44866</v>
      </c>
      <c r="H102" s="126" t="s">
        <v>4631</v>
      </c>
      <c r="J102" s="107" t="s">
        <v>4834</v>
      </c>
    </row>
    <row r="103" spans="2:12">
      <c r="B103" s="517">
        <f t="shared" si="2"/>
        <v>100</v>
      </c>
      <c r="D103" s="107" t="s">
        <v>6063</v>
      </c>
      <c r="E103" s="199" t="s">
        <v>7042</v>
      </c>
      <c r="F103" s="199" t="s">
        <v>7043</v>
      </c>
      <c r="G103" s="127">
        <v>44927</v>
      </c>
      <c r="H103" s="200" t="s">
        <v>4631</v>
      </c>
      <c r="J103" s="25" t="s">
        <v>7044</v>
      </c>
    </row>
    <row r="104" spans="2:12">
      <c r="B104" s="517">
        <f t="shared" si="2"/>
        <v>101</v>
      </c>
      <c r="D104" s="107" t="s">
        <v>4756</v>
      </c>
      <c r="F104" s="504" t="s">
        <v>4628</v>
      </c>
      <c r="G104" s="127">
        <v>44927</v>
      </c>
      <c r="H104" s="511" t="s">
        <v>4631</v>
      </c>
    </row>
    <row r="105" spans="2:12" s="317" customFormat="1">
      <c r="B105" s="517">
        <f t="shared" si="2"/>
        <v>102</v>
      </c>
      <c r="C105" s="519"/>
      <c r="D105" s="317" t="s">
        <v>4580</v>
      </c>
      <c r="E105" s="317" t="s">
        <v>4785</v>
      </c>
      <c r="F105" s="317" t="s">
        <v>15562</v>
      </c>
      <c r="G105" s="329">
        <v>44927</v>
      </c>
      <c r="H105" s="329">
        <v>45292</v>
      </c>
      <c r="J105" s="317" t="s">
        <v>7855</v>
      </c>
    </row>
    <row r="106" spans="2:12">
      <c r="B106" s="517">
        <f t="shared" si="2"/>
        <v>103</v>
      </c>
      <c r="D106" s="107" t="s">
        <v>4511</v>
      </c>
      <c r="E106" s="107" t="s">
        <v>4512</v>
      </c>
      <c r="F106" s="107" t="s">
        <v>4621</v>
      </c>
      <c r="G106" s="127">
        <v>44958</v>
      </c>
      <c r="H106" s="126" t="s">
        <v>4631</v>
      </c>
    </row>
    <row r="107" spans="2:12">
      <c r="B107" s="517">
        <f t="shared" si="2"/>
        <v>104</v>
      </c>
      <c r="D107" s="107" t="s">
        <v>4532</v>
      </c>
      <c r="E107" s="107" t="s">
        <v>4533</v>
      </c>
      <c r="F107" s="107" t="s">
        <v>4636</v>
      </c>
      <c r="G107" s="127">
        <v>44958</v>
      </c>
      <c r="H107" s="126" t="s">
        <v>4631</v>
      </c>
    </row>
    <row r="108" spans="2:12">
      <c r="B108" s="517">
        <f t="shared" si="2"/>
        <v>105</v>
      </c>
      <c r="D108" s="107" t="s">
        <v>4586</v>
      </c>
      <c r="E108" s="107" t="s">
        <v>4531</v>
      </c>
      <c r="F108" s="504" t="s">
        <v>3846</v>
      </c>
      <c r="G108" s="127">
        <v>44958</v>
      </c>
      <c r="H108" s="511" t="s">
        <v>4631</v>
      </c>
    </row>
    <row r="109" spans="2:12">
      <c r="B109" s="517">
        <f t="shared" si="2"/>
        <v>106</v>
      </c>
      <c r="D109" s="107" t="s">
        <v>4527</v>
      </c>
      <c r="E109" s="107" t="s">
        <v>4526</v>
      </c>
      <c r="F109" s="107" t="s">
        <v>4621</v>
      </c>
      <c r="G109" s="127">
        <v>44986</v>
      </c>
      <c r="H109" s="126" t="s">
        <v>4631</v>
      </c>
      <c r="L109" s="107" t="s">
        <v>6242</v>
      </c>
    </row>
    <row r="110" spans="2:12">
      <c r="B110" s="517">
        <f t="shared" si="2"/>
        <v>107</v>
      </c>
      <c r="D110" s="107" t="s">
        <v>4522</v>
      </c>
      <c r="E110" s="107" t="s">
        <v>4523</v>
      </c>
      <c r="F110" s="107" t="s">
        <v>4636</v>
      </c>
      <c r="G110" s="127">
        <v>45017</v>
      </c>
      <c r="H110" s="126" t="s">
        <v>4631</v>
      </c>
      <c r="J110" s="236" t="s">
        <v>7856</v>
      </c>
    </row>
    <row r="111" spans="2:12">
      <c r="B111" s="517">
        <f t="shared" si="2"/>
        <v>108</v>
      </c>
      <c r="D111" s="107" t="s">
        <v>4528</v>
      </c>
      <c r="E111" s="107" t="s">
        <v>4526</v>
      </c>
      <c r="F111" s="107" t="s">
        <v>4621</v>
      </c>
      <c r="G111" s="127">
        <v>45017</v>
      </c>
      <c r="H111" s="126" t="s">
        <v>4631</v>
      </c>
      <c r="L111" s="107" t="s">
        <v>6243</v>
      </c>
    </row>
    <row r="112" spans="2:12">
      <c r="B112" s="517">
        <f t="shared" si="2"/>
        <v>109</v>
      </c>
      <c r="D112" s="107" t="s">
        <v>4525</v>
      </c>
      <c r="E112" s="107" t="s">
        <v>4526</v>
      </c>
      <c r="F112" s="107" t="s">
        <v>4621</v>
      </c>
      <c r="G112" s="127">
        <v>45047</v>
      </c>
      <c r="H112" s="126" t="s">
        <v>4631</v>
      </c>
      <c r="L112" s="107" t="s">
        <v>6092</v>
      </c>
    </row>
    <row r="113" spans="2:11">
      <c r="B113" s="517">
        <f t="shared" si="2"/>
        <v>110</v>
      </c>
      <c r="D113" s="107" t="s">
        <v>4551</v>
      </c>
      <c r="E113" s="107" t="s">
        <v>4552</v>
      </c>
      <c r="F113" s="504" t="s">
        <v>15557</v>
      </c>
      <c r="G113" s="127">
        <v>45047</v>
      </c>
      <c r="H113" s="511" t="s">
        <v>4631</v>
      </c>
    </row>
    <row r="114" spans="2:11">
      <c r="B114" s="517">
        <f t="shared" si="2"/>
        <v>111</v>
      </c>
      <c r="D114" s="107" t="s">
        <v>4520</v>
      </c>
      <c r="E114" s="107" t="s">
        <v>4521</v>
      </c>
      <c r="F114" s="107" t="s">
        <v>4621</v>
      </c>
      <c r="G114" s="127">
        <v>45078</v>
      </c>
      <c r="H114" s="126" t="s">
        <v>4631</v>
      </c>
    </row>
    <row r="115" spans="2:11">
      <c r="B115" s="517">
        <f>B114+1</f>
        <v>112</v>
      </c>
      <c r="D115" s="107" t="s">
        <v>4674</v>
      </c>
      <c r="E115" s="107" t="s">
        <v>4670</v>
      </c>
      <c r="F115" s="107" t="s">
        <v>4628</v>
      </c>
      <c r="G115" s="107"/>
      <c r="H115" s="107"/>
      <c r="J115" s="25" t="s">
        <v>6078</v>
      </c>
      <c r="K115" s="25" t="s">
        <v>6079</v>
      </c>
    </row>
    <row r="116" spans="2:11">
      <c r="B116" s="517">
        <f>B115+1</f>
        <v>113</v>
      </c>
      <c r="D116" s="107" t="s">
        <v>4588</v>
      </c>
      <c r="E116" s="107" t="s">
        <v>4589</v>
      </c>
      <c r="F116" s="391" t="s">
        <v>4636</v>
      </c>
      <c r="G116" s="330"/>
      <c r="H116" s="128">
        <v>45415</v>
      </c>
      <c r="J116" s="236" t="s">
        <v>7854</v>
      </c>
    </row>
    <row r="117" spans="2:11">
      <c r="B117" s="517">
        <f>B116+1</f>
        <v>114</v>
      </c>
      <c r="D117" s="107" t="s">
        <v>4540</v>
      </c>
      <c r="E117" s="107" t="s">
        <v>4541</v>
      </c>
    </row>
    <row r="118" spans="2:11" s="317" customFormat="1">
      <c r="B118" s="519"/>
      <c r="C118" s="519"/>
      <c r="D118" s="317" t="s">
        <v>4542</v>
      </c>
      <c r="E118" s="317" t="s">
        <v>4543</v>
      </c>
      <c r="G118" s="330"/>
      <c r="H118" s="330"/>
      <c r="J118" s="317" t="s">
        <v>7858</v>
      </c>
    </row>
    <row r="119" spans="2:11">
      <c r="D119" s="107" t="s">
        <v>4545</v>
      </c>
    </row>
    <row r="120" spans="2:11">
      <c r="D120" s="107" t="s">
        <v>4546</v>
      </c>
      <c r="E120" s="107" t="s">
        <v>4547</v>
      </c>
    </row>
    <row r="121" spans="2:11">
      <c r="D121" s="107" t="s">
        <v>4548</v>
      </c>
      <c r="E121" s="107" t="s">
        <v>4549</v>
      </c>
    </row>
    <row r="122" spans="2:11">
      <c r="D122" s="107" t="s">
        <v>4553</v>
      </c>
      <c r="E122" s="107" t="s">
        <v>3101</v>
      </c>
    </row>
    <row r="123" spans="2:11">
      <c r="D123" s="107" t="s">
        <v>4554</v>
      </c>
      <c r="E123" s="107" t="s">
        <v>3101</v>
      </c>
    </row>
    <row r="124" spans="2:11">
      <c r="D124" s="107" t="s">
        <v>4563</v>
      </c>
      <c r="E124" s="107" t="s">
        <v>4564</v>
      </c>
    </row>
    <row r="125" spans="2:11">
      <c r="D125" s="107" t="s">
        <v>4567</v>
      </c>
      <c r="E125" s="107" t="s">
        <v>4568</v>
      </c>
    </row>
    <row r="126" spans="2:11">
      <c r="D126" s="107" t="s">
        <v>4569</v>
      </c>
      <c r="E126" s="107" t="s">
        <v>4531</v>
      </c>
    </row>
    <row r="127" spans="2:11">
      <c r="D127" s="107" t="s">
        <v>4575</v>
      </c>
      <c r="E127" s="107" t="s">
        <v>4576</v>
      </c>
    </row>
    <row r="128" spans="2:11">
      <c r="D128" s="107" t="s">
        <v>4578</v>
      </c>
      <c r="E128" s="107" t="s">
        <v>4521</v>
      </c>
      <c r="J128" s="236" t="s">
        <v>7855</v>
      </c>
    </row>
    <row r="129" spans="2:10">
      <c r="D129" s="107" t="s">
        <v>4583</v>
      </c>
      <c r="E129" s="107" t="s">
        <v>4531</v>
      </c>
    </row>
    <row r="130" spans="2:10">
      <c r="D130" s="107" t="s">
        <v>4584</v>
      </c>
      <c r="E130" s="107" t="s">
        <v>4585</v>
      </c>
    </row>
    <row r="131" spans="2:10" s="317" customFormat="1">
      <c r="B131" s="519"/>
      <c r="C131" s="519"/>
      <c r="D131" s="317" t="s">
        <v>4587</v>
      </c>
      <c r="E131" s="317" t="s">
        <v>4801</v>
      </c>
      <c r="G131" s="330"/>
      <c r="H131" s="330"/>
    </row>
    <row r="132" spans="2:10" s="317" customFormat="1">
      <c r="B132" s="519"/>
      <c r="C132" s="519"/>
      <c r="D132" s="317" t="s">
        <v>4590</v>
      </c>
      <c r="E132" s="317" t="s">
        <v>4531</v>
      </c>
      <c r="G132" s="330"/>
      <c r="H132" s="330"/>
    </row>
    <row r="133" spans="2:10">
      <c r="D133" s="107" t="s">
        <v>4591</v>
      </c>
      <c r="E133" s="107" t="s">
        <v>4592</v>
      </c>
    </row>
    <row r="134" spans="2:10" s="317" customFormat="1">
      <c r="B134" s="519"/>
      <c r="C134" s="519"/>
      <c r="D134" s="317" t="s">
        <v>4593</v>
      </c>
      <c r="E134" s="317" t="s">
        <v>4594</v>
      </c>
      <c r="G134" s="330"/>
      <c r="H134" s="330"/>
      <c r="J134" s="317" t="s">
        <v>4905</v>
      </c>
    </row>
    <row r="135" spans="2:10">
      <c r="D135" s="107" t="s">
        <v>4595</v>
      </c>
      <c r="E135" s="107" t="s">
        <v>2126</v>
      </c>
    </row>
    <row r="136" spans="2:10">
      <c r="D136" s="107" t="s">
        <v>4596</v>
      </c>
      <c r="E136" s="107" t="s">
        <v>2126</v>
      </c>
    </row>
    <row r="137" spans="2:10">
      <c r="D137" s="107" t="s">
        <v>4597</v>
      </c>
      <c r="E137" s="107" t="s">
        <v>2126</v>
      </c>
    </row>
    <row r="138" spans="2:10">
      <c r="D138" s="107" t="s">
        <v>4598</v>
      </c>
      <c r="E138" s="107" t="s">
        <v>4519</v>
      </c>
    </row>
    <row r="139" spans="2:10">
      <c r="D139" s="107" t="s">
        <v>4600</v>
      </c>
      <c r="E139" s="107" t="s">
        <v>2126</v>
      </c>
    </row>
    <row r="140" spans="2:10" s="317" customFormat="1">
      <c r="B140" s="519"/>
      <c r="C140" s="519"/>
      <c r="D140" s="317" t="s">
        <v>4601</v>
      </c>
      <c r="E140" s="317" t="s">
        <v>4572</v>
      </c>
      <c r="G140" s="330"/>
      <c r="H140" s="330"/>
    </row>
    <row r="141" spans="2:10">
      <c r="D141" s="107" t="s">
        <v>4602</v>
      </c>
      <c r="E141" s="107" t="s">
        <v>4572</v>
      </c>
    </row>
    <row r="142" spans="2:10">
      <c r="D142" s="107" t="s">
        <v>4603</v>
      </c>
      <c r="E142" s="107" t="s">
        <v>4604</v>
      </c>
    </row>
    <row r="143" spans="2:10" s="317" customFormat="1">
      <c r="B143" s="519"/>
      <c r="C143" s="519"/>
      <c r="D143" s="317" t="s">
        <v>4609</v>
      </c>
      <c r="E143" s="317" t="s">
        <v>4610</v>
      </c>
      <c r="G143" s="329"/>
      <c r="H143" s="329">
        <v>45108</v>
      </c>
    </row>
    <row r="144" spans="2:10">
      <c r="D144" s="107" t="s">
        <v>4618</v>
      </c>
    </row>
    <row r="145" spans="2:13">
      <c r="D145" s="107" t="s">
        <v>4625</v>
      </c>
      <c r="E145" s="107" t="s">
        <v>4526</v>
      </c>
      <c r="J145" s="236" t="s">
        <v>7854</v>
      </c>
    </row>
    <row r="146" spans="2:13">
      <c r="D146" s="107" t="s">
        <v>4626</v>
      </c>
    </row>
    <row r="147" spans="2:13">
      <c r="D147" s="107" t="s">
        <v>4632</v>
      </c>
    </row>
    <row r="148" spans="2:13">
      <c r="D148" s="107" t="s">
        <v>4633</v>
      </c>
    </row>
    <row r="149" spans="2:13">
      <c r="D149" s="107" t="s">
        <v>4634</v>
      </c>
      <c r="E149" s="107" t="s">
        <v>4792</v>
      </c>
    </row>
    <row r="150" spans="2:13">
      <c r="D150" s="107" t="s">
        <v>4678</v>
      </c>
      <c r="E150" s="107" t="s">
        <v>4778</v>
      </c>
    </row>
    <row r="151" spans="2:13">
      <c r="D151" s="107" t="s">
        <v>4635</v>
      </c>
    </row>
    <row r="152" spans="2:13">
      <c r="D152" s="107" t="s">
        <v>4679</v>
      </c>
      <c r="E152" s="107" t="s">
        <v>5280</v>
      </c>
      <c r="G152" s="128">
        <v>44770</v>
      </c>
      <c r="H152" s="126" t="s">
        <v>5281</v>
      </c>
      <c r="I152" s="25" t="s">
        <v>9499</v>
      </c>
      <c r="M152" s="382" t="s">
        <v>9500</v>
      </c>
    </row>
    <row r="153" spans="2:13">
      <c r="D153" s="107" t="s">
        <v>4680</v>
      </c>
      <c r="E153" s="107" t="s">
        <v>4712</v>
      </c>
      <c r="J153" s="107" t="s">
        <v>4905</v>
      </c>
    </row>
    <row r="154" spans="2:13">
      <c r="D154" s="107" t="s">
        <v>4681</v>
      </c>
    </row>
    <row r="155" spans="2:13">
      <c r="D155" s="107" t="s">
        <v>4682</v>
      </c>
    </row>
    <row r="156" spans="2:13">
      <c r="D156" s="107" t="s">
        <v>4683</v>
      </c>
    </row>
    <row r="157" spans="2:13">
      <c r="D157" s="107" t="s">
        <v>4684</v>
      </c>
      <c r="E157" s="107" t="s">
        <v>4780</v>
      </c>
    </row>
    <row r="158" spans="2:13" s="317" customFormat="1">
      <c r="B158" s="519"/>
      <c r="C158" s="519"/>
      <c r="D158" s="317" t="s">
        <v>4685</v>
      </c>
      <c r="E158" s="317" t="s">
        <v>2928</v>
      </c>
      <c r="G158" s="330"/>
      <c r="H158" s="330"/>
    </row>
    <row r="159" spans="2:13">
      <c r="D159" s="107" t="s">
        <v>4686</v>
      </c>
    </row>
    <row r="160" spans="2:13">
      <c r="D160" s="107" t="s">
        <v>4687</v>
      </c>
      <c r="E160" s="107" t="s">
        <v>4780</v>
      </c>
    </row>
    <row r="161" spans="2:10">
      <c r="D161" s="107" t="s">
        <v>4688</v>
      </c>
    </row>
    <row r="162" spans="2:10">
      <c r="D162" s="107" t="s">
        <v>4690</v>
      </c>
      <c r="E162" s="107" t="s">
        <v>4780</v>
      </c>
    </row>
    <row r="163" spans="2:10">
      <c r="D163" s="107" t="s">
        <v>4692</v>
      </c>
    </row>
    <row r="164" spans="2:10" s="317" customFormat="1">
      <c r="B164" s="519"/>
      <c r="C164" s="519"/>
      <c r="D164" s="317" t="s">
        <v>4927</v>
      </c>
      <c r="G164" s="330"/>
      <c r="H164" s="330"/>
      <c r="J164" s="317" t="s">
        <v>4943</v>
      </c>
    </row>
    <row r="165" spans="2:10">
      <c r="D165" s="107" t="s">
        <v>4695</v>
      </c>
      <c r="E165" s="107" t="s">
        <v>4712</v>
      </c>
      <c r="J165" s="107" t="s">
        <v>4943</v>
      </c>
    </row>
    <row r="166" spans="2:10">
      <c r="D166" s="107" t="s">
        <v>4696</v>
      </c>
    </row>
    <row r="167" spans="2:10">
      <c r="D167" s="107" t="s">
        <v>4698</v>
      </c>
    </row>
    <row r="168" spans="2:10">
      <c r="D168" s="107" t="s">
        <v>4699</v>
      </c>
    </row>
    <row r="169" spans="2:10">
      <c r="D169" s="107" t="s">
        <v>4701</v>
      </c>
    </row>
    <row r="170" spans="2:10">
      <c r="D170" s="107" t="s">
        <v>4702</v>
      </c>
      <c r="J170" s="107" t="s">
        <v>4941</v>
      </c>
    </row>
    <row r="171" spans="2:10">
      <c r="D171" s="107" t="s">
        <v>4703</v>
      </c>
      <c r="E171" s="107" t="s">
        <v>4786</v>
      </c>
      <c r="J171" s="107" t="s">
        <v>4941</v>
      </c>
    </row>
    <row r="172" spans="2:10" s="317" customFormat="1">
      <c r="B172" s="519"/>
      <c r="C172" s="519"/>
      <c r="D172" s="317" t="s">
        <v>4704</v>
      </c>
      <c r="G172" s="330"/>
      <c r="H172" s="330"/>
      <c r="J172" s="317" t="s">
        <v>4905</v>
      </c>
    </row>
    <row r="173" spans="2:10">
      <c r="D173" s="107" t="s">
        <v>4935</v>
      </c>
      <c r="J173" s="107" t="s">
        <v>4933</v>
      </c>
    </row>
    <row r="174" spans="2:10">
      <c r="D174" s="107" t="s">
        <v>4705</v>
      </c>
    </row>
    <row r="175" spans="2:10">
      <c r="D175" s="107" t="s">
        <v>4706</v>
      </c>
    </row>
    <row r="176" spans="2:10" s="317" customFormat="1">
      <c r="B176" s="519"/>
      <c r="C176" s="519"/>
      <c r="D176" s="317" t="s">
        <v>4719</v>
      </c>
      <c r="G176" s="330"/>
      <c r="H176" s="330"/>
      <c r="J176" s="317" t="s">
        <v>15564</v>
      </c>
    </row>
    <row r="177" spans="2:10">
      <c r="D177" s="107" t="s">
        <v>4707</v>
      </c>
    </row>
    <row r="178" spans="2:10" s="317" customFormat="1">
      <c r="B178" s="519"/>
      <c r="C178" s="519"/>
      <c r="D178" s="317" t="s">
        <v>4708</v>
      </c>
      <c r="G178" s="330"/>
      <c r="H178" s="330"/>
      <c r="J178" s="317" t="s">
        <v>15563</v>
      </c>
    </row>
    <row r="179" spans="2:10">
      <c r="D179" s="107" t="s">
        <v>4709</v>
      </c>
      <c r="J179" s="107" t="s">
        <v>4905</v>
      </c>
    </row>
    <row r="180" spans="2:10">
      <c r="D180" s="107" t="s">
        <v>4710</v>
      </c>
      <c r="E180" s="107" t="s">
        <v>4713</v>
      </c>
    </row>
    <row r="181" spans="2:10">
      <c r="D181" s="107" t="s">
        <v>4711</v>
      </c>
      <c r="E181" s="107" t="s">
        <v>4712</v>
      </c>
      <c r="J181" s="107" t="s">
        <v>6088</v>
      </c>
    </row>
    <row r="182" spans="2:10">
      <c r="D182" s="107" t="s">
        <v>5352</v>
      </c>
      <c r="I182" s="25" t="s">
        <v>5353</v>
      </c>
      <c r="J182" s="107" t="s">
        <v>5351</v>
      </c>
    </row>
    <row r="183" spans="2:10">
      <c r="D183" s="107" t="s">
        <v>4715</v>
      </c>
      <c r="E183" s="107" t="s">
        <v>4903</v>
      </c>
      <c r="I183" s="25" t="s">
        <v>4901</v>
      </c>
      <c r="J183" s="107" t="s">
        <v>4943</v>
      </c>
    </row>
    <row r="184" spans="2:10">
      <c r="D184" s="107" t="s">
        <v>4716</v>
      </c>
    </row>
    <row r="185" spans="2:10">
      <c r="D185" s="107" t="s">
        <v>4717</v>
      </c>
    </row>
    <row r="186" spans="2:10">
      <c r="D186" s="107" t="s">
        <v>4718</v>
      </c>
    </row>
    <row r="187" spans="2:10">
      <c r="D187" s="107" t="s">
        <v>4721</v>
      </c>
      <c r="J187" s="107" t="s">
        <v>4905</v>
      </c>
    </row>
    <row r="188" spans="2:10">
      <c r="D188" s="107" t="s">
        <v>4723</v>
      </c>
    </row>
    <row r="189" spans="2:10">
      <c r="D189" s="107" t="s">
        <v>4724</v>
      </c>
    </row>
    <row r="190" spans="2:10">
      <c r="D190" s="107" t="s">
        <v>4725</v>
      </c>
    </row>
    <row r="191" spans="2:10">
      <c r="D191" s="107" t="s">
        <v>4726</v>
      </c>
    </row>
    <row r="192" spans="2:10">
      <c r="D192" s="107" t="s">
        <v>4727</v>
      </c>
    </row>
    <row r="193" spans="2:10">
      <c r="D193" s="107" t="s">
        <v>4728</v>
      </c>
      <c r="J193" s="107" t="s">
        <v>4905</v>
      </c>
    </row>
    <row r="194" spans="2:10">
      <c r="D194" s="107" t="s">
        <v>4729</v>
      </c>
    </row>
    <row r="195" spans="2:10">
      <c r="D195" s="107" t="s">
        <v>4730</v>
      </c>
      <c r="J195" s="107" t="s">
        <v>4941</v>
      </c>
    </row>
    <row r="196" spans="2:10">
      <c r="D196" s="107" t="s">
        <v>5333</v>
      </c>
      <c r="J196" s="107" t="s">
        <v>5331</v>
      </c>
    </row>
    <row r="197" spans="2:10">
      <c r="D197" s="107" t="s">
        <v>4732</v>
      </c>
    </row>
    <row r="198" spans="2:10">
      <c r="D198" s="107" t="s">
        <v>4733</v>
      </c>
      <c r="E198" s="107" t="s">
        <v>4776</v>
      </c>
    </row>
    <row r="199" spans="2:10">
      <c r="D199" s="107" t="s">
        <v>4734</v>
      </c>
    </row>
    <row r="200" spans="2:10">
      <c r="D200" s="107" t="s">
        <v>4735</v>
      </c>
      <c r="E200" s="107" t="s">
        <v>4776</v>
      </c>
    </row>
    <row r="201" spans="2:10">
      <c r="D201" s="107" t="s">
        <v>4736</v>
      </c>
      <c r="E201" s="107" t="s">
        <v>2928</v>
      </c>
    </row>
    <row r="202" spans="2:10">
      <c r="D202" s="107" t="s">
        <v>4737</v>
      </c>
      <c r="E202" s="107" t="s">
        <v>4777</v>
      </c>
    </row>
    <row r="203" spans="2:10">
      <c r="D203" s="107" t="s">
        <v>4738</v>
      </c>
      <c r="E203" s="107" t="s">
        <v>4773</v>
      </c>
    </row>
    <row r="204" spans="2:10">
      <c r="D204" s="107" t="s">
        <v>4739</v>
      </c>
      <c r="E204" s="107" t="s">
        <v>4781</v>
      </c>
    </row>
    <row r="205" spans="2:10" s="317" customFormat="1">
      <c r="B205" s="519"/>
      <c r="C205" s="519"/>
      <c r="D205" s="317" t="s">
        <v>4740</v>
      </c>
      <c r="E205" s="317" t="s">
        <v>4741</v>
      </c>
      <c r="G205" s="330"/>
      <c r="H205" s="330"/>
    </row>
    <row r="206" spans="2:10">
      <c r="D206" s="107" t="s">
        <v>4742</v>
      </c>
      <c r="E206" s="107" t="s">
        <v>4777</v>
      </c>
      <c r="F206" s="107" t="s">
        <v>5346</v>
      </c>
    </row>
    <row r="207" spans="2:10">
      <c r="D207" s="107" t="s">
        <v>4743</v>
      </c>
      <c r="E207" s="107" t="s">
        <v>2928</v>
      </c>
    </row>
    <row r="208" spans="2:10">
      <c r="D208" s="107" t="s">
        <v>4744</v>
      </c>
    </row>
    <row r="209" spans="2:10">
      <c r="D209" s="107" t="s">
        <v>4745</v>
      </c>
      <c r="E209" s="107" t="s">
        <v>4780</v>
      </c>
    </row>
    <row r="210" spans="2:10">
      <c r="D210" s="107" t="s">
        <v>4746</v>
      </c>
      <c r="E210" s="107" t="s">
        <v>2928</v>
      </c>
    </row>
    <row r="211" spans="2:10">
      <c r="D211" s="107" t="s">
        <v>4747</v>
      </c>
      <c r="E211" s="107" t="s">
        <v>4776</v>
      </c>
    </row>
    <row r="212" spans="2:10" s="317" customFormat="1">
      <c r="B212" s="519"/>
      <c r="C212" s="519"/>
      <c r="D212" s="317" t="s">
        <v>4748</v>
      </c>
      <c r="E212" s="317" t="s">
        <v>4772</v>
      </c>
      <c r="G212" s="330"/>
      <c r="H212" s="330"/>
    </row>
    <row r="213" spans="2:10">
      <c r="D213" s="107" t="s">
        <v>4749</v>
      </c>
      <c r="E213" s="107" t="s">
        <v>2928</v>
      </c>
    </row>
    <row r="214" spans="2:10">
      <c r="D214" s="107" t="s">
        <v>4750</v>
      </c>
      <c r="E214" s="107" t="s">
        <v>4790</v>
      </c>
    </row>
    <row r="215" spans="2:10">
      <c r="D215" s="107" t="s">
        <v>4751</v>
      </c>
    </row>
    <row r="216" spans="2:10">
      <c r="D216" s="107" t="s">
        <v>4752</v>
      </c>
      <c r="E216" s="107" t="s">
        <v>2928</v>
      </c>
    </row>
    <row r="217" spans="2:10">
      <c r="D217" s="107" t="s">
        <v>4753</v>
      </c>
    </row>
    <row r="218" spans="2:10">
      <c r="D218" s="107" t="s">
        <v>4754</v>
      </c>
      <c r="E218" s="107" t="s">
        <v>2928</v>
      </c>
    </row>
    <row r="219" spans="2:10">
      <c r="D219" s="107" t="s">
        <v>4755</v>
      </c>
      <c r="E219" s="107" t="s">
        <v>4782</v>
      </c>
    </row>
    <row r="220" spans="2:10">
      <c r="D220" s="107" t="s">
        <v>4757</v>
      </c>
    </row>
    <row r="221" spans="2:10">
      <c r="D221" s="107" t="s">
        <v>4808</v>
      </c>
      <c r="E221" s="107" t="s">
        <v>2928</v>
      </c>
    </row>
    <row r="222" spans="2:10">
      <c r="D222" s="107" t="s">
        <v>4758</v>
      </c>
    </row>
    <row r="223" spans="2:10" s="317" customFormat="1">
      <c r="B223" s="519"/>
      <c r="C223" s="519"/>
      <c r="D223" s="317" t="s">
        <v>4950</v>
      </c>
      <c r="G223" s="330"/>
      <c r="H223" s="330"/>
      <c r="J223" s="317" t="s">
        <v>9436</v>
      </c>
    </row>
    <row r="224" spans="2:10">
      <c r="D224" s="107" t="s">
        <v>4963</v>
      </c>
      <c r="G224" s="128">
        <v>43125</v>
      </c>
      <c r="J224" s="107" t="s">
        <v>4964</v>
      </c>
    </row>
    <row r="225" spans="2:10">
      <c r="D225" s="107" t="s">
        <v>4759</v>
      </c>
      <c r="E225" s="107" t="s">
        <v>4790</v>
      </c>
    </row>
    <row r="226" spans="2:10">
      <c r="D226" s="107" t="s">
        <v>4760</v>
      </c>
      <c r="E226" s="107" t="s">
        <v>4780</v>
      </c>
    </row>
    <row r="227" spans="2:10">
      <c r="D227" s="107" t="s">
        <v>4761</v>
      </c>
      <c r="E227" s="107" t="s">
        <v>4800</v>
      </c>
    </row>
    <row r="228" spans="2:10">
      <c r="D228" s="107" t="s">
        <v>4762</v>
      </c>
      <c r="E228" s="107" t="s">
        <v>4780</v>
      </c>
    </row>
    <row r="229" spans="2:10">
      <c r="D229" s="107" t="s">
        <v>4763</v>
      </c>
      <c r="E229" s="107" t="s">
        <v>4809</v>
      </c>
    </row>
    <row r="230" spans="2:10" s="317" customFormat="1">
      <c r="B230" s="519"/>
      <c r="C230" s="519"/>
      <c r="D230" s="317" t="s">
        <v>4764</v>
      </c>
      <c r="E230" s="317" t="s">
        <v>4809</v>
      </c>
      <c r="G230" s="330"/>
      <c r="H230" s="330"/>
    </row>
    <row r="231" spans="2:10">
      <c r="D231" s="107" t="s">
        <v>4765</v>
      </c>
      <c r="E231" s="107" t="s">
        <v>4780</v>
      </c>
      <c r="J231" s="107" t="s">
        <v>4905</v>
      </c>
    </row>
    <row r="232" spans="2:10">
      <c r="D232" s="107" t="s">
        <v>4766</v>
      </c>
    </row>
    <row r="233" spans="2:10">
      <c r="D233" s="107" t="s">
        <v>4767</v>
      </c>
    </row>
    <row r="234" spans="2:10">
      <c r="D234" s="107" t="s">
        <v>4768</v>
      </c>
      <c r="E234" s="107" t="s">
        <v>2928</v>
      </c>
      <c r="J234" s="107" t="s">
        <v>4905</v>
      </c>
    </row>
    <row r="235" spans="2:10">
      <c r="D235" s="107" t="s">
        <v>4769</v>
      </c>
      <c r="E235" s="107" t="s">
        <v>2928</v>
      </c>
    </row>
    <row r="236" spans="2:10">
      <c r="D236" s="107" t="s">
        <v>4770</v>
      </c>
      <c r="E236" s="107" t="s">
        <v>4800</v>
      </c>
    </row>
    <row r="237" spans="2:10">
      <c r="D237" s="107" t="s">
        <v>4771</v>
      </c>
      <c r="E237" s="107" t="s">
        <v>2928</v>
      </c>
    </row>
    <row r="238" spans="2:10">
      <c r="D238" s="107" t="s">
        <v>4774</v>
      </c>
      <c r="E238" s="107" t="s">
        <v>4772</v>
      </c>
    </row>
    <row r="239" spans="2:10">
      <c r="D239" s="107" t="s">
        <v>4775</v>
      </c>
      <c r="E239" s="107" t="s">
        <v>4772</v>
      </c>
    </row>
    <row r="240" spans="2:10">
      <c r="D240" s="107" t="s">
        <v>4783</v>
      </c>
      <c r="E240" s="107" t="s">
        <v>4796</v>
      </c>
    </row>
    <row r="241" spans="4:12">
      <c r="D241" s="107" t="s">
        <v>4787</v>
      </c>
      <c r="E241" s="107" t="s">
        <v>4788</v>
      </c>
    </row>
    <row r="242" spans="4:12">
      <c r="D242" s="107" t="s">
        <v>4791</v>
      </c>
      <c r="E242" s="107" t="s">
        <v>4792</v>
      </c>
    </row>
    <row r="243" spans="4:12">
      <c r="D243" s="107" t="s">
        <v>5319</v>
      </c>
      <c r="E243" s="107" t="s">
        <v>4531</v>
      </c>
      <c r="F243" s="107" t="s">
        <v>5320</v>
      </c>
      <c r="G243" s="126">
        <v>2022</v>
      </c>
      <c r="H243" s="126" t="s">
        <v>4631</v>
      </c>
      <c r="L243" s="107" t="s">
        <v>5321</v>
      </c>
    </row>
    <row r="244" spans="4:12">
      <c r="D244" s="107" t="s">
        <v>4793</v>
      </c>
      <c r="E244" s="107" t="s">
        <v>4786</v>
      </c>
      <c r="J244" s="107" t="s">
        <v>4943</v>
      </c>
    </row>
    <row r="245" spans="4:12">
      <c r="D245" s="107" t="s">
        <v>4794</v>
      </c>
      <c r="E245" s="107" t="s">
        <v>4795</v>
      </c>
    </row>
    <row r="246" spans="4:12">
      <c r="D246" s="107" t="s">
        <v>4797</v>
      </c>
      <c r="E246" s="107" t="s">
        <v>4798</v>
      </c>
    </row>
    <row r="247" spans="4:12">
      <c r="D247" s="107" t="s">
        <v>4803</v>
      </c>
      <c r="E247" s="107" t="s">
        <v>4804</v>
      </c>
    </row>
    <row r="248" spans="4:12">
      <c r="D248" s="107" t="s">
        <v>4805</v>
      </c>
      <c r="E248" s="107" t="s">
        <v>4806</v>
      </c>
    </row>
    <row r="249" spans="4:12">
      <c r="D249" s="107" t="s">
        <v>4807</v>
      </c>
    </row>
    <row r="250" spans="4:12">
      <c r="D250" s="107" t="s">
        <v>4811</v>
      </c>
      <c r="J250" s="107" t="s">
        <v>4905</v>
      </c>
    </row>
    <row r="251" spans="4:12">
      <c r="D251" s="107" t="s">
        <v>4812</v>
      </c>
      <c r="J251" s="236" t="s">
        <v>7858</v>
      </c>
    </row>
    <row r="252" spans="4:12">
      <c r="D252" s="107" t="s">
        <v>4813</v>
      </c>
      <c r="E252" s="107" t="s">
        <v>4814</v>
      </c>
    </row>
    <row r="253" spans="4:12">
      <c r="D253" s="107" t="s">
        <v>4815</v>
      </c>
      <c r="E253" s="107" t="s">
        <v>2456</v>
      </c>
    </row>
    <row r="254" spans="4:12">
      <c r="D254" s="107" t="s">
        <v>4817</v>
      </c>
      <c r="E254" s="107" t="s">
        <v>6064</v>
      </c>
    </row>
    <row r="255" spans="4:12">
      <c r="D255" s="107" t="s">
        <v>6065</v>
      </c>
      <c r="E255" s="107" t="s">
        <v>6066</v>
      </c>
    </row>
    <row r="256" spans="4:12">
      <c r="D256" s="107" t="s">
        <v>4818</v>
      </c>
      <c r="E256" s="107" t="s">
        <v>4819</v>
      </c>
    </row>
    <row r="257" spans="4:10">
      <c r="D257" s="107" t="s">
        <v>4820</v>
      </c>
      <c r="E257" s="107" t="s">
        <v>4819</v>
      </c>
    </row>
    <row r="258" spans="4:10">
      <c r="D258" s="107" t="s">
        <v>4821</v>
      </c>
      <c r="E258" s="107" t="s">
        <v>4819</v>
      </c>
    </row>
    <row r="259" spans="4:10">
      <c r="D259" s="107" t="s">
        <v>4822</v>
      </c>
      <c r="E259" s="107" t="s">
        <v>2082</v>
      </c>
      <c r="J259" s="236" t="s">
        <v>7855</v>
      </c>
    </row>
    <row r="260" spans="4:10">
      <c r="D260" s="107" t="s">
        <v>4823</v>
      </c>
      <c r="E260" s="107" t="s">
        <v>2082</v>
      </c>
    </row>
    <row r="261" spans="4:10">
      <c r="D261" s="107" t="s">
        <v>4824</v>
      </c>
      <c r="E261" s="107" t="s">
        <v>2082</v>
      </c>
    </row>
    <row r="262" spans="4:10">
      <c r="D262" s="107" t="s">
        <v>4825</v>
      </c>
      <c r="E262" s="107" t="s">
        <v>2082</v>
      </c>
    </row>
    <row r="263" spans="4:10">
      <c r="D263" s="107" t="s">
        <v>4826</v>
      </c>
      <c r="E263" s="107" t="s">
        <v>2082</v>
      </c>
      <c r="H263" s="126" t="s">
        <v>4905</v>
      </c>
      <c r="J263" s="236" t="s">
        <v>7855</v>
      </c>
    </row>
    <row r="264" spans="4:10">
      <c r="D264" s="107" t="s">
        <v>4827</v>
      </c>
      <c r="E264" s="107" t="s">
        <v>2082</v>
      </c>
    </row>
    <row r="265" spans="4:10">
      <c r="D265" s="107" t="s">
        <v>4828</v>
      </c>
      <c r="E265" s="107" t="s">
        <v>2082</v>
      </c>
    </row>
    <row r="266" spans="4:10">
      <c r="D266" s="107" t="s">
        <v>4829</v>
      </c>
      <c r="E266" s="107" t="s">
        <v>2451</v>
      </c>
    </row>
    <row r="267" spans="4:10">
      <c r="D267" s="107" t="s">
        <v>4830</v>
      </c>
      <c r="E267" s="107" t="s">
        <v>2451</v>
      </c>
      <c r="H267" s="126" t="s">
        <v>4905</v>
      </c>
    </row>
    <row r="268" spans="4:10">
      <c r="D268" s="107" t="s">
        <v>4831</v>
      </c>
      <c r="E268" s="107" t="s">
        <v>2451</v>
      </c>
    </row>
    <row r="269" spans="4:10">
      <c r="D269" s="107" t="s">
        <v>4832</v>
      </c>
    </row>
    <row r="270" spans="4:10">
      <c r="D270" s="107" t="s">
        <v>4911</v>
      </c>
      <c r="E270" s="107" t="s">
        <v>1545</v>
      </c>
      <c r="H270" s="126" t="s">
        <v>4905</v>
      </c>
    </row>
    <row r="271" spans="4:10">
      <c r="D271" s="107" t="s">
        <v>4910</v>
      </c>
      <c r="E271" s="107" t="s">
        <v>1545</v>
      </c>
      <c r="H271" s="126" t="s">
        <v>4905</v>
      </c>
    </row>
    <row r="272" spans="4:10">
      <c r="D272" s="107" t="s">
        <v>4916</v>
      </c>
      <c r="E272" s="107" t="s">
        <v>1545</v>
      </c>
      <c r="H272" s="126" t="s">
        <v>4943</v>
      </c>
    </row>
    <row r="273" spans="2:13">
      <c r="D273" s="107" t="s">
        <v>4919</v>
      </c>
      <c r="E273" s="107" t="s">
        <v>1545</v>
      </c>
      <c r="H273" s="126" t="s">
        <v>4905</v>
      </c>
    </row>
    <row r="274" spans="2:13">
      <c r="D274" s="107" t="s">
        <v>4922</v>
      </c>
      <c r="E274" s="107" t="s">
        <v>1545</v>
      </c>
      <c r="H274" s="126" t="s">
        <v>4905</v>
      </c>
    </row>
    <row r="275" spans="2:13">
      <c r="D275" s="107" t="s">
        <v>4924</v>
      </c>
      <c r="E275" s="107" t="s">
        <v>1545</v>
      </c>
      <c r="H275" s="126" t="s">
        <v>4905</v>
      </c>
    </row>
    <row r="276" spans="2:13">
      <c r="D276" s="107" t="s">
        <v>4925</v>
      </c>
      <c r="E276" s="107" t="s">
        <v>1545</v>
      </c>
      <c r="H276" s="126" t="s">
        <v>4905</v>
      </c>
    </row>
    <row r="277" spans="2:13">
      <c r="D277" s="107" t="s">
        <v>4926</v>
      </c>
      <c r="E277" s="107" t="s">
        <v>1545</v>
      </c>
      <c r="H277" s="126" t="s">
        <v>4905</v>
      </c>
    </row>
    <row r="278" spans="2:13">
      <c r="D278" s="107" t="s">
        <v>4928</v>
      </c>
      <c r="E278" s="107" t="s">
        <v>1545</v>
      </c>
      <c r="H278" s="126" t="s">
        <v>4905</v>
      </c>
    </row>
    <row r="279" spans="2:13">
      <c r="D279" s="107" t="s">
        <v>4930</v>
      </c>
      <c r="E279" s="107" t="s">
        <v>1545</v>
      </c>
      <c r="H279" s="126" t="s">
        <v>4905</v>
      </c>
    </row>
    <row r="280" spans="2:13">
      <c r="D280" s="107" t="s">
        <v>4931</v>
      </c>
      <c r="E280" s="107" t="s">
        <v>1545</v>
      </c>
      <c r="H280" s="126" t="s">
        <v>4905</v>
      </c>
    </row>
    <row r="281" spans="2:13" s="317" customFormat="1">
      <c r="B281" s="519"/>
      <c r="C281" s="519"/>
      <c r="D281" s="317" t="s">
        <v>4940</v>
      </c>
      <c r="G281" s="330"/>
      <c r="H281" s="330" t="s">
        <v>4941</v>
      </c>
      <c r="J281" s="317" t="s">
        <v>15565</v>
      </c>
    </row>
    <row r="282" spans="2:13" s="317" customFormat="1">
      <c r="B282" s="519"/>
      <c r="C282" s="519"/>
      <c r="D282" s="317" t="s">
        <v>4942</v>
      </c>
      <c r="G282" s="330"/>
      <c r="H282" s="330" t="s">
        <v>4941</v>
      </c>
      <c r="J282" s="317" t="s">
        <v>15565</v>
      </c>
    </row>
    <row r="283" spans="2:13">
      <c r="D283" s="107" t="s">
        <v>4944</v>
      </c>
      <c r="H283" s="126" t="s">
        <v>4941</v>
      </c>
    </row>
    <row r="284" spans="2:13" s="317" customFormat="1">
      <c r="B284" s="519"/>
      <c r="C284" s="519"/>
      <c r="D284" s="317" t="s">
        <v>4946</v>
      </c>
      <c r="G284" s="330"/>
      <c r="H284" s="330" t="s">
        <v>4941</v>
      </c>
    </row>
    <row r="285" spans="2:13">
      <c r="D285" s="107" t="s">
        <v>4947</v>
      </c>
      <c r="H285" s="126" t="s">
        <v>4941</v>
      </c>
    </row>
    <row r="286" spans="2:13">
      <c r="D286" s="277" t="s">
        <v>3650</v>
      </c>
      <c r="G286" s="126">
        <v>2019</v>
      </c>
      <c r="H286" s="126">
        <v>2019</v>
      </c>
      <c r="M286" s="107" t="s">
        <v>9437</v>
      </c>
    </row>
    <row r="287" spans="2:13">
      <c r="D287" s="107" t="s">
        <v>4948</v>
      </c>
      <c r="G287" s="126">
        <v>2019</v>
      </c>
      <c r="H287" s="126">
        <v>2020</v>
      </c>
      <c r="M287" s="277" t="s">
        <v>9438</v>
      </c>
    </row>
    <row r="288" spans="2:13" s="317" customFormat="1">
      <c r="B288" s="519"/>
      <c r="C288" s="519"/>
      <c r="D288" s="317" t="s">
        <v>4951</v>
      </c>
      <c r="G288" s="330"/>
      <c r="H288" s="330" t="s">
        <v>4941</v>
      </c>
      <c r="J288" s="317" t="s">
        <v>15552</v>
      </c>
    </row>
    <row r="289" spans="2:11">
      <c r="D289" s="236" t="s">
        <v>7852</v>
      </c>
      <c r="J289" s="236" t="s">
        <v>7853</v>
      </c>
    </row>
    <row r="290" spans="2:11" s="317" customFormat="1">
      <c r="B290" s="519"/>
      <c r="C290" s="519"/>
      <c r="D290" s="317" t="s">
        <v>4907</v>
      </c>
      <c r="E290" s="317" t="s">
        <v>4909</v>
      </c>
      <c r="G290" s="330"/>
      <c r="H290" s="330" t="s">
        <v>4945</v>
      </c>
      <c r="J290" s="317" t="s">
        <v>15552</v>
      </c>
    </row>
    <row r="291" spans="2:11" s="317" customFormat="1">
      <c r="B291" s="519"/>
      <c r="C291" s="519"/>
      <c r="D291" s="317" t="s">
        <v>4912</v>
      </c>
      <c r="E291" s="317" t="s">
        <v>4909</v>
      </c>
      <c r="G291" s="330"/>
      <c r="H291" s="330" t="s">
        <v>4908</v>
      </c>
      <c r="J291" s="317" t="s">
        <v>15552</v>
      </c>
    </row>
    <row r="292" spans="2:11" s="317" customFormat="1">
      <c r="B292" s="519"/>
      <c r="C292" s="519"/>
      <c r="D292" s="317" t="s">
        <v>4920</v>
      </c>
      <c r="E292" s="317" t="s">
        <v>4909</v>
      </c>
      <c r="G292" s="330"/>
      <c r="H292" s="330" t="s">
        <v>4945</v>
      </c>
      <c r="J292" s="317" t="s">
        <v>15552</v>
      </c>
    </row>
    <row r="293" spans="2:11" s="317" customFormat="1">
      <c r="B293" s="519"/>
      <c r="C293" s="519"/>
      <c r="D293" s="317" t="s">
        <v>4914</v>
      </c>
      <c r="E293" s="317" t="s">
        <v>4915</v>
      </c>
      <c r="G293" s="330"/>
      <c r="H293" s="330"/>
    </row>
    <row r="294" spans="2:11">
      <c r="D294" s="236" t="s">
        <v>7859</v>
      </c>
      <c r="J294" s="236" t="s">
        <v>7856</v>
      </c>
    </row>
    <row r="295" spans="2:11">
      <c r="D295" s="236" t="s">
        <v>7860</v>
      </c>
    </row>
    <row r="296" spans="2:11">
      <c r="D296" s="107" t="s">
        <v>4957</v>
      </c>
      <c r="E296" s="107" t="s">
        <v>4959</v>
      </c>
      <c r="G296" s="128">
        <v>42879</v>
      </c>
      <c r="I296" s="25"/>
      <c r="J296" s="107" t="s">
        <v>4960</v>
      </c>
      <c r="K296" s="25" t="s">
        <v>4958</v>
      </c>
    </row>
    <row r="297" spans="2:11" s="317" customFormat="1">
      <c r="B297" s="519"/>
      <c r="C297" s="519"/>
      <c r="D297" s="317" t="s">
        <v>9599</v>
      </c>
      <c r="E297" s="317" t="s">
        <v>9600</v>
      </c>
      <c r="G297" s="330"/>
      <c r="H297" s="330"/>
    </row>
    <row r="298" spans="2:11" s="317" customFormat="1">
      <c r="B298" s="519"/>
      <c r="C298" s="519"/>
      <c r="D298" s="317" t="s">
        <v>9601</v>
      </c>
      <c r="E298" s="317" t="s">
        <v>9600</v>
      </c>
      <c r="G298" s="330"/>
      <c r="H298" s="330"/>
    </row>
  </sheetData>
  <hyperlinks>
    <hyperlink ref="I8" r:id="rId1" xr:uid="{798ED00F-DFA6-4EE1-9257-9C35EF3FC55A}"/>
    <hyperlink ref="I183" r:id="rId2" xr:uid="{D544E45F-95B2-49E7-8409-133EF4A58ABE}"/>
    <hyperlink ref="I58" r:id="rId3" xr:uid="{EDBB7E11-A5BA-46C9-85EF-DF3E3C3D7D1A}"/>
    <hyperlink ref="I53" r:id="rId4" xr:uid="{9094A79A-04AF-4419-A574-9CA4960D5A88}"/>
    <hyperlink ref="I152" r:id="rId5" display="hee-woo@openai.com" xr:uid="{02197E27-4CCD-4B89-AF6C-5E128A03AAC4}"/>
    <hyperlink ref="I46" r:id="rId6" xr:uid="{771325DD-69DE-4DEB-8C96-996AF3F476E5}"/>
    <hyperlink ref="I42" r:id="rId7" display="alex@openai.com" xr:uid="{559FAF39-EA61-4923-8B27-0FB8E40F8C7D}"/>
    <hyperlink ref="I7" r:id="rId8" xr:uid="{573A50BF-AB4D-4EBA-A8C3-E395FFF9E9D7}"/>
    <hyperlink ref="I26" r:id="rId9" xr:uid="{426FBAF9-D10A-4EF4-8EF7-CA43E0DFF84A}"/>
    <hyperlink ref="K26" r:id="rId10" xr:uid="{D7116D52-7415-4DC8-BCCF-2CA8627E9F42}"/>
    <hyperlink ref="K7" r:id="rId11" xr:uid="{1B7A4A39-EE9E-435B-977C-105C0B04051B}"/>
    <hyperlink ref="K39" r:id="rId12" xr:uid="{D411BB9B-6963-4139-A89D-E8219F9D9691}"/>
    <hyperlink ref="A1" location="Main!A1" display="Main" xr:uid="{451B8011-1F05-4B9E-80AB-3D74F1846F2B}"/>
    <hyperlink ref="K42" r:id="rId13" xr:uid="{B061B28B-C3DD-2D45-ACFD-908D38C17E0E}"/>
    <hyperlink ref="K27" r:id="rId14" xr:uid="{DB010C7E-CEBC-9145-A4E7-99263CF85B6F}"/>
    <hyperlink ref="I27" r:id="rId15" xr:uid="{FC04CD60-00DA-0F4B-9DFA-2200D7963CFC}"/>
    <hyperlink ref="I28" r:id="rId16" xr:uid="{8A4FB973-B9C1-0B41-934A-EADE81762CDF}"/>
    <hyperlink ref="K28" r:id="rId17" xr:uid="{0B081C15-7170-D845-A18F-29C57496B907}"/>
    <hyperlink ref="I34" r:id="rId18" display="alec.radford@gmail.com" xr:uid="{344D682A-4905-124C-A259-5E531D5E8CDE}"/>
    <hyperlink ref="K34" r:id="rId19" xr:uid="{873F6252-94EC-7E42-A282-0D32AC8DE45E}"/>
    <hyperlink ref="I9" r:id="rId20" xr:uid="{F879B4A3-0B18-144F-B18B-46E62B99F82C}"/>
    <hyperlink ref="I18" r:id="rId21" xr:uid="{67636BE2-FE4A-AE45-BDA6-80637EF54833}"/>
    <hyperlink ref="I182" r:id="rId22" xr:uid="{5C0A5878-5971-E54A-8182-BA562BAF716B}"/>
    <hyperlink ref="J42" r:id="rId23" xr:uid="{27854B00-5825-4B85-8CED-9EC8E5C0F5A4}"/>
    <hyperlink ref="J72" r:id="rId24" display="https://twitter.com/mobav0?lang=en" xr:uid="{23DE7B11-6680-46C4-B467-078198C01E1C}"/>
    <hyperlink ref="J115" r:id="rId25" display="https://bmk.sh/" xr:uid="{5FCB4286-6FDC-473E-9C04-C88A521186AF}"/>
    <hyperlink ref="K115" r:id="rId26" xr:uid="{846FFB69-EA69-4C0C-8CF7-82E4E7CF2D4A}"/>
    <hyperlink ref="J79" r:id="rId27" xr:uid="{6BCB60AC-494A-44B9-B38E-93CEC7EA6CAA}"/>
    <hyperlink ref="K79" r:id="rId28" xr:uid="{F5DC8D0B-8B73-48F9-8511-AC5E5D410309}"/>
    <hyperlink ref="I71" r:id="rId29" xr:uid="{B014EC1E-A044-474A-9C75-15DD07DB9671}"/>
    <hyperlink ref="J44" r:id="rId30" display="https://twitter.com/mpetrov?lang=en" xr:uid="{96DA0531-85E6-4E47-99A3-2CB35498FB24}"/>
    <hyperlink ref="K52" r:id="rId31" xr:uid="{18FB2407-E806-2D4B-9310-03A5ECF72036}"/>
    <hyperlink ref="J103" r:id="rId32" xr:uid="{4CE9AD53-D894-2C4F-8581-58A57D32D4B3}"/>
    <hyperlink ref="J97" r:id="rId33" xr:uid="{413F5259-C1EC-1B4B-9A79-1B4079FA2979}"/>
    <hyperlink ref="K97" r:id="rId34" xr:uid="{7639B64D-2AFA-A245-B703-015C668209FE}"/>
    <hyperlink ref="I97" r:id="rId35" xr:uid="{E963C412-645B-A749-BE0A-E93B0401EC2E}"/>
    <hyperlink ref="I19" r:id="rId36" xr:uid="{1C58FC6A-380B-2B4F-919C-3C5CEED925E9}"/>
    <hyperlink ref="I30" r:id="rId37" xr:uid="{3D5FE224-869D-564E-86C8-9D21AEFF927A}"/>
    <hyperlink ref="I72" r:id="rId38" xr:uid="{A7ECCF4C-395F-9048-9B7B-74E2DB3A76B2}"/>
    <hyperlink ref="I55" r:id="rId39" xr:uid="{E00DE401-E037-1141-947C-998CE006D5D0}"/>
  </hyperlinks>
  <pageMargins left="0.7" right="0.7" top="0.75" bottom="0.75" header="0.3" footer="0.3"/>
  <pageSetup orientation="portrait" r:id="rId40"/>
  <legacyDrawing r:id="rId4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832B0-0F10-1D47-925E-C8001FE36760}">
  <dimension ref="A1:K21"/>
  <sheetViews>
    <sheetView zoomScale="150" zoomScaleNormal="150" workbookViewId="0">
      <pane xSplit="2" ySplit="2" topLeftCell="E3" activePane="bottomRight" state="frozen"/>
      <selection pane="topRight" activeCell="C1" sqref="C1"/>
      <selection pane="bottomLeft" activeCell="A3" sqref="A3"/>
      <selection pane="bottomRight" activeCell="I13" sqref="I13"/>
    </sheetView>
  </sheetViews>
  <sheetFormatPr baseColWidth="10" defaultColWidth="10.83203125" defaultRowHeight="13"/>
  <cols>
    <col min="1" max="1" width="4.83203125" style="95" bestFit="1" customWidth="1"/>
    <col min="2" max="2" width="16.33203125" style="95" bestFit="1" customWidth="1"/>
    <col min="3" max="16384" width="10.83203125" style="95"/>
  </cols>
  <sheetData>
    <row r="1" spans="1:11">
      <c r="A1" s="25" t="s">
        <v>1165</v>
      </c>
    </row>
    <row r="2" spans="1:11">
      <c r="A2" s="25"/>
      <c r="B2" s="161" t="s">
        <v>3977</v>
      </c>
      <c r="C2" s="161" t="s">
        <v>6560</v>
      </c>
      <c r="D2" s="161" t="s">
        <v>4629</v>
      </c>
      <c r="E2" s="161" t="s">
        <v>4612</v>
      </c>
      <c r="F2" s="161" t="s">
        <v>4492</v>
      </c>
      <c r="G2" s="161" t="s">
        <v>4630</v>
      </c>
      <c r="H2" s="161" t="s">
        <v>1150</v>
      </c>
      <c r="I2" s="161" t="s">
        <v>4953</v>
      </c>
      <c r="J2" s="161" t="s">
        <v>2290</v>
      </c>
      <c r="K2" s="161" t="s">
        <v>4225</v>
      </c>
    </row>
    <row r="3" spans="1:11">
      <c r="A3" s="25"/>
      <c r="B3" s="277" t="s">
        <v>8223</v>
      </c>
      <c r="C3" s="161"/>
      <c r="D3" s="161"/>
      <c r="E3" s="161"/>
      <c r="F3" s="161"/>
      <c r="G3" s="25" t="s">
        <v>8224</v>
      </c>
      <c r="H3" s="161"/>
      <c r="I3" s="161"/>
      <c r="J3" s="161"/>
      <c r="K3" s="161"/>
    </row>
    <row r="4" spans="1:11">
      <c r="A4" s="25"/>
      <c r="B4" s="161"/>
      <c r="C4" s="161"/>
      <c r="D4" s="161"/>
      <c r="E4" s="161"/>
      <c r="F4" s="161"/>
      <c r="G4" s="161"/>
      <c r="H4" s="161"/>
      <c r="I4" s="161"/>
      <c r="J4" s="161"/>
      <c r="K4" s="161"/>
    </row>
    <row r="5" spans="1:11">
      <c r="B5" s="95" t="s">
        <v>5448</v>
      </c>
      <c r="K5" s="161" t="s">
        <v>6562</v>
      </c>
    </row>
    <row r="6" spans="1:11">
      <c r="B6" s="95" t="s">
        <v>5449</v>
      </c>
      <c r="K6" s="161" t="s">
        <v>6562</v>
      </c>
    </row>
    <row r="7" spans="1:11">
      <c r="B7" s="95" t="s">
        <v>5450</v>
      </c>
      <c r="K7" s="161" t="s">
        <v>6562</v>
      </c>
    </row>
    <row r="8" spans="1:11">
      <c r="B8" s="95" t="s">
        <v>5451</v>
      </c>
      <c r="K8" s="161" t="s">
        <v>6562</v>
      </c>
    </row>
    <row r="9" spans="1:11">
      <c r="B9" s="95" t="s">
        <v>5452</v>
      </c>
      <c r="K9" s="161" t="s">
        <v>6562</v>
      </c>
    </row>
    <row r="10" spans="1:11">
      <c r="B10" s="161" t="s">
        <v>6561</v>
      </c>
      <c r="K10" s="161" t="s">
        <v>6563</v>
      </c>
    </row>
    <row r="11" spans="1:11">
      <c r="B11" s="161" t="s">
        <v>6564</v>
      </c>
      <c r="K11" s="161" t="s">
        <v>6563</v>
      </c>
    </row>
    <row r="12" spans="1:11">
      <c r="B12" s="161" t="s">
        <v>6565</v>
      </c>
      <c r="K12" s="161" t="s">
        <v>6563</v>
      </c>
    </row>
    <row r="13" spans="1:11">
      <c r="B13" s="161" t="s">
        <v>6566</v>
      </c>
      <c r="K13" s="161" t="s">
        <v>6563</v>
      </c>
    </row>
    <row r="14" spans="1:11">
      <c r="B14" s="161" t="s">
        <v>6567</v>
      </c>
      <c r="K14" s="161" t="s">
        <v>6563</v>
      </c>
    </row>
    <row r="15" spans="1:11">
      <c r="B15" s="161" t="s">
        <v>6568</v>
      </c>
      <c r="K15" s="161" t="s">
        <v>6563</v>
      </c>
    </row>
    <row r="16" spans="1:11">
      <c r="B16" s="161" t="s">
        <v>6569</v>
      </c>
      <c r="K16" s="161" t="s">
        <v>6563</v>
      </c>
    </row>
    <row r="17" spans="2:11">
      <c r="B17" s="161" t="s">
        <v>6570</v>
      </c>
      <c r="K17" s="161" t="s">
        <v>6563</v>
      </c>
    </row>
    <row r="18" spans="2:11">
      <c r="B18" s="161" t="s">
        <v>6571</v>
      </c>
      <c r="K18" s="161" t="s">
        <v>6563</v>
      </c>
    </row>
    <row r="19" spans="2:11">
      <c r="B19" s="161" t="s">
        <v>6572</v>
      </c>
      <c r="K19" s="161" t="s">
        <v>6563</v>
      </c>
    </row>
    <row r="20" spans="2:11">
      <c r="B20" s="161" t="s">
        <v>6573</v>
      </c>
      <c r="K20" s="161" t="s">
        <v>6563</v>
      </c>
    </row>
    <row r="21" spans="2:11">
      <c r="B21" s="199" t="s">
        <v>7039</v>
      </c>
    </row>
  </sheetData>
  <hyperlinks>
    <hyperlink ref="A1" location="Main!A1" display="Main" xr:uid="{58B34881-70EF-4040-8B38-772ED68EE767}"/>
    <hyperlink ref="G3" r:id="rId1" xr:uid="{67DEFCD6-2F43-2441-B41F-10CEBB69A408}"/>
  </hyperlinks>
  <pageMargins left="0.7" right="0.7" top="0.75" bottom="0.75" header="0.3" footer="0.3"/>
  <pageSetup orientation="portrait" horizontalDpi="0" verticalDpi="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2C7C5E-8C4F-2245-8F92-F4F958C187B6}">
  <dimension ref="A1"/>
  <sheetViews>
    <sheetView workbookViewId="0"/>
  </sheetViews>
  <sheetFormatPr baseColWidth="10" defaultColWidth="10.83203125" defaultRowHeight="13"/>
  <cols>
    <col min="1" max="1" width="4.83203125" style="277" bestFit="1" customWidth="1"/>
    <col min="2" max="16384" width="10.83203125" style="277"/>
  </cols>
  <sheetData>
    <row r="1" spans="1:1">
      <c r="A1" s="277" t="s">
        <v>1165</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70EDBD-979B-D14F-960B-8DA316BE6679}">
  <dimension ref="A1:E42"/>
  <sheetViews>
    <sheetView zoomScale="170" zoomScaleNormal="170" workbookViewId="0">
      <selection activeCell="E4" sqref="E4"/>
    </sheetView>
  </sheetViews>
  <sheetFormatPr baseColWidth="10" defaultColWidth="10.83203125" defaultRowHeight="13"/>
  <cols>
    <col min="1" max="1" width="4.83203125" style="95" bestFit="1" customWidth="1"/>
    <col min="2" max="2" width="17.6640625" style="95" bestFit="1" customWidth="1"/>
    <col min="3" max="16384" width="10.83203125" style="95"/>
  </cols>
  <sheetData>
    <row r="1" spans="1:5">
      <c r="A1" s="25" t="s">
        <v>1165</v>
      </c>
    </row>
    <row r="2" spans="1:5">
      <c r="A2" s="25"/>
      <c r="B2" s="277" t="s">
        <v>8234</v>
      </c>
    </row>
    <row r="3" spans="1:5">
      <c r="A3" s="25"/>
      <c r="B3" s="95" t="s">
        <v>8235</v>
      </c>
    </row>
    <row r="4" spans="1:5">
      <c r="A4" s="25"/>
      <c r="B4" s="95" t="s">
        <v>8236</v>
      </c>
      <c r="E4" s="95" t="s">
        <v>8928</v>
      </c>
    </row>
    <row r="5" spans="1:5">
      <c r="A5" s="25"/>
      <c r="B5" s="142" t="s">
        <v>4224</v>
      </c>
    </row>
    <row r="6" spans="1:5">
      <c r="B6" s="95" t="s">
        <v>5957</v>
      </c>
      <c r="C6" s="95" t="s">
        <v>5958</v>
      </c>
    </row>
    <row r="7" spans="1:5">
      <c r="B7" s="95" t="s">
        <v>5972</v>
      </c>
      <c r="C7" s="95" t="s">
        <v>5973</v>
      </c>
    </row>
    <row r="8" spans="1:5">
      <c r="B8" s="95" t="s">
        <v>5960</v>
      </c>
      <c r="C8" s="95" t="s">
        <v>5961</v>
      </c>
    </row>
    <row r="9" spans="1:5">
      <c r="B9" s="95" t="s">
        <v>5974</v>
      </c>
      <c r="C9" s="95" t="s">
        <v>5975</v>
      </c>
    </row>
    <row r="10" spans="1:5">
      <c r="B10" s="95" t="s">
        <v>5983</v>
      </c>
    </row>
    <row r="11" spans="1:5">
      <c r="B11" s="95" t="s">
        <v>5970</v>
      </c>
      <c r="C11" s="95" t="s">
        <v>5971</v>
      </c>
    </row>
    <row r="12" spans="1:5">
      <c r="B12" s="95" t="s">
        <v>5967</v>
      </c>
      <c r="C12" s="95" t="s">
        <v>5968</v>
      </c>
    </row>
    <row r="13" spans="1:5">
      <c r="B13" s="95" t="s">
        <v>5965</v>
      </c>
      <c r="C13" s="95" t="s">
        <v>5966</v>
      </c>
    </row>
    <row r="14" spans="1:5">
      <c r="B14" s="95" t="s">
        <v>5977</v>
      </c>
      <c r="C14" s="95" t="s">
        <v>5978</v>
      </c>
    </row>
    <row r="15" spans="1:5">
      <c r="B15" s="95" t="s">
        <v>5982</v>
      </c>
    </row>
    <row r="16" spans="1:5">
      <c r="B16" s="95" t="s">
        <v>5953</v>
      </c>
      <c r="C16" s="95" t="s">
        <v>5954</v>
      </c>
    </row>
    <row r="17" spans="2:3">
      <c r="B17" s="95" t="s">
        <v>5979</v>
      </c>
      <c r="C17" s="95" t="s">
        <v>5980</v>
      </c>
    </row>
    <row r="18" spans="2:3">
      <c r="B18" s="95" t="s">
        <v>5963</v>
      </c>
      <c r="C18" s="95" t="s">
        <v>5964</v>
      </c>
    </row>
    <row r="19" spans="2:3">
      <c r="B19" s="95" t="s">
        <v>5959</v>
      </c>
      <c r="C19" s="95" t="s">
        <v>5962</v>
      </c>
    </row>
    <row r="20" spans="2:3">
      <c r="B20" s="95" t="s">
        <v>5948</v>
      </c>
      <c r="C20" s="95" t="s">
        <v>5949</v>
      </c>
    </row>
    <row r="21" spans="2:3">
      <c r="B21" s="95" t="s">
        <v>5981</v>
      </c>
    </row>
    <row r="22" spans="2:3">
      <c r="B22" s="236" t="s">
        <v>7646</v>
      </c>
    </row>
    <row r="23" spans="2:3">
      <c r="B23" s="95" t="s">
        <v>5956</v>
      </c>
      <c r="C23" s="95" t="s">
        <v>5951</v>
      </c>
    </row>
    <row r="24" spans="2:3">
      <c r="B24" s="95" t="s">
        <v>5955</v>
      </c>
      <c r="C24" s="95" t="s">
        <v>5976</v>
      </c>
    </row>
    <row r="25" spans="2:3">
      <c r="B25" s="95" t="s">
        <v>5950</v>
      </c>
      <c r="C25" s="95" t="s">
        <v>5952</v>
      </c>
    </row>
    <row r="30" spans="2:3" ht="16">
      <c r="B30"/>
    </row>
    <row r="31" spans="2:3">
      <c r="B31" s="236" t="s">
        <v>7642</v>
      </c>
    </row>
    <row r="32" spans="2:3">
      <c r="B32" s="236" t="s">
        <v>7643</v>
      </c>
    </row>
    <row r="34" spans="2:2" ht="16">
      <c r="B34"/>
    </row>
    <row r="36" spans="2:2">
      <c r="B36" s="236" t="s">
        <v>7644</v>
      </c>
    </row>
    <row r="37" spans="2:2">
      <c r="B37" s="236" t="s">
        <v>7645</v>
      </c>
    </row>
    <row r="39" spans="2:2" ht="16">
      <c r="B39"/>
    </row>
    <row r="42" spans="2:2">
      <c r="B42" s="236" t="s">
        <v>7647</v>
      </c>
    </row>
  </sheetData>
  <hyperlinks>
    <hyperlink ref="A1" location="Main!A1" display="Main" xr:uid="{86B213B9-E3BC-924C-877F-49F15CDE5EA2}"/>
  </hyperlink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6F5242-91BF-8241-B524-89EDDA759ED9}">
  <dimension ref="A1:S4369"/>
  <sheetViews>
    <sheetView zoomScale="130" zoomScaleNormal="130" workbookViewId="0">
      <pane xSplit="2" ySplit="2" topLeftCell="C3" activePane="bottomRight" state="frozen"/>
      <selection pane="topRight" activeCell="C1" sqref="C1"/>
      <selection pane="bottomLeft" activeCell="A3" sqref="A3"/>
      <selection pane="bottomRight" activeCell="C3" sqref="C3"/>
    </sheetView>
  </sheetViews>
  <sheetFormatPr baseColWidth="10" defaultColWidth="9.1640625" defaultRowHeight="13"/>
  <cols>
    <col min="1" max="1" width="5" style="1" bestFit="1" customWidth="1"/>
    <col min="2" max="2" width="28.6640625" style="1" customWidth="1"/>
    <col min="3" max="3" width="11.1640625" style="2" customWidth="1"/>
    <col min="4" max="4" width="25" style="2" customWidth="1"/>
    <col min="5" max="5" width="9.1640625" style="3"/>
    <col min="6" max="6" width="10.83203125" style="3" bestFit="1" customWidth="1"/>
    <col min="7" max="7" width="11.5" style="2" customWidth="1"/>
    <col min="8" max="8" width="9.1640625" style="1"/>
    <col min="9" max="9" width="15.33203125" style="1" customWidth="1"/>
    <col min="10" max="10" width="9.1640625" style="1"/>
    <col min="11" max="11" width="9.1640625" style="1" customWidth="1"/>
    <col min="12" max="12" width="9.1640625" style="1"/>
    <col min="13" max="18" width="9.1640625" style="2"/>
    <col min="19" max="16384" width="9.1640625" style="1"/>
  </cols>
  <sheetData>
    <row r="1" spans="1:19">
      <c r="A1" s="25" t="s">
        <v>1165</v>
      </c>
      <c r="B1" s="91"/>
      <c r="I1" s="1" t="s">
        <v>1164</v>
      </c>
      <c r="J1" s="1" t="s">
        <v>1163</v>
      </c>
      <c r="K1" s="1" t="s">
        <v>1162</v>
      </c>
      <c r="M1" s="398">
        <f>AVERAGE(E37,E858,E1186,E1458,E1577,E1584,E1585,E1808,E1857,E1890,E2250)</f>
        <v>1.4611038961038962</v>
      </c>
      <c r="N1" s="3">
        <f>AVERAGE(E5,E7,E30,E35,E65,E73,E79,E101,E104,E105,E200,E219,E220,E297,E299,E345,E346,E348,E350,E359,E360,E391,E398,E400,E403,E424,E451,E454,E458,E461,E462)</f>
        <v>10.670967741935486</v>
      </c>
    </row>
    <row r="2" spans="1:19">
      <c r="B2" s="1" t="s">
        <v>1161</v>
      </c>
      <c r="C2" s="2" t="s">
        <v>1160</v>
      </c>
      <c r="D2" s="2" t="s">
        <v>1159</v>
      </c>
      <c r="E2" s="3" t="s">
        <v>1158</v>
      </c>
      <c r="F2" s="3" t="s">
        <v>1157</v>
      </c>
      <c r="G2" s="2" t="s">
        <v>1156</v>
      </c>
      <c r="I2" s="1" t="s">
        <v>1155</v>
      </c>
      <c r="J2" s="1" t="s">
        <v>1154</v>
      </c>
      <c r="K2" s="1" t="s">
        <v>1153</v>
      </c>
      <c r="L2" s="1" t="s">
        <v>1152</v>
      </c>
      <c r="M2" s="2" t="s">
        <v>278</v>
      </c>
      <c r="N2" s="2" t="s">
        <v>4</v>
      </c>
      <c r="O2" s="2" t="s">
        <v>5</v>
      </c>
      <c r="P2" s="2" t="s">
        <v>7</v>
      </c>
      <c r="Q2" s="2" t="s">
        <v>18</v>
      </c>
      <c r="R2" s="2" t="s">
        <v>1151</v>
      </c>
      <c r="S2" s="1" t="s">
        <v>1150</v>
      </c>
    </row>
    <row r="3" spans="1:19">
      <c r="A3" s="1">
        <v>1</v>
      </c>
      <c r="B3" s="259" t="s">
        <v>1149</v>
      </c>
      <c r="C3" s="13" t="s">
        <v>969</v>
      </c>
      <c r="D3" s="13" t="s">
        <v>968</v>
      </c>
      <c r="E3" s="15"/>
      <c r="F3" s="15">
        <f>SUM(F4:F21)</f>
        <v>2160.6666666666665</v>
      </c>
      <c r="G3" s="14">
        <f>G21</f>
        <v>45125</v>
      </c>
      <c r="I3" s="24" t="s">
        <v>1</v>
      </c>
      <c r="J3" s="13" t="s">
        <v>1</v>
      </c>
      <c r="K3" s="13" t="s">
        <v>1</v>
      </c>
    </row>
    <row r="4" spans="1:19">
      <c r="B4" s="260" t="s">
        <v>7057</v>
      </c>
      <c r="C4" s="2" t="s">
        <v>7</v>
      </c>
      <c r="D4" s="2" t="s">
        <v>1148</v>
      </c>
      <c r="E4" s="3">
        <v>140</v>
      </c>
      <c r="F4" s="3">
        <v>100</v>
      </c>
      <c r="G4" s="4">
        <v>44363</v>
      </c>
      <c r="I4" s="176" t="s">
        <v>7052</v>
      </c>
      <c r="J4" s="176" t="s">
        <v>7060</v>
      </c>
    </row>
    <row r="5" spans="1:19">
      <c r="B5" s="254" t="s">
        <v>7787</v>
      </c>
      <c r="C5" s="2" t="s">
        <v>4</v>
      </c>
      <c r="D5" s="2" t="s">
        <v>632</v>
      </c>
      <c r="E5" s="3">
        <v>3</v>
      </c>
      <c r="F5" s="3">
        <v>1</v>
      </c>
      <c r="G5" s="4">
        <v>44539</v>
      </c>
      <c r="I5" s="176" t="s">
        <v>7053</v>
      </c>
      <c r="J5" s="176" t="s">
        <v>7061</v>
      </c>
    </row>
    <row r="6" spans="1:19">
      <c r="C6" s="2" t="s">
        <v>18</v>
      </c>
      <c r="D6" s="2" t="s">
        <v>599</v>
      </c>
      <c r="E6" s="3">
        <v>125</v>
      </c>
      <c r="F6" s="3">
        <v>50</v>
      </c>
      <c r="G6" s="4">
        <v>44663</v>
      </c>
      <c r="I6" s="176" t="s">
        <v>7056</v>
      </c>
      <c r="J6" s="176" t="s">
        <v>7062</v>
      </c>
    </row>
    <row r="7" spans="1:19">
      <c r="C7" s="2" t="s">
        <v>4</v>
      </c>
      <c r="D7" s="2" t="s">
        <v>439</v>
      </c>
      <c r="E7" s="3">
        <v>7</v>
      </c>
      <c r="F7" s="3">
        <v>1.5</v>
      </c>
      <c r="G7" s="4">
        <v>44602</v>
      </c>
      <c r="I7" s="176" t="s">
        <v>7058</v>
      </c>
      <c r="J7" s="176" t="s">
        <v>7063</v>
      </c>
    </row>
    <row r="8" spans="1:19">
      <c r="C8" s="2" t="s">
        <v>7</v>
      </c>
      <c r="D8" s="2" t="s">
        <v>431</v>
      </c>
      <c r="E8" s="3">
        <v>93</v>
      </c>
      <c r="F8" s="3">
        <v>83</v>
      </c>
      <c r="G8" s="4">
        <v>43018</v>
      </c>
      <c r="I8" s="176" t="s">
        <v>7059</v>
      </c>
      <c r="J8" s="176" t="s">
        <v>7064</v>
      </c>
    </row>
    <row r="9" spans="1:19">
      <c r="C9" s="2" t="s">
        <v>8</v>
      </c>
      <c r="D9" s="2" t="s">
        <v>253</v>
      </c>
      <c r="E9" s="3">
        <v>600</v>
      </c>
      <c r="F9" s="3">
        <f>500/8</f>
        <v>62.5</v>
      </c>
      <c r="G9" s="4">
        <v>44502</v>
      </c>
      <c r="I9" s="274" t="s">
        <v>8895</v>
      </c>
    </row>
    <row r="10" spans="1:19">
      <c r="C10" s="2" t="s">
        <v>18</v>
      </c>
      <c r="D10" s="2" t="s">
        <v>253</v>
      </c>
      <c r="E10" s="3">
        <v>500</v>
      </c>
      <c r="F10" s="3">
        <v>75</v>
      </c>
      <c r="G10" s="4">
        <v>44144</v>
      </c>
    </row>
    <row r="11" spans="1:19">
      <c r="C11" s="2" t="s">
        <v>7</v>
      </c>
      <c r="D11" s="2" t="s">
        <v>253</v>
      </c>
      <c r="E11" s="3">
        <v>940</v>
      </c>
      <c r="F11" s="3">
        <v>940</v>
      </c>
      <c r="G11" s="4">
        <v>43507</v>
      </c>
    </row>
    <row r="12" spans="1:19">
      <c r="C12" s="2" t="s">
        <v>8</v>
      </c>
      <c r="D12" s="2" t="s">
        <v>208</v>
      </c>
      <c r="E12" s="3">
        <v>676</v>
      </c>
      <c r="F12" s="3">
        <v>176</v>
      </c>
      <c r="G12" s="4">
        <v>44299</v>
      </c>
      <c r="I12" s="1">
        <v>4400</v>
      </c>
      <c r="J12" s="1">
        <v>500</v>
      </c>
    </row>
    <row r="13" spans="1:19">
      <c r="C13" s="2" t="s">
        <v>5</v>
      </c>
      <c r="D13" s="2" t="s">
        <v>208</v>
      </c>
      <c r="E13" s="3">
        <v>56</v>
      </c>
      <c r="F13" s="3">
        <v>20</v>
      </c>
      <c r="G13" s="4">
        <v>43174</v>
      </c>
      <c r="J13" s="1">
        <v>500</v>
      </c>
    </row>
    <row r="14" spans="1:19">
      <c r="C14" s="2" t="s">
        <v>9</v>
      </c>
      <c r="D14" s="2" t="s">
        <v>148</v>
      </c>
      <c r="E14" s="3">
        <v>300</v>
      </c>
      <c r="F14" s="6" t="s">
        <v>1047</v>
      </c>
      <c r="G14" s="4">
        <v>44271</v>
      </c>
    </row>
    <row r="15" spans="1:19">
      <c r="C15" s="2" t="s">
        <v>18</v>
      </c>
      <c r="D15" s="2" t="s">
        <v>192</v>
      </c>
      <c r="E15" s="3">
        <v>235</v>
      </c>
      <c r="F15" s="6">
        <v>75</v>
      </c>
      <c r="G15" s="4">
        <v>44384</v>
      </c>
    </row>
    <row r="16" spans="1:19">
      <c r="C16" s="2" t="s">
        <v>9</v>
      </c>
      <c r="D16" s="2" t="s">
        <v>52</v>
      </c>
      <c r="E16" s="3">
        <v>220</v>
      </c>
      <c r="F16" s="6">
        <v>80</v>
      </c>
      <c r="G16" s="4">
        <v>44357</v>
      </c>
      <c r="I16" s="1">
        <v>1900</v>
      </c>
      <c r="J16" s="1">
        <v>1900</v>
      </c>
    </row>
    <row r="17" spans="1:18">
      <c r="C17" s="55" t="s">
        <v>8</v>
      </c>
      <c r="D17" s="55" t="s">
        <v>2109</v>
      </c>
      <c r="E17" s="3">
        <v>110</v>
      </c>
      <c r="F17" s="6">
        <v>40</v>
      </c>
      <c r="G17" s="4">
        <v>44567</v>
      </c>
      <c r="I17" s="1">
        <v>790</v>
      </c>
      <c r="J17" s="1">
        <v>790</v>
      </c>
    </row>
    <row r="18" spans="1:18">
      <c r="C18" s="92" t="s">
        <v>18</v>
      </c>
      <c r="D18" s="92" t="s">
        <v>5229</v>
      </c>
      <c r="E18" s="3">
        <v>115</v>
      </c>
      <c r="F18" s="6">
        <v>100</v>
      </c>
      <c r="G18" s="4">
        <v>44469</v>
      </c>
    </row>
    <row r="19" spans="1:18">
      <c r="C19" s="92" t="s">
        <v>18</v>
      </c>
      <c r="D19" s="92" t="s">
        <v>2072</v>
      </c>
      <c r="E19" s="3">
        <v>65</v>
      </c>
      <c r="F19" s="6">
        <v>35</v>
      </c>
      <c r="G19" s="4">
        <v>44644</v>
      </c>
      <c r="I19" s="1">
        <v>500</v>
      </c>
      <c r="J19" s="1">
        <v>500</v>
      </c>
    </row>
    <row r="20" spans="1:18">
      <c r="C20" s="265" t="s">
        <v>1</v>
      </c>
      <c r="D20" s="265" t="s">
        <v>3930</v>
      </c>
      <c r="E20" s="3">
        <v>1200</v>
      </c>
      <c r="F20" s="6">
        <f>E20/4</f>
        <v>300</v>
      </c>
      <c r="G20" s="4">
        <v>43592</v>
      </c>
    </row>
    <row r="21" spans="1:18">
      <c r="C21" s="331" t="s">
        <v>9</v>
      </c>
      <c r="D21" s="331" t="s">
        <v>8304</v>
      </c>
      <c r="E21" s="3">
        <v>65</v>
      </c>
      <c r="F21" s="6">
        <f>E21/3</f>
        <v>21.666666666666668</v>
      </c>
      <c r="G21" s="4">
        <v>45125</v>
      </c>
    </row>
    <row r="22" spans="1:18">
      <c r="G22" s="4"/>
    </row>
    <row r="23" spans="1:18" s="12" customFormat="1">
      <c r="A23" s="12">
        <v>2</v>
      </c>
      <c r="B23" s="12" t="s">
        <v>1147</v>
      </c>
      <c r="C23" s="13" t="s">
        <v>969</v>
      </c>
      <c r="D23" s="13" t="s">
        <v>968</v>
      </c>
      <c r="E23" s="15"/>
      <c r="F23" s="15">
        <f>SUM(F24:F55)</f>
        <v>2100.7673395445136</v>
      </c>
      <c r="G23" s="14">
        <f>G52</f>
        <v>45183</v>
      </c>
      <c r="I23" s="12" t="s">
        <v>1</v>
      </c>
      <c r="J23" s="12" t="s">
        <v>1</v>
      </c>
      <c r="K23" s="12" t="s">
        <v>1</v>
      </c>
      <c r="M23" s="15">
        <f>SUM(F37)</f>
        <v>1.5</v>
      </c>
      <c r="N23" s="15">
        <f>SUM(F30,F35)</f>
        <v>16</v>
      </c>
      <c r="O23" s="15">
        <f>SUM(F29,F32,F33,F34)</f>
        <v>226</v>
      </c>
      <c r="P23" s="15">
        <f>SUM(F28,F31,F36,F39)</f>
        <v>519.16666666666674</v>
      </c>
      <c r="Q23" s="15">
        <f>SUM(F24,F27,F38)</f>
        <v>81</v>
      </c>
      <c r="R23" s="15">
        <f>SUM(F25,F26)</f>
        <v>350</v>
      </c>
    </row>
    <row r="24" spans="1:18">
      <c r="B24" s="238" t="s">
        <v>7626</v>
      </c>
      <c r="C24" s="2" t="s">
        <v>18</v>
      </c>
      <c r="D24" s="2" t="s">
        <v>964</v>
      </c>
      <c r="E24" s="3">
        <v>450</v>
      </c>
      <c r="F24" s="3">
        <f>300/5</f>
        <v>60</v>
      </c>
      <c r="G24" s="4">
        <v>45069</v>
      </c>
    </row>
    <row r="25" spans="1:18">
      <c r="C25" s="2" t="s">
        <v>1089</v>
      </c>
      <c r="D25" s="2" t="s">
        <v>964</v>
      </c>
      <c r="E25" s="3">
        <v>300</v>
      </c>
      <c r="F25" s="3">
        <v>300</v>
      </c>
      <c r="G25" s="4">
        <v>44960</v>
      </c>
    </row>
    <row r="26" spans="1:18">
      <c r="C26" s="265" t="s">
        <v>1040</v>
      </c>
      <c r="D26" s="2" t="s">
        <v>957</v>
      </c>
      <c r="E26" s="3">
        <v>141</v>
      </c>
      <c r="F26" s="3">
        <v>50</v>
      </c>
      <c r="G26" s="4">
        <v>45106</v>
      </c>
      <c r="I26" s="1">
        <v>1400</v>
      </c>
      <c r="J26" s="1">
        <v>1400</v>
      </c>
    </row>
    <row r="27" spans="1:18">
      <c r="C27" s="2" t="s">
        <v>18</v>
      </c>
      <c r="D27" s="2" t="s">
        <v>877</v>
      </c>
      <c r="E27" s="3">
        <v>85</v>
      </c>
      <c r="F27" s="3">
        <v>6</v>
      </c>
      <c r="G27" s="4">
        <v>44417</v>
      </c>
    </row>
    <row r="28" spans="1:18">
      <c r="C28" s="2" t="s">
        <v>7</v>
      </c>
      <c r="D28" s="2" t="s">
        <v>877</v>
      </c>
      <c r="E28" s="3">
        <v>35</v>
      </c>
      <c r="F28" s="3">
        <f>25/6</f>
        <v>4.166666666666667</v>
      </c>
      <c r="G28" s="4">
        <v>44293</v>
      </c>
    </row>
    <row r="29" spans="1:18">
      <c r="C29" s="2" t="s">
        <v>5</v>
      </c>
      <c r="D29" s="2" t="s">
        <v>877</v>
      </c>
      <c r="E29" s="3">
        <v>12</v>
      </c>
      <c r="F29" s="3">
        <v>3</v>
      </c>
      <c r="G29" s="4">
        <v>44026</v>
      </c>
    </row>
    <row r="30" spans="1:18">
      <c r="C30" s="2" t="s">
        <v>4</v>
      </c>
      <c r="D30" s="2" t="s">
        <v>877</v>
      </c>
      <c r="E30" s="3">
        <v>3.3</v>
      </c>
      <c r="F30" s="3">
        <v>1</v>
      </c>
      <c r="G30" s="4">
        <v>44026</v>
      </c>
    </row>
    <row r="31" spans="1:18">
      <c r="C31" s="2" t="s">
        <v>7</v>
      </c>
      <c r="D31" s="2" t="s">
        <v>1125</v>
      </c>
      <c r="E31" s="3">
        <v>2500</v>
      </c>
      <c r="F31" s="3">
        <v>500</v>
      </c>
      <c r="G31" s="4">
        <v>44363</v>
      </c>
    </row>
    <row r="32" spans="1:18">
      <c r="C32" s="2" t="s">
        <v>5</v>
      </c>
      <c r="D32" s="2" t="s">
        <v>1125</v>
      </c>
      <c r="E32" s="3">
        <v>3000</v>
      </c>
      <c r="F32" s="3">
        <f>800/4</f>
        <v>200</v>
      </c>
      <c r="G32" s="4">
        <v>43892</v>
      </c>
      <c r="H32" s="4"/>
    </row>
    <row r="33" spans="3:9">
      <c r="C33" s="2" t="s">
        <v>5</v>
      </c>
      <c r="D33" s="2" t="s">
        <v>1063</v>
      </c>
      <c r="E33" s="3">
        <v>65</v>
      </c>
      <c r="F33" s="3">
        <v>10</v>
      </c>
      <c r="G33" s="4">
        <v>44984</v>
      </c>
      <c r="H33" s="4"/>
    </row>
    <row r="34" spans="3:9">
      <c r="C34" s="2" t="s">
        <v>5</v>
      </c>
      <c r="D34" s="2" t="s">
        <v>994</v>
      </c>
      <c r="E34" s="3">
        <v>23</v>
      </c>
      <c r="F34" s="3">
        <v>13</v>
      </c>
      <c r="G34" s="4">
        <v>44963</v>
      </c>
      <c r="H34" s="4"/>
    </row>
    <row r="35" spans="3:9">
      <c r="C35" s="2" t="s">
        <v>4</v>
      </c>
      <c r="D35" s="2" t="s">
        <v>690</v>
      </c>
      <c r="E35" s="3">
        <v>30</v>
      </c>
      <c r="F35" s="3">
        <v>15</v>
      </c>
      <c r="G35" s="4">
        <v>44742</v>
      </c>
      <c r="H35" s="4"/>
    </row>
    <row r="36" spans="3:9">
      <c r="C36" s="2" t="s">
        <v>7</v>
      </c>
      <c r="D36" s="2" t="s">
        <v>871</v>
      </c>
      <c r="E36" s="3">
        <v>30</v>
      </c>
      <c r="F36" s="3">
        <v>10</v>
      </c>
      <c r="G36" s="4">
        <v>44510</v>
      </c>
      <c r="H36" s="4"/>
    </row>
    <row r="37" spans="3:9">
      <c r="C37" s="2" t="s">
        <v>278</v>
      </c>
      <c r="D37" s="2" t="s">
        <v>776</v>
      </c>
      <c r="E37" s="3">
        <v>4.5</v>
      </c>
      <c r="F37" s="3">
        <v>1.5</v>
      </c>
      <c r="G37" s="4">
        <v>44691</v>
      </c>
      <c r="H37" s="4"/>
    </row>
    <row r="38" spans="3:9">
      <c r="C38" s="2" t="s">
        <v>18</v>
      </c>
      <c r="D38" s="2" t="s">
        <v>403</v>
      </c>
      <c r="E38" s="3">
        <v>90</v>
      </c>
      <c r="F38" s="3">
        <v>15</v>
      </c>
      <c r="G38" s="4">
        <v>45090</v>
      </c>
      <c r="H38" s="4"/>
    </row>
    <row r="39" spans="3:9">
      <c r="C39" s="2" t="s">
        <v>7</v>
      </c>
      <c r="D39" s="2" t="s">
        <v>403</v>
      </c>
      <c r="E39" s="3">
        <v>50</v>
      </c>
      <c r="F39" s="3">
        <v>5</v>
      </c>
      <c r="G39" s="4">
        <v>44538</v>
      </c>
      <c r="H39" s="4"/>
    </row>
    <row r="40" spans="3:9">
      <c r="C40" s="2" t="s">
        <v>7</v>
      </c>
      <c r="D40" s="2" t="s">
        <v>318</v>
      </c>
      <c r="E40" s="3">
        <v>55</v>
      </c>
      <c r="F40" s="3">
        <v>5</v>
      </c>
      <c r="G40" s="4">
        <v>44200</v>
      </c>
      <c r="H40" s="4"/>
    </row>
    <row r="41" spans="3:9">
      <c r="C41" s="2" t="s">
        <v>18</v>
      </c>
      <c r="D41" s="2" t="s">
        <v>318</v>
      </c>
      <c r="E41" s="3">
        <v>91</v>
      </c>
      <c r="F41" s="3">
        <v>8.75</v>
      </c>
      <c r="G41" s="4">
        <v>44867</v>
      </c>
      <c r="H41" s="4"/>
    </row>
    <row r="42" spans="3:9">
      <c r="C42" s="2" t="s">
        <v>18</v>
      </c>
      <c r="D42" s="2" t="s">
        <v>1056</v>
      </c>
      <c r="E42" s="3">
        <v>40</v>
      </c>
      <c r="F42" s="3">
        <f>20/3</f>
        <v>6.666666666666667</v>
      </c>
      <c r="G42" s="4">
        <v>44599</v>
      </c>
      <c r="H42" s="4"/>
    </row>
    <row r="43" spans="3:9">
      <c r="C43" s="2" t="s">
        <v>8</v>
      </c>
      <c r="D43" s="2" t="s">
        <v>253</v>
      </c>
      <c r="E43" s="3">
        <v>600</v>
      </c>
      <c r="F43" s="3">
        <f>500/8</f>
        <v>62.5</v>
      </c>
      <c r="G43" s="4">
        <v>44502</v>
      </c>
      <c r="H43" s="4"/>
    </row>
    <row r="44" spans="3:9">
      <c r="C44" s="2" t="s">
        <v>8</v>
      </c>
      <c r="D44" s="2" t="s">
        <v>208</v>
      </c>
      <c r="E44" s="3">
        <v>676</v>
      </c>
      <c r="F44" s="3">
        <f>500/7</f>
        <v>71.428571428571431</v>
      </c>
      <c r="G44" s="4">
        <v>44299</v>
      </c>
      <c r="H44" s="4"/>
      <c r="I44" s="1">
        <v>4400</v>
      </c>
    </row>
    <row r="45" spans="3:9">
      <c r="C45" s="2" t="s">
        <v>18</v>
      </c>
      <c r="D45" s="2" t="s">
        <v>208</v>
      </c>
      <c r="E45" s="3">
        <v>250</v>
      </c>
      <c r="F45" s="3">
        <f>170/5</f>
        <v>34</v>
      </c>
      <c r="G45" s="4">
        <v>43886</v>
      </c>
      <c r="H45" s="4"/>
      <c r="I45" s="1">
        <v>2300</v>
      </c>
    </row>
    <row r="46" spans="3:9">
      <c r="C46" s="2" t="s">
        <v>7</v>
      </c>
      <c r="D46" s="2" t="s">
        <v>208</v>
      </c>
      <c r="E46" s="3">
        <v>150</v>
      </c>
      <c r="F46" s="3">
        <v>20</v>
      </c>
      <c r="G46" s="4">
        <v>43556</v>
      </c>
      <c r="H46" s="4"/>
    </row>
    <row r="47" spans="3:9">
      <c r="C47" s="2" t="s">
        <v>9</v>
      </c>
      <c r="D47" s="2" t="s">
        <v>154</v>
      </c>
      <c r="E47" s="3">
        <v>400</v>
      </c>
      <c r="F47" s="3">
        <v>36</v>
      </c>
      <c r="G47" s="4">
        <v>44413</v>
      </c>
      <c r="H47" s="4"/>
      <c r="I47" s="1">
        <v>4200</v>
      </c>
    </row>
    <row r="48" spans="3:9">
      <c r="C48" s="2" t="s">
        <v>8</v>
      </c>
      <c r="D48" s="2" t="s">
        <v>154</v>
      </c>
      <c r="E48" s="3">
        <v>100</v>
      </c>
      <c r="F48" s="3">
        <f>75/6</f>
        <v>12.5</v>
      </c>
      <c r="G48" s="4">
        <v>44067</v>
      </c>
      <c r="H48" s="4"/>
    </row>
    <row r="49" spans="1:18">
      <c r="C49" s="2" t="s">
        <v>7</v>
      </c>
      <c r="D49" s="2" t="s">
        <v>1063</v>
      </c>
      <c r="E49" s="3">
        <v>100</v>
      </c>
      <c r="F49" s="3">
        <v>15</v>
      </c>
      <c r="G49" s="4">
        <v>45106</v>
      </c>
      <c r="H49" s="4"/>
    </row>
    <row r="50" spans="1:18">
      <c r="C50" s="92" t="s">
        <v>18</v>
      </c>
      <c r="D50" s="92" t="s">
        <v>2072</v>
      </c>
      <c r="E50" s="3">
        <v>65</v>
      </c>
      <c r="F50" s="3">
        <v>10</v>
      </c>
      <c r="G50" s="4">
        <v>44644</v>
      </c>
      <c r="H50" s="4"/>
      <c r="I50" s="1">
        <v>500</v>
      </c>
      <c r="J50" s="1">
        <v>500</v>
      </c>
    </row>
    <row r="51" spans="1:18">
      <c r="C51" s="92" t="s">
        <v>7</v>
      </c>
      <c r="D51" s="92" t="s">
        <v>2072</v>
      </c>
      <c r="E51" s="3">
        <v>22</v>
      </c>
      <c r="F51" s="3">
        <v>12</v>
      </c>
      <c r="G51" s="4">
        <v>43944</v>
      </c>
      <c r="H51" s="4"/>
      <c r="J51" s="1">
        <v>500</v>
      </c>
    </row>
    <row r="52" spans="1:18">
      <c r="C52" s="265" t="s">
        <v>7885</v>
      </c>
      <c r="D52" s="265" t="s">
        <v>1006</v>
      </c>
      <c r="E52" s="3">
        <v>684.6</v>
      </c>
      <c r="F52" s="266">
        <f>28+23</f>
        <v>51</v>
      </c>
      <c r="G52" s="4">
        <v>45183</v>
      </c>
      <c r="H52" s="4"/>
      <c r="I52" s="1">
        <v>36000</v>
      </c>
      <c r="J52" s="1">
        <v>42500</v>
      </c>
    </row>
    <row r="53" spans="1:18">
      <c r="C53" s="265" t="s">
        <v>504</v>
      </c>
      <c r="D53" s="265" t="s">
        <v>1006</v>
      </c>
      <c r="E53" s="3">
        <v>1000</v>
      </c>
      <c r="F53" s="266">
        <f>900/23</f>
        <v>39.130434782608695</v>
      </c>
      <c r="G53" s="4">
        <v>44228</v>
      </c>
      <c r="H53" s="4"/>
      <c r="I53" s="1">
        <v>27000</v>
      </c>
      <c r="J53" s="1">
        <v>42500</v>
      </c>
    </row>
    <row r="54" spans="1:18">
      <c r="C54" s="265" t="s">
        <v>8</v>
      </c>
      <c r="D54" s="265" t="s">
        <v>3732</v>
      </c>
      <c r="E54" s="3">
        <v>235</v>
      </c>
      <c r="F54" s="266">
        <f>185/8</f>
        <v>23.125</v>
      </c>
      <c r="G54" s="4">
        <v>45161</v>
      </c>
      <c r="H54" s="4"/>
      <c r="I54" s="1">
        <v>4300</v>
      </c>
      <c r="J54" s="1">
        <v>4300</v>
      </c>
    </row>
    <row r="55" spans="1:18">
      <c r="C55" s="265" t="s">
        <v>1</v>
      </c>
      <c r="D55" s="265" t="s">
        <v>964</v>
      </c>
      <c r="E55" s="3">
        <v>500</v>
      </c>
      <c r="F55" s="266">
        <v>500</v>
      </c>
      <c r="G55" s="4">
        <v>45226</v>
      </c>
      <c r="H55" s="4"/>
    </row>
    <row r="56" spans="1:18">
      <c r="G56" s="4"/>
    </row>
    <row r="57" spans="1:18" s="12" customFormat="1">
      <c r="A57" s="12">
        <v>3</v>
      </c>
      <c r="B57" s="12" t="s">
        <v>7371</v>
      </c>
      <c r="C57" s="13" t="s">
        <v>969</v>
      </c>
      <c r="D57" s="13" t="s">
        <v>968</v>
      </c>
      <c r="E57" s="15"/>
      <c r="F57" s="15">
        <f>SUM(F58:F107)</f>
        <v>1270.4214285714288</v>
      </c>
      <c r="G57" s="14">
        <f>G69</f>
        <v>45062</v>
      </c>
      <c r="I57" s="12">
        <v>32400</v>
      </c>
      <c r="J57" s="22">
        <f>+F57/I57</f>
        <v>3.921053791887126E-2</v>
      </c>
      <c r="K57" s="12">
        <v>2009</v>
      </c>
      <c r="M57" s="13">
        <v>0</v>
      </c>
      <c r="N57" s="15">
        <f>SUM(F65,F69,F73)</f>
        <v>30.5</v>
      </c>
      <c r="O57" s="15">
        <f>SUM(F58,F61,F64,F68,F72,F74,F75)</f>
        <v>322.66666666666669</v>
      </c>
      <c r="P57" s="15">
        <f>SUM(F59,F60,F63,F67,F71,F77)</f>
        <v>357.5</v>
      </c>
      <c r="Q57" s="15">
        <f>SUM(F62,F66,F76)</f>
        <v>45</v>
      </c>
      <c r="R57" s="13">
        <v>0</v>
      </c>
    </row>
    <row r="58" spans="1:18">
      <c r="B58" s="484" t="s">
        <v>15182</v>
      </c>
      <c r="C58" s="2" t="s">
        <v>5</v>
      </c>
      <c r="D58" s="2" t="s">
        <v>935</v>
      </c>
      <c r="E58" s="3">
        <v>150</v>
      </c>
      <c r="F58" s="3">
        <v>90</v>
      </c>
      <c r="G58" s="4">
        <v>45008</v>
      </c>
      <c r="K58" s="91" t="s">
        <v>5910</v>
      </c>
    </row>
    <row r="59" spans="1:18">
      <c r="C59" s="2" t="s">
        <v>7</v>
      </c>
      <c r="D59" s="2" t="s">
        <v>1086</v>
      </c>
      <c r="E59" s="3">
        <v>100</v>
      </c>
      <c r="F59" s="3">
        <v>85</v>
      </c>
      <c r="G59" s="4">
        <v>45042</v>
      </c>
      <c r="K59" s="91" t="s">
        <v>5911</v>
      </c>
    </row>
    <row r="60" spans="1:18">
      <c r="C60" s="2" t="s">
        <v>7</v>
      </c>
      <c r="D60" s="2" t="s">
        <v>1125</v>
      </c>
      <c r="E60" s="3">
        <v>2500</v>
      </c>
      <c r="F60" s="3">
        <v>182</v>
      </c>
      <c r="G60" s="4">
        <v>44363</v>
      </c>
      <c r="K60" s="91" t="s">
        <v>5912</v>
      </c>
    </row>
    <row r="61" spans="1:18">
      <c r="C61" s="2" t="s">
        <v>5</v>
      </c>
      <c r="D61" s="2" t="s">
        <v>1125</v>
      </c>
      <c r="E61" s="3">
        <v>3000</v>
      </c>
      <c r="F61" s="3">
        <f>800/4</f>
        <v>200</v>
      </c>
      <c r="G61" s="4">
        <v>43892</v>
      </c>
      <c r="K61" s="176" t="s">
        <v>7065</v>
      </c>
    </row>
    <row r="62" spans="1:18">
      <c r="C62" s="2" t="s">
        <v>18</v>
      </c>
      <c r="D62" s="2" t="s">
        <v>1005</v>
      </c>
      <c r="E62" s="3">
        <v>100</v>
      </c>
      <c r="F62" s="3">
        <v>10</v>
      </c>
      <c r="G62" s="4">
        <v>44754</v>
      </c>
      <c r="K62" s="176" t="s">
        <v>7067</v>
      </c>
    </row>
    <row r="63" spans="1:18">
      <c r="C63" s="2" t="s">
        <v>7</v>
      </c>
      <c r="D63" s="2" t="s">
        <v>1005</v>
      </c>
      <c r="E63" s="3">
        <v>35</v>
      </c>
      <c r="F63" s="3">
        <f>E63/2</f>
        <v>17.5</v>
      </c>
      <c r="G63" s="4">
        <v>44172</v>
      </c>
      <c r="K63" s="176" t="s">
        <v>7066</v>
      </c>
    </row>
    <row r="64" spans="1:18">
      <c r="C64" s="2" t="s">
        <v>5</v>
      </c>
      <c r="D64" s="2" t="s">
        <v>1005</v>
      </c>
      <c r="E64" s="3">
        <v>20</v>
      </c>
      <c r="F64" s="3">
        <v>8</v>
      </c>
      <c r="G64" s="4">
        <v>43949</v>
      </c>
      <c r="K64" s="238" t="s">
        <v>7490</v>
      </c>
    </row>
    <row r="65" spans="3:15">
      <c r="C65" s="2" t="s">
        <v>4</v>
      </c>
      <c r="D65" s="2" t="s">
        <v>1005</v>
      </c>
      <c r="E65" s="3">
        <v>5</v>
      </c>
      <c r="F65" s="3">
        <v>1</v>
      </c>
      <c r="G65" s="4">
        <v>43438</v>
      </c>
      <c r="L65" s="238" t="s">
        <v>7477</v>
      </c>
      <c r="M65" s="1"/>
      <c r="N65" s="1"/>
      <c r="O65" s="238" t="s">
        <v>7483</v>
      </c>
    </row>
    <row r="66" spans="3:15">
      <c r="C66" s="2" t="s">
        <v>1116</v>
      </c>
      <c r="D66" s="2" t="s">
        <v>832</v>
      </c>
      <c r="E66" s="3">
        <v>100</v>
      </c>
      <c r="F66" s="3">
        <v>30</v>
      </c>
      <c r="G66" s="4">
        <v>44537</v>
      </c>
      <c r="L66" s="238" t="s">
        <v>7478</v>
      </c>
      <c r="M66" s="1"/>
      <c r="N66" s="1"/>
      <c r="O66" s="238" t="s">
        <v>7484</v>
      </c>
    </row>
    <row r="67" spans="3:15">
      <c r="C67" s="2" t="s">
        <v>7</v>
      </c>
      <c r="D67" s="2" t="s">
        <v>832</v>
      </c>
      <c r="E67" s="3">
        <v>40</v>
      </c>
      <c r="F67" s="3">
        <v>8</v>
      </c>
      <c r="G67" s="4">
        <v>44125</v>
      </c>
      <c r="L67" s="238" t="s">
        <v>7479</v>
      </c>
      <c r="M67" s="1"/>
      <c r="N67" s="1"/>
      <c r="O67" s="238" t="s">
        <v>7485</v>
      </c>
    </row>
    <row r="68" spans="3:15">
      <c r="C68" s="2" t="s">
        <v>5</v>
      </c>
      <c r="D68" s="2" t="s">
        <v>832</v>
      </c>
      <c r="E68" s="3">
        <v>20</v>
      </c>
      <c r="F68" s="3">
        <v>8</v>
      </c>
      <c r="G68" s="4">
        <v>43816</v>
      </c>
      <c r="L68" s="238" t="s">
        <v>7467</v>
      </c>
      <c r="M68" s="1"/>
      <c r="N68" s="1"/>
      <c r="O68" s="238" t="s">
        <v>7486</v>
      </c>
    </row>
    <row r="69" spans="3:15">
      <c r="C69" s="2" t="s">
        <v>4</v>
      </c>
      <c r="D69" s="2" t="s">
        <v>1145</v>
      </c>
      <c r="E69" s="3">
        <v>50</v>
      </c>
      <c r="F69" s="3">
        <v>25</v>
      </c>
      <c r="G69" s="4">
        <v>45062</v>
      </c>
      <c r="L69" s="238" t="s">
        <v>7468</v>
      </c>
      <c r="M69" s="1"/>
      <c r="N69" s="1"/>
      <c r="O69" s="238" t="s">
        <v>7487</v>
      </c>
    </row>
    <row r="70" spans="3:15">
      <c r="C70" s="2" t="s">
        <v>5</v>
      </c>
      <c r="D70" s="2" t="s">
        <v>1144</v>
      </c>
      <c r="E70" s="3">
        <v>19</v>
      </c>
      <c r="F70" s="3">
        <v>5</v>
      </c>
      <c r="G70" s="4">
        <v>45097</v>
      </c>
      <c r="I70" s="1">
        <v>100</v>
      </c>
      <c r="J70" s="1">
        <v>100</v>
      </c>
      <c r="L70" s="238" t="s">
        <v>7469</v>
      </c>
      <c r="M70" s="1"/>
      <c r="N70" s="1"/>
      <c r="O70" s="238" t="s">
        <v>7488</v>
      </c>
    </row>
    <row r="71" spans="3:15">
      <c r="C71" s="2" t="s">
        <v>7</v>
      </c>
      <c r="D71" s="2" t="s">
        <v>907</v>
      </c>
      <c r="E71" s="3">
        <v>97.4</v>
      </c>
      <c r="F71" s="3">
        <v>50</v>
      </c>
      <c r="G71" s="4">
        <v>45041</v>
      </c>
      <c r="L71" s="238" t="s">
        <v>7471</v>
      </c>
      <c r="M71" s="1"/>
      <c r="N71" s="1"/>
      <c r="O71" s="238" t="s">
        <v>7489</v>
      </c>
    </row>
    <row r="72" spans="3:15">
      <c r="C72" s="2" t="s">
        <v>5</v>
      </c>
      <c r="D72" s="2" t="s">
        <v>907</v>
      </c>
      <c r="E72" s="3">
        <v>80</v>
      </c>
      <c r="F72" s="3">
        <f>40/6</f>
        <v>6.666666666666667</v>
      </c>
      <c r="G72" s="4">
        <v>44539</v>
      </c>
      <c r="L72" s="238" t="s">
        <v>7466</v>
      </c>
      <c r="M72" s="1"/>
      <c r="N72" s="1"/>
      <c r="O72" s="1"/>
    </row>
    <row r="73" spans="3:15">
      <c r="C73" s="2" t="s">
        <v>4</v>
      </c>
      <c r="D73" s="2" t="s">
        <v>907</v>
      </c>
      <c r="E73" s="3">
        <v>4.5</v>
      </c>
      <c r="F73" s="3">
        <v>4.5</v>
      </c>
      <c r="G73" s="4">
        <v>43395</v>
      </c>
      <c r="L73" s="238" t="s">
        <v>7472</v>
      </c>
      <c r="M73" s="1"/>
      <c r="N73" s="1"/>
      <c r="O73" s="238"/>
    </row>
    <row r="74" spans="3:15">
      <c r="C74" s="2" t="s">
        <v>5</v>
      </c>
      <c r="D74" s="2" t="s">
        <v>697</v>
      </c>
      <c r="E74" s="3">
        <v>5.6</v>
      </c>
      <c r="F74" s="3">
        <v>3</v>
      </c>
      <c r="G74" s="4">
        <v>44292</v>
      </c>
      <c r="L74" s="238" t="s">
        <v>7473</v>
      </c>
      <c r="M74" s="1"/>
      <c r="N74" s="1"/>
      <c r="O74" s="1"/>
    </row>
    <row r="75" spans="3:15">
      <c r="C75" s="2" t="s">
        <v>5</v>
      </c>
      <c r="D75" s="2" t="s">
        <v>1069</v>
      </c>
      <c r="E75" s="3">
        <v>12.5</v>
      </c>
      <c r="F75" s="3">
        <v>7</v>
      </c>
      <c r="G75" s="4">
        <v>44978</v>
      </c>
      <c r="L75" s="238" t="s">
        <v>7470</v>
      </c>
      <c r="M75" s="1"/>
      <c r="N75" s="1"/>
      <c r="O75" s="1"/>
    </row>
    <row r="76" spans="3:15">
      <c r="C76" s="2" t="s">
        <v>18</v>
      </c>
      <c r="D76" s="2" t="s">
        <v>520</v>
      </c>
      <c r="E76" s="3">
        <v>60</v>
      </c>
      <c r="F76" s="3">
        <v>5</v>
      </c>
      <c r="G76" s="4">
        <v>43606</v>
      </c>
      <c r="L76" s="238" t="s">
        <v>7474</v>
      </c>
      <c r="M76" s="1"/>
      <c r="N76" s="1"/>
      <c r="O76" s="1"/>
    </row>
    <row r="77" spans="3:15">
      <c r="C77" s="2" t="s">
        <v>7</v>
      </c>
      <c r="D77" s="2" t="s">
        <v>520</v>
      </c>
      <c r="E77" s="3">
        <v>30</v>
      </c>
      <c r="F77" s="3">
        <v>15</v>
      </c>
      <c r="G77" s="4">
        <v>43396</v>
      </c>
      <c r="L77" s="238" t="s">
        <v>7475</v>
      </c>
      <c r="M77" s="1"/>
      <c r="N77" s="1"/>
      <c r="O77" s="1"/>
    </row>
    <row r="78" spans="3:15">
      <c r="C78" s="2" t="s">
        <v>5</v>
      </c>
      <c r="D78" s="2" t="s">
        <v>289</v>
      </c>
      <c r="E78" s="3">
        <v>30</v>
      </c>
      <c r="F78" s="3">
        <v>4</v>
      </c>
      <c r="G78" s="4">
        <v>44474</v>
      </c>
      <c r="L78" s="238" t="s">
        <v>7476</v>
      </c>
      <c r="M78" s="1"/>
      <c r="N78" s="1"/>
      <c r="O78" s="1"/>
    </row>
    <row r="79" spans="3:15">
      <c r="C79" s="2" t="s">
        <v>4</v>
      </c>
      <c r="D79" s="2" t="s">
        <v>289</v>
      </c>
      <c r="E79" s="3">
        <v>15</v>
      </c>
      <c r="F79" s="3">
        <f>10/4</f>
        <v>2.5</v>
      </c>
      <c r="G79" s="4">
        <v>43775</v>
      </c>
      <c r="L79" s="238" t="s">
        <v>7480</v>
      </c>
      <c r="M79" s="1"/>
      <c r="N79" s="1"/>
      <c r="O79" s="1"/>
    </row>
    <row r="80" spans="3:15">
      <c r="C80" s="2" t="s">
        <v>9</v>
      </c>
      <c r="D80" s="2" t="s">
        <v>39</v>
      </c>
      <c r="E80" s="3">
        <v>230</v>
      </c>
      <c r="F80" s="3">
        <v>24</v>
      </c>
      <c r="G80" s="4">
        <v>44984</v>
      </c>
      <c r="I80" s="1">
        <v>2000</v>
      </c>
      <c r="J80" s="1">
        <v>2000</v>
      </c>
      <c r="L80" s="238" t="s">
        <v>7481</v>
      </c>
      <c r="M80" s="1"/>
      <c r="N80" s="1"/>
      <c r="O80" s="1"/>
    </row>
    <row r="81" spans="3:15">
      <c r="C81" s="2" t="s">
        <v>8</v>
      </c>
      <c r="D81" s="2" t="s">
        <v>39</v>
      </c>
      <c r="E81" s="3">
        <v>170</v>
      </c>
      <c r="F81" s="3">
        <v>60</v>
      </c>
      <c r="G81" s="4">
        <v>44255</v>
      </c>
      <c r="I81" s="1">
        <v>830</v>
      </c>
      <c r="J81" s="1">
        <v>2000</v>
      </c>
      <c r="L81" s="238" t="s">
        <v>7482</v>
      </c>
      <c r="M81" s="1"/>
      <c r="N81" s="1"/>
      <c r="O81" s="1"/>
    </row>
    <row r="82" spans="3:15">
      <c r="C82" s="2" t="s">
        <v>7</v>
      </c>
      <c r="D82" s="2" t="s">
        <v>39</v>
      </c>
      <c r="E82" s="3">
        <v>42</v>
      </c>
      <c r="F82" s="3">
        <f>22/3</f>
        <v>7.333333333333333</v>
      </c>
      <c r="G82" s="4">
        <v>43144</v>
      </c>
      <c r="J82" s="1">
        <v>2000</v>
      </c>
    </row>
    <row r="83" spans="3:15">
      <c r="C83" s="2" t="s">
        <v>5</v>
      </c>
      <c r="D83" s="2" t="s">
        <v>39</v>
      </c>
      <c r="E83" s="3">
        <v>25</v>
      </c>
      <c r="F83" s="3">
        <v>15</v>
      </c>
      <c r="G83" s="4">
        <v>42374</v>
      </c>
      <c r="J83" s="1">
        <v>2000</v>
      </c>
      <c r="L83" s="238" t="s">
        <v>7495</v>
      </c>
    </row>
    <row r="84" spans="3:15">
      <c r="C84" s="2" t="s">
        <v>4</v>
      </c>
      <c r="D84" s="2" t="s">
        <v>39</v>
      </c>
      <c r="E84" s="3">
        <v>3</v>
      </c>
      <c r="F84" s="3">
        <v>2</v>
      </c>
      <c r="G84" s="4">
        <v>42019</v>
      </c>
      <c r="J84" s="1">
        <v>2000</v>
      </c>
      <c r="L84" s="238" t="s">
        <v>7494</v>
      </c>
    </row>
    <row r="85" spans="3:15">
      <c r="C85" s="2" t="s">
        <v>9</v>
      </c>
      <c r="D85" s="2" t="s">
        <v>3</v>
      </c>
      <c r="E85" s="3">
        <v>90</v>
      </c>
      <c r="F85" s="3">
        <v>10</v>
      </c>
      <c r="G85" s="4">
        <v>44721</v>
      </c>
      <c r="I85" s="1">
        <v>2200</v>
      </c>
      <c r="J85" s="1">
        <v>2200</v>
      </c>
      <c r="L85" s="238" t="s">
        <v>7493</v>
      </c>
    </row>
    <row r="86" spans="3:15">
      <c r="C86" s="2" t="s">
        <v>8</v>
      </c>
      <c r="D86" s="2" t="s">
        <v>3</v>
      </c>
      <c r="E86" s="3">
        <v>210</v>
      </c>
      <c r="F86" s="3">
        <v>33.333333333333336</v>
      </c>
      <c r="G86" s="4">
        <v>44432</v>
      </c>
      <c r="I86" s="1">
        <v>1000</v>
      </c>
      <c r="J86" s="1">
        <v>2200</v>
      </c>
      <c r="L86" s="238" t="s">
        <v>7492</v>
      </c>
    </row>
    <row r="87" spans="3:15">
      <c r="C87" s="2" t="s">
        <v>7</v>
      </c>
      <c r="D87" s="2" t="s">
        <v>3</v>
      </c>
      <c r="E87" s="3">
        <v>25</v>
      </c>
      <c r="F87" s="3">
        <v>4</v>
      </c>
      <c r="G87" s="4">
        <v>43697</v>
      </c>
      <c r="J87" s="1">
        <v>2200</v>
      </c>
      <c r="L87" s="238" t="s">
        <v>7491</v>
      </c>
    </row>
    <row r="88" spans="3:15">
      <c r="C88" s="2" t="s">
        <v>5</v>
      </c>
      <c r="D88" s="2" t="s">
        <v>3</v>
      </c>
      <c r="E88" s="3">
        <v>10</v>
      </c>
      <c r="F88" s="3">
        <v>2.5</v>
      </c>
      <c r="G88" s="4">
        <v>43456</v>
      </c>
      <c r="J88" s="1">
        <v>2200</v>
      </c>
    </row>
    <row r="89" spans="3:15">
      <c r="C89" s="2" t="s">
        <v>5</v>
      </c>
      <c r="D89" s="2" t="s">
        <v>3</v>
      </c>
      <c r="E89" s="3">
        <v>10.5</v>
      </c>
      <c r="F89" s="3">
        <v>4.5</v>
      </c>
      <c r="G89" s="4">
        <v>42828</v>
      </c>
      <c r="J89" s="1">
        <v>2200</v>
      </c>
    </row>
    <row r="90" spans="3:15">
      <c r="C90" s="2" t="s">
        <v>1</v>
      </c>
      <c r="D90" s="2" t="s">
        <v>0</v>
      </c>
      <c r="E90" s="3">
        <v>300</v>
      </c>
      <c r="F90" s="3">
        <v>50</v>
      </c>
      <c r="G90" s="4">
        <v>45044</v>
      </c>
      <c r="I90" s="1">
        <v>28700</v>
      </c>
      <c r="J90" s="1">
        <v>28700</v>
      </c>
    </row>
    <row r="91" spans="3:15">
      <c r="C91" s="52" t="s">
        <v>8</v>
      </c>
      <c r="D91" s="52" t="s">
        <v>2116</v>
      </c>
      <c r="E91" s="3">
        <v>175</v>
      </c>
      <c r="F91" s="3">
        <f>75/4</f>
        <v>18.75</v>
      </c>
      <c r="G91" s="4">
        <v>44511</v>
      </c>
      <c r="I91" s="1">
        <v>3400</v>
      </c>
      <c r="J91" s="1">
        <v>3400</v>
      </c>
    </row>
    <row r="92" spans="3:15">
      <c r="C92" s="52" t="s">
        <v>18</v>
      </c>
      <c r="D92" s="52" t="s">
        <v>2116</v>
      </c>
      <c r="E92" s="3">
        <v>125</v>
      </c>
      <c r="F92" s="3">
        <v>35</v>
      </c>
      <c r="G92" s="4">
        <v>44126</v>
      </c>
      <c r="I92" s="1">
        <v>1100</v>
      </c>
      <c r="J92" s="1">
        <v>3400</v>
      </c>
    </row>
    <row r="93" spans="3:15">
      <c r="C93" s="52" t="s">
        <v>7</v>
      </c>
      <c r="D93" s="52" t="s">
        <v>2116</v>
      </c>
      <c r="E93" s="3">
        <v>40</v>
      </c>
      <c r="F93" s="3">
        <v>3</v>
      </c>
      <c r="G93" s="4">
        <v>43720</v>
      </c>
      <c r="J93" s="1">
        <v>3400</v>
      </c>
    </row>
    <row r="94" spans="3:15">
      <c r="C94" s="52" t="s">
        <v>5</v>
      </c>
      <c r="D94" s="52" t="s">
        <v>2116</v>
      </c>
      <c r="E94" s="3">
        <v>11.5</v>
      </c>
      <c r="F94" s="3">
        <v>3</v>
      </c>
      <c r="G94" s="4">
        <v>43355</v>
      </c>
      <c r="J94" s="1">
        <v>3400</v>
      </c>
    </row>
    <row r="95" spans="3:15">
      <c r="C95" s="55" t="s">
        <v>8</v>
      </c>
      <c r="D95" s="55" t="s">
        <v>2109</v>
      </c>
      <c r="E95" s="3">
        <v>110</v>
      </c>
      <c r="F95" s="3">
        <f>70/4</f>
        <v>17.5</v>
      </c>
      <c r="G95" s="4">
        <v>44567</v>
      </c>
      <c r="I95" s="1">
        <v>790</v>
      </c>
      <c r="J95" s="1">
        <v>790</v>
      </c>
    </row>
    <row r="96" spans="3:15">
      <c r="C96" s="55" t="s">
        <v>18</v>
      </c>
      <c r="D96" s="55" t="s">
        <v>2109</v>
      </c>
      <c r="E96" s="3">
        <v>40</v>
      </c>
      <c r="F96" s="3">
        <v>5</v>
      </c>
      <c r="G96" s="4">
        <v>44238</v>
      </c>
      <c r="J96" s="1">
        <v>790</v>
      </c>
    </row>
    <row r="97" spans="1:18">
      <c r="C97" s="55" t="s">
        <v>7</v>
      </c>
      <c r="D97" s="55" t="s">
        <v>2109</v>
      </c>
      <c r="E97" s="3">
        <v>25</v>
      </c>
      <c r="F97" s="3">
        <v>10</v>
      </c>
      <c r="G97" s="4">
        <v>43865</v>
      </c>
      <c r="J97" s="1">
        <v>790</v>
      </c>
    </row>
    <row r="98" spans="1:18">
      <c r="C98" s="92" t="s">
        <v>18</v>
      </c>
      <c r="D98" s="92" t="s">
        <v>2090</v>
      </c>
      <c r="E98" s="3">
        <v>80</v>
      </c>
      <c r="F98" s="3">
        <v>7</v>
      </c>
      <c r="G98" s="4">
        <v>44637</v>
      </c>
      <c r="I98" s="1">
        <v>1500</v>
      </c>
      <c r="J98" s="1">
        <v>1500</v>
      </c>
    </row>
    <row r="99" spans="1:18">
      <c r="C99" s="92" t="s">
        <v>7</v>
      </c>
      <c r="D99" s="92" t="s">
        <v>2090</v>
      </c>
      <c r="E99" s="3">
        <v>50</v>
      </c>
      <c r="F99" s="3">
        <f>35/4</f>
        <v>8.75</v>
      </c>
      <c r="G99" s="4">
        <v>44286</v>
      </c>
      <c r="J99" s="1">
        <v>1500</v>
      </c>
    </row>
    <row r="100" spans="1:18">
      <c r="C100" s="92" t="s">
        <v>5</v>
      </c>
      <c r="D100" s="92" t="s">
        <v>2090</v>
      </c>
      <c r="E100" s="3">
        <v>15</v>
      </c>
      <c r="F100" s="3">
        <f>E100/4</f>
        <v>3.75</v>
      </c>
      <c r="G100" s="4">
        <v>43864</v>
      </c>
      <c r="J100" s="1">
        <v>1500</v>
      </c>
    </row>
    <row r="101" spans="1:18">
      <c r="C101" s="92" t="s">
        <v>4</v>
      </c>
      <c r="D101" s="92" t="s">
        <v>2090</v>
      </c>
      <c r="E101" s="3">
        <v>6</v>
      </c>
      <c r="F101" s="3">
        <v>6</v>
      </c>
      <c r="G101" s="4">
        <v>43863</v>
      </c>
      <c r="J101" s="1">
        <v>1500</v>
      </c>
    </row>
    <row r="102" spans="1:18">
      <c r="C102" s="92" t="s">
        <v>7</v>
      </c>
      <c r="D102" s="92" t="s">
        <v>2069</v>
      </c>
      <c r="E102" s="3">
        <v>60</v>
      </c>
      <c r="F102" s="3">
        <v>20</v>
      </c>
      <c r="G102" s="4">
        <v>44278</v>
      </c>
    </row>
    <row r="103" spans="1:18">
      <c r="C103" s="92" t="s">
        <v>5</v>
      </c>
      <c r="D103" s="92" t="s">
        <v>2069</v>
      </c>
      <c r="E103" s="3">
        <v>20</v>
      </c>
      <c r="F103" s="3">
        <v>15</v>
      </c>
      <c r="G103" s="4">
        <v>43992</v>
      </c>
    </row>
    <row r="104" spans="1:18">
      <c r="C104" s="92" t="s">
        <v>4</v>
      </c>
      <c r="D104" s="92" t="s">
        <v>2069</v>
      </c>
      <c r="E104" s="3">
        <v>5</v>
      </c>
      <c r="F104" s="3">
        <v>3</v>
      </c>
      <c r="G104" s="4">
        <v>43466</v>
      </c>
    </row>
    <row r="105" spans="1:18">
      <c r="C105" s="177" t="s">
        <v>4</v>
      </c>
      <c r="D105" s="177" t="s">
        <v>6754</v>
      </c>
      <c r="E105" s="3">
        <v>10</v>
      </c>
      <c r="F105" s="3">
        <v>8</v>
      </c>
      <c r="G105" s="4">
        <v>44866</v>
      </c>
      <c r="I105" s="1">
        <v>65</v>
      </c>
      <c r="J105" s="1">
        <v>350</v>
      </c>
    </row>
    <row r="106" spans="1:18">
      <c r="C106" s="265" t="s">
        <v>7885</v>
      </c>
      <c r="D106" s="265" t="s">
        <v>1006</v>
      </c>
      <c r="E106" s="3">
        <v>684.6</v>
      </c>
      <c r="F106" s="3">
        <f>584.6/21</f>
        <v>27.838095238095239</v>
      </c>
      <c r="G106" s="4">
        <v>45183</v>
      </c>
      <c r="I106" s="1">
        <v>42500</v>
      </c>
      <c r="J106" s="1">
        <v>42500</v>
      </c>
    </row>
    <row r="107" spans="1:18">
      <c r="C107" s="265" t="s">
        <v>2486</v>
      </c>
      <c r="D107" s="265" t="s">
        <v>1006</v>
      </c>
      <c r="E107" s="3">
        <v>1600</v>
      </c>
      <c r="F107" s="3">
        <f>52+47</f>
        <v>99</v>
      </c>
      <c r="G107" s="4">
        <v>44439</v>
      </c>
      <c r="I107" s="1">
        <v>36400</v>
      </c>
      <c r="J107" s="1">
        <v>42500</v>
      </c>
    </row>
    <row r="108" spans="1:18">
      <c r="C108" s="265" t="s">
        <v>504</v>
      </c>
      <c r="D108" s="265" t="s">
        <v>1006</v>
      </c>
      <c r="E108" s="3">
        <v>1000</v>
      </c>
      <c r="F108" s="3">
        <f>900/23</f>
        <v>39.130434782608695</v>
      </c>
      <c r="G108" s="4">
        <v>44228</v>
      </c>
      <c r="I108" s="1">
        <v>27000</v>
      </c>
      <c r="J108" s="1">
        <v>42500</v>
      </c>
    </row>
    <row r="109" spans="1:18">
      <c r="G109" s="4"/>
    </row>
    <row r="110" spans="1:18" s="12" customFormat="1">
      <c r="A110" s="12">
        <v>4</v>
      </c>
      <c r="B110" s="12" t="s">
        <v>7372</v>
      </c>
      <c r="C110" s="13" t="s">
        <v>969</v>
      </c>
      <c r="D110" s="13" t="s">
        <v>968</v>
      </c>
      <c r="E110" s="15"/>
      <c r="F110" s="15">
        <f>SUM(F111:F143)</f>
        <v>1217.7576113097855</v>
      </c>
      <c r="G110" s="14">
        <f>G141</f>
        <v>45240</v>
      </c>
      <c r="I110" s="12">
        <v>58000</v>
      </c>
      <c r="J110" s="23">
        <f>+F110/I110</f>
        <v>2.0995820884651475E-2</v>
      </c>
      <c r="K110" s="12">
        <v>2001</v>
      </c>
      <c r="M110" s="13">
        <v>0</v>
      </c>
      <c r="N110" s="13">
        <v>0</v>
      </c>
      <c r="O110" s="15">
        <f>SUM(F114,F121,F122,F124)</f>
        <v>23.333333333333332</v>
      </c>
      <c r="P110" s="15">
        <f>SUM(F113,F116,F119,F120)</f>
        <v>260.81818181818181</v>
      </c>
      <c r="Q110" s="15">
        <f>SUM(F117,F118,F123,F127)</f>
        <v>99.285714285714292</v>
      </c>
      <c r="R110" s="15">
        <f>SUM(F111,F112,F125,F126)</f>
        <v>179</v>
      </c>
    </row>
    <row r="111" spans="1:18">
      <c r="B111" s="238" t="s">
        <v>7496</v>
      </c>
      <c r="C111" s="2" t="s">
        <v>9</v>
      </c>
      <c r="D111" s="2" t="s">
        <v>803</v>
      </c>
      <c r="E111" s="3">
        <v>325</v>
      </c>
      <c r="F111" s="3">
        <v>65</v>
      </c>
      <c r="G111" s="4">
        <v>44299</v>
      </c>
    </row>
    <row r="112" spans="1:18">
      <c r="C112" s="2" t="s">
        <v>8</v>
      </c>
      <c r="D112" s="2" t="s">
        <v>803</v>
      </c>
      <c r="E112" s="3">
        <v>155</v>
      </c>
      <c r="F112" s="3">
        <v>50</v>
      </c>
      <c r="G112" s="4">
        <v>44166</v>
      </c>
    </row>
    <row r="113" spans="3:13">
      <c r="C113" s="2" t="s">
        <v>7</v>
      </c>
      <c r="D113" s="2" t="s">
        <v>952</v>
      </c>
      <c r="E113" s="3">
        <v>130</v>
      </c>
      <c r="F113" s="3">
        <v>60</v>
      </c>
      <c r="G113" s="4">
        <v>44607</v>
      </c>
      <c r="I113" s="91" t="s">
        <v>5917</v>
      </c>
      <c r="K113" s="1">
        <v>12700</v>
      </c>
      <c r="M113" s="91" t="s">
        <v>5909</v>
      </c>
    </row>
    <row r="114" spans="3:13">
      <c r="C114" s="2" t="s">
        <v>5</v>
      </c>
      <c r="D114" s="2" t="s">
        <v>1086</v>
      </c>
      <c r="E114" s="3">
        <v>28</v>
      </c>
      <c r="F114" s="3">
        <v>6</v>
      </c>
      <c r="G114" s="4">
        <v>44649</v>
      </c>
      <c r="I114" s="91" t="s">
        <v>5920</v>
      </c>
      <c r="K114" s="1">
        <v>6700</v>
      </c>
      <c r="M114" s="238" t="s">
        <v>7507</v>
      </c>
    </row>
    <row r="115" spans="3:13">
      <c r="C115" s="2" t="s">
        <v>18</v>
      </c>
      <c r="D115" s="2" t="s">
        <v>1064</v>
      </c>
      <c r="E115" s="3">
        <v>85</v>
      </c>
      <c r="F115" s="3">
        <v>55</v>
      </c>
      <c r="G115" s="4">
        <v>44501</v>
      </c>
      <c r="I115" s="91" t="s">
        <v>5916</v>
      </c>
      <c r="K115" s="1">
        <v>3750</v>
      </c>
      <c r="M115" s="240" t="s">
        <v>7590</v>
      </c>
    </row>
    <row r="116" spans="3:13">
      <c r="C116" s="2" t="s">
        <v>7</v>
      </c>
      <c r="D116" s="2" t="s">
        <v>1125</v>
      </c>
      <c r="E116" s="3">
        <v>2500</v>
      </c>
      <c r="F116" s="3">
        <f>2000/11</f>
        <v>181.81818181818181</v>
      </c>
      <c r="G116" s="4">
        <v>44363</v>
      </c>
      <c r="I116" s="91" t="s">
        <v>5915</v>
      </c>
      <c r="J116" s="104">
        <v>0.09</v>
      </c>
      <c r="K116" s="1">
        <v>5000</v>
      </c>
    </row>
    <row r="117" spans="3:13">
      <c r="C117" s="2" t="s">
        <v>18</v>
      </c>
      <c r="D117" s="2" t="s">
        <v>1005</v>
      </c>
      <c r="E117" s="3">
        <v>100</v>
      </c>
      <c r="F117" s="3">
        <v>10</v>
      </c>
      <c r="G117" s="4">
        <v>44754</v>
      </c>
      <c r="I117" s="91" t="s">
        <v>5918</v>
      </c>
      <c r="J117" s="19">
        <v>0.13</v>
      </c>
    </row>
    <row r="118" spans="3:13">
      <c r="C118" s="2" t="s">
        <v>18</v>
      </c>
      <c r="D118" s="2" t="s">
        <v>798</v>
      </c>
      <c r="E118" s="3">
        <v>50</v>
      </c>
      <c r="F118" s="3">
        <v>25</v>
      </c>
      <c r="G118" s="4">
        <v>44496</v>
      </c>
      <c r="I118" s="91" t="s">
        <v>5919</v>
      </c>
      <c r="J118" s="19">
        <v>0.35</v>
      </c>
    </row>
    <row r="119" spans="3:13">
      <c r="C119" s="2" t="s">
        <v>7</v>
      </c>
      <c r="D119" s="2" t="s">
        <v>864</v>
      </c>
      <c r="E119" s="3">
        <v>50</v>
      </c>
      <c r="F119" s="3">
        <v>7</v>
      </c>
      <c r="G119" s="4">
        <v>44628</v>
      </c>
      <c r="I119" s="91" t="s">
        <v>5921</v>
      </c>
    </row>
    <row r="120" spans="3:13">
      <c r="C120" s="2" t="s">
        <v>7</v>
      </c>
      <c r="D120" s="2" t="s">
        <v>1008</v>
      </c>
      <c r="E120" s="3">
        <v>30</v>
      </c>
      <c r="F120" s="3">
        <v>12</v>
      </c>
      <c r="G120" s="4">
        <v>44539</v>
      </c>
    </row>
    <row r="121" spans="3:13">
      <c r="C121" s="2" t="s">
        <v>5</v>
      </c>
      <c r="D121" s="2" t="s">
        <v>986</v>
      </c>
      <c r="E121" s="3">
        <v>25</v>
      </c>
      <c r="F121" s="3">
        <v>10</v>
      </c>
      <c r="G121" s="4">
        <v>44615</v>
      </c>
    </row>
    <row r="122" spans="3:13">
      <c r="C122" s="2" t="s">
        <v>5</v>
      </c>
      <c r="D122" s="2" t="s">
        <v>669</v>
      </c>
      <c r="E122" s="3">
        <v>14</v>
      </c>
      <c r="F122" s="3">
        <v>5</v>
      </c>
      <c r="G122" s="4">
        <v>44705</v>
      </c>
    </row>
    <row r="123" spans="3:13">
      <c r="C123" s="2" t="s">
        <v>18</v>
      </c>
      <c r="D123" s="2" t="s">
        <v>883</v>
      </c>
      <c r="E123" s="3">
        <v>200</v>
      </c>
      <c r="F123" s="3">
        <v>50</v>
      </c>
      <c r="G123" s="4">
        <v>44377</v>
      </c>
    </row>
    <row r="124" spans="3:13">
      <c r="C124" s="2" t="s">
        <v>5</v>
      </c>
      <c r="D124" s="2" t="s">
        <v>719</v>
      </c>
      <c r="E124" s="3">
        <v>11</v>
      </c>
      <c r="F124" s="3">
        <f>7/3</f>
        <v>2.3333333333333335</v>
      </c>
      <c r="G124" s="4">
        <v>44483</v>
      </c>
    </row>
    <row r="125" spans="3:13">
      <c r="C125" s="2" t="s">
        <v>504</v>
      </c>
      <c r="D125" s="2" t="s">
        <v>489</v>
      </c>
      <c r="E125" s="3">
        <v>250</v>
      </c>
      <c r="F125" s="3">
        <v>50</v>
      </c>
      <c r="G125" s="4">
        <v>44376</v>
      </c>
    </row>
    <row r="126" spans="3:13">
      <c r="C126" s="2" t="s">
        <v>9</v>
      </c>
      <c r="D126" s="2" t="s">
        <v>489</v>
      </c>
      <c r="E126" s="3">
        <v>206</v>
      </c>
      <c r="F126" s="3">
        <v>14</v>
      </c>
      <c r="G126" s="4">
        <v>43725</v>
      </c>
    </row>
    <row r="127" spans="3:13">
      <c r="C127" s="2" t="s">
        <v>18</v>
      </c>
      <c r="D127" s="2" t="s">
        <v>374</v>
      </c>
      <c r="E127" s="3">
        <v>130</v>
      </c>
      <c r="F127" s="3">
        <f>100/7</f>
        <v>14.285714285714286</v>
      </c>
      <c r="G127" s="4">
        <v>44323</v>
      </c>
    </row>
    <row r="128" spans="3:13">
      <c r="C128" s="2" t="s">
        <v>5</v>
      </c>
      <c r="D128" s="2" t="s">
        <v>281</v>
      </c>
      <c r="E128" s="3">
        <v>32</v>
      </c>
      <c r="F128" s="3">
        <v>11</v>
      </c>
      <c r="G128" s="4">
        <v>44851</v>
      </c>
    </row>
    <row r="129" spans="3:10">
      <c r="C129" s="2" t="s">
        <v>5</v>
      </c>
      <c r="D129" s="2" t="s">
        <v>281</v>
      </c>
      <c r="E129" s="3">
        <v>26</v>
      </c>
      <c r="F129" s="3">
        <v>13</v>
      </c>
      <c r="G129" s="4">
        <v>44453</v>
      </c>
    </row>
    <row r="130" spans="3:10">
      <c r="C130" s="2" t="s">
        <v>8</v>
      </c>
      <c r="D130" s="2" t="s">
        <v>253</v>
      </c>
      <c r="E130" s="3">
        <v>600</v>
      </c>
      <c r="F130" s="3">
        <v>100</v>
      </c>
      <c r="G130" s="4">
        <v>44502</v>
      </c>
      <c r="I130" s="1">
        <v>8600</v>
      </c>
      <c r="J130" s="1">
        <v>8600</v>
      </c>
    </row>
    <row r="131" spans="3:10">
      <c r="C131" s="2" t="s">
        <v>9</v>
      </c>
      <c r="D131" s="2" t="s">
        <v>154</v>
      </c>
      <c r="E131" s="3">
        <v>400</v>
      </c>
      <c r="F131" s="3">
        <v>80</v>
      </c>
      <c r="G131" s="4">
        <v>44413</v>
      </c>
    </row>
    <row r="132" spans="3:10">
      <c r="C132" s="2" t="s">
        <v>8</v>
      </c>
      <c r="D132" s="2" t="s">
        <v>154</v>
      </c>
      <c r="E132" s="3">
        <v>100</v>
      </c>
      <c r="F132" s="3">
        <f>75/6</f>
        <v>12.5</v>
      </c>
      <c r="G132" s="4">
        <v>44067</v>
      </c>
    </row>
    <row r="133" spans="3:10">
      <c r="C133" s="2" t="s">
        <v>9</v>
      </c>
      <c r="D133" s="2" t="s">
        <v>55</v>
      </c>
      <c r="E133" s="3">
        <v>250</v>
      </c>
      <c r="F133" s="3">
        <f>150/5</f>
        <v>30</v>
      </c>
      <c r="G133" s="4">
        <v>44350</v>
      </c>
      <c r="I133" s="1">
        <v>7000</v>
      </c>
      <c r="J133" s="1">
        <v>7000</v>
      </c>
    </row>
    <row r="134" spans="3:10">
      <c r="C134" s="52" t="s">
        <v>18</v>
      </c>
      <c r="D134" s="52" t="s">
        <v>2118</v>
      </c>
      <c r="E134" s="3">
        <v>300</v>
      </c>
      <c r="F134" s="3">
        <v>50</v>
      </c>
      <c r="G134" s="4">
        <v>44300</v>
      </c>
      <c r="I134" s="1">
        <v>700</v>
      </c>
      <c r="J134" s="1">
        <v>700</v>
      </c>
    </row>
    <row r="135" spans="3:10">
      <c r="C135" s="52" t="s">
        <v>8</v>
      </c>
      <c r="D135" s="52" t="s">
        <v>4881</v>
      </c>
      <c r="E135" s="3">
        <v>83</v>
      </c>
      <c r="F135" s="3">
        <v>15</v>
      </c>
      <c r="G135" s="4">
        <v>44320</v>
      </c>
      <c r="I135" s="1">
        <v>3600</v>
      </c>
      <c r="J135" s="1">
        <v>3600</v>
      </c>
    </row>
    <row r="136" spans="3:10">
      <c r="C136" s="92" t="s">
        <v>18</v>
      </c>
      <c r="D136" s="92" t="s">
        <v>2101</v>
      </c>
      <c r="E136" s="3">
        <v>100</v>
      </c>
      <c r="F136" s="3">
        <v>60</v>
      </c>
      <c r="G136" s="4">
        <v>44397</v>
      </c>
    </row>
    <row r="137" spans="3:10">
      <c r="C137" s="92" t="s">
        <v>18</v>
      </c>
      <c r="D137" s="92" t="s">
        <v>2090</v>
      </c>
      <c r="E137" s="3">
        <v>80</v>
      </c>
      <c r="F137" s="3">
        <v>10</v>
      </c>
      <c r="G137" s="4">
        <v>44637</v>
      </c>
      <c r="I137" s="1">
        <v>1500</v>
      </c>
      <c r="J137" s="1">
        <v>1500</v>
      </c>
    </row>
    <row r="138" spans="3:10">
      <c r="C138" s="92" t="s">
        <v>7</v>
      </c>
      <c r="D138" s="92" t="s">
        <v>5438</v>
      </c>
      <c r="E138" s="3">
        <v>75</v>
      </c>
      <c r="F138" s="3">
        <v>25</v>
      </c>
      <c r="G138" s="4">
        <v>44677</v>
      </c>
    </row>
    <row r="139" spans="3:10">
      <c r="C139" s="92" t="s">
        <v>5913</v>
      </c>
      <c r="D139" s="92" t="s">
        <v>0</v>
      </c>
      <c r="E139" s="3">
        <v>50</v>
      </c>
      <c r="F139" s="3">
        <v>50</v>
      </c>
      <c r="G139" s="103" t="s">
        <v>5914</v>
      </c>
    </row>
    <row r="140" spans="3:10">
      <c r="C140" s="92" t="s">
        <v>18</v>
      </c>
      <c r="D140" s="92" t="s">
        <v>5647</v>
      </c>
      <c r="E140" s="3">
        <v>75</v>
      </c>
      <c r="F140" s="3">
        <v>25</v>
      </c>
      <c r="G140" s="4">
        <v>44627</v>
      </c>
    </row>
    <row r="141" spans="3:10">
      <c r="C141" s="265" t="s">
        <v>7885</v>
      </c>
      <c r="D141" s="265" t="s">
        <v>1006</v>
      </c>
      <c r="E141" s="3">
        <v>684.6</v>
      </c>
      <c r="F141" s="266">
        <f>584.6/21</f>
        <v>27.838095238095239</v>
      </c>
      <c r="G141" s="4">
        <v>45240</v>
      </c>
      <c r="I141" s="1">
        <v>42500</v>
      </c>
      <c r="J141" s="1">
        <v>42500</v>
      </c>
    </row>
    <row r="142" spans="3:10">
      <c r="C142" s="265" t="s">
        <v>2486</v>
      </c>
      <c r="D142" s="265" t="s">
        <v>1006</v>
      </c>
      <c r="E142" s="3">
        <v>1600</v>
      </c>
      <c r="F142" s="3">
        <v>51.851851851851855</v>
      </c>
      <c r="G142" s="4">
        <v>44439</v>
      </c>
      <c r="I142" s="1">
        <v>36400</v>
      </c>
      <c r="J142" s="1">
        <v>42500</v>
      </c>
    </row>
    <row r="143" spans="3:10">
      <c r="C143" s="265" t="s">
        <v>504</v>
      </c>
      <c r="D143" s="265" t="s">
        <v>1006</v>
      </c>
      <c r="E143" s="3">
        <v>1000</v>
      </c>
      <c r="F143" s="3">
        <f>900/23</f>
        <v>39.130434782608695</v>
      </c>
      <c r="G143" s="4">
        <v>44228</v>
      </c>
      <c r="I143" s="1">
        <v>27000</v>
      </c>
      <c r="J143" s="1">
        <v>42500</v>
      </c>
    </row>
    <row r="144" spans="3:10">
      <c r="G144" s="4"/>
    </row>
    <row r="145" spans="1:18" s="12" customFormat="1">
      <c r="A145" s="12">
        <v>5</v>
      </c>
      <c r="B145" s="12" t="s">
        <v>1141</v>
      </c>
      <c r="C145" s="13" t="s">
        <v>969</v>
      </c>
      <c r="D145" s="13" t="s">
        <v>968</v>
      </c>
      <c r="E145" s="15"/>
      <c r="F145" s="15">
        <f>SUM(F146:F154)</f>
        <v>1207.3004684526422</v>
      </c>
      <c r="G145" s="14">
        <f>G149</f>
        <v>44502</v>
      </c>
      <c r="I145" s="13" t="s">
        <v>1</v>
      </c>
      <c r="J145" s="13" t="s">
        <v>1</v>
      </c>
      <c r="K145" s="13" t="s">
        <v>1</v>
      </c>
      <c r="M145" s="13">
        <v>0</v>
      </c>
      <c r="N145" s="13">
        <v>0</v>
      </c>
      <c r="O145" s="15">
        <f>F147</f>
        <v>250</v>
      </c>
      <c r="P145" s="15">
        <f>F146</f>
        <v>181.81818181818181</v>
      </c>
      <c r="Q145" s="13">
        <v>0</v>
      </c>
      <c r="R145" s="15">
        <f>F148</f>
        <v>22</v>
      </c>
    </row>
    <row r="146" spans="1:18">
      <c r="B146" s="238" t="s">
        <v>7521</v>
      </c>
      <c r="C146" s="2" t="s">
        <v>7</v>
      </c>
      <c r="D146" s="2" t="s">
        <v>1125</v>
      </c>
      <c r="E146" s="3">
        <v>2500</v>
      </c>
      <c r="F146" s="3">
        <f>2000/11</f>
        <v>181.81818181818181</v>
      </c>
      <c r="G146" s="4">
        <v>44363</v>
      </c>
      <c r="I146" s="265" t="s">
        <v>7886</v>
      </c>
    </row>
    <row r="147" spans="1:18">
      <c r="B147" s="254" t="s">
        <v>7626</v>
      </c>
      <c r="C147" s="2" t="s">
        <v>5</v>
      </c>
      <c r="D147" s="2" t="s">
        <v>1125</v>
      </c>
      <c r="E147" s="3">
        <v>3000</v>
      </c>
      <c r="F147" s="3">
        <v>250</v>
      </c>
      <c r="G147" s="4">
        <v>43963</v>
      </c>
    </row>
    <row r="148" spans="1:18">
      <c r="C148" s="2" t="s">
        <v>53</v>
      </c>
      <c r="D148" s="2" t="s">
        <v>489</v>
      </c>
      <c r="E148" s="3">
        <v>270</v>
      </c>
      <c r="F148" s="3">
        <v>22</v>
      </c>
      <c r="G148" s="4">
        <v>44152</v>
      </c>
    </row>
    <row r="149" spans="1:18">
      <c r="C149" s="2" t="s">
        <v>8</v>
      </c>
      <c r="D149" s="2" t="s">
        <v>253</v>
      </c>
      <c r="E149" s="3">
        <v>600</v>
      </c>
      <c r="F149" s="3">
        <f>500/8</f>
        <v>62.5</v>
      </c>
      <c r="G149" s="4">
        <v>44502</v>
      </c>
    </row>
    <row r="150" spans="1:18">
      <c r="C150" s="2" t="s">
        <v>18</v>
      </c>
      <c r="D150" s="2" t="s">
        <v>253</v>
      </c>
      <c r="E150" s="3">
        <v>500</v>
      </c>
      <c r="F150" s="3">
        <v>200</v>
      </c>
      <c r="G150" s="4">
        <v>44144</v>
      </c>
    </row>
    <row r="151" spans="1:18">
      <c r="C151" s="265" t="s">
        <v>7885</v>
      </c>
      <c r="D151" s="265" t="s">
        <v>1006</v>
      </c>
      <c r="E151" s="3">
        <v>684.6</v>
      </c>
      <c r="F151" s="3">
        <v>100</v>
      </c>
      <c r="G151" s="4">
        <v>45183</v>
      </c>
      <c r="I151" s="1">
        <v>42500</v>
      </c>
      <c r="J151" s="1">
        <v>42500</v>
      </c>
    </row>
    <row r="152" spans="1:18">
      <c r="C152" s="265" t="s">
        <v>2486</v>
      </c>
      <c r="D152" s="265" t="s">
        <v>1006</v>
      </c>
      <c r="E152" s="3">
        <v>1600</v>
      </c>
      <c r="F152" s="3">
        <v>51.851851851851855</v>
      </c>
      <c r="G152" s="4">
        <v>44439</v>
      </c>
      <c r="I152" s="1">
        <v>36400</v>
      </c>
      <c r="J152" s="1">
        <v>42500</v>
      </c>
    </row>
    <row r="153" spans="1:18">
      <c r="C153" s="265" t="s">
        <v>504</v>
      </c>
      <c r="D153" s="265" t="s">
        <v>1006</v>
      </c>
      <c r="E153" s="3">
        <v>1000</v>
      </c>
      <c r="F153" s="3">
        <f>900/23</f>
        <v>39.130434782608695</v>
      </c>
      <c r="G153" s="4">
        <v>44228</v>
      </c>
      <c r="I153" s="1">
        <v>27000</v>
      </c>
      <c r="J153" s="1">
        <v>42500</v>
      </c>
    </row>
    <row r="154" spans="1:18">
      <c r="C154" s="265" t="s">
        <v>1</v>
      </c>
      <c r="D154" s="265" t="s">
        <v>3930</v>
      </c>
      <c r="E154" s="3">
        <v>1200</v>
      </c>
      <c r="F154" s="3">
        <f>E154/4</f>
        <v>300</v>
      </c>
      <c r="G154" s="4">
        <v>43592</v>
      </c>
      <c r="I154" s="1">
        <v>17900</v>
      </c>
    </row>
    <row r="155" spans="1:18">
      <c r="G155" s="4"/>
    </row>
    <row r="156" spans="1:18" s="12" customFormat="1">
      <c r="A156" s="12">
        <v>6</v>
      </c>
      <c r="B156" s="12" t="s">
        <v>1143</v>
      </c>
      <c r="C156" s="13" t="s">
        <v>969</v>
      </c>
      <c r="D156" s="13" t="s">
        <v>968</v>
      </c>
      <c r="E156" s="15"/>
      <c r="F156" s="15">
        <f>SUM(F157:F163)</f>
        <v>753.15151515151513</v>
      </c>
      <c r="G156" s="14">
        <f>+G157</f>
        <v>44363</v>
      </c>
      <c r="I156" s="13" t="s">
        <v>1</v>
      </c>
      <c r="J156" s="13" t="s">
        <v>1</v>
      </c>
      <c r="K156" s="13" t="s">
        <v>1</v>
      </c>
      <c r="M156" s="13">
        <v>0</v>
      </c>
      <c r="N156" s="13">
        <v>0</v>
      </c>
      <c r="O156" s="15">
        <f>F158</f>
        <v>500</v>
      </c>
      <c r="P156" s="15">
        <f>F157</f>
        <v>181.81818181818181</v>
      </c>
      <c r="Q156" s="13">
        <v>0</v>
      </c>
      <c r="R156" s="15">
        <f>F159</f>
        <v>25</v>
      </c>
    </row>
    <row r="157" spans="1:18">
      <c r="B157" s="238" t="s">
        <v>7449</v>
      </c>
      <c r="C157" s="2" t="s">
        <v>7</v>
      </c>
      <c r="D157" s="2" t="s">
        <v>1125</v>
      </c>
      <c r="E157" s="3">
        <v>2500</v>
      </c>
      <c r="F157" s="3">
        <f>2000/11</f>
        <v>181.81818181818181</v>
      </c>
      <c r="G157" s="4">
        <v>44363</v>
      </c>
    </row>
    <row r="158" spans="1:18">
      <c r="B158" s="238" t="s">
        <v>7522</v>
      </c>
      <c r="C158" s="2" t="s">
        <v>5</v>
      </c>
      <c r="D158" s="2" t="s">
        <v>1125</v>
      </c>
      <c r="E158" s="3">
        <v>3000</v>
      </c>
      <c r="F158" s="3">
        <v>500</v>
      </c>
      <c r="G158" s="4">
        <v>43892</v>
      </c>
    </row>
    <row r="159" spans="1:18">
      <c r="B159" s="253" t="s">
        <v>7627</v>
      </c>
      <c r="C159" s="2" t="s">
        <v>8</v>
      </c>
      <c r="D159" s="2" t="s">
        <v>520</v>
      </c>
      <c r="E159" s="3">
        <v>100</v>
      </c>
      <c r="F159" s="3">
        <v>25</v>
      </c>
      <c r="G159" s="4">
        <v>44419</v>
      </c>
    </row>
    <row r="160" spans="1:18">
      <c r="C160" s="2" t="s">
        <v>7</v>
      </c>
      <c r="D160" s="2" t="s">
        <v>310</v>
      </c>
      <c r="E160" s="3">
        <v>40</v>
      </c>
      <c r="F160" s="3">
        <v>4</v>
      </c>
      <c r="G160" s="4">
        <v>43419</v>
      </c>
    </row>
    <row r="161" spans="1:18">
      <c r="C161" s="2" t="s">
        <v>8</v>
      </c>
      <c r="D161" s="2" t="s">
        <v>211</v>
      </c>
      <c r="E161" s="3">
        <v>700</v>
      </c>
      <c r="F161" s="3">
        <f>400/12</f>
        <v>33.333333333333336</v>
      </c>
      <c r="G161" s="4">
        <v>44218</v>
      </c>
    </row>
    <row r="162" spans="1:18">
      <c r="C162" s="92" t="s">
        <v>7</v>
      </c>
      <c r="D162" s="92" t="s">
        <v>5988</v>
      </c>
      <c r="E162" s="3">
        <v>50</v>
      </c>
      <c r="F162" s="3">
        <v>7</v>
      </c>
      <c r="G162" s="4">
        <v>44670</v>
      </c>
      <c r="J162" s="1">
        <v>250</v>
      </c>
    </row>
    <row r="163" spans="1:18">
      <c r="C163" s="92" t="s">
        <v>5</v>
      </c>
      <c r="D163" s="92" t="s">
        <v>5988</v>
      </c>
      <c r="E163" s="3">
        <v>12</v>
      </c>
      <c r="F163" s="3">
        <v>2</v>
      </c>
      <c r="G163" s="4">
        <v>43941</v>
      </c>
      <c r="J163" s="1">
        <v>250</v>
      </c>
    </row>
    <row r="164" spans="1:18">
      <c r="G164" s="4"/>
    </row>
    <row r="165" spans="1:18" s="12" customFormat="1">
      <c r="A165" s="12">
        <v>7</v>
      </c>
      <c r="B165" s="12" t="s">
        <v>1142</v>
      </c>
      <c r="C165" s="13" t="s">
        <v>969</v>
      </c>
      <c r="D165" s="13" t="s">
        <v>968</v>
      </c>
      <c r="E165" s="15"/>
      <c r="F165" s="15">
        <f>SUM(F166:F170)</f>
        <v>744.31818181818176</v>
      </c>
      <c r="G165" s="14">
        <f>G168</f>
        <v>44819</v>
      </c>
      <c r="I165" s="12">
        <v>92000</v>
      </c>
      <c r="J165" s="22">
        <f>+F165/I165</f>
        <v>8.090415019762846E-3</v>
      </c>
      <c r="K165" s="12">
        <v>1999</v>
      </c>
      <c r="M165" s="13">
        <v>0</v>
      </c>
      <c r="N165" s="13">
        <v>0</v>
      </c>
      <c r="O165" s="15">
        <f>SUM(F167:F168)</f>
        <v>503</v>
      </c>
      <c r="P165" s="15">
        <f>SUM(F166)</f>
        <v>181.81818181818181</v>
      </c>
      <c r="Q165" s="13">
        <v>0</v>
      </c>
      <c r="R165" s="15">
        <f>SUM(F169)</f>
        <v>22</v>
      </c>
    </row>
    <row r="166" spans="1:18">
      <c r="B166" s="238" t="s">
        <v>7450</v>
      </c>
      <c r="C166" s="2" t="s">
        <v>7</v>
      </c>
      <c r="D166" s="2" t="s">
        <v>1125</v>
      </c>
      <c r="E166" s="3">
        <v>2500</v>
      </c>
      <c r="F166" s="3">
        <f>2000/11</f>
        <v>181.81818181818181</v>
      </c>
      <c r="G166" s="4">
        <v>44363</v>
      </c>
    </row>
    <row r="167" spans="1:18">
      <c r="B167" s="254" t="s">
        <v>7626</v>
      </c>
      <c r="C167" s="2" t="s">
        <v>5</v>
      </c>
      <c r="D167" s="2" t="s">
        <v>1125</v>
      </c>
      <c r="E167" s="3">
        <v>3000</v>
      </c>
      <c r="F167" s="3">
        <v>500</v>
      </c>
      <c r="G167" s="4">
        <v>43892</v>
      </c>
    </row>
    <row r="168" spans="1:18">
      <c r="C168" s="2" t="s">
        <v>5</v>
      </c>
      <c r="D168" s="2" t="s">
        <v>1017</v>
      </c>
      <c r="E168" s="3">
        <v>10.6</v>
      </c>
      <c r="F168" s="3">
        <v>3</v>
      </c>
      <c r="G168" s="4">
        <v>44819</v>
      </c>
    </row>
    <row r="169" spans="1:18">
      <c r="C169" s="2" t="s">
        <v>53</v>
      </c>
      <c r="D169" s="2" t="s">
        <v>489</v>
      </c>
      <c r="E169" s="3">
        <v>270</v>
      </c>
      <c r="F169" s="3">
        <v>22</v>
      </c>
      <c r="G169" s="4">
        <v>44152</v>
      </c>
    </row>
    <row r="170" spans="1:18">
      <c r="C170" s="2" t="s">
        <v>9</v>
      </c>
      <c r="D170" s="2" t="s">
        <v>47</v>
      </c>
      <c r="E170" s="3">
        <v>248</v>
      </c>
      <c r="F170" s="3">
        <f>150/4</f>
        <v>37.5</v>
      </c>
      <c r="G170" s="4">
        <v>43678</v>
      </c>
    </row>
    <row r="171" spans="1:18">
      <c r="G171" s="4"/>
    </row>
    <row r="172" spans="1:18" s="12" customFormat="1">
      <c r="A172" s="12">
        <v>8</v>
      </c>
      <c r="B172" s="12" t="s">
        <v>1140</v>
      </c>
      <c r="C172" s="13" t="s">
        <v>969</v>
      </c>
      <c r="D172" s="13" t="s">
        <v>968</v>
      </c>
      <c r="E172" s="15"/>
      <c r="F172" s="15">
        <f>SUM(F173:F178)</f>
        <v>756.6700336700336</v>
      </c>
      <c r="G172" s="14">
        <f>+G175</f>
        <v>45020</v>
      </c>
      <c r="I172" s="13" t="s">
        <v>1</v>
      </c>
      <c r="J172" s="13" t="s">
        <v>1</v>
      </c>
      <c r="K172" s="13" t="s">
        <v>1</v>
      </c>
      <c r="M172" s="13">
        <v>0</v>
      </c>
      <c r="N172" s="13">
        <v>0</v>
      </c>
      <c r="O172" s="15">
        <f>F174</f>
        <v>500</v>
      </c>
      <c r="P172" s="15">
        <f>F173</f>
        <v>181.81818181818181</v>
      </c>
      <c r="Q172" s="15">
        <f>SUM(F175:F176)</f>
        <v>17</v>
      </c>
      <c r="R172" s="13">
        <v>0</v>
      </c>
    </row>
    <row r="173" spans="1:18">
      <c r="B173" s="238" t="s">
        <v>7451</v>
      </c>
      <c r="C173" s="2" t="s">
        <v>7</v>
      </c>
      <c r="D173" s="2" t="s">
        <v>1125</v>
      </c>
      <c r="E173" s="3">
        <v>2500</v>
      </c>
      <c r="F173" s="3">
        <f>2000/11</f>
        <v>181.81818181818181</v>
      </c>
      <c r="G173" s="4">
        <v>44363</v>
      </c>
    </row>
    <row r="174" spans="1:18">
      <c r="B174" s="254" t="s">
        <v>7626</v>
      </c>
      <c r="C174" s="2" t="s">
        <v>5</v>
      </c>
      <c r="D174" s="2" t="s">
        <v>1125</v>
      </c>
      <c r="E174" s="3">
        <v>3000</v>
      </c>
      <c r="F174" s="3">
        <v>500</v>
      </c>
      <c r="G174" s="4">
        <v>43892</v>
      </c>
    </row>
    <row r="175" spans="1:18">
      <c r="C175" s="2" t="s">
        <v>18</v>
      </c>
      <c r="D175" s="2" t="s">
        <v>424</v>
      </c>
      <c r="E175" s="3">
        <v>75</v>
      </c>
      <c r="F175" s="3">
        <v>7</v>
      </c>
      <c r="G175" s="4">
        <v>45020</v>
      </c>
    </row>
    <row r="176" spans="1:18">
      <c r="C176" s="2" t="s">
        <v>18</v>
      </c>
      <c r="D176" s="2" t="s">
        <v>424</v>
      </c>
      <c r="E176" s="3">
        <v>80</v>
      </c>
      <c r="F176" s="3">
        <v>10</v>
      </c>
      <c r="G176" s="4">
        <v>44404</v>
      </c>
    </row>
    <row r="177" spans="1:18">
      <c r="C177" s="2" t="s">
        <v>5</v>
      </c>
      <c r="D177" s="2" t="s">
        <v>313</v>
      </c>
      <c r="E177" s="3">
        <v>57</v>
      </c>
      <c r="F177" s="3">
        <v>6</v>
      </c>
      <c r="G177" s="4">
        <v>44508</v>
      </c>
    </row>
    <row r="178" spans="1:18">
      <c r="C178" s="265" t="s">
        <v>2486</v>
      </c>
      <c r="D178" s="265" t="s">
        <v>1006</v>
      </c>
      <c r="E178" s="3">
        <f>1600</f>
        <v>1600</v>
      </c>
      <c r="F178" s="3">
        <f>1400/27</f>
        <v>51.851851851851855</v>
      </c>
      <c r="G178" s="4">
        <v>44439</v>
      </c>
      <c r="I178" s="1">
        <v>36400</v>
      </c>
      <c r="J178" s="1">
        <v>42500</v>
      </c>
    </row>
    <row r="179" spans="1:18">
      <c r="C179" s="265" t="s">
        <v>504</v>
      </c>
      <c r="D179" s="265" t="s">
        <v>1006</v>
      </c>
      <c r="E179" s="3">
        <v>1000</v>
      </c>
      <c r="F179" s="3">
        <f>900/23</f>
        <v>39.130434782608695</v>
      </c>
      <c r="G179" s="4">
        <v>44228</v>
      </c>
      <c r="I179" s="1">
        <v>27000</v>
      </c>
      <c r="J179" s="1">
        <v>42500</v>
      </c>
    </row>
    <row r="180" spans="1:18">
      <c r="G180" s="4"/>
    </row>
    <row r="181" spans="1:18" s="12" customFormat="1">
      <c r="A181" s="12">
        <v>9</v>
      </c>
      <c r="B181" s="12" t="s">
        <v>1139</v>
      </c>
      <c r="C181" s="13" t="s">
        <v>969</v>
      </c>
      <c r="D181" s="13" t="s">
        <v>968</v>
      </c>
      <c r="E181" s="15"/>
      <c r="F181" s="15">
        <f>SUM(F182:F193)</f>
        <v>795.82427797645187</v>
      </c>
      <c r="G181" s="14">
        <f>G193</f>
        <v>45265</v>
      </c>
      <c r="I181" s="2" t="s">
        <v>1</v>
      </c>
      <c r="J181" s="2" t="s">
        <v>1</v>
      </c>
      <c r="K181" s="2" t="s">
        <v>1</v>
      </c>
      <c r="M181" s="13">
        <v>0</v>
      </c>
      <c r="N181" s="13">
        <v>0</v>
      </c>
      <c r="O181" s="15">
        <f>F183</f>
        <v>250</v>
      </c>
      <c r="P181" s="15">
        <f>SUM(F182,F184,F185,F186)</f>
        <v>235.81818181818181</v>
      </c>
      <c r="Q181" s="13">
        <v>0</v>
      </c>
      <c r="R181" s="13">
        <v>0</v>
      </c>
    </row>
    <row r="182" spans="1:18">
      <c r="B182" s="238" t="s">
        <v>7521</v>
      </c>
      <c r="C182" s="2" t="s">
        <v>7</v>
      </c>
      <c r="D182" s="2" t="s">
        <v>1125</v>
      </c>
      <c r="E182" s="3">
        <v>2500</v>
      </c>
      <c r="F182" s="3">
        <f>2000/11</f>
        <v>181.81818181818181</v>
      </c>
      <c r="G182" s="4">
        <v>44363</v>
      </c>
    </row>
    <row r="183" spans="1:18">
      <c r="B183" s="254" t="s">
        <v>7626</v>
      </c>
      <c r="C183" s="2" t="s">
        <v>5</v>
      </c>
      <c r="D183" s="2" t="s">
        <v>1125</v>
      </c>
      <c r="E183" s="3">
        <v>3000</v>
      </c>
      <c r="F183" s="3">
        <v>250</v>
      </c>
      <c r="G183" s="4">
        <v>43963</v>
      </c>
    </row>
    <row r="184" spans="1:18">
      <c r="C184" s="2" t="s">
        <v>7</v>
      </c>
      <c r="D184" s="2" t="s">
        <v>1072</v>
      </c>
      <c r="E184" s="3">
        <v>37</v>
      </c>
      <c r="F184" s="3">
        <v>4</v>
      </c>
      <c r="G184" s="4">
        <v>44860</v>
      </c>
    </row>
    <row r="185" spans="1:18">
      <c r="C185" s="2" t="s">
        <v>7</v>
      </c>
      <c r="D185" s="2" t="s">
        <v>1072</v>
      </c>
      <c r="E185" s="3">
        <v>30</v>
      </c>
      <c r="F185" s="3">
        <v>30</v>
      </c>
      <c r="G185" s="4">
        <v>44706</v>
      </c>
    </row>
    <row r="186" spans="1:18">
      <c r="C186" s="2" t="s">
        <v>7</v>
      </c>
      <c r="D186" s="2" t="s">
        <v>1072</v>
      </c>
      <c r="E186" s="3">
        <v>80</v>
      </c>
      <c r="F186" s="3">
        <v>20</v>
      </c>
      <c r="G186" s="4">
        <v>44327</v>
      </c>
    </row>
    <row r="187" spans="1:18">
      <c r="C187" s="2" t="s">
        <v>8</v>
      </c>
      <c r="D187" s="2" t="s">
        <v>253</v>
      </c>
      <c r="E187" s="3">
        <v>600</v>
      </c>
      <c r="F187" s="3">
        <f>500/8</f>
        <v>62.5</v>
      </c>
      <c r="G187" s="4">
        <v>44502</v>
      </c>
    </row>
    <row r="188" spans="1:18">
      <c r="C188" s="2" t="s">
        <v>18</v>
      </c>
      <c r="D188" s="2" t="s">
        <v>253</v>
      </c>
      <c r="E188" s="3">
        <v>500</v>
      </c>
      <c r="F188" s="3">
        <f>300/4</f>
        <v>75</v>
      </c>
      <c r="G188" s="4">
        <v>44144</v>
      </c>
    </row>
    <row r="189" spans="1:18">
      <c r="C189" s="2" t="s">
        <v>8</v>
      </c>
      <c r="D189" s="2" t="s">
        <v>176</v>
      </c>
      <c r="E189" s="3">
        <v>130</v>
      </c>
      <c r="F189" s="3">
        <v>22</v>
      </c>
      <c r="G189" s="4">
        <v>42080</v>
      </c>
      <c r="I189" s="1">
        <v>570</v>
      </c>
    </row>
    <row r="190" spans="1:18">
      <c r="C190" s="2" t="s">
        <v>9</v>
      </c>
      <c r="D190" s="2" t="s">
        <v>22</v>
      </c>
      <c r="E190" s="3">
        <v>222</v>
      </c>
      <c r="F190" s="3">
        <f>200/21</f>
        <v>9.5238095238095237</v>
      </c>
      <c r="G190" s="4">
        <v>44194</v>
      </c>
      <c r="I190" s="1">
        <v>2500</v>
      </c>
      <c r="J190" s="1">
        <v>2500</v>
      </c>
    </row>
    <row r="191" spans="1:18">
      <c r="C191" s="265" t="s">
        <v>2486</v>
      </c>
      <c r="D191" s="265" t="s">
        <v>1006</v>
      </c>
      <c r="E191" s="3">
        <v>1600</v>
      </c>
      <c r="F191" s="3">
        <f>1400/27</f>
        <v>51.851851851851855</v>
      </c>
      <c r="G191" s="4">
        <v>44439</v>
      </c>
      <c r="I191" s="1">
        <v>36400</v>
      </c>
      <c r="J191" s="1">
        <v>42500</v>
      </c>
    </row>
    <row r="192" spans="1:18">
      <c r="C192" s="265" t="s">
        <v>504</v>
      </c>
      <c r="D192" s="265" t="s">
        <v>1006</v>
      </c>
      <c r="E192" s="3">
        <v>1000</v>
      </c>
      <c r="F192" s="3">
        <f>900/23</f>
        <v>39.130434782608695</v>
      </c>
      <c r="G192" s="4">
        <v>44228</v>
      </c>
      <c r="I192" s="1">
        <v>27000</v>
      </c>
      <c r="J192" s="1">
        <v>42500</v>
      </c>
    </row>
    <row r="193" spans="1:18">
      <c r="C193" s="265" t="s">
        <v>9</v>
      </c>
      <c r="D193" s="265" t="s">
        <v>4881</v>
      </c>
      <c r="E193" s="3">
        <v>118</v>
      </c>
      <c r="F193" s="3">
        <v>50</v>
      </c>
      <c r="G193" s="4">
        <v>45265</v>
      </c>
      <c r="I193" s="1">
        <v>9000</v>
      </c>
      <c r="J193" s="1">
        <v>9000</v>
      </c>
    </row>
    <row r="194" spans="1:18">
      <c r="G194" s="4"/>
    </row>
    <row r="195" spans="1:18">
      <c r="B195" s="12" t="s">
        <v>9429</v>
      </c>
      <c r="C195" s="13" t="s">
        <v>969</v>
      </c>
      <c r="D195" s="13" t="s">
        <v>968</v>
      </c>
      <c r="F195" s="15">
        <f>SUM(F196:F197)</f>
        <v>600</v>
      </c>
      <c r="G195" s="14">
        <f>G196</f>
        <v>44462</v>
      </c>
      <c r="M195" s="1"/>
      <c r="N195" s="1"/>
      <c r="O195" s="1"/>
      <c r="P195" s="1"/>
      <c r="Q195" s="1"/>
      <c r="R195" s="1"/>
    </row>
    <row r="196" spans="1:18">
      <c r="B196" s="254" t="s">
        <v>7626</v>
      </c>
      <c r="C196" s="2" t="s">
        <v>18</v>
      </c>
      <c r="D196" s="2" t="s">
        <v>197</v>
      </c>
      <c r="E196" s="3">
        <v>300</v>
      </c>
      <c r="F196" s="3">
        <v>300</v>
      </c>
      <c r="G196" s="4">
        <v>44462</v>
      </c>
      <c r="I196" s="5"/>
      <c r="J196" s="5"/>
    </row>
    <row r="197" spans="1:18">
      <c r="B197" s="176"/>
      <c r="C197" s="265" t="s">
        <v>1</v>
      </c>
      <c r="D197" s="265" t="s">
        <v>3930</v>
      </c>
      <c r="E197" s="3">
        <v>1200</v>
      </c>
      <c r="F197" s="3">
        <v>300</v>
      </c>
      <c r="G197" s="4">
        <v>43592</v>
      </c>
      <c r="I197" s="5">
        <v>17900</v>
      </c>
      <c r="J197" s="5"/>
    </row>
    <row r="198" spans="1:18">
      <c r="B198" s="176"/>
      <c r="C198" s="265"/>
      <c r="D198" s="265"/>
      <c r="G198" s="4"/>
      <c r="I198" s="5"/>
      <c r="J198" s="5"/>
    </row>
    <row r="199" spans="1:18">
      <c r="A199" s="1">
        <v>10</v>
      </c>
      <c r="B199" s="12" t="s">
        <v>7373</v>
      </c>
      <c r="C199" s="13" t="s">
        <v>969</v>
      </c>
      <c r="D199" s="13" t="s">
        <v>968</v>
      </c>
      <c r="F199" s="15">
        <f>SUM(F200:F236)</f>
        <v>564.19761904761913</v>
      </c>
      <c r="G199" s="14">
        <f>G207</f>
        <v>45090</v>
      </c>
      <c r="I199" s="12">
        <v>18000</v>
      </c>
      <c r="J199" s="22">
        <f>+F199/I199</f>
        <v>3.1344312169312175E-2</v>
      </c>
      <c r="K199" s="12">
        <v>2000</v>
      </c>
    </row>
    <row r="200" spans="1:18">
      <c r="B200" s="238" t="s">
        <v>7789</v>
      </c>
      <c r="C200" s="2" t="s">
        <v>4</v>
      </c>
      <c r="D200" s="2" t="s">
        <v>936</v>
      </c>
      <c r="E200" s="3">
        <v>100</v>
      </c>
      <c r="F200" s="3">
        <v>25</v>
      </c>
      <c r="G200" s="4">
        <v>44846</v>
      </c>
    </row>
    <row r="201" spans="1:18">
      <c r="C201" s="2" t="s">
        <v>18</v>
      </c>
      <c r="D201" s="2" t="s">
        <v>877</v>
      </c>
      <c r="E201" s="3">
        <v>85</v>
      </c>
      <c r="F201" s="3">
        <v>6</v>
      </c>
      <c r="G201" s="4">
        <v>44417</v>
      </c>
      <c r="I201" s="238" t="s">
        <v>7508</v>
      </c>
    </row>
    <row r="202" spans="1:18">
      <c r="C202" s="2" t="s">
        <v>7</v>
      </c>
      <c r="D202" s="2" t="s">
        <v>877</v>
      </c>
      <c r="E202" s="3">
        <v>35</v>
      </c>
      <c r="F202" s="3">
        <v>10</v>
      </c>
      <c r="G202" s="4">
        <v>44293</v>
      </c>
      <c r="I202" s="238" t="s">
        <v>7509</v>
      </c>
    </row>
    <row r="203" spans="1:18">
      <c r="C203" s="2" t="s">
        <v>18</v>
      </c>
      <c r="D203" s="2" t="s">
        <v>1043</v>
      </c>
      <c r="E203" s="3">
        <v>100</v>
      </c>
      <c r="F203" s="3">
        <v>15</v>
      </c>
      <c r="G203" s="4">
        <v>44699</v>
      </c>
      <c r="I203" s="238" t="s">
        <v>7518</v>
      </c>
    </row>
    <row r="204" spans="1:18">
      <c r="C204" s="2" t="s">
        <v>7</v>
      </c>
      <c r="D204" s="2" t="s">
        <v>1043</v>
      </c>
      <c r="E204" s="3">
        <v>100</v>
      </c>
      <c r="F204" s="3">
        <f>25/3</f>
        <v>8.3333333333333339</v>
      </c>
      <c r="G204" s="4">
        <v>44286</v>
      </c>
      <c r="I204" s="238" t="s">
        <v>7510</v>
      </c>
    </row>
    <row r="205" spans="1:18">
      <c r="C205" s="2" t="s">
        <v>5</v>
      </c>
      <c r="D205" s="2" t="s">
        <v>1063</v>
      </c>
      <c r="E205" s="3">
        <v>65</v>
      </c>
      <c r="F205" s="3">
        <v>35</v>
      </c>
      <c r="G205" s="4">
        <v>44984</v>
      </c>
      <c r="I205" s="238" t="s">
        <v>7511</v>
      </c>
    </row>
    <row r="206" spans="1:18">
      <c r="C206" s="2" t="s">
        <v>7</v>
      </c>
      <c r="D206" s="2" t="s">
        <v>1011</v>
      </c>
      <c r="E206" s="3">
        <v>43</v>
      </c>
      <c r="F206" s="3">
        <v>13</v>
      </c>
      <c r="G206" s="4">
        <v>44978</v>
      </c>
      <c r="I206" s="238" t="s">
        <v>7513</v>
      </c>
    </row>
    <row r="207" spans="1:18">
      <c r="C207" s="2" t="s">
        <v>4</v>
      </c>
      <c r="D207" s="2" t="s">
        <v>705</v>
      </c>
      <c r="E207" s="3">
        <v>113</v>
      </c>
      <c r="F207" s="3">
        <v>19</v>
      </c>
      <c r="G207" s="4">
        <v>45090</v>
      </c>
      <c r="I207" s="238" t="s">
        <v>7520</v>
      </c>
    </row>
    <row r="208" spans="1:18">
      <c r="C208" s="2" t="s">
        <v>5</v>
      </c>
      <c r="D208" s="2" t="s">
        <v>682</v>
      </c>
      <c r="E208" s="3">
        <v>15</v>
      </c>
      <c r="F208" s="3">
        <v>3</v>
      </c>
      <c r="G208" s="4">
        <v>44838</v>
      </c>
      <c r="I208" s="238" t="s">
        <v>7514</v>
      </c>
    </row>
    <row r="209" spans="3:12">
      <c r="C209" s="2" t="s">
        <v>18</v>
      </c>
      <c r="D209" s="2" t="s">
        <v>883</v>
      </c>
      <c r="E209" s="3">
        <v>200</v>
      </c>
      <c r="F209" s="3">
        <v>20</v>
      </c>
      <c r="G209" s="4">
        <v>44377</v>
      </c>
      <c r="I209" s="238" t="s">
        <v>7519</v>
      </c>
    </row>
    <row r="210" spans="3:12">
      <c r="C210" s="2" t="s">
        <v>7</v>
      </c>
      <c r="D210" s="2" t="s">
        <v>883</v>
      </c>
      <c r="E210" s="3">
        <v>75</v>
      </c>
      <c r="F210" s="3">
        <v>5</v>
      </c>
      <c r="G210" s="4">
        <v>43783</v>
      </c>
      <c r="I210" s="238" t="s">
        <v>7523</v>
      </c>
    </row>
    <row r="211" spans="3:12">
      <c r="C211" s="2" t="s">
        <v>5</v>
      </c>
      <c r="D211" s="2" t="s">
        <v>883</v>
      </c>
      <c r="E211" s="3">
        <v>30</v>
      </c>
      <c r="F211" s="3">
        <v>10</v>
      </c>
      <c r="G211" s="4">
        <v>43573</v>
      </c>
      <c r="I211" s="238" t="s">
        <v>7524</v>
      </c>
    </row>
    <row r="212" spans="3:12">
      <c r="C212" s="2" t="s">
        <v>4</v>
      </c>
      <c r="D212" s="2" t="s">
        <v>1017</v>
      </c>
      <c r="E212" s="3">
        <v>1.5</v>
      </c>
      <c r="F212" s="3">
        <v>1</v>
      </c>
      <c r="G212" s="4">
        <v>44098</v>
      </c>
    </row>
    <row r="213" spans="3:12">
      <c r="C213" s="2" t="s">
        <v>8</v>
      </c>
      <c r="D213" s="2" t="s">
        <v>520</v>
      </c>
      <c r="E213" s="3">
        <v>100</v>
      </c>
      <c r="F213" s="3">
        <f>50/4</f>
        <v>12.5</v>
      </c>
      <c r="G213" s="4">
        <v>44419</v>
      </c>
    </row>
    <row r="214" spans="3:12">
      <c r="C214" s="2" t="s">
        <v>18</v>
      </c>
      <c r="D214" s="2" t="s">
        <v>520</v>
      </c>
      <c r="E214" s="3">
        <v>60</v>
      </c>
      <c r="F214" s="3">
        <v>5</v>
      </c>
      <c r="G214" s="4">
        <v>43606</v>
      </c>
    </row>
    <row r="215" spans="3:12">
      <c r="C215" s="2" t="s">
        <v>7</v>
      </c>
      <c r="D215" s="2" t="s">
        <v>520</v>
      </c>
      <c r="E215" s="3">
        <v>30</v>
      </c>
      <c r="F215" s="3">
        <v>5</v>
      </c>
      <c r="G215" s="4">
        <v>43396</v>
      </c>
    </row>
    <row r="216" spans="3:12">
      <c r="C216" s="2" t="s">
        <v>5</v>
      </c>
      <c r="D216" s="2" t="s">
        <v>520</v>
      </c>
      <c r="E216" s="3">
        <v>7</v>
      </c>
      <c r="F216" s="3">
        <v>3</v>
      </c>
      <c r="G216" s="4">
        <v>42885</v>
      </c>
    </row>
    <row r="217" spans="3:12">
      <c r="C217" s="2" t="s">
        <v>7</v>
      </c>
      <c r="D217" s="2" t="s">
        <v>525</v>
      </c>
      <c r="E217" s="3">
        <v>32</v>
      </c>
      <c r="F217" s="3">
        <v>3</v>
      </c>
      <c r="G217" s="4">
        <v>44364</v>
      </c>
    </row>
    <row r="218" spans="3:12">
      <c r="C218" s="2" t="s">
        <v>5</v>
      </c>
      <c r="D218" s="2" t="s">
        <v>525</v>
      </c>
      <c r="E218" s="3">
        <v>10.199999999999999</v>
      </c>
      <c r="F218" s="3">
        <v>3</v>
      </c>
      <c r="G218" s="4">
        <v>43732</v>
      </c>
    </row>
    <row r="219" spans="3:12">
      <c r="C219" s="2" t="s">
        <v>4</v>
      </c>
      <c r="D219" s="2" t="s">
        <v>525</v>
      </c>
      <c r="E219" s="3">
        <v>3</v>
      </c>
      <c r="F219" s="3">
        <v>0.75</v>
      </c>
      <c r="G219" s="4">
        <v>43374</v>
      </c>
    </row>
    <row r="220" spans="3:12">
      <c r="C220" s="2" t="s">
        <v>4</v>
      </c>
      <c r="D220" s="2" t="s">
        <v>347</v>
      </c>
      <c r="E220" s="3">
        <v>3.5</v>
      </c>
      <c r="F220" s="3">
        <f>E220/10</f>
        <v>0.35</v>
      </c>
      <c r="G220" s="4">
        <v>43046</v>
      </c>
      <c r="L220" s="1">
        <v>0</v>
      </c>
    </row>
    <row r="221" spans="3:12">
      <c r="C221" s="2" t="s">
        <v>53</v>
      </c>
      <c r="D221" s="2" t="s">
        <v>47</v>
      </c>
      <c r="E221" s="3">
        <v>100</v>
      </c>
      <c r="F221" s="3">
        <f>75/7</f>
        <v>10.714285714285714</v>
      </c>
      <c r="G221" s="4">
        <v>44515</v>
      </c>
      <c r="I221" s="5">
        <v>4100</v>
      </c>
      <c r="J221" s="5">
        <v>4100</v>
      </c>
    </row>
    <row r="222" spans="3:12">
      <c r="C222" s="2" t="s">
        <v>9</v>
      </c>
      <c r="D222" s="2" t="s">
        <v>47</v>
      </c>
      <c r="E222" s="3">
        <v>248</v>
      </c>
      <c r="F222" s="3">
        <v>98</v>
      </c>
      <c r="G222" s="4">
        <v>43678</v>
      </c>
      <c r="I222" s="5">
        <v>1700</v>
      </c>
      <c r="J222" s="5">
        <v>4100</v>
      </c>
    </row>
    <row r="223" spans="3:12">
      <c r="C223" s="2" t="s">
        <v>8</v>
      </c>
      <c r="D223" s="2" t="s">
        <v>47</v>
      </c>
      <c r="E223" s="3">
        <v>145</v>
      </c>
      <c r="F223" s="3">
        <v>30</v>
      </c>
      <c r="G223" s="4">
        <v>43228</v>
      </c>
      <c r="I223" s="5">
        <v>855</v>
      </c>
      <c r="J223" s="5">
        <v>4100</v>
      </c>
    </row>
    <row r="224" spans="3:12">
      <c r="C224" s="2" t="s">
        <v>18</v>
      </c>
      <c r="D224" s="2" t="s">
        <v>47</v>
      </c>
      <c r="E224" s="3">
        <v>60</v>
      </c>
      <c r="F224" s="3">
        <v>40</v>
      </c>
      <c r="G224" s="4">
        <v>42964</v>
      </c>
      <c r="I224" s="5"/>
      <c r="J224" s="5">
        <v>4100</v>
      </c>
    </row>
    <row r="225" spans="1:11">
      <c r="C225" s="2" t="s">
        <v>18</v>
      </c>
      <c r="D225" s="2" t="s">
        <v>47</v>
      </c>
      <c r="E225" s="3">
        <v>50</v>
      </c>
      <c r="F225" s="3">
        <f>20/2</f>
        <v>10</v>
      </c>
      <c r="G225" s="4">
        <v>42509</v>
      </c>
      <c r="I225" s="5"/>
      <c r="J225" s="5">
        <v>4100</v>
      </c>
    </row>
    <row r="226" spans="1:11">
      <c r="C226" s="2" t="s">
        <v>7</v>
      </c>
      <c r="D226" s="2" t="s">
        <v>47</v>
      </c>
      <c r="E226" s="3">
        <v>30</v>
      </c>
      <c r="F226" s="3">
        <v>10</v>
      </c>
      <c r="G226" s="4">
        <v>41808</v>
      </c>
      <c r="I226" s="5"/>
      <c r="J226" s="5">
        <v>4100</v>
      </c>
    </row>
    <row r="227" spans="1:11">
      <c r="C227" s="2" t="s">
        <v>5</v>
      </c>
      <c r="D227" s="2" t="s">
        <v>47</v>
      </c>
      <c r="E227" s="3">
        <v>10.7</v>
      </c>
      <c r="F227" s="3">
        <v>5.7</v>
      </c>
      <c r="G227" s="4">
        <v>41076</v>
      </c>
      <c r="I227" s="5"/>
      <c r="J227" s="5">
        <v>4100</v>
      </c>
    </row>
    <row r="228" spans="1:11">
      <c r="C228" s="2" t="s">
        <v>18</v>
      </c>
      <c r="D228" s="2" t="s">
        <v>192</v>
      </c>
      <c r="E228" s="3">
        <v>235</v>
      </c>
      <c r="F228" s="3">
        <f>85/2</f>
        <v>42.5</v>
      </c>
      <c r="G228" s="4">
        <v>44384</v>
      </c>
      <c r="I228" s="5"/>
    </row>
    <row r="229" spans="1:11">
      <c r="C229" s="2" t="s">
        <v>7</v>
      </c>
      <c r="D229" s="2" t="s">
        <v>192</v>
      </c>
      <c r="E229" s="3">
        <v>43</v>
      </c>
      <c r="F229" s="3">
        <f>+E229/5</f>
        <v>8.6</v>
      </c>
      <c r="G229" s="4">
        <v>44077</v>
      </c>
      <c r="I229" s="5"/>
    </row>
    <row r="230" spans="1:11">
      <c r="C230" s="2" t="s">
        <v>5</v>
      </c>
      <c r="D230" s="2" t="s">
        <v>192</v>
      </c>
      <c r="E230" s="3">
        <v>15</v>
      </c>
      <c r="F230" s="3">
        <v>10</v>
      </c>
      <c r="G230" s="4">
        <v>43479</v>
      </c>
      <c r="I230" s="5"/>
    </row>
    <row r="231" spans="1:11">
      <c r="C231" s="2" t="s">
        <v>9</v>
      </c>
      <c r="D231" s="2" t="s">
        <v>52</v>
      </c>
      <c r="E231" s="3">
        <v>220</v>
      </c>
      <c r="F231" s="3">
        <v>28</v>
      </c>
      <c r="G231" s="4">
        <v>44357</v>
      </c>
      <c r="I231" s="5">
        <v>1900</v>
      </c>
      <c r="J231" s="5">
        <v>1900</v>
      </c>
    </row>
    <row r="232" spans="1:11">
      <c r="C232" s="2" t="s">
        <v>8</v>
      </c>
      <c r="D232" s="2" t="s">
        <v>52</v>
      </c>
      <c r="E232" s="3">
        <v>125</v>
      </c>
      <c r="F232" s="3">
        <v>18.75</v>
      </c>
      <c r="G232" s="4">
        <v>44131</v>
      </c>
      <c r="I232" s="5">
        <v>875</v>
      </c>
      <c r="J232" s="5">
        <v>1900</v>
      </c>
    </row>
    <row r="233" spans="1:11">
      <c r="C233" s="2" t="s">
        <v>18</v>
      </c>
      <c r="D233" s="2" t="s">
        <v>52</v>
      </c>
      <c r="E233" s="3">
        <v>28</v>
      </c>
      <c r="F233" s="3">
        <v>7</v>
      </c>
      <c r="G233" s="4">
        <v>43579</v>
      </c>
      <c r="I233" s="5"/>
      <c r="J233" s="5">
        <v>1900</v>
      </c>
    </row>
    <row r="234" spans="1:11">
      <c r="C234" s="2" t="s">
        <v>7</v>
      </c>
      <c r="D234" s="2" t="s">
        <v>1063</v>
      </c>
      <c r="E234" s="3">
        <v>100</v>
      </c>
      <c r="F234" s="3">
        <f>60/4</f>
        <v>15</v>
      </c>
      <c r="G234" s="4">
        <v>45106</v>
      </c>
      <c r="I234" s="5"/>
      <c r="J234" s="5"/>
    </row>
    <row r="235" spans="1:11">
      <c r="C235" s="2" t="s">
        <v>8</v>
      </c>
      <c r="D235" s="2" t="s">
        <v>2134</v>
      </c>
      <c r="E235" s="3">
        <v>200</v>
      </c>
      <c r="F235" s="3">
        <v>20</v>
      </c>
      <c r="G235" s="4">
        <v>44237</v>
      </c>
      <c r="I235" s="5"/>
      <c r="J235" s="5"/>
    </row>
    <row r="236" spans="1:11">
      <c r="C236" s="153" t="s">
        <v>7</v>
      </c>
      <c r="D236" s="153" t="s">
        <v>2036</v>
      </c>
      <c r="E236" s="3">
        <v>25</v>
      </c>
      <c r="F236" s="3">
        <v>7</v>
      </c>
      <c r="G236" s="4">
        <v>43528</v>
      </c>
      <c r="I236" s="5"/>
      <c r="J236" s="5"/>
    </row>
    <row r="237" spans="1:11">
      <c r="G237" s="4"/>
    </row>
    <row r="238" spans="1:11">
      <c r="A238" s="1">
        <v>11</v>
      </c>
      <c r="B238" s="12" t="s">
        <v>7374</v>
      </c>
      <c r="C238" s="13" t="s">
        <v>969</v>
      </c>
      <c r="D238" s="13" t="s">
        <v>968</v>
      </c>
      <c r="E238" s="15"/>
      <c r="F238" s="15">
        <f>SUM(F239:F271)</f>
        <v>582.14895330112734</v>
      </c>
      <c r="G238" s="14">
        <f>+G271</f>
        <v>45147</v>
      </c>
      <c r="I238" s="1">
        <v>70000</v>
      </c>
      <c r="J238" s="20">
        <f>+F238/I238</f>
        <v>8.3164136185875336E-3</v>
      </c>
      <c r="K238" s="1">
        <v>1999</v>
      </c>
    </row>
    <row r="239" spans="1:11">
      <c r="B239" s="238" t="s">
        <v>7452</v>
      </c>
      <c r="C239" s="2" t="s">
        <v>9</v>
      </c>
      <c r="D239" s="2" t="s">
        <v>803</v>
      </c>
      <c r="E239" s="3">
        <v>325</v>
      </c>
      <c r="F239" s="3">
        <v>18.5</v>
      </c>
      <c r="G239" s="4">
        <v>44299</v>
      </c>
      <c r="I239" s="238" t="s">
        <v>7591</v>
      </c>
    </row>
    <row r="240" spans="1:11">
      <c r="B240" s="238"/>
      <c r="C240" s="2" t="s">
        <v>18</v>
      </c>
      <c r="D240" s="2" t="s">
        <v>803</v>
      </c>
      <c r="E240" s="3">
        <v>100</v>
      </c>
      <c r="F240" s="3">
        <f>65/5</f>
        <v>13</v>
      </c>
      <c r="G240" s="4">
        <v>43682</v>
      </c>
      <c r="I240" s="238" t="s">
        <v>7533</v>
      </c>
    </row>
    <row r="241" spans="3:10">
      <c r="C241" s="2" t="s">
        <v>4</v>
      </c>
      <c r="D241" s="2" t="s">
        <v>936</v>
      </c>
      <c r="E241" s="3">
        <v>100</v>
      </c>
      <c r="F241" s="3">
        <v>25</v>
      </c>
      <c r="G241" s="4">
        <v>44846</v>
      </c>
      <c r="I241" s="274" t="s">
        <v>9414</v>
      </c>
      <c r="J241" s="274" t="s">
        <v>9415</v>
      </c>
    </row>
    <row r="242" spans="3:10">
      <c r="C242" s="2" t="s">
        <v>18</v>
      </c>
      <c r="D242" s="2" t="s">
        <v>926</v>
      </c>
      <c r="E242" s="3">
        <v>100</v>
      </c>
      <c r="F242" s="3">
        <v>9</v>
      </c>
      <c r="G242" s="4">
        <v>44690</v>
      </c>
      <c r="J242" s="1">
        <v>4300</v>
      </c>
    </row>
    <row r="243" spans="3:10">
      <c r="C243" s="2" t="s">
        <v>5</v>
      </c>
      <c r="D243" s="2" t="s">
        <v>763</v>
      </c>
      <c r="E243" s="3">
        <v>125</v>
      </c>
      <c r="F243" s="3">
        <v>15</v>
      </c>
      <c r="G243" s="4">
        <v>44852</v>
      </c>
    </row>
    <row r="244" spans="3:10">
      <c r="C244" s="2" t="s">
        <v>18</v>
      </c>
      <c r="D244" s="2" t="s">
        <v>962</v>
      </c>
      <c r="E244" s="3">
        <v>135</v>
      </c>
      <c r="F244" s="3">
        <v>25</v>
      </c>
      <c r="G244" s="4">
        <v>44500</v>
      </c>
      <c r="J244" s="1">
        <v>1200</v>
      </c>
    </row>
    <row r="245" spans="3:10">
      <c r="C245" s="2" t="s">
        <v>7</v>
      </c>
      <c r="D245" s="2" t="s">
        <v>962</v>
      </c>
      <c r="E245" s="3">
        <v>45</v>
      </c>
      <c r="F245" s="3">
        <v>10</v>
      </c>
      <c r="G245" s="4">
        <v>44228</v>
      </c>
      <c r="J245" s="1">
        <v>1200</v>
      </c>
    </row>
    <row r="246" spans="3:10">
      <c r="C246" s="2" t="s">
        <v>18</v>
      </c>
      <c r="D246" s="2" t="s">
        <v>957</v>
      </c>
      <c r="E246" s="3">
        <v>50</v>
      </c>
      <c r="F246" s="3">
        <v>6</v>
      </c>
      <c r="G246" s="4">
        <v>44900</v>
      </c>
      <c r="I246" s="1">
        <v>450</v>
      </c>
      <c r="J246" s="1">
        <v>1400</v>
      </c>
    </row>
    <row r="247" spans="3:10">
      <c r="C247" s="2" t="s">
        <v>7</v>
      </c>
      <c r="D247" s="2" t="s">
        <v>957</v>
      </c>
      <c r="E247" s="3">
        <v>35</v>
      </c>
      <c r="F247" s="3">
        <v>20</v>
      </c>
      <c r="G247" s="4">
        <v>44543</v>
      </c>
      <c r="J247" s="1">
        <v>1400</v>
      </c>
    </row>
    <row r="248" spans="3:10">
      <c r="C248" s="2" t="s">
        <v>18</v>
      </c>
      <c r="D248" s="2" t="s">
        <v>798</v>
      </c>
      <c r="E248" s="3">
        <v>50</v>
      </c>
      <c r="F248" s="3">
        <v>8</v>
      </c>
      <c r="G248" s="4">
        <v>44496</v>
      </c>
      <c r="I248" s="1" t="s">
        <v>4293</v>
      </c>
      <c r="J248" s="274" t="s">
        <v>9420</v>
      </c>
    </row>
    <row r="249" spans="3:10">
      <c r="C249" s="2" t="s">
        <v>7</v>
      </c>
      <c r="D249" s="2" t="s">
        <v>798</v>
      </c>
      <c r="E249" s="3">
        <v>22</v>
      </c>
      <c r="F249" s="3">
        <v>12</v>
      </c>
      <c r="G249" s="4">
        <v>44153</v>
      </c>
      <c r="I249" s="238" t="s">
        <v>7534</v>
      </c>
    </row>
    <row r="250" spans="3:10">
      <c r="C250" s="2" t="s">
        <v>7</v>
      </c>
      <c r="D250" s="2" t="s">
        <v>864</v>
      </c>
      <c r="E250" s="3">
        <v>50</v>
      </c>
      <c r="F250" s="3">
        <v>7</v>
      </c>
      <c r="G250" s="4">
        <v>44628</v>
      </c>
      <c r="I250" s="238" t="s">
        <v>7535</v>
      </c>
    </row>
    <row r="251" spans="3:10">
      <c r="C251" s="2" t="s">
        <v>7</v>
      </c>
      <c r="D251" s="2" t="s">
        <v>1011</v>
      </c>
      <c r="E251" s="3">
        <v>43</v>
      </c>
      <c r="F251" s="3">
        <v>6</v>
      </c>
      <c r="G251" s="4">
        <v>44978</v>
      </c>
      <c r="I251" s="1" t="s">
        <v>7536</v>
      </c>
    </row>
    <row r="252" spans="3:10">
      <c r="C252" s="2" t="s">
        <v>5</v>
      </c>
      <c r="D252" s="2" t="s">
        <v>1011</v>
      </c>
      <c r="E252" s="3">
        <v>26</v>
      </c>
      <c r="F252" s="3">
        <v>13</v>
      </c>
      <c r="G252" s="4">
        <v>44453</v>
      </c>
      <c r="I252" s="274" t="s">
        <v>9416</v>
      </c>
    </row>
    <row r="253" spans="3:10">
      <c r="C253" s="2" t="s">
        <v>7</v>
      </c>
      <c r="D253" s="2" t="s">
        <v>894</v>
      </c>
      <c r="E253" s="3">
        <v>40</v>
      </c>
      <c r="F253" s="3">
        <v>20</v>
      </c>
      <c r="G253" s="4">
        <v>44728</v>
      </c>
      <c r="I253" s="274" t="s">
        <v>9417</v>
      </c>
    </row>
    <row r="254" spans="3:10">
      <c r="C254" s="2" t="s">
        <v>7</v>
      </c>
      <c r="D254" s="2" t="s">
        <v>871</v>
      </c>
      <c r="E254" s="3">
        <v>30</v>
      </c>
      <c r="F254" s="3">
        <f>20/3</f>
        <v>6.666666666666667</v>
      </c>
      <c r="G254" s="4">
        <v>44510</v>
      </c>
      <c r="I254" s="274" t="s">
        <v>9418</v>
      </c>
    </row>
    <row r="255" spans="3:10">
      <c r="C255" s="2" t="s">
        <v>5</v>
      </c>
      <c r="D255" s="2" t="s">
        <v>871</v>
      </c>
      <c r="E255" s="3">
        <v>21.4</v>
      </c>
      <c r="F255" s="3">
        <v>5</v>
      </c>
      <c r="G255" s="4">
        <v>44232</v>
      </c>
      <c r="I255" s="274" t="s">
        <v>9419</v>
      </c>
    </row>
    <row r="256" spans="3:10">
      <c r="C256" s="2" t="s">
        <v>7</v>
      </c>
      <c r="D256" s="2" t="s">
        <v>907</v>
      </c>
      <c r="E256" s="3">
        <v>97.4</v>
      </c>
      <c r="F256" s="3">
        <f>47/6</f>
        <v>7.833333333333333</v>
      </c>
      <c r="G256" s="4">
        <v>45041</v>
      </c>
    </row>
    <row r="257" spans="3:11">
      <c r="C257" s="2" t="s">
        <v>7</v>
      </c>
      <c r="D257" s="2" t="s">
        <v>907</v>
      </c>
      <c r="E257" s="3">
        <v>80</v>
      </c>
      <c r="F257" s="3">
        <v>40</v>
      </c>
      <c r="G257" s="4">
        <v>44539</v>
      </c>
    </row>
    <row r="258" spans="3:11">
      <c r="C258" s="2" t="s">
        <v>7</v>
      </c>
      <c r="D258" s="2" t="s">
        <v>286</v>
      </c>
      <c r="E258" s="3">
        <v>35</v>
      </c>
      <c r="F258" s="3">
        <v>5</v>
      </c>
      <c r="G258" s="4">
        <v>44309</v>
      </c>
    </row>
    <row r="259" spans="3:11">
      <c r="C259" s="2" t="s">
        <v>8</v>
      </c>
      <c r="D259" s="2" t="s">
        <v>240</v>
      </c>
      <c r="E259" s="3">
        <v>81</v>
      </c>
      <c r="F259" s="3">
        <f>E259/6</f>
        <v>13.5</v>
      </c>
      <c r="G259" s="4">
        <v>43418</v>
      </c>
      <c r="I259" s="1">
        <v>1700</v>
      </c>
      <c r="J259" s="1">
        <v>3800</v>
      </c>
    </row>
    <row r="260" spans="3:11">
      <c r="C260" s="2" t="s">
        <v>9</v>
      </c>
      <c r="D260" s="2" t="s">
        <v>55</v>
      </c>
      <c r="E260" s="3">
        <v>250</v>
      </c>
      <c r="F260" s="3">
        <v>30</v>
      </c>
      <c r="G260" s="4">
        <v>44350</v>
      </c>
      <c r="I260" s="1">
        <v>7000</v>
      </c>
      <c r="J260" s="1">
        <v>7000</v>
      </c>
    </row>
    <row r="261" spans="3:11">
      <c r="C261" s="2" t="s">
        <v>8</v>
      </c>
      <c r="D261" s="2" t="s">
        <v>55</v>
      </c>
      <c r="E261" s="3">
        <v>200</v>
      </c>
      <c r="F261" s="3">
        <v>50</v>
      </c>
      <c r="G261" s="4">
        <v>44055</v>
      </c>
      <c r="I261" s="1">
        <v>2000</v>
      </c>
      <c r="J261" s="1">
        <v>7000</v>
      </c>
    </row>
    <row r="262" spans="3:11">
      <c r="C262" s="52" t="s">
        <v>8</v>
      </c>
      <c r="D262" s="52" t="s">
        <v>2116</v>
      </c>
      <c r="E262" s="3">
        <v>175</v>
      </c>
      <c r="F262" s="3">
        <v>50</v>
      </c>
      <c r="G262" s="4">
        <v>44511</v>
      </c>
      <c r="I262" s="1">
        <v>3400</v>
      </c>
      <c r="J262" s="1">
        <v>3400</v>
      </c>
    </row>
    <row r="263" spans="3:11">
      <c r="C263" s="55" t="s">
        <v>53</v>
      </c>
      <c r="D263" s="55" t="s">
        <v>4995</v>
      </c>
      <c r="E263" s="3">
        <v>100</v>
      </c>
      <c r="F263" s="3">
        <f>70/5</f>
        <v>14</v>
      </c>
      <c r="G263" s="4">
        <v>44474</v>
      </c>
    </row>
    <row r="264" spans="3:11">
      <c r="C264" s="55" t="s">
        <v>9</v>
      </c>
      <c r="D264" s="55" t="s">
        <v>4995</v>
      </c>
      <c r="E264" s="3">
        <v>43</v>
      </c>
      <c r="F264" s="3">
        <f>23/3</f>
        <v>7.666666666666667</v>
      </c>
      <c r="G264" s="4">
        <v>43992</v>
      </c>
    </row>
    <row r="265" spans="3:11">
      <c r="C265" s="55" t="s">
        <v>8</v>
      </c>
      <c r="D265" s="55" t="s">
        <v>4995</v>
      </c>
      <c r="E265" s="3">
        <v>40</v>
      </c>
      <c r="F265" s="3">
        <v>20</v>
      </c>
      <c r="G265" s="4">
        <v>43320</v>
      </c>
      <c r="I265" s="1">
        <v>210</v>
      </c>
      <c r="J265" s="1">
        <v>210</v>
      </c>
    </row>
    <row r="266" spans="3:11">
      <c r="C266" s="55" t="s">
        <v>18</v>
      </c>
      <c r="D266" s="55" t="s">
        <v>4995</v>
      </c>
      <c r="E266" s="3">
        <v>27</v>
      </c>
      <c r="F266" s="3">
        <v>10</v>
      </c>
      <c r="G266" s="4">
        <v>42851</v>
      </c>
      <c r="J266" s="1">
        <v>210</v>
      </c>
    </row>
    <row r="267" spans="3:11">
      <c r="C267" s="153" t="s">
        <v>7</v>
      </c>
      <c r="D267" s="153" t="s">
        <v>2036</v>
      </c>
      <c r="E267" s="3">
        <v>25</v>
      </c>
      <c r="F267" s="3">
        <v>7</v>
      </c>
      <c r="G267" s="4">
        <v>43528</v>
      </c>
    </row>
    <row r="268" spans="3:11">
      <c r="C268" s="168" t="s">
        <v>5</v>
      </c>
      <c r="D268" s="168" t="s">
        <v>2031</v>
      </c>
      <c r="E268" s="3">
        <v>24</v>
      </c>
      <c r="F268" s="3">
        <f>E268/2</f>
        <v>12</v>
      </c>
      <c r="G268" s="4">
        <v>44719</v>
      </c>
    </row>
    <row r="269" spans="3:11">
      <c r="C269" s="265" t="s">
        <v>2486</v>
      </c>
      <c r="D269" s="265" t="s">
        <v>1006</v>
      </c>
      <c r="E269" s="3">
        <v>1600</v>
      </c>
      <c r="F269" s="3">
        <f>1400/27</f>
        <v>51.851851851851855</v>
      </c>
      <c r="G269" s="4">
        <v>44439</v>
      </c>
      <c r="I269" s="1">
        <v>36400</v>
      </c>
      <c r="J269" s="1">
        <v>42500</v>
      </c>
    </row>
    <row r="270" spans="3:11">
      <c r="C270" s="265" t="s">
        <v>504</v>
      </c>
      <c r="D270" s="265" t="s">
        <v>1006</v>
      </c>
      <c r="E270" s="3">
        <v>1000</v>
      </c>
      <c r="F270" s="3">
        <f>900/23</f>
        <v>39.130434782608695</v>
      </c>
      <c r="G270" s="4">
        <v>44228</v>
      </c>
      <c r="I270" s="1">
        <v>27000</v>
      </c>
      <c r="J270" s="1">
        <v>42500</v>
      </c>
    </row>
    <row r="271" spans="3:11">
      <c r="C271" s="265" t="s">
        <v>18</v>
      </c>
      <c r="D271" s="265" t="s">
        <v>962</v>
      </c>
      <c r="E271" s="3">
        <v>50</v>
      </c>
      <c r="F271" s="3">
        <v>5</v>
      </c>
      <c r="G271" s="4">
        <v>45147</v>
      </c>
      <c r="I271" s="1">
        <v>1200</v>
      </c>
      <c r="J271" s="1">
        <v>1200</v>
      </c>
    </row>
    <row r="272" spans="3:11">
      <c r="G272" s="4"/>
      <c r="I272" s="12"/>
      <c r="J272" s="12"/>
      <c r="K272" s="12"/>
    </row>
    <row r="273" spans="1:11">
      <c r="A273" s="1">
        <v>12</v>
      </c>
      <c r="B273" s="12" t="s">
        <v>7375</v>
      </c>
      <c r="C273" s="13" t="s">
        <v>969</v>
      </c>
      <c r="D273" s="13" t="s">
        <v>968</v>
      </c>
      <c r="E273" s="15"/>
      <c r="F273" s="15">
        <f>SUM(F274:F300)</f>
        <v>467.58500000000004</v>
      </c>
      <c r="G273" s="14">
        <f>G277</f>
        <v>45062</v>
      </c>
      <c r="I273" s="1">
        <v>8600</v>
      </c>
      <c r="J273" s="21">
        <f>+F273/I273</f>
        <v>5.4370348837209308E-2</v>
      </c>
      <c r="K273" s="1">
        <v>2000</v>
      </c>
    </row>
    <row r="274" spans="1:11">
      <c r="B274" s="254" t="s">
        <v>7790</v>
      </c>
      <c r="C274" s="2" t="s">
        <v>7</v>
      </c>
      <c r="D274" s="2" t="s">
        <v>949</v>
      </c>
      <c r="E274" s="3">
        <v>350</v>
      </c>
      <c r="F274" s="3">
        <v>75</v>
      </c>
      <c r="G274" s="4">
        <v>44999</v>
      </c>
    </row>
    <row r="275" spans="1:11">
      <c r="B275" s="254" t="s">
        <v>7791</v>
      </c>
      <c r="C275" s="2" t="s">
        <v>18</v>
      </c>
      <c r="D275" s="2" t="s">
        <v>1043</v>
      </c>
      <c r="E275" s="3">
        <v>100</v>
      </c>
      <c r="F275" s="3">
        <v>15</v>
      </c>
      <c r="G275" s="4">
        <v>44699</v>
      </c>
    </row>
    <row r="276" spans="1:11">
      <c r="B276" s="254" t="s">
        <v>7792</v>
      </c>
      <c r="C276" s="2" t="s">
        <v>7</v>
      </c>
      <c r="D276" s="2" t="s">
        <v>1043</v>
      </c>
      <c r="E276" s="3">
        <v>40</v>
      </c>
      <c r="F276" s="3">
        <v>15</v>
      </c>
      <c r="G276" s="4">
        <v>44286</v>
      </c>
    </row>
    <row r="277" spans="1:11">
      <c r="B277" s="254" t="s">
        <v>7793</v>
      </c>
      <c r="C277" s="2" t="s">
        <v>4</v>
      </c>
      <c r="D277" s="2" t="s">
        <v>1129</v>
      </c>
      <c r="E277" s="3">
        <v>50</v>
      </c>
      <c r="F277" s="3">
        <v>25</v>
      </c>
      <c r="G277" s="4">
        <v>45062</v>
      </c>
    </row>
    <row r="278" spans="1:11">
      <c r="C278" s="2" t="s">
        <v>5</v>
      </c>
      <c r="D278" s="2" t="s">
        <v>381</v>
      </c>
      <c r="E278" s="3">
        <v>86</v>
      </c>
      <c r="F278" s="3">
        <v>36</v>
      </c>
      <c r="G278" s="4">
        <v>44488</v>
      </c>
    </row>
    <row r="279" spans="1:11">
      <c r="C279" s="2" t="s">
        <v>7</v>
      </c>
      <c r="D279" s="2" t="s">
        <v>360</v>
      </c>
      <c r="E279" s="3">
        <v>27.5</v>
      </c>
      <c r="F279" s="3">
        <f>E279/4</f>
        <v>6.875</v>
      </c>
      <c r="G279" s="4">
        <v>44181</v>
      </c>
    </row>
    <row r="280" spans="1:11">
      <c r="C280" s="2" t="s">
        <v>5</v>
      </c>
      <c r="D280" s="2" t="s">
        <v>360</v>
      </c>
      <c r="E280" s="3">
        <v>10.7</v>
      </c>
      <c r="F280" s="3">
        <v>4</v>
      </c>
      <c r="G280" s="4">
        <v>43250</v>
      </c>
    </row>
    <row r="281" spans="1:11">
      <c r="C281" s="2" t="s">
        <v>53</v>
      </c>
      <c r="D281" s="2" t="s">
        <v>47</v>
      </c>
      <c r="E281" s="3">
        <v>100</v>
      </c>
      <c r="F281" s="3">
        <v>11</v>
      </c>
      <c r="G281" s="4">
        <v>44515</v>
      </c>
      <c r="I281" s="1">
        <v>4100</v>
      </c>
      <c r="J281" s="1">
        <v>4100</v>
      </c>
    </row>
    <row r="282" spans="1:11">
      <c r="C282" s="2" t="s">
        <v>8</v>
      </c>
      <c r="D282" s="2" t="s">
        <v>47</v>
      </c>
      <c r="E282" s="3">
        <v>145</v>
      </c>
      <c r="F282" s="3">
        <v>14.166666666666666</v>
      </c>
      <c r="G282" s="4">
        <v>43228</v>
      </c>
      <c r="I282" s="1">
        <v>855</v>
      </c>
      <c r="J282" s="1">
        <v>4100</v>
      </c>
    </row>
    <row r="283" spans="1:11">
      <c r="C283" s="2" t="s">
        <v>18</v>
      </c>
      <c r="D283" s="2" t="s">
        <v>47</v>
      </c>
      <c r="E283" s="3">
        <v>50</v>
      </c>
      <c r="F283" s="3">
        <v>15</v>
      </c>
      <c r="G283" s="4">
        <v>42509</v>
      </c>
      <c r="J283" s="1">
        <v>4100</v>
      </c>
    </row>
    <row r="284" spans="1:11">
      <c r="C284" s="2" t="s">
        <v>8</v>
      </c>
      <c r="D284" s="2" t="s">
        <v>15</v>
      </c>
      <c r="E284" s="3">
        <v>220</v>
      </c>
      <c r="F284" s="3">
        <v>30</v>
      </c>
      <c r="G284" s="4">
        <v>44502</v>
      </c>
      <c r="I284" s="1">
        <v>794</v>
      </c>
      <c r="J284" s="1">
        <v>794</v>
      </c>
    </row>
    <row r="285" spans="1:11">
      <c r="C285" s="2" t="s">
        <v>8</v>
      </c>
      <c r="D285" s="2" t="s">
        <v>15</v>
      </c>
      <c r="E285" s="3">
        <v>220</v>
      </c>
      <c r="F285" s="3">
        <v>26.666666666666668</v>
      </c>
      <c r="G285" s="4">
        <v>44322</v>
      </c>
      <c r="I285" s="1">
        <v>780</v>
      </c>
      <c r="J285" s="1">
        <v>780</v>
      </c>
    </row>
    <row r="286" spans="1:11">
      <c r="C286" s="2" t="s">
        <v>18</v>
      </c>
      <c r="D286" s="2" t="s">
        <v>15</v>
      </c>
      <c r="E286" s="3">
        <v>60</v>
      </c>
      <c r="F286" s="3">
        <v>10</v>
      </c>
      <c r="G286" s="4">
        <v>43528</v>
      </c>
    </row>
    <row r="287" spans="1:11">
      <c r="C287" s="2" t="s">
        <v>7</v>
      </c>
      <c r="D287" s="2" t="s">
        <v>15</v>
      </c>
      <c r="E287" s="3">
        <v>28</v>
      </c>
      <c r="F287" s="3">
        <v>10</v>
      </c>
      <c r="G287" s="4">
        <v>43031</v>
      </c>
    </row>
    <row r="288" spans="1:11">
      <c r="C288" s="2" t="s">
        <v>9</v>
      </c>
      <c r="D288" s="2" t="s">
        <v>52</v>
      </c>
      <c r="E288" s="3">
        <v>220</v>
      </c>
      <c r="F288" s="3">
        <v>28</v>
      </c>
      <c r="G288" s="4">
        <v>44357</v>
      </c>
      <c r="I288" s="1">
        <v>1900</v>
      </c>
      <c r="J288" s="1">
        <v>1900</v>
      </c>
    </row>
    <row r="289" spans="1:11">
      <c r="C289" s="2" t="s">
        <v>8</v>
      </c>
      <c r="D289" s="2" t="s">
        <v>52</v>
      </c>
      <c r="E289" s="3">
        <v>125</v>
      </c>
      <c r="F289" s="3">
        <v>50</v>
      </c>
      <c r="G289" s="4">
        <v>44131</v>
      </c>
      <c r="I289" s="1">
        <v>875</v>
      </c>
      <c r="J289" s="1">
        <v>1900</v>
      </c>
    </row>
    <row r="290" spans="1:11">
      <c r="C290" s="52" t="s">
        <v>8</v>
      </c>
      <c r="D290" s="52" t="s">
        <v>2116</v>
      </c>
      <c r="E290" s="3">
        <v>175</v>
      </c>
      <c r="F290" s="3">
        <f>75/4</f>
        <v>18.75</v>
      </c>
      <c r="G290" s="4">
        <v>44511</v>
      </c>
      <c r="I290" s="1">
        <v>3400</v>
      </c>
      <c r="J290" s="1">
        <v>3400</v>
      </c>
    </row>
    <row r="291" spans="1:11">
      <c r="C291" s="52" t="s">
        <v>18</v>
      </c>
      <c r="D291" s="52" t="s">
        <v>2116</v>
      </c>
      <c r="E291" s="3">
        <v>125</v>
      </c>
      <c r="F291" s="3">
        <v>35</v>
      </c>
      <c r="G291" s="53">
        <v>44126</v>
      </c>
      <c r="I291" s="1">
        <v>1100</v>
      </c>
      <c r="J291" s="1">
        <v>3400</v>
      </c>
    </row>
    <row r="292" spans="1:11">
      <c r="C292" s="52" t="s">
        <v>7</v>
      </c>
      <c r="D292" s="52" t="s">
        <v>2116</v>
      </c>
      <c r="E292" s="3">
        <v>40</v>
      </c>
      <c r="F292" s="3">
        <v>10</v>
      </c>
      <c r="G292" s="53">
        <v>43720</v>
      </c>
      <c r="J292" s="1">
        <v>3400</v>
      </c>
    </row>
    <row r="293" spans="1:11">
      <c r="C293" s="92" t="s">
        <v>8</v>
      </c>
      <c r="D293" s="92" t="s">
        <v>5405</v>
      </c>
      <c r="E293" s="3">
        <v>50</v>
      </c>
      <c r="F293" s="3">
        <f>30/4</f>
        <v>7.5</v>
      </c>
      <c r="G293" s="53">
        <v>44307</v>
      </c>
      <c r="I293" s="1">
        <v>2000</v>
      </c>
      <c r="J293" s="1">
        <v>2000</v>
      </c>
    </row>
    <row r="294" spans="1:11">
      <c r="C294" s="92" t="s">
        <v>18</v>
      </c>
      <c r="D294" s="92" t="s">
        <v>5405</v>
      </c>
      <c r="E294" s="3">
        <v>37</v>
      </c>
      <c r="F294" s="3">
        <v>6</v>
      </c>
      <c r="G294" s="53">
        <v>43831</v>
      </c>
      <c r="J294" s="1">
        <v>2000</v>
      </c>
    </row>
    <row r="295" spans="1:11">
      <c r="C295" s="92" t="s">
        <v>7</v>
      </c>
      <c r="D295" s="92" t="s">
        <v>5405</v>
      </c>
      <c r="E295" s="3">
        <v>13.5</v>
      </c>
      <c r="F295" s="3">
        <f>8/3</f>
        <v>2.6666666666666665</v>
      </c>
      <c r="G295" s="53">
        <v>43320</v>
      </c>
      <c r="J295" s="1">
        <v>2000</v>
      </c>
    </row>
    <row r="296" spans="1:11">
      <c r="C296" s="92" t="s">
        <v>5</v>
      </c>
      <c r="D296" s="92" t="s">
        <v>5405</v>
      </c>
      <c r="E296" s="3">
        <v>18.100000000000001</v>
      </c>
      <c r="F296" s="3">
        <v>2</v>
      </c>
      <c r="G296" s="53">
        <v>42719</v>
      </c>
      <c r="J296" s="1">
        <v>2000</v>
      </c>
    </row>
    <row r="297" spans="1:11">
      <c r="C297" s="92" t="s">
        <v>4</v>
      </c>
      <c r="D297" s="92" t="s">
        <v>5405</v>
      </c>
      <c r="E297" s="3">
        <v>2.1</v>
      </c>
      <c r="F297" s="3">
        <v>2.1</v>
      </c>
      <c r="G297" s="53">
        <v>41988</v>
      </c>
      <c r="J297" s="1">
        <v>2000</v>
      </c>
    </row>
    <row r="298" spans="1:11">
      <c r="C298" s="153" t="s">
        <v>5</v>
      </c>
      <c r="D298" s="153" t="s">
        <v>2039</v>
      </c>
      <c r="E298" s="3">
        <v>18</v>
      </c>
      <c r="F298" s="3">
        <v>4</v>
      </c>
      <c r="G298" s="53">
        <v>43445</v>
      </c>
    </row>
    <row r="299" spans="1:11">
      <c r="C299" s="153" t="s">
        <v>4</v>
      </c>
      <c r="D299" s="153" t="s">
        <v>2039</v>
      </c>
      <c r="E299" s="3">
        <v>4.3</v>
      </c>
      <c r="F299" s="3">
        <f>E299/5</f>
        <v>0.86</v>
      </c>
      <c r="G299" s="53">
        <v>43157</v>
      </c>
    </row>
    <row r="300" spans="1:11">
      <c r="C300" s="153" t="s">
        <v>7</v>
      </c>
      <c r="D300" s="153" t="s">
        <v>2036</v>
      </c>
      <c r="E300" s="3">
        <v>25</v>
      </c>
      <c r="F300" s="3">
        <v>7</v>
      </c>
      <c r="G300" s="53">
        <v>43528</v>
      </c>
    </row>
    <row r="301" spans="1:11">
      <c r="G301" s="4"/>
    </row>
    <row r="302" spans="1:11">
      <c r="A302" s="1">
        <v>13</v>
      </c>
      <c r="B302" s="12" t="s">
        <v>7376</v>
      </c>
      <c r="C302" s="13" t="s">
        <v>969</v>
      </c>
      <c r="D302" s="13" t="s">
        <v>968</v>
      </c>
      <c r="E302" s="15"/>
      <c r="F302" s="15">
        <f>SUM(F303:F332)</f>
        <v>579.76851851851848</v>
      </c>
      <c r="G302" s="14">
        <f>+G328</f>
        <v>45147</v>
      </c>
      <c r="I302" s="12">
        <v>90000</v>
      </c>
      <c r="J302" s="22">
        <f>+F302/I302</f>
        <v>6.4418724279835388E-3</v>
      </c>
      <c r="K302" s="12">
        <v>1995</v>
      </c>
    </row>
    <row r="303" spans="1:11">
      <c r="B303" s="254" t="s">
        <v>7794</v>
      </c>
      <c r="C303" s="2" t="s">
        <v>5</v>
      </c>
      <c r="D303" s="2" t="s">
        <v>763</v>
      </c>
      <c r="E303" s="3">
        <v>125</v>
      </c>
      <c r="F303" s="3">
        <v>35</v>
      </c>
      <c r="G303" s="4">
        <v>44852</v>
      </c>
    </row>
    <row r="304" spans="1:11">
      <c r="C304" s="2" t="s">
        <v>18</v>
      </c>
      <c r="D304" s="2" t="s">
        <v>962</v>
      </c>
      <c r="E304" s="3">
        <v>135</v>
      </c>
      <c r="F304" s="3">
        <v>25</v>
      </c>
      <c r="G304" s="4">
        <v>44482</v>
      </c>
      <c r="J304" s="1">
        <v>1200</v>
      </c>
    </row>
    <row r="305" spans="3:10">
      <c r="C305" s="2" t="s">
        <v>7</v>
      </c>
      <c r="D305" s="2" t="s">
        <v>962</v>
      </c>
      <c r="E305" s="3">
        <v>45</v>
      </c>
      <c r="F305" s="3">
        <v>15</v>
      </c>
      <c r="G305" s="4">
        <v>44228</v>
      </c>
      <c r="J305" s="1">
        <v>1200</v>
      </c>
    </row>
    <row r="306" spans="3:10">
      <c r="C306" s="2" t="s">
        <v>5</v>
      </c>
      <c r="D306" s="2" t="s">
        <v>932</v>
      </c>
      <c r="E306" s="3">
        <v>30</v>
      </c>
      <c r="F306" s="3">
        <v>10</v>
      </c>
      <c r="G306" s="4">
        <v>44656</v>
      </c>
    </row>
    <row r="307" spans="3:10">
      <c r="C307" s="2" t="s">
        <v>7</v>
      </c>
      <c r="D307" s="2" t="s">
        <v>735</v>
      </c>
      <c r="E307" s="3">
        <v>25</v>
      </c>
      <c r="F307" s="3">
        <v>10</v>
      </c>
      <c r="G307" s="4">
        <v>44755</v>
      </c>
      <c r="I307" s="274" t="s">
        <v>8896</v>
      </c>
    </row>
    <row r="308" spans="3:10">
      <c r="C308" s="2" t="s">
        <v>5</v>
      </c>
      <c r="D308" s="2" t="s">
        <v>735</v>
      </c>
      <c r="E308" s="3">
        <v>21</v>
      </c>
      <c r="F308" s="3">
        <v>7</v>
      </c>
      <c r="G308" s="4">
        <v>44489</v>
      </c>
      <c r="I308" s="91" t="s">
        <v>5987</v>
      </c>
    </row>
    <row r="309" spans="3:10">
      <c r="C309" s="2" t="s">
        <v>5</v>
      </c>
      <c r="D309" s="2" t="s">
        <v>725</v>
      </c>
      <c r="E309" s="3">
        <v>20</v>
      </c>
      <c r="F309" s="3">
        <v>7</v>
      </c>
      <c r="G309" s="4">
        <v>44676</v>
      </c>
      <c r="I309" s="176" t="s">
        <v>6725</v>
      </c>
    </row>
    <row r="310" spans="3:10">
      <c r="C310" s="2" t="s">
        <v>5</v>
      </c>
      <c r="D310" s="2" t="s">
        <v>825</v>
      </c>
      <c r="E310" s="3">
        <v>20</v>
      </c>
      <c r="F310" s="3">
        <v>5</v>
      </c>
      <c r="G310" s="4">
        <v>44602</v>
      </c>
    </row>
    <row r="311" spans="3:10">
      <c r="C311" s="2" t="s">
        <v>5</v>
      </c>
      <c r="D311" s="2" t="s">
        <v>1123</v>
      </c>
      <c r="E311" s="3">
        <v>20</v>
      </c>
      <c r="F311" s="3">
        <v>10</v>
      </c>
      <c r="G311" s="4">
        <v>44371</v>
      </c>
    </row>
    <row r="312" spans="3:10">
      <c r="C312" s="2" t="s">
        <v>5</v>
      </c>
      <c r="D312" s="2" t="s">
        <v>1122</v>
      </c>
      <c r="E312" s="3">
        <v>15</v>
      </c>
      <c r="F312" s="3">
        <v>5</v>
      </c>
      <c r="G312" s="4">
        <v>44468</v>
      </c>
    </row>
    <row r="313" spans="3:10">
      <c r="C313" s="2" t="s">
        <v>7</v>
      </c>
      <c r="D313" s="2" t="s">
        <v>446</v>
      </c>
      <c r="E313" s="3">
        <v>30</v>
      </c>
      <c r="F313" s="3">
        <v>15</v>
      </c>
      <c r="G313" s="4">
        <v>44756</v>
      </c>
    </row>
    <row r="314" spans="3:10">
      <c r="C314" s="2" t="s">
        <v>7</v>
      </c>
      <c r="D314" s="2" t="s">
        <v>525</v>
      </c>
      <c r="E314" s="3">
        <v>32</v>
      </c>
      <c r="F314" s="3">
        <v>12</v>
      </c>
      <c r="G314" s="4">
        <v>44364</v>
      </c>
    </row>
    <row r="315" spans="3:10">
      <c r="C315" s="2" t="s">
        <v>5</v>
      </c>
      <c r="D315" s="2" t="s">
        <v>313</v>
      </c>
      <c r="E315" s="3">
        <v>57</v>
      </c>
      <c r="F315" s="3">
        <v>6</v>
      </c>
      <c r="G315" s="4">
        <v>44508</v>
      </c>
    </row>
    <row r="316" spans="3:10">
      <c r="C316" s="2" t="s">
        <v>53</v>
      </c>
      <c r="D316" s="2" t="s">
        <v>154</v>
      </c>
      <c r="E316" s="3">
        <v>200</v>
      </c>
      <c r="F316" s="3">
        <v>50</v>
      </c>
      <c r="G316" s="4">
        <v>44907</v>
      </c>
      <c r="I316" s="1">
        <v>3500</v>
      </c>
    </row>
    <row r="317" spans="3:10">
      <c r="C317" s="2" t="s">
        <v>9</v>
      </c>
      <c r="D317" s="2" t="s">
        <v>154</v>
      </c>
      <c r="E317" s="3">
        <v>400</v>
      </c>
      <c r="F317" s="3">
        <v>36</v>
      </c>
      <c r="G317" s="4">
        <v>44413</v>
      </c>
      <c r="I317" s="1">
        <v>4200</v>
      </c>
    </row>
    <row r="318" spans="3:10">
      <c r="C318" s="2" t="s">
        <v>8</v>
      </c>
      <c r="D318" s="2" t="s">
        <v>57</v>
      </c>
      <c r="E318" s="3">
        <v>250</v>
      </c>
      <c r="F318" s="3">
        <f>150/4</f>
        <v>37.5</v>
      </c>
      <c r="G318" s="4">
        <v>45069</v>
      </c>
    </row>
    <row r="319" spans="3:10">
      <c r="C319" s="2" t="s">
        <v>18</v>
      </c>
      <c r="D319" s="2" t="s">
        <v>57</v>
      </c>
      <c r="E319" s="3">
        <v>100</v>
      </c>
      <c r="F319" s="3">
        <v>25</v>
      </c>
      <c r="G319" s="4">
        <v>44650</v>
      </c>
    </row>
    <row r="320" spans="3:10">
      <c r="C320" s="92" t="s">
        <v>7</v>
      </c>
      <c r="D320" s="92" t="s">
        <v>5231</v>
      </c>
      <c r="E320" s="3">
        <v>55</v>
      </c>
      <c r="F320" s="3">
        <v>55</v>
      </c>
      <c r="G320" s="4">
        <v>43663</v>
      </c>
    </row>
    <row r="321" spans="1:18">
      <c r="C321" s="92" t="s">
        <v>18</v>
      </c>
      <c r="D321" s="92" t="s">
        <v>5647</v>
      </c>
      <c r="E321" s="3">
        <v>75</v>
      </c>
      <c r="F321" s="3">
        <v>25</v>
      </c>
      <c r="G321" s="4">
        <v>44627</v>
      </c>
    </row>
    <row r="322" spans="1:18">
      <c r="C322" s="92" t="s">
        <v>7</v>
      </c>
      <c r="D322" s="92" t="s">
        <v>5647</v>
      </c>
      <c r="E322" s="3">
        <v>75</v>
      </c>
      <c r="F322" s="3">
        <v>15</v>
      </c>
      <c r="G322" s="4">
        <v>44222</v>
      </c>
    </row>
    <row r="323" spans="1:18">
      <c r="C323" s="92" t="s">
        <v>7</v>
      </c>
      <c r="D323" s="92" t="s">
        <v>5986</v>
      </c>
      <c r="E323" s="3">
        <v>50</v>
      </c>
      <c r="F323" s="3">
        <v>15</v>
      </c>
      <c r="G323" s="4">
        <v>44670</v>
      </c>
      <c r="J323" s="1">
        <v>250</v>
      </c>
    </row>
    <row r="324" spans="1:18">
      <c r="C324" s="153" t="s">
        <v>7</v>
      </c>
      <c r="D324" s="153" t="s">
        <v>6395</v>
      </c>
      <c r="E324" s="3">
        <v>35</v>
      </c>
      <c r="F324" s="3">
        <v>15</v>
      </c>
      <c r="G324" s="4">
        <v>44468</v>
      </c>
    </row>
    <row r="325" spans="1:18">
      <c r="C325" s="177" t="s">
        <v>5</v>
      </c>
      <c r="D325" s="177" t="s">
        <v>6679</v>
      </c>
      <c r="E325" s="3">
        <v>21</v>
      </c>
      <c r="F325" s="3">
        <v>12</v>
      </c>
      <c r="G325" s="4">
        <v>44515</v>
      </c>
    </row>
    <row r="326" spans="1:18">
      <c r="C326" s="177" t="s">
        <v>5</v>
      </c>
      <c r="D326" s="177" t="s">
        <v>2023</v>
      </c>
      <c r="E326" s="3">
        <v>15.3</v>
      </c>
      <c r="F326" s="3">
        <v>10</v>
      </c>
      <c r="G326" s="4">
        <v>44733</v>
      </c>
    </row>
    <row r="327" spans="1:18">
      <c r="C327" s="265" t="s">
        <v>2486</v>
      </c>
      <c r="D327" s="265" t="s">
        <v>1006</v>
      </c>
      <c r="E327" s="3">
        <v>1600</v>
      </c>
      <c r="F327" s="3">
        <f>1400/27</f>
        <v>51.851851851851855</v>
      </c>
      <c r="G327" s="4">
        <v>44439</v>
      </c>
    </row>
    <row r="328" spans="1:18">
      <c r="C328" s="265" t="s">
        <v>1040</v>
      </c>
      <c r="D328" s="265" t="s">
        <v>962</v>
      </c>
      <c r="E328" s="3">
        <v>50</v>
      </c>
      <c r="F328" s="3">
        <v>5</v>
      </c>
      <c r="G328" s="4">
        <v>45147</v>
      </c>
      <c r="I328" s="1">
        <v>1200</v>
      </c>
      <c r="J328" s="1">
        <v>1200</v>
      </c>
    </row>
    <row r="329" spans="1:18">
      <c r="C329" s="331" t="s">
        <v>9</v>
      </c>
      <c r="D329" s="331" t="s">
        <v>8304</v>
      </c>
      <c r="E329" s="3">
        <v>65</v>
      </c>
      <c r="F329" s="3">
        <f>E329/3</f>
        <v>21.666666666666668</v>
      </c>
      <c r="G329" s="4">
        <v>45125</v>
      </c>
    </row>
    <row r="330" spans="1:18">
      <c r="C330" s="331" t="s">
        <v>8</v>
      </c>
      <c r="D330" s="331" t="s">
        <v>8304</v>
      </c>
      <c r="E330" s="3">
        <v>60</v>
      </c>
      <c r="F330" s="324">
        <v>30</v>
      </c>
      <c r="G330" s="4">
        <v>44363</v>
      </c>
      <c r="I330" s="1">
        <v>1000</v>
      </c>
      <c r="J330" s="1">
        <v>1000</v>
      </c>
    </row>
    <row r="331" spans="1:18">
      <c r="C331" s="331" t="s">
        <v>18</v>
      </c>
      <c r="D331" s="331" t="s">
        <v>8304</v>
      </c>
      <c r="E331" s="3">
        <v>25</v>
      </c>
      <c r="F331" s="324">
        <f>15/4</f>
        <v>3.75</v>
      </c>
      <c r="G331" s="4">
        <v>43888</v>
      </c>
      <c r="J331" s="1">
        <v>1000</v>
      </c>
    </row>
    <row r="332" spans="1:18">
      <c r="C332" s="331" t="s">
        <v>7</v>
      </c>
      <c r="D332" s="331" t="s">
        <v>8304</v>
      </c>
      <c r="E332" s="3">
        <v>25</v>
      </c>
      <c r="F332" s="324">
        <v>10</v>
      </c>
      <c r="G332" s="4">
        <v>43287</v>
      </c>
      <c r="J332" s="1">
        <v>1000</v>
      </c>
    </row>
    <row r="333" spans="1:18">
      <c r="G333" s="4"/>
      <c r="M333" s="1"/>
      <c r="N333" s="1"/>
      <c r="O333" s="1"/>
      <c r="P333" s="1"/>
      <c r="Q333" s="1"/>
      <c r="R333" s="1"/>
    </row>
    <row r="334" spans="1:18" s="12" customFormat="1">
      <c r="A334" s="12">
        <v>14</v>
      </c>
      <c r="B334" s="12" t="s">
        <v>1138</v>
      </c>
      <c r="C334" s="13" t="s">
        <v>969</v>
      </c>
      <c r="D334" s="13" t="s">
        <v>968</v>
      </c>
      <c r="E334" s="15"/>
      <c r="F334" s="15">
        <f>+F335+F336</f>
        <v>431.81818181818181</v>
      </c>
      <c r="G334" s="14">
        <f>+G335</f>
        <v>44363</v>
      </c>
      <c r="I334" s="13" t="s">
        <v>1</v>
      </c>
      <c r="J334" s="13" t="s">
        <v>1</v>
      </c>
      <c r="K334" s="13" t="s">
        <v>1</v>
      </c>
      <c r="M334" s="13"/>
      <c r="N334" s="13"/>
      <c r="O334" s="13"/>
      <c r="P334" s="13"/>
      <c r="Q334" s="13"/>
      <c r="R334" s="13"/>
    </row>
    <row r="335" spans="1:18">
      <c r="B335" s="254" t="s">
        <v>7626</v>
      </c>
      <c r="C335" s="2" t="s">
        <v>7</v>
      </c>
      <c r="D335" s="2" t="s">
        <v>1125</v>
      </c>
      <c r="E335" s="3">
        <v>2500</v>
      </c>
      <c r="F335" s="3">
        <f>2000/11</f>
        <v>181.81818181818181</v>
      </c>
      <c r="G335" s="4">
        <v>44363</v>
      </c>
    </row>
    <row r="336" spans="1:18">
      <c r="C336" s="2" t="s">
        <v>5</v>
      </c>
      <c r="D336" s="2" t="s">
        <v>1125</v>
      </c>
      <c r="E336" s="3">
        <v>3000</v>
      </c>
      <c r="F336" s="3">
        <v>250</v>
      </c>
      <c r="G336" s="4">
        <v>43963</v>
      </c>
    </row>
    <row r="337" spans="1:11">
      <c r="G337" s="4"/>
    </row>
    <row r="338" spans="1:11">
      <c r="A338" s="1">
        <v>15</v>
      </c>
      <c r="B338" s="12" t="s">
        <v>7377</v>
      </c>
      <c r="C338" s="13" t="s">
        <v>969</v>
      </c>
      <c r="D338" s="13" t="s">
        <v>968</v>
      </c>
      <c r="E338" s="15"/>
      <c r="F338" s="15">
        <f>SUM(F339:F365)</f>
        <v>531.0156199677939</v>
      </c>
      <c r="G338" s="14">
        <f>G346</f>
        <v>45056</v>
      </c>
      <c r="I338" s="12">
        <v>25000</v>
      </c>
      <c r="J338" s="23">
        <f>+F338/I338</f>
        <v>2.1240624798711756E-2</v>
      </c>
      <c r="K338" s="12">
        <v>1977</v>
      </c>
    </row>
    <row r="339" spans="1:11">
      <c r="B339" s="253" t="s">
        <v>7627</v>
      </c>
      <c r="C339" s="2" t="s">
        <v>1116</v>
      </c>
      <c r="D339" s="2" t="s">
        <v>832</v>
      </c>
      <c r="E339" s="3">
        <v>100</v>
      </c>
      <c r="F339" s="3">
        <f>40/3</f>
        <v>13.333333333333334</v>
      </c>
      <c r="G339" s="4">
        <v>44537</v>
      </c>
    </row>
    <row r="340" spans="1:11">
      <c r="C340" s="2" t="s">
        <v>7</v>
      </c>
      <c r="D340" s="2" t="s">
        <v>832</v>
      </c>
      <c r="E340" s="3">
        <v>40</v>
      </c>
      <c r="F340" s="3">
        <v>20</v>
      </c>
      <c r="G340" s="4">
        <v>44125</v>
      </c>
    </row>
    <row r="341" spans="1:11">
      <c r="C341" s="2" t="s">
        <v>5</v>
      </c>
      <c r="D341" s="2" t="s">
        <v>832</v>
      </c>
      <c r="E341" s="3">
        <v>20</v>
      </c>
      <c r="F341" s="3">
        <f>12/6</f>
        <v>2</v>
      </c>
      <c r="G341" s="4">
        <v>43816</v>
      </c>
    </row>
    <row r="342" spans="1:11">
      <c r="C342" s="2" t="s">
        <v>5</v>
      </c>
      <c r="D342" s="92" t="s">
        <v>1004</v>
      </c>
      <c r="E342" s="3">
        <v>25.6</v>
      </c>
      <c r="F342" s="3">
        <v>15</v>
      </c>
      <c r="G342" s="4">
        <v>45013</v>
      </c>
    </row>
    <row r="343" spans="1:11">
      <c r="C343" s="2" t="s">
        <v>7</v>
      </c>
      <c r="D343" s="2" t="s">
        <v>796</v>
      </c>
      <c r="E343" s="3">
        <v>50</v>
      </c>
      <c r="F343" s="3">
        <f>30/5</f>
        <v>6</v>
      </c>
      <c r="G343" s="4">
        <v>45036</v>
      </c>
    </row>
    <row r="344" spans="1:11">
      <c r="C344" s="2" t="s">
        <v>5</v>
      </c>
      <c r="D344" s="2" t="s">
        <v>796</v>
      </c>
      <c r="E344" s="3">
        <v>16.5</v>
      </c>
      <c r="F344" s="3">
        <v>6</v>
      </c>
      <c r="G344" s="4">
        <v>44614</v>
      </c>
    </row>
    <row r="345" spans="1:11">
      <c r="C345" s="2" t="s">
        <v>4</v>
      </c>
      <c r="D345" s="2" t="s">
        <v>686</v>
      </c>
      <c r="E345" s="3">
        <v>30</v>
      </c>
      <c r="F345" s="3">
        <v>15</v>
      </c>
      <c r="G345" s="4">
        <v>44601</v>
      </c>
    </row>
    <row r="346" spans="1:11">
      <c r="C346" s="2" t="s">
        <v>4</v>
      </c>
      <c r="D346" s="2" t="s">
        <v>829</v>
      </c>
      <c r="E346" s="3">
        <v>4.5</v>
      </c>
      <c r="F346" s="3">
        <v>2</v>
      </c>
      <c r="G346" s="4">
        <v>45056</v>
      </c>
    </row>
    <row r="347" spans="1:11">
      <c r="C347" s="2" t="s">
        <v>278</v>
      </c>
      <c r="D347" s="2" t="s">
        <v>776</v>
      </c>
      <c r="E347" s="3">
        <v>4.5</v>
      </c>
      <c r="F347" s="3">
        <v>1</v>
      </c>
      <c r="G347" s="4">
        <v>44691</v>
      </c>
    </row>
    <row r="348" spans="1:11">
      <c r="C348" s="2" t="s">
        <v>4</v>
      </c>
      <c r="D348" s="2" t="s">
        <v>654</v>
      </c>
      <c r="E348" s="3">
        <v>12.8</v>
      </c>
      <c r="F348" s="3">
        <v>5</v>
      </c>
      <c r="G348" s="4">
        <v>44601</v>
      </c>
    </row>
    <row r="349" spans="1:11">
      <c r="C349" s="2" t="s">
        <v>4</v>
      </c>
      <c r="D349" s="2" t="s">
        <v>771</v>
      </c>
      <c r="E349" s="3">
        <v>10</v>
      </c>
      <c r="F349" s="3">
        <v>1</v>
      </c>
      <c r="G349" s="4">
        <v>44858</v>
      </c>
    </row>
    <row r="350" spans="1:11">
      <c r="C350" s="2" t="s">
        <v>4</v>
      </c>
      <c r="D350" s="2" t="s">
        <v>771</v>
      </c>
      <c r="E350" s="3">
        <v>4.5999999999999996</v>
      </c>
      <c r="F350" s="3">
        <v>2</v>
      </c>
      <c r="G350" s="4">
        <v>44530</v>
      </c>
    </row>
    <row r="351" spans="1:11">
      <c r="C351" s="2" t="s">
        <v>53</v>
      </c>
      <c r="D351" s="2" t="s">
        <v>489</v>
      </c>
      <c r="E351" s="3">
        <v>270</v>
      </c>
      <c r="F351" s="3">
        <v>22</v>
      </c>
      <c r="G351" s="4">
        <v>44152</v>
      </c>
    </row>
    <row r="352" spans="1:11">
      <c r="C352" s="2" t="s">
        <v>9</v>
      </c>
      <c r="D352" s="2" t="s">
        <v>489</v>
      </c>
      <c r="E352" s="3">
        <v>206</v>
      </c>
      <c r="F352" s="3">
        <v>14</v>
      </c>
      <c r="G352" s="4">
        <v>43725</v>
      </c>
    </row>
    <row r="353" spans="2:11">
      <c r="C353" s="2" t="s">
        <v>8</v>
      </c>
      <c r="D353" s="2" t="s">
        <v>489</v>
      </c>
      <c r="E353" s="3">
        <v>100</v>
      </c>
      <c r="F353" s="3">
        <v>15</v>
      </c>
      <c r="G353" s="4">
        <v>43397</v>
      </c>
    </row>
    <row r="354" spans="2:11">
      <c r="C354" s="2" t="s">
        <v>18</v>
      </c>
      <c r="D354" s="2" t="s">
        <v>489</v>
      </c>
      <c r="E354" s="3">
        <v>67.2</v>
      </c>
      <c r="F354" s="3">
        <v>37.200000000000003</v>
      </c>
      <c r="G354" s="4">
        <v>42943</v>
      </c>
    </row>
    <row r="355" spans="2:11">
      <c r="C355" s="2" t="s">
        <v>7</v>
      </c>
      <c r="D355" s="2" t="s">
        <v>475</v>
      </c>
      <c r="E355" s="3">
        <v>90</v>
      </c>
      <c r="F355" s="3">
        <v>6</v>
      </c>
      <c r="G355" s="4">
        <v>44398</v>
      </c>
    </row>
    <row r="356" spans="2:11">
      <c r="C356" s="2" t="s">
        <v>5</v>
      </c>
      <c r="D356" s="2" t="s">
        <v>475</v>
      </c>
      <c r="E356" s="3">
        <v>22.8</v>
      </c>
      <c r="F356" s="3">
        <v>6.4</v>
      </c>
      <c r="G356" s="4">
        <v>43160</v>
      </c>
      <c r="J356" s="5"/>
    </row>
    <row r="357" spans="2:11">
      <c r="C357" s="2" t="s">
        <v>9</v>
      </c>
      <c r="D357" s="2" t="s">
        <v>386</v>
      </c>
      <c r="E357" s="3">
        <v>400</v>
      </c>
      <c r="F357" s="3">
        <v>200</v>
      </c>
      <c r="G357" s="4">
        <v>44608</v>
      </c>
      <c r="J357" s="5"/>
    </row>
    <row r="358" spans="2:11">
      <c r="C358" s="2" t="s">
        <v>5</v>
      </c>
      <c r="D358" s="2" t="s">
        <v>289</v>
      </c>
      <c r="E358" s="3">
        <v>30</v>
      </c>
      <c r="F358" s="3">
        <v>10</v>
      </c>
      <c r="G358" s="4">
        <v>44474</v>
      </c>
      <c r="J358" s="5"/>
    </row>
    <row r="359" spans="2:11">
      <c r="C359" s="2" t="s">
        <v>4</v>
      </c>
      <c r="D359" s="2" t="s">
        <v>289</v>
      </c>
      <c r="E359" s="3">
        <v>15</v>
      </c>
      <c r="F359" s="3">
        <f>10/4</f>
        <v>2.5</v>
      </c>
      <c r="G359" s="4">
        <v>43775</v>
      </c>
      <c r="J359" s="5"/>
    </row>
    <row r="360" spans="2:11">
      <c r="C360" s="2" t="s">
        <v>4</v>
      </c>
      <c r="D360" s="2" t="s">
        <v>1056</v>
      </c>
      <c r="E360" s="3">
        <v>4.3</v>
      </c>
      <c r="F360" s="3">
        <f>E360/3</f>
        <v>1.4333333333333333</v>
      </c>
      <c r="G360" s="4">
        <v>42821</v>
      </c>
      <c r="J360" s="5"/>
    </row>
    <row r="361" spans="2:11">
      <c r="C361" s="2" t="s">
        <v>7</v>
      </c>
      <c r="D361" s="2" t="s">
        <v>128</v>
      </c>
      <c r="E361" s="3">
        <v>23.5</v>
      </c>
      <c r="F361" s="3">
        <f>14/4</f>
        <v>3.5</v>
      </c>
      <c r="G361" s="4">
        <v>45008</v>
      </c>
      <c r="J361" s="5"/>
    </row>
    <row r="362" spans="2:11">
      <c r="C362" s="2" t="s">
        <v>5</v>
      </c>
      <c r="D362" s="2" t="s">
        <v>128</v>
      </c>
      <c r="E362" s="3">
        <v>16</v>
      </c>
      <c r="F362" s="3">
        <v>11</v>
      </c>
      <c r="G362" s="4">
        <v>44434</v>
      </c>
      <c r="J362" s="5"/>
    </row>
    <row r="363" spans="2:11">
      <c r="C363" s="265" t="s">
        <v>2486</v>
      </c>
      <c r="D363" s="265" t="s">
        <v>1006</v>
      </c>
      <c r="E363" s="3">
        <v>1600</v>
      </c>
      <c r="F363" s="3">
        <f>1400/27</f>
        <v>51.851851851851855</v>
      </c>
      <c r="G363" s="4">
        <v>44439</v>
      </c>
      <c r="I363" s="1">
        <v>36000</v>
      </c>
      <c r="J363" s="5">
        <v>42500</v>
      </c>
    </row>
    <row r="364" spans="2:11">
      <c r="C364" s="265" t="s">
        <v>504</v>
      </c>
      <c r="D364" s="265" t="s">
        <v>1006</v>
      </c>
      <c r="E364" s="3">
        <v>1000</v>
      </c>
      <c r="F364" s="3">
        <f>900/23</f>
        <v>39.130434782608695</v>
      </c>
      <c r="G364" s="4">
        <v>44228</v>
      </c>
      <c r="I364" s="1">
        <v>27000</v>
      </c>
      <c r="J364" s="5">
        <v>42500</v>
      </c>
    </row>
    <row r="365" spans="2:11">
      <c r="C365" s="265" t="s">
        <v>9</v>
      </c>
      <c r="D365" s="265" t="s">
        <v>4881</v>
      </c>
      <c r="E365" s="3">
        <v>118</v>
      </c>
      <c r="F365" s="3">
        <f>68/3</f>
        <v>22.666666666666668</v>
      </c>
      <c r="G365" s="4">
        <v>45265</v>
      </c>
      <c r="I365" s="1">
        <v>9000</v>
      </c>
      <c r="J365" s="5">
        <v>9000</v>
      </c>
    </row>
    <row r="366" spans="2:11">
      <c r="G366" s="4"/>
    </row>
    <row r="367" spans="2:11">
      <c r="B367" s="12" t="s">
        <v>6706</v>
      </c>
      <c r="C367" s="13" t="s">
        <v>969</v>
      </c>
      <c r="D367" s="13" t="s">
        <v>968</v>
      </c>
      <c r="E367" s="15"/>
      <c r="F367" s="15">
        <f>SUM(F368:F382)</f>
        <v>477.0488095238095</v>
      </c>
      <c r="G367" s="14">
        <f>G382</f>
        <v>45260</v>
      </c>
      <c r="I367" s="1" t="s">
        <v>1</v>
      </c>
      <c r="J367" s="1" t="s">
        <v>1</v>
      </c>
      <c r="K367" s="1" t="s">
        <v>1</v>
      </c>
    </row>
    <row r="368" spans="2:11">
      <c r="C368" s="2" t="s">
        <v>18</v>
      </c>
      <c r="D368" s="2" t="s">
        <v>952</v>
      </c>
      <c r="E368" s="3">
        <v>270</v>
      </c>
      <c r="F368" s="3">
        <v>24</v>
      </c>
      <c r="G368" s="4">
        <v>45048</v>
      </c>
    </row>
    <row r="369" spans="1:11">
      <c r="C369" s="2" t="s">
        <v>7</v>
      </c>
      <c r="D369" s="2" t="s">
        <v>949</v>
      </c>
      <c r="E369" s="3">
        <v>350</v>
      </c>
      <c r="F369" s="3">
        <v>20</v>
      </c>
      <c r="G369" s="4">
        <v>44999</v>
      </c>
    </row>
    <row r="370" spans="1:11">
      <c r="C370" s="2" t="s">
        <v>7</v>
      </c>
      <c r="D370" s="2" t="s">
        <v>456</v>
      </c>
      <c r="E370" s="3">
        <v>26.8</v>
      </c>
      <c r="F370" s="3">
        <f>20/5</f>
        <v>4</v>
      </c>
      <c r="G370" s="4">
        <v>44600</v>
      </c>
    </row>
    <row r="371" spans="1:11">
      <c r="C371" s="2" t="s">
        <v>8</v>
      </c>
      <c r="D371" s="2" t="s">
        <v>131</v>
      </c>
      <c r="E371" s="3">
        <v>135</v>
      </c>
      <c r="F371" s="3">
        <v>8</v>
      </c>
      <c r="G371" s="4">
        <v>44880</v>
      </c>
    </row>
    <row r="372" spans="1:11">
      <c r="C372" s="2" t="s">
        <v>18</v>
      </c>
      <c r="D372" s="2" t="s">
        <v>131</v>
      </c>
      <c r="E372" s="3">
        <v>73</v>
      </c>
      <c r="F372" s="3">
        <f>53/7</f>
        <v>7.5714285714285712</v>
      </c>
      <c r="G372" s="4">
        <v>44565</v>
      </c>
    </row>
    <row r="373" spans="1:11">
      <c r="C373" s="2" t="s">
        <v>18</v>
      </c>
      <c r="D373" s="2" t="s">
        <v>131</v>
      </c>
      <c r="E373" s="3">
        <v>31.7</v>
      </c>
      <c r="F373" s="3">
        <v>7</v>
      </c>
      <c r="G373" s="4">
        <v>43599</v>
      </c>
    </row>
    <row r="374" spans="1:11">
      <c r="C374" s="2" t="s">
        <v>9</v>
      </c>
      <c r="D374" s="2" t="s">
        <v>39</v>
      </c>
      <c r="E374" s="3">
        <v>230</v>
      </c>
      <c r="F374" s="3">
        <v>24</v>
      </c>
      <c r="G374" s="4">
        <v>44984</v>
      </c>
      <c r="I374" s="1">
        <v>2000</v>
      </c>
      <c r="J374" s="1">
        <v>2000</v>
      </c>
    </row>
    <row r="375" spans="1:11">
      <c r="C375" s="52" t="s">
        <v>8</v>
      </c>
      <c r="D375" s="52" t="s">
        <v>4881</v>
      </c>
      <c r="E375" s="3">
        <v>83</v>
      </c>
      <c r="F375" s="3">
        <f>68/10</f>
        <v>6.8</v>
      </c>
      <c r="G375" s="4">
        <v>44320</v>
      </c>
      <c r="I375" s="1">
        <v>3600</v>
      </c>
      <c r="J375" s="1">
        <v>3600</v>
      </c>
    </row>
    <row r="376" spans="1:11">
      <c r="C376" s="55" t="s">
        <v>9</v>
      </c>
      <c r="D376" s="55" t="s">
        <v>2112</v>
      </c>
      <c r="E376" s="3">
        <v>100</v>
      </c>
      <c r="F376" s="3">
        <f>75/7</f>
        <v>10.714285714285714</v>
      </c>
      <c r="G376" s="4">
        <v>44507</v>
      </c>
      <c r="I376" s="1">
        <v>1600</v>
      </c>
      <c r="J376" s="1">
        <v>1600</v>
      </c>
    </row>
    <row r="377" spans="1:11">
      <c r="C377" s="55" t="s">
        <v>53</v>
      </c>
      <c r="D377" s="55" t="s">
        <v>4995</v>
      </c>
      <c r="E377" s="3">
        <v>100</v>
      </c>
      <c r="F377" s="3">
        <f>70/5</f>
        <v>14</v>
      </c>
      <c r="G377" s="4">
        <v>44474</v>
      </c>
    </row>
    <row r="378" spans="1:11">
      <c r="C378" s="265" t="s">
        <v>7885</v>
      </c>
      <c r="D378" s="265" t="s">
        <v>1006</v>
      </c>
      <c r="E378" s="3">
        <v>684.6</v>
      </c>
      <c r="F378" s="3">
        <f>584.6/21</f>
        <v>27.838095238095239</v>
      </c>
      <c r="G378" s="4">
        <v>45183</v>
      </c>
      <c r="I378" s="1">
        <v>42500</v>
      </c>
      <c r="J378" s="1">
        <v>42500</v>
      </c>
    </row>
    <row r="379" spans="1:11">
      <c r="C379" s="265" t="s">
        <v>8</v>
      </c>
      <c r="D379" s="265" t="s">
        <v>3732</v>
      </c>
      <c r="E379" s="3">
        <v>235</v>
      </c>
      <c r="F379" s="3">
        <f>185/8</f>
        <v>23.125</v>
      </c>
      <c r="G379" s="4">
        <v>45161</v>
      </c>
      <c r="I379" s="1">
        <v>4300</v>
      </c>
      <c r="J379" s="1">
        <v>4300</v>
      </c>
    </row>
    <row r="380" spans="1:11">
      <c r="C380" s="265" t="s">
        <v>7</v>
      </c>
      <c r="D380" s="265" t="s">
        <v>1133</v>
      </c>
      <c r="E380" s="3">
        <v>1300</v>
      </c>
      <c r="F380" s="3">
        <v>220</v>
      </c>
      <c r="G380" s="4">
        <v>45106</v>
      </c>
      <c r="I380" s="1">
        <v>4000</v>
      </c>
      <c r="J380" s="1">
        <v>4000</v>
      </c>
    </row>
    <row r="381" spans="1:11">
      <c r="C381" s="265" t="s">
        <v>1040</v>
      </c>
      <c r="D381" s="265" t="s">
        <v>957</v>
      </c>
      <c r="E381" s="3">
        <v>141</v>
      </c>
      <c r="F381" s="3">
        <v>30</v>
      </c>
      <c r="G381" s="4">
        <v>45106</v>
      </c>
      <c r="I381" s="1">
        <v>1400</v>
      </c>
      <c r="J381" s="1">
        <v>1400</v>
      </c>
    </row>
    <row r="382" spans="1:11">
      <c r="C382" s="331" t="s">
        <v>5</v>
      </c>
      <c r="D382" s="331" t="s">
        <v>9424</v>
      </c>
      <c r="E382" s="3">
        <v>102.5</v>
      </c>
      <c r="F382" s="3">
        <v>50</v>
      </c>
      <c r="G382" s="4">
        <v>45260</v>
      </c>
    </row>
    <row r="383" spans="1:11">
      <c r="G383" s="4"/>
    </row>
    <row r="384" spans="1:11">
      <c r="A384" s="1">
        <v>16</v>
      </c>
      <c r="B384" s="12" t="s">
        <v>7378</v>
      </c>
      <c r="C384" s="13" t="s">
        <v>969</v>
      </c>
      <c r="D384" s="13" t="s">
        <v>968</v>
      </c>
      <c r="E384" s="15"/>
      <c r="F384" s="15">
        <f>SUM(F385:F424)</f>
        <v>432.16774891774895</v>
      </c>
      <c r="G384" s="14">
        <f>G403</f>
        <v>45104</v>
      </c>
      <c r="I384" s="12">
        <v>85000</v>
      </c>
      <c r="J384" s="22">
        <f>+F384/I384</f>
        <v>5.0843264578558697E-3</v>
      </c>
      <c r="K384" s="12">
        <v>1972</v>
      </c>
    </row>
    <row r="385" spans="3:12">
      <c r="C385" s="2" t="s">
        <v>18</v>
      </c>
      <c r="D385" s="2" t="s">
        <v>926</v>
      </c>
      <c r="E385" s="3">
        <v>100</v>
      </c>
      <c r="F385" s="3">
        <v>9</v>
      </c>
      <c r="G385" s="4">
        <v>44690</v>
      </c>
      <c r="I385" s="238"/>
      <c r="J385" s="238">
        <v>4300</v>
      </c>
      <c r="K385" s="238"/>
      <c r="L385" s="238"/>
    </row>
    <row r="386" spans="3:12">
      <c r="C386" s="2" t="s">
        <v>18</v>
      </c>
      <c r="D386" s="2" t="s">
        <v>1043</v>
      </c>
      <c r="E386" s="3">
        <v>100</v>
      </c>
      <c r="F386" s="3">
        <v>40</v>
      </c>
      <c r="G386" s="4">
        <v>44699</v>
      </c>
      <c r="I386" s="238" t="s">
        <v>7592</v>
      </c>
      <c r="J386" s="238"/>
      <c r="K386" s="238"/>
      <c r="L386" s="238"/>
    </row>
    <row r="387" spans="3:12">
      <c r="C387" s="2" t="s">
        <v>18</v>
      </c>
      <c r="D387" s="2" t="s">
        <v>1005</v>
      </c>
      <c r="E387" s="3">
        <v>100</v>
      </c>
      <c r="F387" s="3">
        <v>10</v>
      </c>
      <c r="G387" s="4">
        <v>44754</v>
      </c>
      <c r="I387" s="238" t="s">
        <v>4264</v>
      </c>
      <c r="J387" s="25" t="s">
        <v>4267</v>
      </c>
      <c r="K387" s="238"/>
      <c r="L387" s="238"/>
    </row>
    <row r="388" spans="3:12">
      <c r="C388" s="2" t="s">
        <v>7</v>
      </c>
      <c r="D388" s="2" t="s">
        <v>1005</v>
      </c>
      <c r="E388" s="3">
        <v>35</v>
      </c>
      <c r="F388" s="3">
        <f>E388/2</f>
        <v>17.5</v>
      </c>
      <c r="G388" s="4">
        <v>44172</v>
      </c>
      <c r="I388" s="238" t="s">
        <v>4265</v>
      </c>
      <c r="J388" s="25" t="s">
        <v>4266</v>
      </c>
      <c r="K388" s="238"/>
      <c r="L388" s="238"/>
    </row>
    <row r="389" spans="3:12">
      <c r="C389" s="2" t="s">
        <v>5</v>
      </c>
      <c r="D389" s="2" t="s">
        <v>1005</v>
      </c>
      <c r="E389" s="3">
        <v>20</v>
      </c>
      <c r="F389" s="3">
        <v>8</v>
      </c>
      <c r="G389" s="4">
        <v>43949</v>
      </c>
      <c r="I389" s="238" t="s">
        <v>4268</v>
      </c>
      <c r="J389" s="238"/>
      <c r="K389" s="238" t="s">
        <v>4269</v>
      </c>
      <c r="L389" s="238"/>
    </row>
    <row r="390" spans="3:12">
      <c r="C390" s="2" t="s">
        <v>4</v>
      </c>
      <c r="D390" s="2" t="s">
        <v>1005</v>
      </c>
      <c r="E390" s="3">
        <v>5</v>
      </c>
      <c r="F390" s="3">
        <v>1</v>
      </c>
      <c r="G390" s="4">
        <v>43438</v>
      </c>
      <c r="I390" s="238" t="s">
        <v>7381</v>
      </c>
      <c r="J390" s="238" t="s">
        <v>7382</v>
      </c>
      <c r="K390" s="238" t="s">
        <v>4</v>
      </c>
      <c r="L390" s="238"/>
    </row>
    <row r="391" spans="3:12">
      <c r="C391" s="2" t="s">
        <v>4</v>
      </c>
      <c r="D391" s="2" t="s">
        <v>701</v>
      </c>
      <c r="E391" s="3">
        <v>7.2</v>
      </c>
      <c r="F391" s="3">
        <v>1</v>
      </c>
      <c r="G391" s="4">
        <v>44508</v>
      </c>
      <c r="I391" s="238"/>
      <c r="J391" s="238"/>
      <c r="K391" s="238"/>
      <c r="L391" s="238"/>
    </row>
    <row r="392" spans="3:12">
      <c r="C392" s="2" t="s">
        <v>5</v>
      </c>
      <c r="D392" s="2" t="s">
        <v>684</v>
      </c>
      <c r="E392" s="3">
        <v>21</v>
      </c>
      <c r="F392" s="3">
        <v>10</v>
      </c>
      <c r="G392" s="4">
        <v>45027</v>
      </c>
      <c r="I392" s="238"/>
      <c r="J392" s="238"/>
      <c r="K392" s="238"/>
      <c r="L392" s="238"/>
    </row>
    <row r="393" spans="3:12">
      <c r="C393" s="2" t="s">
        <v>7</v>
      </c>
      <c r="D393" s="2" t="s">
        <v>1008</v>
      </c>
      <c r="E393" s="3">
        <v>30</v>
      </c>
      <c r="F393" s="3">
        <v>6</v>
      </c>
      <c r="G393" s="4">
        <v>44539</v>
      </c>
      <c r="I393" s="238"/>
      <c r="J393" s="238"/>
      <c r="K393" s="238"/>
      <c r="L393" s="238"/>
    </row>
    <row r="394" spans="3:12">
      <c r="C394" s="2" t="s">
        <v>5</v>
      </c>
      <c r="D394" s="2" t="s">
        <v>1008</v>
      </c>
      <c r="E394" s="3">
        <v>11</v>
      </c>
      <c r="F394" s="3">
        <v>6</v>
      </c>
      <c r="G394" s="4">
        <v>43862</v>
      </c>
      <c r="I394" s="238"/>
      <c r="J394" s="238"/>
      <c r="K394" s="238"/>
      <c r="L394" s="238"/>
    </row>
    <row r="395" spans="3:12">
      <c r="C395" s="2" t="s">
        <v>4</v>
      </c>
      <c r="D395" s="2" t="s">
        <v>1008</v>
      </c>
      <c r="E395" s="3">
        <v>3</v>
      </c>
      <c r="F395" s="3">
        <v>1.5</v>
      </c>
      <c r="G395" s="4">
        <v>43525</v>
      </c>
      <c r="I395" s="238"/>
      <c r="J395" s="238"/>
      <c r="K395" s="238"/>
      <c r="L395" s="238"/>
    </row>
    <row r="396" spans="3:12">
      <c r="C396" s="2" t="s">
        <v>5</v>
      </c>
      <c r="D396" s="2" t="s">
        <v>1069</v>
      </c>
      <c r="E396" s="3">
        <v>12.5</v>
      </c>
      <c r="F396" s="3">
        <v>3</v>
      </c>
      <c r="G396" s="4">
        <v>44978</v>
      </c>
    </row>
    <row r="397" spans="3:12">
      <c r="C397" s="2" t="s">
        <v>5</v>
      </c>
      <c r="D397" s="2" t="s">
        <v>1069</v>
      </c>
      <c r="E397" s="3">
        <v>5.3</v>
      </c>
      <c r="F397" s="3">
        <v>2.5</v>
      </c>
      <c r="G397" s="4">
        <v>44978</v>
      </c>
    </row>
    <row r="398" spans="3:12">
      <c r="C398" s="2" t="s">
        <v>4</v>
      </c>
      <c r="D398" s="2" t="s">
        <v>654</v>
      </c>
      <c r="E398" s="3">
        <v>12.8</v>
      </c>
      <c r="F398" s="3">
        <v>2</v>
      </c>
      <c r="G398" s="4">
        <v>44601</v>
      </c>
    </row>
    <row r="399" spans="3:12">
      <c r="C399" s="2" t="s">
        <v>5</v>
      </c>
      <c r="D399" s="2" t="s">
        <v>719</v>
      </c>
      <c r="E399" s="3">
        <v>11</v>
      </c>
      <c r="F399" s="3">
        <f>7/3</f>
        <v>2.3333333333333335</v>
      </c>
      <c r="G399" s="4">
        <v>44483</v>
      </c>
    </row>
    <row r="400" spans="3:12">
      <c r="C400" s="2" t="s">
        <v>4</v>
      </c>
      <c r="D400" s="2" t="s">
        <v>719</v>
      </c>
      <c r="E400" s="3">
        <v>2.9</v>
      </c>
      <c r="F400" s="3">
        <v>0.5</v>
      </c>
      <c r="G400" s="4">
        <v>44272</v>
      </c>
    </row>
    <row r="401" spans="3:12">
      <c r="C401" s="2" t="s">
        <v>7</v>
      </c>
      <c r="D401" s="2" t="s">
        <v>1127</v>
      </c>
      <c r="E401" s="3">
        <v>18</v>
      </c>
      <c r="F401" s="3">
        <v>9</v>
      </c>
      <c r="G401" s="4">
        <v>44831</v>
      </c>
    </row>
    <row r="402" spans="3:12">
      <c r="C402" s="2" t="s">
        <v>5</v>
      </c>
      <c r="D402" s="2" t="s">
        <v>1127</v>
      </c>
      <c r="E402" s="3">
        <v>18.5</v>
      </c>
      <c r="F402" s="3">
        <v>9</v>
      </c>
      <c r="G402" s="4">
        <v>44658</v>
      </c>
    </row>
    <row r="403" spans="3:12">
      <c r="C403" s="2" t="s">
        <v>4</v>
      </c>
      <c r="D403" s="2" t="s">
        <v>469</v>
      </c>
      <c r="E403" s="3">
        <v>6</v>
      </c>
      <c r="F403" s="3">
        <v>2</v>
      </c>
      <c r="G403" s="4">
        <v>45104</v>
      </c>
    </row>
    <row r="404" spans="3:12">
      <c r="C404" s="2" t="s">
        <v>5</v>
      </c>
      <c r="D404" s="2" t="s">
        <v>318</v>
      </c>
      <c r="E404" s="3">
        <v>16</v>
      </c>
      <c r="F404" s="3">
        <v>6</v>
      </c>
      <c r="G404" s="4">
        <v>43783</v>
      </c>
      <c r="L404" s="1">
        <f>+F404*5</f>
        <v>30</v>
      </c>
    </row>
    <row r="405" spans="3:12">
      <c r="C405" s="2" t="s">
        <v>7</v>
      </c>
      <c r="D405" s="2" t="s">
        <v>318</v>
      </c>
      <c r="E405" s="3">
        <v>55</v>
      </c>
      <c r="F405" s="3">
        <v>5</v>
      </c>
      <c r="G405" s="4">
        <v>44200</v>
      </c>
    </row>
    <row r="406" spans="3:12">
      <c r="C406" s="2" t="s">
        <v>18</v>
      </c>
      <c r="D406" s="2" t="s">
        <v>318</v>
      </c>
      <c r="E406" s="3">
        <v>91</v>
      </c>
      <c r="F406" s="3">
        <v>8.75</v>
      </c>
      <c r="G406" s="4">
        <v>44867</v>
      </c>
    </row>
    <row r="407" spans="3:12">
      <c r="C407" s="2" t="s">
        <v>5</v>
      </c>
      <c r="D407" s="2" t="s">
        <v>161</v>
      </c>
      <c r="E407" s="3">
        <v>112</v>
      </c>
      <c r="F407" s="3">
        <v>9</v>
      </c>
      <c r="G407" s="4">
        <v>43115</v>
      </c>
      <c r="J407" s="1">
        <v>8400</v>
      </c>
    </row>
    <row r="408" spans="3:12">
      <c r="C408" s="2" t="s">
        <v>18</v>
      </c>
      <c r="D408" s="2" t="s">
        <v>74</v>
      </c>
      <c r="E408" s="3">
        <v>60</v>
      </c>
      <c r="F408" s="3">
        <f>E408/5</f>
        <v>12</v>
      </c>
      <c r="G408" s="4">
        <v>42736</v>
      </c>
      <c r="I408" s="1">
        <v>800</v>
      </c>
      <c r="J408" s="1">
        <v>3800</v>
      </c>
    </row>
    <row r="409" spans="3:12">
      <c r="C409" s="2" t="s">
        <v>9</v>
      </c>
      <c r="D409" s="2" t="s">
        <v>55</v>
      </c>
      <c r="E409" s="3">
        <v>250</v>
      </c>
      <c r="F409" s="3">
        <f>150/5</f>
        <v>30</v>
      </c>
      <c r="G409" s="4">
        <v>44350</v>
      </c>
      <c r="I409" s="1">
        <v>7000</v>
      </c>
      <c r="J409" s="1">
        <v>7000</v>
      </c>
    </row>
    <row r="410" spans="3:12">
      <c r="C410" s="2" t="s">
        <v>8</v>
      </c>
      <c r="D410" s="2" t="s">
        <v>55</v>
      </c>
      <c r="E410" s="3">
        <v>200</v>
      </c>
      <c r="F410" s="3">
        <v>18.75</v>
      </c>
      <c r="G410" s="4">
        <v>44055</v>
      </c>
      <c r="I410" s="1">
        <v>2000</v>
      </c>
      <c r="J410" s="1">
        <v>7000</v>
      </c>
    </row>
    <row r="411" spans="3:12">
      <c r="C411" s="2" t="s">
        <v>18</v>
      </c>
      <c r="D411" s="2" t="s">
        <v>55</v>
      </c>
      <c r="E411" s="3">
        <v>65</v>
      </c>
      <c r="F411" s="3">
        <v>20</v>
      </c>
      <c r="G411" s="4">
        <v>43802</v>
      </c>
      <c r="I411" s="1">
        <v>685</v>
      </c>
      <c r="J411" s="1">
        <v>7000</v>
      </c>
    </row>
    <row r="412" spans="3:12">
      <c r="C412" s="2" t="s">
        <v>9</v>
      </c>
      <c r="D412" s="2" t="s">
        <v>22</v>
      </c>
      <c r="E412" s="3">
        <v>222</v>
      </c>
      <c r="F412" s="3">
        <f>200/21</f>
        <v>9.5238095238095237</v>
      </c>
      <c r="G412" s="4">
        <v>44194</v>
      </c>
      <c r="I412" s="1">
        <v>2500</v>
      </c>
      <c r="J412" s="1">
        <v>0</v>
      </c>
    </row>
    <row r="413" spans="3:12">
      <c r="C413" s="2" t="s">
        <v>8</v>
      </c>
      <c r="D413" s="2" t="s">
        <v>22</v>
      </c>
      <c r="E413" s="3">
        <v>200</v>
      </c>
      <c r="F413" s="3">
        <v>12.727272727272727</v>
      </c>
      <c r="G413" s="4">
        <v>43452</v>
      </c>
      <c r="I413" s="1">
        <v>1500</v>
      </c>
      <c r="J413" s="1">
        <v>0</v>
      </c>
    </row>
    <row r="414" spans="3:12">
      <c r="C414" s="2" t="s">
        <v>18</v>
      </c>
      <c r="D414" s="2" t="s">
        <v>22</v>
      </c>
      <c r="E414" s="3">
        <v>50</v>
      </c>
      <c r="F414" s="3">
        <v>10</v>
      </c>
      <c r="G414" s="4">
        <v>43051</v>
      </c>
      <c r="J414" s="1">
        <v>0</v>
      </c>
    </row>
    <row r="415" spans="3:12">
      <c r="C415" s="2" t="s">
        <v>1</v>
      </c>
      <c r="D415" s="2" t="s">
        <v>0</v>
      </c>
      <c r="E415" s="3">
        <v>300</v>
      </c>
      <c r="F415" s="3">
        <v>50</v>
      </c>
      <c r="G415" s="4">
        <v>45044</v>
      </c>
      <c r="I415" s="1">
        <v>28700</v>
      </c>
      <c r="J415" s="1">
        <v>28700</v>
      </c>
    </row>
    <row r="416" spans="3:12">
      <c r="C416" s="2" t="s">
        <v>8</v>
      </c>
      <c r="D416" s="2" t="s">
        <v>2134</v>
      </c>
      <c r="E416" s="3">
        <v>200</v>
      </c>
      <c r="F416" s="3">
        <v>20</v>
      </c>
      <c r="G416" s="4">
        <v>44237</v>
      </c>
    </row>
    <row r="417" spans="2:11">
      <c r="C417" s="55" t="s">
        <v>53</v>
      </c>
      <c r="D417" s="55" t="s">
        <v>4995</v>
      </c>
      <c r="E417" s="3">
        <v>100</v>
      </c>
      <c r="F417" s="3">
        <f>70/5</f>
        <v>14</v>
      </c>
      <c r="G417" s="4">
        <v>44474</v>
      </c>
    </row>
    <row r="418" spans="2:11">
      <c r="C418" s="55" t="s">
        <v>9</v>
      </c>
      <c r="D418" s="55" t="s">
        <v>4995</v>
      </c>
      <c r="E418" s="3">
        <v>43</v>
      </c>
      <c r="F418" s="3">
        <f>23/3</f>
        <v>7.666666666666667</v>
      </c>
      <c r="G418" s="4">
        <v>43992</v>
      </c>
    </row>
    <row r="419" spans="2:11">
      <c r="C419" s="55" t="s">
        <v>8</v>
      </c>
      <c r="D419" s="55" t="s">
        <v>4995</v>
      </c>
      <c r="E419" s="3">
        <v>40</v>
      </c>
      <c r="F419" s="3">
        <v>20</v>
      </c>
      <c r="G419" s="4">
        <v>43320</v>
      </c>
      <c r="I419" s="1">
        <v>210</v>
      </c>
      <c r="J419" s="1">
        <v>210</v>
      </c>
    </row>
    <row r="420" spans="2:11">
      <c r="C420" s="55" t="s">
        <v>18</v>
      </c>
      <c r="D420" s="55" t="s">
        <v>4995</v>
      </c>
      <c r="E420" s="3">
        <v>27</v>
      </c>
      <c r="F420" s="3">
        <f>17/3</f>
        <v>5.666666666666667</v>
      </c>
      <c r="G420" s="4">
        <v>42851</v>
      </c>
      <c r="J420" s="1">
        <v>210</v>
      </c>
    </row>
    <row r="421" spans="2:11">
      <c r="C421" s="55" t="s">
        <v>7</v>
      </c>
      <c r="D421" s="55" t="s">
        <v>4995</v>
      </c>
      <c r="E421" s="3">
        <v>10.5</v>
      </c>
      <c r="F421" s="3">
        <v>10.5</v>
      </c>
      <c r="G421" s="4">
        <v>42691</v>
      </c>
      <c r="J421" s="1">
        <v>210</v>
      </c>
    </row>
    <row r="422" spans="2:11">
      <c r="C422" s="92" t="s">
        <v>18</v>
      </c>
      <c r="D422" s="92" t="s">
        <v>2090</v>
      </c>
      <c r="E422" s="3">
        <v>80</v>
      </c>
      <c r="F422" s="3">
        <f>70/10</f>
        <v>7</v>
      </c>
      <c r="G422" s="4">
        <v>44637</v>
      </c>
      <c r="I422" s="1">
        <v>1500</v>
      </c>
      <c r="J422" s="1">
        <v>1500</v>
      </c>
    </row>
    <row r="423" spans="2:11">
      <c r="C423" s="92" t="s">
        <v>7</v>
      </c>
      <c r="D423" s="92" t="s">
        <v>2090</v>
      </c>
      <c r="E423" s="3">
        <v>50</v>
      </c>
      <c r="F423" s="3">
        <v>15</v>
      </c>
      <c r="G423" s="4">
        <v>44286</v>
      </c>
      <c r="J423" s="1">
        <v>1500</v>
      </c>
    </row>
    <row r="424" spans="2:11">
      <c r="C424" s="177" t="s">
        <v>4</v>
      </c>
      <c r="D424" s="177" t="s">
        <v>2030</v>
      </c>
      <c r="E424" s="3">
        <v>2</v>
      </c>
      <c r="F424" s="3">
        <f>1.5/6</f>
        <v>0.25</v>
      </c>
      <c r="G424" s="4">
        <v>43522</v>
      </c>
    </row>
    <row r="425" spans="2:11">
      <c r="G425" s="4"/>
    </row>
    <row r="426" spans="2:11">
      <c r="B426" s="12" t="s">
        <v>4982</v>
      </c>
      <c r="C426" s="13" t="s">
        <v>969</v>
      </c>
      <c r="D426" s="13" t="s">
        <v>968</v>
      </c>
      <c r="F426" s="15">
        <f>SUM(F427:F442)</f>
        <v>434.99233954451347</v>
      </c>
      <c r="G426" s="14">
        <f>G442</f>
        <v>45106</v>
      </c>
      <c r="I426" s="1" t="s">
        <v>1</v>
      </c>
      <c r="J426" s="1" t="s">
        <v>1</v>
      </c>
      <c r="K426" s="1" t="s">
        <v>1</v>
      </c>
    </row>
    <row r="427" spans="2:11">
      <c r="B427" s="12"/>
      <c r="C427" s="2" t="s">
        <v>7</v>
      </c>
      <c r="D427" s="2" t="s">
        <v>949</v>
      </c>
      <c r="E427" s="3">
        <v>350</v>
      </c>
      <c r="F427" s="3">
        <v>20</v>
      </c>
      <c r="G427" s="4">
        <v>44999</v>
      </c>
    </row>
    <row r="428" spans="2:11">
      <c r="C428" s="2" t="s">
        <v>5</v>
      </c>
      <c r="D428" s="2" t="s">
        <v>1063</v>
      </c>
      <c r="E428" s="3">
        <v>65</v>
      </c>
      <c r="F428" s="3">
        <v>10</v>
      </c>
      <c r="G428" s="4">
        <v>44984</v>
      </c>
    </row>
    <row r="429" spans="2:11">
      <c r="C429" s="2" t="s">
        <v>5</v>
      </c>
      <c r="D429" s="2" t="s">
        <v>843</v>
      </c>
      <c r="E429" s="3">
        <v>44</v>
      </c>
      <c r="F429" s="3">
        <v>10</v>
      </c>
      <c r="G429" s="4">
        <v>44671</v>
      </c>
    </row>
    <row r="430" spans="2:11">
      <c r="C430" s="2" t="s">
        <v>5</v>
      </c>
      <c r="D430" s="2" t="s">
        <v>701</v>
      </c>
      <c r="E430" s="3">
        <v>50</v>
      </c>
      <c r="F430" s="3">
        <f>30/12</f>
        <v>2.5</v>
      </c>
      <c r="G430" s="4">
        <v>44796</v>
      </c>
    </row>
    <row r="431" spans="2:11">
      <c r="C431" s="2" t="s">
        <v>4</v>
      </c>
      <c r="D431" s="2" t="s">
        <v>701</v>
      </c>
      <c r="E431" s="3">
        <v>12.5</v>
      </c>
      <c r="F431" s="3">
        <v>3</v>
      </c>
      <c r="G431" s="4">
        <v>44623</v>
      </c>
    </row>
    <row r="432" spans="2:11">
      <c r="C432" s="2" t="s">
        <v>7</v>
      </c>
      <c r="D432" s="2" t="s">
        <v>456</v>
      </c>
      <c r="E432" s="3">
        <v>26.8</v>
      </c>
      <c r="F432" s="3">
        <v>4</v>
      </c>
      <c r="G432" s="4">
        <v>44600</v>
      </c>
    </row>
    <row r="433" spans="1:11">
      <c r="C433" s="2" t="s">
        <v>18</v>
      </c>
      <c r="D433" s="2" t="s">
        <v>318</v>
      </c>
      <c r="E433" s="3">
        <v>8</v>
      </c>
      <c r="F433" s="3">
        <v>8</v>
      </c>
      <c r="G433" s="4">
        <v>45055</v>
      </c>
    </row>
    <row r="434" spans="1:11">
      <c r="C434" s="2" t="s">
        <v>9</v>
      </c>
      <c r="D434" s="2" t="s">
        <v>22</v>
      </c>
      <c r="E434" s="3">
        <v>222</v>
      </c>
      <c r="F434" s="3">
        <f>200/21</f>
        <v>9.5238095238095237</v>
      </c>
      <c r="G434" s="4">
        <v>44194</v>
      </c>
      <c r="I434" s="1">
        <v>2500</v>
      </c>
      <c r="J434" s="1">
        <v>2500</v>
      </c>
    </row>
    <row r="435" spans="1:11">
      <c r="C435" s="2" t="s">
        <v>8</v>
      </c>
      <c r="D435" s="2" t="s">
        <v>22</v>
      </c>
      <c r="E435" s="3">
        <v>200</v>
      </c>
      <c r="F435" s="3">
        <v>30</v>
      </c>
      <c r="G435" s="4">
        <v>43452</v>
      </c>
      <c r="I435" s="1">
        <v>1500</v>
      </c>
      <c r="J435" s="1">
        <v>2500</v>
      </c>
    </row>
    <row r="436" spans="1:11">
      <c r="C436" s="2" t="s">
        <v>7</v>
      </c>
      <c r="D436" s="2" t="s">
        <v>1063</v>
      </c>
      <c r="E436" s="3">
        <v>100</v>
      </c>
      <c r="F436" s="3">
        <v>15</v>
      </c>
      <c r="G436" s="4">
        <v>45106</v>
      </c>
    </row>
    <row r="437" spans="1:11">
      <c r="C437" s="2" t="s">
        <v>7</v>
      </c>
      <c r="D437" s="2" t="s">
        <v>2129</v>
      </c>
      <c r="E437" s="3">
        <v>176</v>
      </c>
      <c r="F437" s="3">
        <v>13</v>
      </c>
      <c r="G437" s="4">
        <v>44578</v>
      </c>
    </row>
    <row r="438" spans="1:11">
      <c r="C438" s="52" t="s">
        <v>18</v>
      </c>
      <c r="D438" s="52" t="s">
        <v>2116</v>
      </c>
      <c r="E438" s="3">
        <v>125</v>
      </c>
      <c r="F438" s="3">
        <v>20</v>
      </c>
      <c r="G438" s="4">
        <v>44126</v>
      </c>
      <c r="I438" s="1">
        <v>1100</v>
      </c>
      <c r="J438" s="1">
        <v>3400</v>
      </c>
    </row>
    <row r="439" spans="1:11">
      <c r="C439" s="52" t="s">
        <v>7</v>
      </c>
      <c r="D439" s="52" t="s">
        <v>2116</v>
      </c>
      <c r="E439" s="3">
        <v>40</v>
      </c>
      <c r="F439" s="3">
        <v>3</v>
      </c>
      <c r="G439" s="4">
        <v>43720</v>
      </c>
      <c r="J439" s="1">
        <v>3400</v>
      </c>
    </row>
    <row r="440" spans="1:11">
      <c r="C440" s="265" t="s">
        <v>7885</v>
      </c>
      <c r="D440" s="265" t="s">
        <v>1006</v>
      </c>
      <c r="E440" s="3">
        <v>684.6</v>
      </c>
      <c r="F440" s="3">
        <f>584.6/21</f>
        <v>27.838095238095239</v>
      </c>
      <c r="G440" s="4">
        <v>45183</v>
      </c>
      <c r="I440" s="1">
        <v>42500</v>
      </c>
      <c r="J440" s="1">
        <v>42500</v>
      </c>
    </row>
    <row r="441" spans="1:11">
      <c r="C441" s="265" t="s">
        <v>504</v>
      </c>
      <c r="D441" s="265" t="s">
        <v>1006</v>
      </c>
      <c r="E441" s="3">
        <v>1000</v>
      </c>
      <c r="F441" s="3">
        <f>900/23</f>
        <v>39.130434782608695</v>
      </c>
      <c r="G441" s="4">
        <v>44228</v>
      </c>
      <c r="I441" s="1">
        <v>27000</v>
      </c>
      <c r="J441" s="1">
        <v>42500</v>
      </c>
    </row>
    <row r="442" spans="1:11">
      <c r="C442" s="265" t="s">
        <v>7</v>
      </c>
      <c r="D442" s="265" t="s">
        <v>1133</v>
      </c>
      <c r="E442" s="3">
        <v>1300</v>
      </c>
      <c r="F442" s="3">
        <v>220</v>
      </c>
      <c r="G442" s="4">
        <v>45106</v>
      </c>
      <c r="I442" s="1">
        <v>4000</v>
      </c>
      <c r="J442" s="1">
        <v>4000</v>
      </c>
    </row>
    <row r="443" spans="1:11">
      <c r="G443" s="4"/>
    </row>
    <row r="444" spans="1:11">
      <c r="A444" s="1">
        <v>17</v>
      </c>
      <c r="B444" s="12" t="s">
        <v>7379</v>
      </c>
      <c r="C444" s="13" t="s">
        <v>969</v>
      </c>
      <c r="D444" s="13" t="s">
        <v>968</v>
      </c>
      <c r="E444" s="15"/>
      <c r="F444" s="15">
        <f>SUM(F445:F470)</f>
        <v>426.58333333333331</v>
      </c>
      <c r="G444" s="14">
        <f>G445</f>
        <v>44999</v>
      </c>
      <c r="I444" s="12">
        <v>3500</v>
      </c>
      <c r="J444" s="22">
        <f>+F444/I444</f>
        <v>0.12188095238095238</v>
      </c>
      <c r="K444" s="12">
        <v>1965</v>
      </c>
    </row>
    <row r="445" spans="1:11">
      <c r="B445" s="238" t="s">
        <v>7795</v>
      </c>
      <c r="C445" s="2" t="s">
        <v>7</v>
      </c>
      <c r="D445" s="2" t="s">
        <v>949</v>
      </c>
      <c r="E445" s="3">
        <v>350</v>
      </c>
      <c r="F445" s="3">
        <v>20</v>
      </c>
      <c r="G445" s="4">
        <v>44999</v>
      </c>
    </row>
    <row r="446" spans="1:11">
      <c r="C446" s="2" t="s">
        <v>5</v>
      </c>
      <c r="D446" s="2" t="s">
        <v>949</v>
      </c>
      <c r="E446" s="3">
        <v>65</v>
      </c>
      <c r="F446" s="3">
        <v>25</v>
      </c>
      <c r="G446" s="4">
        <v>44679</v>
      </c>
    </row>
    <row r="447" spans="1:11">
      <c r="C447" s="2" t="s">
        <v>4</v>
      </c>
      <c r="D447" s="2" t="s">
        <v>1133</v>
      </c>
      <c r="E447" s="3">
        <v>225</v>
      </c>
      <c r="F447" s="3">
        <v>150</v>
      </c>
      <c r="G447" s="4">
        <v>44694</v>
      </c>
      <c r="I447" s="238" t="s">
        <v>7380</v>
      </c>
      <c r="J447" s="25" t="s">
        <v>7594</v>
      </c>
    </row>
    <row r="448" spans="1:11">
      <c r="C448" s="2" t="s">
        <v>18</v>
      </c>
      <c r="D448" s="2" t="s">
        <v>877</v>
      </c>
      <c r="E448" s="3">
        <v>85</v>
      </c>
      <c r="F448" s="3">
        <v>6</v>
      </c>
      <c r="G448" s="4">
        <v>44417</v>
      </c>
      <c r="I448" s="238" t="s">
        <v>7593</v>
      </c>
      <c r="J448" s="25" t="s">
        <v>7595</v>
      </c>
    </row>
    <row r="449" spans="3:10">
      <c r="C449" s="2" t="s">
        <v>7</v>
      </c>
      <c r="D449" s="2" t="s">
        <v>877</v>
      </c>
      <c r="E449" s="3">
        <v>35</v>
      </c>
      <c r="F449" s="3">
        <f>25/6</f>
        <v>4.166666666666667</v>
      </c>
      <c r="G449" s="4">
        <v>44293</v>
      </c>
      <c r="I449" s="238" t="s">
        <v>7596</v>
      </c>
      <c r="J449" s="25" t="s">
        <v>7597</v>
      </c>
    </row>
    <row r="450" spans="3:10">
      <c r="C450" s="2" t="s">
        <v>5</v>
      </c>
      <c r="D450" s="2" t="s">
        <v>877</v>
      </c>
      <c r="E450" s="3">
        <v>12</v>
      </c>
      <c r="F450" s="3">
        <v>6</v>
      </c>
      <c r="G450" s="4">
        <v>44026</v>
      </c>
      <c r="I450" s="238" t="s">
        <v>7598</v>
      </c>
      <c r="J450" s="25" t="s">
        <v>7599</v>
      </c>
    </row>
    <row r="451" spans="3:10">
      <c r="C451" s="2" t="s">
        <v>4</v>
      </c>
      <c r="D451" s="2" t="s">
        <v>877</v>
      </c>
      <c r="E451" s="3">
        <v>3.3</v>
      </c>
      <c r="F451" s="3">
        <v>1</v>
      </c>
      <c r="G451" s="4">
        <v>44026</v>
      </c>
      <c r="I451" s="238" t="s">
        <v>7600</v>
      </c>
      <c r="J451" s="25" t="s">
        <v>7601</v>
      </c>
    </row>
    <row r="452" spans="3:10">
      <c r="C452" s="2" t="s">
        <v>7</v>
      </c>
      <c r="D452" s="2" t="s">
        <v>1011</v>
      </c>
      <c r="E452" s="3">
        <v>43</v>
      </c>
      <c r="F452" s="3">
        <v>6</v>
      </c>
      <c r="G452" s="4">
        <v>44978</v>
      </c>
      <c r="I452" s="238" t="s">
        <v>7602</v>
      </c>
      <c r="J452" s="25" t="s">
        <v>7603</v>
      </c>
    </row>
    <row r="453" spans="3:10">
      <c r="C453" s="2" t="s">
        <v>5</v>
      </c>
      <c r="D453" s="2" t="s">
        <v>1011</v>
      </c>
      <c r="E453" s="3">
        <v>26</v>
      </c>
      <c r="F453" s="3">
        <f>13/2</f>
        <v>6.5</v>
      </c>
      <c r="G453" s="4">
        <v>44453</v>
      </c>
      <c r="I453" s="238" t="s">
        <v>7604</v>
      </c>
      <c r="J453" s="25" t="s">
        <v>7605</v>
      </c>
    </row>
    <row r="454" spans="3:10">
      <c r="C454" s="2" t="s">
        <v>4</v>
      </c>
      <c r="D454" s="2" t="s">
        <v>1011</v>
      </c>
      <c r="E454" s="3">
        <v>6.3</v>
      </c>
      <c r="F454" s="3">
        <v>3</v>
      </c>
      <c r="G454" s="4">
        <v>44217</v>
      </c>
      <c r="I454" s="238" t="s">
        <v>7606</v>
      </c>
      <c r="J454" s="25" t="s">
        <v>7607</v>
      </c>
    </row>
    <row r="455" spans="3:10">
      <c r="C455" s="2" t="s">
        <v>4</v>
      </c>
      <c r="D455" s="2" t="s">
        <v>690</v>
      </c>
      <c r="E455" s="3">
        <v>30</v>
      </c>
      <c r="F455" s="3">
        <v>5</v>
      </c>
      <c r="G455" s="4">
        <v>44742</v>
      </c>
      <c r="I455" s="238" t="s">
        <v>7608</v>
      </c>
      <c r="J455" s="25" t="s">
        <v>7609</v>
      </c>
    </row>
    <row r="456" spans="3:10">
      <c r="C456" s="2" t="s">
        <v>7</v>
      </c>
      <c r="D456" s="2" t="s">
        <v>860</v>
      </c>
      <c r="E456" s="3">
        <v>25</v>
      </c>
      <c r="F456" s="3">
        <v>3</v>
      </c>
      <c r="G456" s="4">
        <v>44636</v>
      </c>
    </row>
    <row r="457" spans="3:10">
      <c r="C457" s="2" t="s">
        <v>5</v>
      </c>
      <c r="D457" s="2" t="s">
        <v>860</v>
      </c>
      <c r="E457" s="3">
        <v>12.2</v>
      </c>
      <c r="F457" s="3">
        <v>2</v>
      </c>
      <c r="G457" s="4">
        <v>44179</v>
      </c>
    </row>
    <row r="458" spans="3:10">
      <c r="C458" s="2" t="s">
        <v>4</v>
      </c>
      <c r="D458" s="2" t="s">
        <v>860</v>
      </c>
      <c r="E458" s="3">
        <v>5.0999999999999996</v>
      </c>
      <c r="F458" s="3">
        <v>3</v>
      </c>
      <c r="G458" s="4">
        <v>44046</v>
      </c>
    </row>
    <row r="459" spans="3:10">
      <c r="C459" s="2" t="s">
        <v>5</v>
      </c>
      <c r="D459" s="2" t="s">
        <v>888</v>
      </c>
      <c r="E459" s="3">
        <v>20</v>
      </c>
      <c r="F459" s="3">
        <v>7.5</v>
      </c>
      <c r="G459" s="4">
        <v>45009</v>
      </c>
    </row>
    <row r="460" spans="3:10">
      <c r="C460" s="2" t="s">
        <v>5</v>
      </c>
      <c r="D460" s="2" t="s">
        <v>689</v>
      </c>
      <c r="E460" s="3">
        <v>29</v>
      </c>
      <c r="F460" s="3">
        <v>10</v>
      </c>
      <c r="G460" s="4">
        <v>44691</v>
      </c>
    </row>
    <row r="461" spans="3:10">
      <c r="C461" s="2" t="s">
        <v>4</v>
      </c>
      <c r="D461" s="2" t="s">
        <v>649</v>
      </c>
      <c r="E461" s="3">
        <v>8</v>
      </c>
      <c r="F461" s="3">
        <v>3</v>
      </c>
      <c r="G461" s="4">
        <v>44677</v>
      </c>
    </row>
    <row r="462" spans="3:10">
      <c r="C462" s="2" t="s">
        <v>4</v>
      </c>
      <c r="D462" s="2" t="s">
        <v>1056</v>
      </c>
      <c r="E462" s="3">
        <v>4.3</v>
      </c>
      <c r="F462" s="3">
        <f>E462/3</f>
        <v>1.4333333333333333</v>
      </c>
      <c r="G462" s="4">
        <v>42821</v>
      </c>
    </row>
    <row r="463" spans="3:10">
      <c r="C463" s="2" t="s">
        <v>18</v>
      </c>
      <c r="D463" s="2" t="s">
        <v>253</v>
      </c>
      <c r="E463" s="3">
        <v>500</v>
      </c>
      <c r="F463" s="3">
        <v>75</v>
      </c>
      <c r="G463" s="4">
        <v>44144</v>
      </c>
    </row>
    <row r="464" spans="3:10">
      <c r="C464" s="2" t="s">
        <v>5</v>
      </c>
      <c r="D464" s="2" t="s">
        <v>253</v>
      </c>
      <c r="E464" s="3">
        <v>92</v>
      </c>
      <c r="F464" s="3">
        <f>E464/2</f>
        <v>46</v>
      </c>
      <c r="G464" s="4">
        <v>43130</v>
      </c>
    </row>
    <row r="465" spans="1:19">
      <c r="C465" s="92" t="s">
        <v>18</v>
      </c>
      <c r="D465" s="92" t="s">
        <v>2090</v>
      </c>
      <c r="E465" s="3">
        <v>80</v>
      </c>
      <c r="F465" s="3">
        <f>7</f>
        <v>7</v>
      </c>
      <c r="G465" s="4">
        <v>44637</v>
      </c>
      <c r="I465" s="1">
        <v>1500</v>
      </c>
      <c r="J465" s="1">
        <v>1500</v>
      </c>
    </row>
    <row r="466" spans="1:19">
      <c r="C466" s="92" t="s">
        <v>7</v>
      </c>
      <c r="D466" s="92" t="s">
        <v>2090</v>
      </c>
      <c r="E466" s="3">
        <v>50</v>
      </c>
      <c r="F466" s="3">
        <f>35/4</f>
        <v>8.75</v>
      </c>
      <c r="G466" s="4">
        <v>44286</v>
      </c>
      <c r="J466" s="1">
        <v>1500</v>
      </c>
    </row>
    <row r="467" spans="1:19">
      <c r="C467" s="92" t="s">
        <v>5</v>
      </c>
      <c r="D467" s="92" t="s">
        <v>2090</v>
      </c>
      <c r="E467" s="3">
        <v>15</v>
      </c>
      <c r="F467" s="3">
        <v>7.5</v>
      </c>
      <c r="G467" s="4">
        <v>43864</v>
      </c>
      <c r="J467" s="1">
        <v>1500</v>
      </c>
    </row>
    <row r="468" spans="1:19">
      <c r="C468" s="140" t="s">
        <v>7</v>
      </c>
      <c r="D468" s="140" t="s">
        <v>6269</v>
      </c>
      <c r="E468" s="3">
        <v>52.2</v>
      </c>
      <c r="F468" s="3">
        <f>32.2/3</f>
        <v>10.733333333333334</v>
      </c>
      <c r="G468" s="4">
        <v>44476</v>
      </c>
    </row>
    <row r="469" spans="1:19">
      <c r="C469" s="140" t="s">
        <v>5</v>
      </c>
      <c r="D469" s="140" t="s">
        <v>6269</v>
      </c>
      <c r="E469" s="3">
        <v>12</v>
      </c>
      <c r="F469" s="3">
        <v>8</v>
      </c>
      <c r="G469" s="4">
        <v>44125</v>
      </c>
    </row>
    <row r="470" spans="1:19">
      <c r="C470" s="140" t="s">
        <v>4</v>
      </c>
      <c r="D470" s="140" t="s">
        <v>6269</v>
      </c>
      <c r="E470" s="3">
        <v>3.5</v>
      </c>
      <c r="F470" s="3">
        <v>1</v>
      </c>
      <c r="G470" s="4">
        <v>43831</v>
      </c>
    </row>
    <row r="472" spans="1:19">
      <c r="A472" s="1">
        <v>18</v>
      </c>
      <c r="B472" s="12" t="s">
        <v>7456</v>
      </c>
      <c r="C472" s="13" t="s">
        <v>969</v>
      </c>
      <c r="D472" s="13" t="s">
        <v>968</v>
      </c>
      <c r="E472" s="15"/>
      <c r="F472" s="15">
        <f>SUM(F473:F488)</f>
        <v>401.95238095238096</v>
      </c>
      <c r="G472" s="14">
        <f>G482</f>
        <v>45091</v>
      </c>
      <c r="I472" s="12">
        <v>6500</v>
      </c>
      <c r="J472" s="22">
        <f>+F472/I472</f>
        <v>6.183882783882784E-2</v>
      </c>
      <c r="K472" s="12">
        <v>2020</v>
      </c>
      <c r="S472" s="91" t="s">
        <v>5221</v>
      </c>
    </row>
    <row r="473" spans="1:19">
      <c r="B473" s="238" t="s">
        <v>7457</v>
      </c>
      <c r="C473" s="2" t="s">
        <v>7</v>
      </c>
      <c r="D473" s="2" t="s">
        <v>949</v>
      </c>
      <c r="E473" s="3">
        <v>350</v>
      </c>
      <c r="F473" s="3">
        <v>20</v>
      </c>
      <c r="G473" s="4">
        <v>44999</v>
      </c>
    </row>
    <row r="474" spans="1:19">
      <c r="B474" s="253" t="s">
        <v>7627</v>
      </c>
      <c r="C474" s="2" t="s">
        <v>5</v>
      </c>
      <c r="D474" s="2" t="s">
        <v>949</v>
      </c>
      <c r="E474" s="3">
        <v>65</v>
      </c>
      <c r="F474" s="3">
        <v>25</v>
      </c>
      <c r="G474" s="4">
        <v>44679</v>
      </c>
    </row>
    <row r="475" spans="1:19">
      <c r="C475" s="2" t="s">
        <v>18</v>
      </c>
      <c r="D475" s="2" t="s">
        <v>926</v>
      </c>
      <c r="E475" s="3">
        <v>100</v>
      </c>
      <c r="F475" s="3">
        <v>9</v>
      </c>
      <c r="G475" s="4">
        <v>44690</v>
      </c>
      <c r="J475" s="1">
        <v>4300</v>
      </c>
    </row>
    <row r="476" spans="1:19">
      <c r="C476" s="2" t="s">
        <v>7</v>
      </c>
      <c r="D476" s="2" t="s">
        <v>926</v>
      </c>
      <c r="E476" s="3">
        <v>40</v>
      </c>
      <c r="F476" s="3">
        <v>7</v>
      </c>
      <c r="G476" s="4">
        <v>44327</v>
      </c>
      <c r="J476" s="1">
        <v>4300</v>
      </c>
    </row>
    <row r="477" spans="1:19">
      <c r="C477" s="2" t="s">
        <v>18</v>
      </c>
      <c r="D477" s="2" t="s">
        <v>1064</v>
      </c>
      <c r="E477" s="3">
        <v>85</v>
      </c>
      <c r="F477" s="3">
        <v>10</v>
      </c>
      <c r="G477" s="4">
        <v>44501</v>
      </c>
    </row>
    <row r="478" spans="1:19">
      <c r="C478" s="2" t="s">
        <v>7</v>
      </c>
      <c r="D478" s="2" t="s">
        <v>1064</v>
      </c>
      <c r="E478" s="3">
        <v>28</v>
      </c>
      <c r="F478" s="3">
        <v>18</v>
      </c>
      <c r="G478" s="4">
        <v>44272</v>
      </c>
    </row>
    <row r="479" spans="1:19">
      <c r="C479" s="2" t="s">
        <v>18</v>
      </c>
      <c r="D479" s="2" t="s">
        <v>877</v>
      </c>
      <c r="E479" s="3">
        <v>85</v>
      </c>
      <c r="F479" s="3">
        <v>20</v>
      </c>
      <c r="G479" s="4">
        <v>44417</v>
      </c>
    </row>
    <row r="480" spans="1:19">
      <c r="C480" s="2" t="s">
        <v>1040</v>
      </c>
      <c r="D480" s="2" t="s">
        <v>832</v>
      </c>
      <c r="E480" s="3">
        <v>99</v>
      </c>
      <c r="F480" s="3">
        <v>30</v>
      </c>
      <c r="G480" s="4">
        <v>44796</v>
      </c>
    </row>
    <row r="481" spans="1:18">
      <c r="C481" s="2" t="s">
        <v>1116</v>
      </c>
      <c r="D481" s="2" t="s">
        <v>832</v>
      </c>
      <c r="E481" s="3">
        <v>100</v>
      </c>
      <c r="F481" s="3">
        <v>30</v>
      </c>
      <c r="G481" s="4">
        <v>44537</v>
      </c>
    </row>
    <row r="482" spans="1:18">
      <c r="C482" s="2" t="s">
        <v>8</v>
      </c>
      <c r="D482" s="2" t="s">
        <v>310</v>
      </c>
      <c r="E482" s="3">
        <v>69</v>
      </c>
      <c r="F482" s="3">
        <v>50</v>
      </c>
      <c r="G482" s="4">
        <v>45091</v>
      </c>
    </row>
    <row r="483" spans="1:18">
      <c r="C483" s="2" t="s">
        <v>18</v>
      </c>
      <c r="D483" s="2" t="s">
        <v>310</v>
      </c>
      <c r="E483" s="3">
        <v>110</v>
      </c>
      <c r="F483" s="3">
        <v>40</v>
      </c>
      <c r="G483" s="4">
        <v>44369</v>
      </c>
    </row>
    <row r="484" spans="1:18">
      <c r="C484" s="52" t="s">
        <v>18</v>
      </c>
      <c r="D484" s="52" t="s">
        <v>2118</v>
      </c>
      <c r="E484" s="3">
        <v>300</v>
      </c>
      <c r="F484" s="3">
        <v>14.285714285714286</v>
      </c>
      <c r="G484" s="4">
        <v>44300</v>
      </c>
    </row>
    <row r="485" spans="1:18">
      <c r="C485" s="52" t="s">
        <v>8</v>
      </c>
      <c r="D485" s="52" t="s">
        <v>2116</v>
      </c>
      <c r="E485" s="3">
        <v>175</v>
      </c>
      <c r="F485" s="3">
        <v>50</v>
      </c>
      <c r="G485" s="4">
        <v>44511</v>
      </c>
    </row>
    <row r="486" spans="1:18">
      <c r="C486" s="92" t="s">
        <v>18</v>
      </c>
      <c r="D486" s="92" t="s">
        <v>2101</v>
      </c>
      <c r="E486" s="3">
        <v>100</v>
      </c>
      <c r="F486" s="3">
        <v>30</v>
      </c>
      <c r="G486" s="4">
        <v>44397</v>
      </c>
    </row>
    <row r="487" spans="1:18">
      <c r="C487" s="92" t="s">
        <v>7</v>
      </c>
      <c r="D487" s="92" t="s">
        <v>2101</v>
      </c>
      <c r="E487" s="3">
        <v>56</v>
      </c>
      <c r="F487" s="3">
        <v>32</v>
      </c>
      <c r="G487" s="4">
        <v>44319</v>
      </c>
    </row>
    <row r="488" spans="1:18">
      <c r="C488" s="92" t="s">
        <v>7</v>
      </c>
      <c r="D488" s="92" t="s">
        <v>5438</v>
      </c>
      <c r="E488" s="3">
        <v>75</v>
      </c>
      <c r="F488" s="3">
        <f>50/3</f>
        <v>16.666666666666668</v>
      </c>
      <c r="G488" s="4">
        <v>44677</v>
      </c>
    </row>
    <row r="489" spans="1:18">
      <c r="G489" s="4"/>
    </row>
    <row r="490" spans="1:18" s="12" customFormat="1">
      <c r="A490" s="12">
        <v>19</v>
      </c>
      <c r="B490" s="12" t="s">
        <v>335</v>
      </c>
      <c r="C490" s="13" t="s">
        <v>969</v>
      </c>
      <c r="D490" s="13" t="s">
        <v>968</v>
      </c>
      <c r="E490" s="15"/>
      <c r="F490" s="15">
        <f>SUM(F491:F495)</f>
        <v>403.21999999999997</v>
      </c>
      <c r="G490" s="14">
        <f>G492</f>
        <v>44274</v>
      </c>
    </row>
    <row r="491" spans="1:18">
      <c r="B491" s="238" t="s">
        <v>7453</v>
      </c>
      <c r="C491" s="2" t="s">
        <v>4</v>
      </c>
      <c r="D491" s="2" t="s">
        <v>332</v>
      </c>
      <c r="E491" s="3">
        <v>5.0999999999999996</v>
      </c>
      <c r="F491" s="3">
        <f>E491/5</f>
        <v>1.02</v>
      </c>
      <c r="G491" s="4">
        <v>43990</v>
      </c>
      <c r="M491" s="1"/>
      <c r="N491" s="1"/>
      <c r="O491" s="1"/>
      <c r="P491" s="1"/>
      <c r="Q491" s="1"/>
      <c r="R491" s="1"/>
    </row>
    <row r="492" spans="1:18">
      <c r="B492" s="254" t="s">
        <v>7626</v>
      </c>
      <c r="C492" s="2" t="s">
        <v>18</v>
      </c>
      <c r="D492" s="2" t="s">
        <v>197</v>
      </c>
      <c r="E492" s="3">
        <v>500</v>
      </c>
      <c r="F492" s="3">
        <v>100</v>
      </c>
      <c r="G492" s="4">
        <v>44274</v>
      </c>
      <c r="M492" s="1"/>
      <c r="N492" s="1"/>
      <c r="O492" s="1"/>
      <c r="P492" s="1"/>
      <c r="Q492" s="1"/>
      <c r="R492" s="1"/>
    </row>
    <row r="493" spans="1:18">
      <c r="C493" s="2" t="s">
        <v>7</v>
      </c>
      <c r="D493" s="2" t="s">
        <v>161</v>
      </c>
      <c r="E493" s="3">
        <v>462</v>
      </c>
      <c r="F493" s="3">
        <v>300</v>
      </c>
      <c r="G493" s="4">
        <v>43886</v>
      </c>
      <c r="I493" s="1">
        <v>2500</v>
      </c>
      <c r="J493" s="1">
        <v>8400</v>
      </c>
      <c r="M493" s="1"/>
      <c r="N493" s="1"/>
      <c r="O493" s="1"/>
      <c r="P493" s="1"/>
      <c r="Q493" s="1"/>
      <c r="R493" s="1"/>
    </row>
    <row r="494" spans="1:18">
      <c r="C494" s="153" t="s">
        <v>5</v>
      </c>
      <c r="D494" s="153" t="s">
        <v>2037</v>
      </c>
      <c r="E494" s="3">
        <v>11</v>
      </c>
      <c r="F494" s="3">
        <f>7/4</f>
        <v>1.75</v>
      </c>
      <c r="G494" s="4">
        <v>44174</v>
      </c>
      <c r="M494" s="1"/>
      <c r="N494" s="1"/>
      <c r="O494" s="1"/>
      <c r="P494" s="1"/>
      <c r="Q494" s="1"/>
      <c r="R494" s="1"/>
    </row>
    <row r="495" spans="1:18">
      <c r="C495" s="153" t="s">
        <v>4</v>
      </c>
      <c r="D495" s="153" t="s">
        <v>2037</v>
      </c>
      <c r="E495" s="3">
        <v>2.9</v>
      </c>
      <c r="F495" s="3">
        <f>0.9/2</f>
        <v>0.45</v>
      </c>
      <c r="G495" s="4">
        <v>43221</v>
      </c>
      <c r="M495" s="1"/>
      <c r="N495" s="1"/>
      <c r="O495" s="1"/>
      <c r="P495" s="1"/>
      <c r="Q495" s="1"/>
      <c r="R495" s="1"/>
    </row>
    <row r="496" spans="1:18">
      <c r="G496" s="4"/>
      <c r="M496" s="1"/>
      <c r="N496" s="1"/>
      <c r="O496" s="1"/>
      <c r="P496" s="1"/>
      <c r="Q496" s="1"/>
      <c r="R496" s="1"/>
    </row>
    <row r="497" spans="1:18" s="12" customFormat="1">
      <c r="A497" s="12">
        <v>20</v>
      </c>
      <c r="B497" s="12" t="s">
        <v>1136</v>
      </c>
      <c r="C497" s="13" t="s">
        <v>969</v>
      </c>
      <c r="D497" s="13" t="s">
        <v>968</v>
      </c>
      <c r="E497" s="15"/>
      <c r="F497" s="15">
        <f>SUM(F498:F507)</f>
        <v>391.5555555555556</v>
      </c>
      <c r="G497" s="14">
        <f>G500</f>
        <v>44274</v>
      </c>
    </row>
    <row r="498" spans="1:18">
      <c r="B498" s="238" t="s">
        <v>7455</v>
      </c>
      <c r="C498" s="2" t="s">
        <v>5</v>
      </c>
      <c r="D498" s="2" t="s">
        <v>431</v>
      </c>
      <c r="E498" s="3">
        <v>15</v>
      </c>
      <c r="F498" s="3">
        <v>3</v>
      </c>
      <c r="G498" s="4">
        <v>42690</v>
      </c>
      <c r="M498" s="1"/>
      <c r="N498" s="1"/>
      <c r="O498" s="1"/>
      <c r="P498" s="1"/>
      <c r="Q498" s="1"/>
      <c r="R498" s="1"/>
    </row>
    <row r="499" spans="1:18">
      <c r="B499" s="253" t="s">
        <v>7627</v>
      </c>
      <c r="C499" s="2" t="s">
        <v>18</v>
      </c>
      <c r="D499" s="2" t="s">
        <v>245</v>
      </c>
      <c r="E499" s="3">
        <v>820</v>
      </c>
      <c r="F499" s="3">
        <v>220</v>
      </c>
      <c r="G499" s="4">
        <v>43223</v>
      </c>
      <c r="M499" s="1"/>
      <c r="N499" s="1"/>
      <c r="O499" s="1"/>
      <c r="P499" s="1"/>
      <c r="Q499" s="1"/>
      <c r="R499" s="1"/>
    </row>
    <row r="500" spans="1:18">
      <c r="C500" s="2" t="s">
        <v>18</v>
      </c>
      <c r="D500" s="2" t="s">
        <v>197</v>
      </c>
      <c r="E500" s="3">
        <v>500</v>
      </c>
      <c r="F500" s="3">
        <f>200/9</f>
        <v>22.222222222222221</v>
      </c>
      <c r="G500" s="4">
        <v>44274</v>
      </c>
      <c r="M500" s="1"/>
      <c r="N500" s="1"/>
      <c r="O500" s="1"/>
      <c r="P500" s="1"/>
      <c r="Q500" s="1"/>
      <c r="R500" s="1"/>
    </row>
    <row r="501" spans="1:18">
      <c r="C501" s="2" t="s">
        <v>7</v>
      </c>
      <c r="D501" s="2" t="s">
        <v>197</v>
      </c>
      <c r="E501" s="3">
        <v>120</v>
      </c>
      <c r="F501" s="3">
        <f>30/3</f>
        <v>10</v>
      </c>
      <c r="G501" s="4">
        <v>43391</v>
      </c>
      <c r="M501" s="1"/>
      <c r="N501" s="1"/>
      <c r="O501" s="1"/>
      <c r="P501" s="1"/>
      <c r="Q501" s="1"/>
      <c r="R501" s="1"/>
    </row>
    <row r="502" spans="1:18">
      <c r="C502" s="2" t="s">
        <v>9</v>
      </c>
      <c r="D502" s="2" t="s">
        <v>148</v>
      </c>
      <c r="E502" s="3">
        <f>300</f>
        <v>300</v>
      </c>
      <c r="F502" s="6" t="s">
        <v>1135</v>
      </c>
      <c r="G502" s="4">
        <v>44271</v>
      </c>
      <c r="M502" s="1"/>
      <c r="N502" s="1"/>
      <c r="O502" s="1"/>
      <c r="P502" s="1"/>
      <c r="Q502" s="1"/>
      <c r="R502" s="1"/>
    </row>
    <row r="503" spans="1:18">
      <c r="C503" s="2" t="s">
        <v>18</v>
      </c>
      <c r="D503" s="2" t="s">
        <v>80</v>
      </c>
      <c r="E503" s="3">
        <v>257</v>
      </c>
      <c r="F503" s="6">
        <f>107/3</f>
        <v>35.666666666666664</v>
      </c>
      <c r="G503" s="4">
        <v>44201</v>
      </c>
      <c r="M503" s="1"/>
      <c r="N503" s="1"/>
      <c r="O503" s="1"/>
      <c r="P503" s="1"/>
      <c r="Q503" s="1"/>
      <c r="R503" s="1"/>
    </row>
    <row r="504" spans="1:18">
      <c r="C504" s="2" t="s">
        <v>7</v>
      </c>
      <c r="D504" s="2" t="s">
        <v>80</v>
      </c>
      <c r="E504" s="3">
        <v>100</v>
      </c>
      <c r="F504" s="6">
        <v>20</v>
      </c>
      <c r="G504" s="4">
        <v>43958</v>
      </c>
      <c r="M504" s="1"/>
      <c r="N504" s="1"/>
      <c r="O504" s="1"/>
      <c r="P504" s="1"/>
      <c r="Q504" s="1"/>
      <c r="R504" s="1"/>
    </row>
    <row r="505" spans="1:18">
      <c r="C505" s="2" t="s">
        <v>5</v>
      </c>
      <c r="D505" s="2" t="s">
        <v>80</v>
      </c>
      <c r="E505" s="3">
        <v>43</v>
      </c>
      <c r="F505" s="6">
        <f>+E505/6</f>
        <v>7.166666666666667</v>
      </c>
      <c r="G505" s="4">
        <v>43622</v>
      </c>
      <c r="M505" s="1"/>
      <c r="N505" s="1"/>
      <c r="O505" s="1"/>
      <c r="P505" s="1"/>
      <c r="Q505" s="1"/>
      <c r="R505" s="1"/>
    </row>
    <row r="506" spans="1:18">
      <c r="C506" s="2" t="s">
        <v>4</v>
      </c>
      <c r="D506" s="2" t="s">
        <v>80</v>
      </c>
      <c r="E506" s="3">
        <v>19</v>
      </c>
      <c r="F506" s="6">
        <v>19</v>
      </c>
      <c r="G506" s="4">
        <v>43319</v>
      </c>
      <c r="M506" s="1"/>
      <c r="N506" s="1"/>
      <c r="O506" s="1"/>
      <c r="P506" s="1"/>
      <c r="Q506" s="1"/>
      <c r="R506" s="1"/>
    </row>
    <row r="507" spans="1:18">
      <c r="C507" s="2" t="s">
        <v>5</v>
      </c>
      <c r="D507" s="2" t="s">
        <v>29</v>
      </c>
      <c r="E507" s="3">
        <f>1600/7</f>
        <v>228.57142857142858</v>
      </c>
      <c r="F507" s="6">
        <f>109/2</f>
        <v>54.5</v>
      </c>
      <c r="G507" s="4">
        <v>45078</v>
      </c>
      <c r="I507" s="1">
        <v>1000</v>
      </c>
      <c r="J507" s="1">
        <v>1000</v>
      </c>
      <c r="M507" s="1"/>
      <c r="N507" s="1"/>
      <c r="O507" s="1"/>
      <c r="P507" s="1"/>
      <c r="Q507" s="1"/>
      <c r="R507" s="1"/>
    </row>
    <row r="508" spans="1:18">
      <c r="G508" s="4"/>
      <c r="M508" s="1"/>
      <c r="N508" s="1"/>
      <c r="O508" s="1"/>
      <c r="P508" s="1"/>
      <c r="Q508" s="1"/>
      <c r="R508" s="1"/>
    </row>
    <row r="509" spans="1:18">
      <c r="A509" s="1">
        <v>21</v>
      </c>
      <c r="B509" s="12" t="s">
        <v>1132</v>
      </c>
      <c r="C509" s="13" t="s">
        <v>969</v>
      </c>
      <c r="D509" s="13" t="s">
        <v>968</v>
      </c>
      <c r="F509" s="15">
        <f>+F510+F511</f>
        <v>381.81818181818181</v>
      </c>
      <c r="G509" s="14">
        <f>+G510</f>
        <v>44363</v>
      </c>
      <c r="I509" s="2" t="s">
        <v>1</v>
      </c>
      <c r="J509" s="2" t="s">
        <v>1</v>
      </c>
      <c r="K509" s="2" t="s">
        <v>1</v>
      </c>
    </row>
    <row r="510" spans="1:18">
      <c r="B510" s="238" t="s">
        <v>7453</v>
      </c>
      <c r="C510" s="2" t="s">
        <v>7</v>
      </c>
      <c r="D510" s="2" t="s">
        <v>1125</v>
      </c>
      <c r="E510" s="3">
        <v>2500</v>
      </c>
      <c r="F510" s="3">
        <f>2000/11</f>
        <v>181.81818181818181</v>
      </c>
      <c r="G510" s="4">
        <v>44363</v>
      </c>
    </row>
    <row r="511" spans="1:18">
      <c r="B511" s="254" t="s">
        <v>7626</v>
      </c>
      <c r="C511" s="2" t="s">
        <v>5</v>
      </c>
      <c r="D511" s="2" t="s">
        <v>1125</v>
      </c>
      <c r="E511" s="3">
        <v>3000</v>
      </c>
      <c r="F511" s="3">
        <f>800/4</f>
        <v>200</v>
      </c>
      <c r="G511" s="4">
        <v>43892</v>
      </c>
    </row>
    <row r="512" spans="1:18">
      <c r="G512" s="4"/>
    </row>
    <row r="513" spans="1:11">
      <c r="A513" s="1">
        <v>22</v>
      </c>
      <c r="B513" s="12" t="s">
        <v>1131</v>
      </c>
      <c r="C513" s="13" t="s">
        <v>969</v>
      </c>
      <c r="D513" s="13" t="s">
        <v>968</v>
      </c>
      <c r="F513" s="15">
        <f>+F514+F515</f>
        <v>381.81818181818181</v>
      </c>
      <c r="G513" s="14">
        <f>+G514</f>
        <v>44363</v>
      </c>
      <c r="I513" s="2" t="s">
        <v>1</v>
      </c>
      <c r="J513" s="2" t="s">
        <v>1</v>
      </c>
      <c r="K513" s="2" t="s">
        <v>1</v>
      </c>
    </row>
    <row r="514" spans="1:11">
      <c r="B514" s="238" t="s">
        <v>7453</v>
      </c>
      <c r="C514" s="2" t="s">
        <v>7</v>
      </c>
      <c r="D514" s="2" t="s">
        <v>1125</v>
      </c>
      <c r="E514" s="3">
        <v>2500</v>
      </c>
      <c r="F514" s="3">
        <f>2000/11</f>
        <v>181.81818181818181</v>
      </c>
      <c r="G514" s="4">
        <v>44363</v>
      </c>
    </row>
    <row r="515" spans="1:11">
      <c r="B515" s="254" t="s">
        <v>7626</v>
      </c>
      <c r="C515" s="2" t="s">
        <v>5</v>
      </c>
      <c r="D515" s="2" t="s">
        <v>1125</v>
      </c>
      <c r="E515" s="3">
        <v>3000</v>
      </c>
      <c r="F515" s="3">
        <f>800/4</f>
        <v>200</v>
      </c>
      <c r="G515" s="4">
        <v>43892</v>
      </c>
    </row>
    <row r="516" spans="1:11">
      <c r="G516" s="4"/>
    </row>
    <row r="517" spans="1:11">
      <c r="A517" s="1">
        <v>23</v>
      </c>
      <c r="B517" s="12" t="s">
        <v>1126</v>
      </c>
      <c r="C517" s="13" t="s">
        <v>969</v>
      </c>
      <c r="D517" s="13" t="s">
        <v>968</v>
      </c>
      <c r="E517" s="15"/>
      <c r="F517" s="15">
        <f>SUM(F518:F526)</f>
        <v>324.46897546897549</v>
      </c>
      <c r="G517" s="14">
        <f>+G519</f>
        <v>44893</v>
      </c>
      <c r="I517" s="2" t="s">
        <v>1</v>
      </c>
      <c r="J517" s="2" t="s">
        <v>1</v>
      </c>
      <c r="K517" s="2" t="s">
        <v>1</v>
      </c>
    </row>
    <row r="518" spans="1:11">
      <c r="B518" s="238" t="s">
        <v>7451</v>
      </c>
      <c r="C518" s="2" t="s">
        <v>7</v>
      </c>
      <c r="D518" s="2" t="s">
        <v>1125</v>
      </c>
      <c r="E518" s="3">
        <v>2500</v>
      </c>
      <c r="F518" s="3">
        <f>2000/11</f>
        <v>181.81818181818181</v>
      </c>
      <c r="G518" s="4">
        <v>44363</v>
      </c>
    </row>
    <row r="519" spans="1:11">
      <c r="B519" s="254" t="s">
        <v>7626</v>
      </c>
      <c r="C519" s="2" t="s">
        <v>5</v>
      </c>
      <c r="D519" s="2" t="s">
        <v>779</v>
      </c>
      <c r="E519" s="3">
        <v>33</v>
      </c>
      <c r="F519" s="3">
        <v>10</v>
      </c>
      <c r="G519" s="4">
        <v>44893</v>
      </c>
    </row>
    <row r="520" spans="1:11">
      <c r="C520" s="2" t="s">
        <v>7</v>
      </c>
      <c r="D520" s="2" t="s">
        <v>475</v>
      </c>
      <c r="E520" s="3">
        <v>90</v>
      </c>
      <c r="F520" s="3">
        <v>15</v>
      </c>
      <c r="G520" s="4">
        <v>44398</v>
      </c>
    </row>
    <row r="521" spans="1:11">
      <c r="C521" s="2" t="s">
        <v>18</v>
      </c>
      <c r="D521" s="2" t="s">
        <v>424</v>
      </c>
      <c r="E521" s="3">
        <v>80</v>
      </c>
      <c r="F521" s="3">
        <v>10</v>
      </c>
      <c r="G521" s="4">
        <v>44404</v>
      </c>
    </row>
    <row r="522" spans="1:11">
      <c r="C522" s="2" t="s">
        <v>8</v>
      </c>
      <c r="D522" s="2" t="s">
        <v>208</v>
      </c>
      <c r="E522" s="3">
        <v>676</v>
      </c>
      <c r="F522" s="3">
        <f>500/7</f>
        <v>71.428571428571431</v>
      </c>
      <c r="G522" s="4">
        <v>44299</v>
      </c>
      <c r="I522" s="1">
        <v>4400</v>
      </c>
    </row>
    <row r="523" spans="1:11">
      <c r="C523" s="2" t="s">
        <v>18</v>
      </c>
      <c r="D523" s="2" t="s">
        <v>197</v>
      </c>
      <c r="E523" s="3">
        <v>500</v>
      </c>
      <c r="F523" s="3">
        <f>200/9</f>
        <v>22.222222222222221</v>
      </c>
      <c r="G523" s="4">
        <v>44274</v>
      </c>
    </row>
    <row r="524" spans="1:11">
      <c r="C524" s="2" t="s">
        <v>5</v>
      </c>
      <c r="D524" s="2" t="s">
        <v>148</v>
      </c>
      <c r="E524" s="3">
        <v>3</v>
      </c>
      <c r="F524" s="6" t="s">
        <v>1051</v>
      </c>
      <c r="G524" s="4">
        <v>41879</v>
      </c>
      <c r="I524" s="1">
        <v>11</v>
      </c>
    </row>
    <row r="525" spans="1:11">
      <c r="C525" s="2" t="s">
        <v>7</v>
      </c>
      <c r="D525" s="2" t="s">
        <v>108</v>
      </c>
      <c r="E525" s="3">
        <v>37</v>
      </c>
      <c r="F525" s="6">
        <v>6.5</v>
      </c>
      <c r="G525" s="4">
        <v>43783</v>
      </c>
      <c r="I525" s="1">
        <v>113</v>
      </c>
    </row>
    <row r="526" spans="1:11">
      <c r="C526" s="2" t="s">
        <v>5</v>
      </c>
      <c r="D526" s="2" t="s">
        <v>108</v>
      </c>
      <c r="E526" s="3">
        <v>15</v>
      </c>
      <c r="F526" s="6">
        <f>E526/2</f>
        <v>7.5</v>
      </c>
      <c r="G526" s="4">
        <v>43262</v>
      </c>
    </row>
    <row r="527" spans="1:11">
      <c r="G527" s="4"/>
    </row>
    <row r="528" spans="1:11" s="12" customFormat="1">
      <c r="B528" s="12" t="s">
        <v>1102</v>
      </c>
      <c r="C528" s="13" t="s">
        <v>969</v>
      </c>
      <c r="D528" s="13" t="s">
        <v>968</v>
      </c>
      <c r="E528" s="15"/>
      <c r="F528" s="15">
        <f>SUM(F529:F533)</f>
        <v>309.68994708994705</v>
      </c>
      <c r="G528" s="14">
        <f>G531</f>
        <v>45183</v>
      </c>
    </row>
    <row r="529" spans="1:18">
      <c r="B529" s="238" t="s">
        <v>7629</v>
      </c>
      <c r="C529" s="2" t="s">
        <v>504</v>
      </c>
      <c r="D529" s="2" t="s">
        <v>489</v>
      </c>
      <c r="E529" s="3">
        <v>250</v>
      </c>
      <c r="F529" s="3">
        <f>150/5</f>
        <v>30</v>
      </c>
      <c r="G529" s="4">
        <v>44376</v>
      </c>
      <c r="M529" s="1"/>
      <c r="N529" s="1"/>
      <c r="O529" s="1"/>
      <c r="P529" s="1"/>
      <c r="Q529" s="1"/>
      <c r="R529" s="1"/>
    </row>
    <row r="530" spans="1:18">
      <c r="B530" s="254" t="s">
        <v>7626</v>
      </c>
      <c r="C530" s="2" t="s">
        <v>9</v>
      </c>
      <c r="D530" s="2" t="s">
        <v>55</v>
      </c>
      <c r="E530" s="3">
        <v>250</v>
      </c>
      <c r="F530" s="3">
        <v>100</v>
      </c>
      <c r="G530" s="4">
        <v>44350</v>
      </c>
      <c r="I530" s="1">
        <v>7000</v>
      </c>
      <c r="J530" s="1">
        <v>7000</v>
      </c>
      <c r="M530" s="1"/>
      <c r="N530" s="1"/>
      <c r="O530" s="1"/>
      <c r="P530" s="1"/>
      <c r="Q530" s="1"/>
      <c r="R530" s="1"/>
    </row>
    <row r="531" spans="1:18">
      <c r="B531" s="2"/>
      <c r="C531" s="265" t="s">
        <v>7885</v>
      </c>
      <c r="D531" s="265" t="s">
        <v>1006</v>
      </c>
      <c r="E531" s="3">
        <v>684.6</v>
      </c>
      <c r="F531" s="3">
        <f>584.6/21</f>
        <v>27.838095238095239</v>
      </c>
      <c r="G531" s="4">
        <v>45183</v>
      </c>
      <c r="I531" s="1">
        <v>42500</v>
      </c>
      <c r="J531" s="1">
        <v>42500</v>
      </c>
      <c r="M531" s="1"/>
      <c r="N531" s="1"/>
      <c r="O531" s="1"/>
      <c r="P531" s="1"/>
      <c r="Q531" s="1"/>
      <c r="R531" s="1"/>
    </row>
    <row r="532" spans="1:18">
      <c r="B532" s="2"/>
      <c r="C532" s="265" t="s">
        <v>2486</v>
      </c>
      <c r="D532" s="265" t="s">
        <v>1006</v>
      </c>
      <c r="E532" s="3">
        <v>1600</v>
      </c>
      <c r="F532" s="3">
        <f>1400/27</f>
        <v>51.851851851851855</v>
      </c>
      <c r="G532" s="4">
        <v>44439</v>
      </c>
      <c r="I532" s="1">
        <v>36400</v>
      </c>
      <c r="J532" s="1">
        <v>42500</v>
      </c>
      <c r="M532" s="1"/>
      <c r="N532" s="1"/>
      <c r="O532" s="1"/>
      <c r="P532" s="1"/>
      <c r="Q532" s="1"/>
      <c r="R532" s="1"/>
    </row>
    <row r="533" spans="1:18">
      <c r="B533" s="2"/>
      <c r="C533" s="265" t="s">
        <v>504</v>
      </c>
      <c r="D533" s="265" t="s">
        <v>1006</v>
      </c>
      <c r="E533" s="3">
        <v>1000</v>
      </c>
      <c r="F533" s="3">
        <v>100</v>
      </c>
      <c r="G533" s="4">
        <v>44228</v>
      </c>
      <c r="I533" s="1">
        <v>27000</v>
      </c>
      <c r="J533" s="1">
        <v>42500</v>
      </c>
      <c r="M533" s="1"/>
      <c r="N533" s="1"/>
      <c r="O533" s="1"/>
      <c r="P533" s="1"/>
      <c r="Q533" s="1"/>
      <c r="R533" s="1"/>
    </row>
    <row r="534" spans="1:18">
      <c r="G534" s="4"/>
      <c r="M534" s="1"/>
      <c r="N534" s="1"/>
      <c r="O534" s="1"/>
      <c r="P534" s="1"/>
      <c r="Q534" s="1"/>
      <c r="R534" s="1"/>
    </row>
    <row r="535" spans="1:18" s="12" customFormat="1">
      <c r="A535" s="12">
        <v>24</v>
      </c>
      <c r="B535" s="12" t="s">
        <v>242</v>
      </c>
      <c r="C535" s="13" t="s">
        <v>969</v>
      </c>
      <c r="D535" s="13" t="s">
        <v>968</v>
      </c>
      <c r="E535" s="15"/>
      <c r="F535" s="15">
        <f>SUM(F536:F538)</f>
        <v>302.5</v>
      </c>
      <c r="G535" s="14">
        <f>G538</f>
        <v>44550</v>
      </c>
      <c r="M535" s="13"/>
      <c r="N535" s="13"/>
      <c r="O535" s="13"/>
      <c r="P535" s="13"/>
      <c r="Q535" s="13"/>
      <c r="R535" s="13"/>
    </row>
    <row r="536" spans="1:18">
      <c r="B536" s="238" t="s">
        <v>7454</v>
      </c>
      <c r="C536" s="2" t="s">
        <v>8</v>
      </c>
      <c r="D536" s="2" t="s">
        <v>232</v>
      </c>
      <c r="E536" s="3">
        <v>750</v>
      </c>
      <c r="F536" s="3">
        <f>450/4</f>
        <v>112.5</v>
      </c>
      <c r="G536" s="4">
        <v>43593</v>
      </c>
    </row>
    <row r="537" spans="1:18">
      <c r="B537" s="254" t="s">
        <v>7626</v>
      </c>
      <c r="C537" s="2" t="s">
        <v>18</v>
      </c>
      <c r="D537" s="2" t="s">
        <v>232</v>
      </c>
      <c r="E537" s="3">
        <v>460</v>
      </c>
      <c r="F537" s="3">
        <v>150</v>
      </c>
      <c r="G537" s="4">
        <v>43040</v>
      </c>
    </row>
    <row r="538" spans="1:18">
      <c r="C538" s="2" t="s">
        <v>7</v>
      </c>
      <c r="D538" s="2" t="s">
        <v>64</v>
      </c>
      <c r="E538" s="3">
        <f>1600/7</f>
        <v>228.57142857142858</v>
      </c>
      <c r="F538" s="3">
        <v>40</v>
      </c>
      <c r="G538" s="4">
        <v>44550</v>
      </c>
    </row>
    <row r="539" spans="1:18">
      <c r="G539" s="4"/>
    </row>
    <row r="540" spans="1:18" s="12" customFormat="1">
      <c r="A540" s="12">
        <v>25</v>
      </c>
      <c r="B540" s="12" t="s">
        <v>7458</v>
      </c>
      <c r="C540" s="13" t="s">
        <v>969</v>
      </c>
      <c r="D540" s="13" t="s">
        <v>968</v>
      </c>
      <c r="E540" s="15"/>
      <c r="F540" s="15">
        <f>SUM(F541:F561)</f>
        <v>301.73333333333329</v>
      </c>
      <c r="G540" s="14">
        <f>+G552</f>
        <v>45090</v>
      </c>
      <c r="I540" s="12">
        <v>13000</v>
      </c>
      <c r="J540" s="22">
        <f>+F540/I540</f>
        <v>2.3210256410256407E-2</v>
      </c>
      <c r="K540" s="12">
        <v>1996</v>
      </c>
      <c r="M540" s="13"/>
      <c r="N540" s="13"/>
      <c r="O540" s="13"/>
      <c r="P540" s="13"/>
      <c r="Q540" s="13"/>
      <c r="R540" s="13"/>
    </row>
    <row r="541" spans="1:18">
      <c r="B541" s="385" t="s">
        <v>9608</v>
      </c>
      <c r="C541" s="2" t="s">
        <v>9</v>
      </c>
      <c r="D541" s="2" t="s">
        <v>803</v>
      </c>
      <c r="E541" s="3">
        <v>325</v>
      </c>
      <c r="F541" s="3">
        <v>18.5</v>
      </c>
      <c r="G541" s="4">
        <v>44299</v>
      </c>
    </row>
    <row r="542" spans="1:18">
      <c r="C542" s="2" t="s">
        <v>7</v>
      </c>
      <c r="D542" s="2" t="s">
        <v>803</v>
      </c>
      <c r="E542" s="3">
        <v>18</v>
      </c>
      <c r="F542" s="3">
        <v>12</v>
      </c>
      <c r="G542" s="4">
        <v>43319</v>
      </c>
    </row>
    <row r="543" spans="1:18">
      <c r="C543" s="2" t="s">
        <v>18</v>
      </c>
      <c r="D543" s="2" t="s">
        <v>952</v>
      </c>
      <c r="E543" s="3">
        <v>270</v>
      </c>
      <c r="F543" s="3">
        <v>24</v>
      </c>
      <c r="G543" s="4">
        <v>45048</v>
      </c>
    </row>
    <row r="544" spans="1:18">
      <c r="C544" s="2" t="s">
        <v>7</v>
      </c>
      <c r="D544" s="2" t="s">
        <v>952</v>
      </c>
      <c r="E544" s="3">
        <v>130</v>
      </c>
      <c r="F544" s="3">
        <v>23</v>
      </c>
      <c r="G544" s="4">
        <v>44607</v>
      </c>
    </row>
    <row r="545" spans="3:10">
      <c r="C545" s="2" t="s">
        <v>5</v>
      </c>
      <c r="D545" s="2" t="s">
        <v>952</v>
      </c>
      <c r="E545" s="3">
        <v>40</v>
      </c>
      <c r="F545" s="3">
        <v>20</v>
      </c>
      <c r="G545" s="4">
        <v>44446</v>
      </c>
    </row>
    <row r="546" spans="3:10">
      <c r="C546" s="2" t="s">
        <v>18</v>
      </c>
      <c r="D546" s="2" t="s">
        <v>798</v>
      </c>
      <c r="E546" s="3">
        <v>50</v>
      </c>
      <c r="F546" s="3">
        <f>25/3</f>
        <v>8.3333333333333339</v>
      </c>
      <c r="G546" s="4">
        <v>44496</v>
      </c>
    </row>
    <row r="547" spans="3:10">
      <c r="C547" s="2" t="s">
        <v>7</v>
      </c>
      <c r="D547" s="2" t="s">
        <v>798</v>
      </c>
      <c r="E547" s="3">
        <v>22</v>
      </c>
      <c r="F547" s="3">
        <v>5</v>
      </c>
      <c r="G547" s="4">
        <v>44153</v>
      </c>
    </row>
    <row r="548" spans="3:10">
      <c r="C548" s="2" t="s">
        <v>5</v>
      </c>
      <c r="D548" s="2" t="s">
        <v>798</v>
      </c>
      <c r="E548" s="3">
        <v>13</v>
      </c>
      <c r="F548" s="3">
        <v>10</v>
      </c>
      <c r="G548" s="4">
        <v>44026</v>
      </c>
    </row>
    <row r="549" spans="3:10">
      <c r="C549" s="2" t="s">
        <v>7</v>
      </c>
      <c r="D549" s="2" t="s">
        <v>796</v>
      </c>
      <c r="E549" s="3">
        <v>50</v>
      </c>
      <c r="F549" s="3">
        <v>20</v>
      </c>
      <c r="G549" s="4">
        <v>45036</v>
      </c>
    </row>
    <row r="550" spans="3:10">
      <c r="C550" s="2" t="s">
        <v>7</v>
      </c>
      <c r="D550" s="2" t="s">
        <v>894</v>
      </c>
      <c r="E550" s="3">
        <v>40</v>
      </c>
      <c r="F550" s="3">
        <v>5</v>
      </c>
      <c r="G550" s="4">
        <v>44728</v>
      </c>
    </row>
    <row r="551" spans="3:10">
      <c r="C551" s="2" t="s">
        <v>5</v>
      </c>
      <c r="D551" s="2" t="s">
        <v>894</v>
      </c>
      <c r="E551" s="3">
        <v>18.600000000000001</v>
      </c>
      <c r="F551" s="3">
        <v>10</v>
      </c>
      <c r="G551" s="4">
        <v>44112</v>
      </c>
    </row>
    <row r="552" spans="3:10">
      <c r="C552" s="2" t="s">
        <v>4</v>
      </c>
      <c r="D552" s="2" t="s">
        <v>705</v>
      </c>
      <c r="E552" s="3">
        <v>113</v>
      </c>
      <c r="F552" s="3">
        <v>19</v>
      </c>
      <c r="G552" s="4">
        <v>45090</v>
      </c>
    </row>
    <row r="553" spans="3:10">
      <c r="C553" s="2" t="s">
        <v>5</v>
      </c>
      <c r="D553" s="2" t="s">
        <v>520</v>
      </c>
      <c r="E553" s="3">
        <v>7</v>
      </c>
      <c r="F553" s="3">
        <v>1</v>
      </c>
      <c r="G553" s="4">
        <v>42885</v>
      </c>
    </row>
    <row r="554" spans="3:10">
      <c r="C554" s="2" t="s">
        <v>18</v>
      </c>
      <c r="D554" s="2" t="s">
        <v>424</v>
      </c>
      <c r="E554" s="3">
        <v>75</v>
      </c>
      <c r="F554" s="3">
        <v>20</v>
      </c>
      <c r="G554" s="4">
        <v>45020</v>
      </c>
    </row>
    <row r="555" spans="3:10">
      <c r="C555" s="2" t="s">
        <v>18</v>
      </c>
      <c r="D555" s="2" t="s">
        <v>424</v>
      </c>
      <c r="E555" s="3">
        <v>80</v>
      </c>
      <c r="F555" s="3">
        <v>40</v>
      </c>
      <c r="G555" s="4">
        <v>44404</v>
      </c>
    </row>
    <row r="556" spans="3:10">
      <c r="C556" s="2" t="s">
        <v>7</v>
      </c>
      <c r="D556" s="2" t="s">
        <v>424</v>
      </c>
      <c r="E556" s="3">
        <v>40</v>
      </c>
      <c r="F556" s="3">
        <v>20</v>
      </c>
      <c r="G556" s="4">
        <v>43957</v>
      </c>
    </row>
    <row r="557" spans="3:10">
      <c r="C557" s="2" t="s">
        <v>8</v>
      </c>
      <c r="D557" s="2" t="s">
        <v>55</v>
      </c>
      <c r="E557" s="3">
        <v>200</v>
      </c>
      <c r="F557" s="3">
        <f>150/8</f>
        <v>18.75</v>
      </c>
      <c r="G557" s="4">
        <v>44055</v>
      </c>
      <c r="I557" s="1">
        <v>2000</v>
      </c>
      <c r="J557" s="1">
        <v>7000</v>
      </c>
    </row>
    <row r="558" spans="3:10">
      <c r="C558" s="153" t="s">
        <v>7</v>
      </c>
      <c r="D558" s="153" t="s">
        <v>2041</v>
      </c>
      <c r="E558" s="3">
        <v>42</v>
      </c>
      <c r="F558" s="3">
        <f>22/4</f>
        <v>5.5</v>
      </c>
      <c r="G558" s="4">
        <v>44831</v>
      </c>
    </row>
    <row r="559" spans="3:10">
      <c r="C559" s="153" t="s">
        <v>5</v>
      </c>
      <c r="D559" s="153" t="s">
        <v>2041</v>
      </c>
      <c r="E559" s="3">
        <v>15</v>
      </c>
      <c r="F559" s="3">
        <v>5</v>
      </c>
      <c r="G559" s="4">
        <v>44174</v>
      </c>
    </row>
    <row r="560" spans="3:10">
      <c r="C560" s="153" t="s">
        <v>4</v>
      </c>
      <c r="D560" s="153" t="s">
        <v>2041</v>
      </c>
      <c r="E560" s="3">
        <v>3.3</v>
      </c>
      <c r="F560" s="3">
        <f>E560/2</f>
        <v>1.65</v>
      </c>
      <c r="G560" s="4">
        <v>43810</v>
      </c>
    </row>
    <row r="561" spans="1:18">
      <c r="C561" s="168" t="s">
        <v>2032</v>
      </c>
      <c r="D561" s="168" t="s">
        <v>5</v>
      </c>
      <c r="E561" s="3">
        <v>30</v>
      </c>
      <c r="F561" s="3">
        <v>15</v>
      </c>
      <c r="G561" s="4">
        <v>44729</v>
      </c>
    </row>
    <row r="562" spans="1:18">
      <c r="G562" s="4"/>
    </row>
    <row r="563" spans="1:18" s="12" customFormat="1">
      <c r="A563" s="12">
        <v>26</v>
      </c>
      <c r="B563" s="12" t="s">
        <v>7459</v>
      </c>
      <c r="C563" s="13" t="s">
        <v>969</v>
      </c>
      <c r="D563" s="13" t="s">
        <v>968</v>
      </c>
      <c r="E563" s="15"/>
      <c r="F563" s="15">
        <f>SUM(F564:F567)</f>
        <v>268</v>
      </c>
      <c r="G563" s="14">
        <f>+G564</f>
        <v>45069</v>
      </c>
      <c r="I563" s="12">
        <v>3800</v>
      </c>
      <c r="J563" s="22">
        <f>+F563/I563</f>
        <v>7.0526315789473687E-2</v>
      </c>
      <c r="K563" s="12">
        <v>2005</v>
      </c>
      <c r="M563" s="13"/>
      <c r="N563" s="13"/>
      <c r="O563" s="13"/>
      <c r="P563" s="13"/>
      <c r="Q563" s="13"/>
      <c r="R563" s="13"/>
    </row>
    <row r="564" spans="1:18">
      <c r="B564" s="253" t="s">
        <v>7627</v>
      </c>
      <c r="C564" s="2" t="s">
        <v>18</v>
      </c>
      <c r="D564" s="2" t="s">
        <v>964</v>
      </c>
      <c r="E564" s="3">
        <v>450</v>
      </c>
      <c r="F564" s="3">
        <v>150</v>
      </c>
      <c r="G564" s="4">
        <v>45069</v>
      </c>
    </row>
    <row r="565" spans="1:18">
      <c r="C565" s="2" t="s">
        <v>7</v>
      </c>
      <c r="D565" s="2" t="s">
        <v>949</v>
      </c>
      <c r="E565" s="3">
        <v>350</v>
      </c>
      <c r="F565" s="3">
        <v>75</v>
      </c>
      <c r="G565" s="4">
        <v>44999</v>
      </c>
    </row>
    <row r="566" spans="1:18">
      <c r="C566" s="2" t="s">
        <v>18</v>
      </c>
      <c r="D566" s="2" t="s">
        <v>803</v>
      </c>
      <c r="E566" s="3">
        <v>100</v>
      </c>
      <c r="F566" s="3">
        <v>13</v>
      </c>
      <c r="G566" s="4">
        <v>43682</v>
      </c>
    </row>
    <row r="567" spans="1:18">
      <c r="C567" s="2" t="s">
        <v>18</v>
      </c>
      <c r="D567" s="2" t="s">
        <v>374</v>
      </c>
      <c r="E567" s="3">
        <v>130</v>
      </c>
      <c r="F567" s="3">
        <v>30</v>
      </c>
      <c r="G567" s="4">
        <v>44323</v>
      </c>
    </row>
    <row r="568" spans="1:18">
      <c r="G568" s="4"/>
    </row>
    <row r="569" spans="1:18">
      <c r="A569" s="1">
        <v>32</v>
      </c>
      <c r="B569" s="12" t="s">
        <v>1119</v>
      </c>
      <c r="C569" s="13" t="s">
        <v>969</v>
      </c>
      <c r="D569" s="13" t="s">
        <v>968</v>
      </c>
      <c r="E569" s="15"/>
      <c r="F569" s="15">
        <f>SUM(F570:F577)</f>
        <v>262.44708994708998</v>
      </c>
      <c r="G569" s="14">
        <f>G574</f>
        <v>44622</v>
      </c>
      <c r="I569" s="1" t="s">
        <v>1</v>
      </c>
      <c r="J569" s="1" t="s">
        <v>1</v>
      </c>
      <c r="K569" s="1" t="s">
        <v>1</v>
      </c>
    </row>
    <row r="570" spans="1:18">
      <c r="B570" s="238" t="s">
        <v>7465</v>
      </c>
      <c r="C570" s="2" t="s">
        <v>18</v>
      </c>
      <c r="D570" s="2" t="s">
        <v>877</v>
      </c>
      <c r="E570" s="3">
        <v>85</v>
      </c>
      <c r="F570" s="3">
        <v>20</v>
      </c>
      <c r="G570" s="4">
        <v>44417</v>
      </c>
    </row>
    <row r="571" spans="1:18">
      <c r="B571" s="254" t="s">
        <v>7626</v>
      </c>
      <c r="C571" s="2" t="s">
        <v>7</v>
      </c>
      <c r="D571" s="2" t="s">
        <v>877</v>
      </c>
      <c r="E571" s="3">
        <v>35</v>
      </c>
      <c r="F571" s="3">
        <f>25/6</f>
        <v>4.166666666666667</v>
      </c>
      <c r="G571" s="4">
        <v>44293</v>
      </c>
    </row>
    <row r="572" spans="1:18">
      <c r="C572" s="2" t="s">
        <v>53</v>
      </c>
      <c r="D572" s="2" t="s">
        <v>489</v>
      </c>
      <c r="E572" s="3">
        <v>270</v>
      </c>
      <c r="F572" s="3">
        <v>22</v>
      </c>
      <c r="G572" s="4">
        <v>44152</v>
      </c>
    </row>
    <row r="573" spans="1:18">
      <c r="C573" s="2" t="s">
        <v>7</v>
      </c>
      <c r="D573" s="2" t="s">
        <v>475</v>
      </c>
      <c r="E573" s="3">
        <v>90</v>
      </c>
      <c r="F573" s="3">
        <v>6</v>
      </c>
      <c r="G573" s="4">
        <v>44398</v>
      </c>
    </row>
    <row r="574" spans="1:18">
      <c r="C574" s="2" t="s">
        <v>8</v>
      </c>
      <c r="D574" s="2" t="s">
        <v>258</v>
      </c>
      <c r="E574" s="3">
        <v>111</v>
      </c>
      <c r="F574" s="3">
        <v>7</v>
      </c>
      <c r="G574" s="4">
        <v>44622</v>
      </c>
    </row>
    <row r="575" spans="1:18">
      <c r="C575" s="2" t="s">
        <v>8</v>
      </c>
      <c r="D575" s="2" t="s">
        <v>208</v>
      </c>
      <c r="E575" s="3">
        <v>676</v>
      </c>
      <c r="F575" s="3">
        <f>500/7</f>
        <v>71.428571428571431</v>
      </c>
      <c r="G575" s="4">
        <v>44299</v>
      </c>
      <c r="I575" s="1">
        <v>4400</v>
      </c>
    </row>
    <row r="576" spans="1:18">
      <c r="C576" s="2" t="s">
        <v>18</v>
      </c>
      <c r="D576" s="2" t="s">
        <v>208</v>
      </c>
      <c r="E576" s="3">
        <v>250</v>
      </c>
      <c r="F576" s="3">
        <v>80</v>
      </c>
      <c r="G576" s="4">
        <v>43886</v>
      </c>
      <c r="I576" s="1">
        <v>2300</v>
      </c>
    </row>
    <row r="577" spans="1:18">
      <c r="C577" s="265" t="s">
        <v>2486</v>
      </c>
      <c r="D577" s="265" t="s">
        <v>1006</v>
      </c>
      <c r="E577" s="3">
        <v>1600</v>
      </c>
      <c r="F577" s="3">
        <f>1400/27</f>
        <v>51.851851851851855</v>
      </c>
      <c r="G577" s="4">
        <v>44439</v>
      </c>
      <c r="I577" s="1">
        <v>36400</v>
      </c>
      <c r="J577" s="1">
        <v>42500</v>
      </c>
    </row>
    <row r="578" spans="1:18">
      <c r="C578" s="265" t="s">
        <v>504</v>
      </c>
      <c r="D578" s="265" t="s">
        <v>1006</v>
      </c>
      <c r="E578" s="3">
        <v>1000</v>
      </c>
      <c r="F578" s="3">
        <f>900/23</f>
        <v>39.130434782608695</v>
      </c>
      <c r="G578" s="4">
        <v>44228</v>
      </c>
      <c r="I578" s="1">
        <v>27000</v>
      </c>
      <c r="J578" s="1">
        <v>42500</v>
      </c>
    </row>
    <row r="579" spans="1:18">
      <c r="G579" s="4"/>
    </row>
    <row r="580" spans="1:18" s="12" customFormat="1">
      <c r="B580" s="12" t="s">
        <v>505</v>
      </c>
      <c r="C580" s="13" t="s">
        <v>969</v>
      </c>
      <c r="D580" s="13" t="s">
        <v>968</v>
      </c>
      <c r="E580" s="15"/>
      <c r="F580" s="15">
        <f>SUM(F581:F583)</f>
        <v>257.83809523809521</v>
      </c>
      <c r="G580" s="14">
        <f>G582</f>
        <v>45183</v>
      </c>
    </row>
    <row r="581" spans="1:18">
      <c r="C581" s="2" t="s">
        <v>504</v>
      </c>
      <c r="D581" s="2" t="s">
        <v>489</v>
      </c>
      <c r="E581" s="3">
        <v>250</v>
      </c>
      <c r="F581" s="3">
        <f>150/5</f>
        <v>30</v>
      </c>
      <c r="G581" s="4">
        <v>44376</v>
      </c>
      <c r="M581" s="1"/>
      <c r="N581" s="1"/>
      <c r="O581" s="1"/>
      <c r="P581" s="1"/>
      <c r="Q581" s="1"/>
      <c r="R581" s="1"/>
    </row>
    <row r="582" spans="1:18">
      <c r="C582" s="265" t="s">
        <v>7885</v>
      </c>
      <c r="D582" s="265" t="s">
        <v>1006</v>
      </c>
      <c r="E582" s="3">
        <v>684.6</v>
      </c>
      <c r="F582" s="3">
        <f>584.6/21</f>
        <v>27.838095238095239</v>
      </c>
      <c r="G582" s="4">
        <v>45183</v>
      </c>
      <c r="I582" s="1">
        <v>42500</v>
      </c>
      <c r="J582" s="1">
        <v>42500</v>
      </c>
      <c r="M582" s="1"/>
      <c r="N582" s="1"/>
      <c r="O582" s="1"/>
      <c r="P582" s="1"/>
      <c r="Q582" s="1"/>
      <c r="R582" s="1"/>
    </row>
    <row r="583" spans="1:18">
      <c r="C583" s="265" t="s">
        <v>2486</v>
      </c>
      <c r="D583" s="265" t="s">
        <v>1006</v>
      </c>
      <c r="E583" s="3">
        <v>1600</v>
      </c>
      <c r="F583" s="3">
        <v>200</v>
      </c>
      <c r="G583" s="4">
        <v>44439</v>
      </c>
      <c r="I583" s="1">
        <v>36400</v>
      </c>
      <c r="J583" s="1">
        <v>42500</v>
      </c>
      <c r="K583" s="5">
        <f>+(J583/I583-1)*F583</f>
        <v>33.516483516483532</v>
      </c>
      <c r="M583" s="1"/>
      <c r="N583" s="1"/>
      <c r="O583" s="1"/>
      <c r="P583" s="1"/>
      <c r="Q583" s="1"/>
      <c r="R583" s="1"/>
    </row>
    <row r="584" spans="1:18">
      <c r="C584" s="265"/>
      <c r="G584" s="4"/>
      <c r="M584" s="1"/>
      <c r="N584" s="1"/>
      <c r="O584" s="1"/>
      <c r="P584" s="1"/>
      <c r="Q584" s="1"/>
      <c r="R584" s="1"/>
    </row>
    <row r="585" spans="1:18">
      <c r="A585" s="1">
        <v>27</v>
      </c>
      <c r="B585" s="12" t="s">
        <v>7908</v>
      </c>
      <c r="C585" s="13" t="s">
        <v>969</v>
      </c>
      <c r="D585" s="13" t="s">
        <v>968</v>
      </c>
      <c r="F585" s="15">
        <f>SUM(F586:F600)</f>
        <v>329.55357142857144</v>
      </c>
      <c r="G585" s="14">
        <f>G586</f>
        <v>44796</v>
      </c>
    </row>
    <row r="586" spans="1:18">
      <c r="B586" s="238" t="s">
        <v>7460</v>
      </c>
      <c r="C586" s="2" t="s">
        <v>1040</v>
      </c>
      <c r="D586" s="2" t="s">
        <v>832</v>
      </c>
      <c r="E586" s="3">
        <v>99</v>
      </c>
      <c r="F586" s="3">
        <v>30</v>
      </c>
      <c r="G586" s="4">
        <v>44796</v>
      </c>
    </row>
    <row r="587" spans="1:18">
      <c r="B587" s="254" t="s">
        <v>7626</v>
      </c>
      <c r="C587" s="2" t="s">
        <v>1116</v>
      </c>
      <c r="D587" s="2" t="s">
        <v>832</v>
      </c>
      <c r="E587" s="3">
        <v>100</v>
      </c>
      <c r="F587" s="3">
        <f>40/3</f>
        <v>13.333333333333334</v>
      </c>
      <c r="G587" s="4">
        <v>44537</v>
      </c>
    </row>
    <row r="588" spans="1:18">
      <c r="C588" s="2" t="s">
        <v>7</v>
      </c>
      <c r="D588" s="2" t="s">
        <v>832</v>
      </c>
      <c r="E588" s="3">
        <v>40</v>
      </c>
      <c r="F588" s="3">
        <f>20/3</f>
        <v>6.666666666666667</v>
      </c>
      <c r="G588" s="4">
        <v>44125</v>
      </c>
    </row>
    <row r="589" spans="1:18">
      <c r="C589" s="2" t="s">
        <v>5</v>
      </c>
      <c r="D589" s="2" t="s">
        <v>832</v>
      </c>
      <c r="E589" s="3">
        <v>20</v>
      </c>
      <c r="F589" s="3">
        <f>12/6</f>
        <v>2</v>
      </c>
      <c r="G589" s="4">
        <v>43816</v>
      </c>
    </row>
    <row r="590" spans="1:18">
      <c r="C590" s="2" t="s">
        <v>5</v>
      </c>
      <c r="D590" s="2" t="s">
        <v>701</v>
      </c>
      <c r="E590" s="3">
        <v>50</v>
      </c>
      <c r="F590" s="3">
        <v>10</v>
      </c>
      <c r="G590" s="4">
        <v>44796</v>
      </c>
    </row>
    <row r="591" spans="1:18">
      <c r="C591" s="2" t="s">
        <v>5</v>
      </c>
      <c r="D591" s="2" t="s">
        <v>516</v>
      </c>
      <c r="E591" s="3">
        <v>14.5</v>
      </c>
      <c r="F591" s="3">
        <v>3</v>
      </c>
      <c r="G591" s="4">
        <v>43389</v>
      </c>
    </row>
    <row r="592" spans="1:18">
      <c r="C592" s="2" t="s">
        <v>9</v>
      </c>
      <c r="D592" s="2" t="s">
        <v>489</v>
      </c>
      <c r="E592" s="3">
        <v>206</v>
      </c>
      <c r="F592" s="3">
        <v>14</v>
      </c>
      <c r="G592" s="4">
        <v>43725</v>
      </c>
    </row>
    <row r="593" spans="1:18">
      <c r="C593" s="2" t="s">
        <v>8</v>
      </c>
      <c r="D593" s="2" t="s">
        <v>489</v>
      </c>
      <c r="E593" s="3">
        <v>100</v>
      </c>
      <c r="F593" s="3">
        <v>15</v>
      </c>
      <c r="G593" s="4">
        <v>43397</v>
      </c>
    </row>
    <row r="594" spans="1:18">
      <c r="C594" s="2" t="s">
        <v>4</v>
      </c>
      <c r="D594" s="2" t="s">
        <v>332</v>
      </c>
      <c r="E594" s="3">
        <v>5</v>
      </c>
      <c r="F594" s="3">
        <v>1</v>
      </c>
      <c r="G594" s="4">
        <v>43990</v>
      </c>
    </row>
    <row r="595" spans="1:18">
      <c r="C595" s="2" t="s">
        <v>5</v>
      </c>
      <c r="D595" s="2" t="s">
        <v>313</v>
      </c>
      <c r="E595" s="3">
        <v>57</v>
      </c>
      <c r="F595" s="3">
        <v>6</v>
      </c>
      <c r="G595" s="4">
        <v>44508</v>
      </c>
    </row>
    <row r="596" spans="1:18">
      <c r="C596" s="2" t="s">
        <v>8</v>
      </c>
      <c r="D596" s="2" t="s">
        <v>208</v>
      </c>
      <c r="E596" s="3">
        <v>676</v>
      </c>
      <c r="F596" s="3">
        <f>500/7</f>
        <v>71.428571428571431</v>
      </c>
      <c r="G596" s="4">
        <v>44299</v>
      </c>
      <c r="I596" s="1">
        <v>4400</v>
      </c>
    </row>
    <row r="597" spans="1:18">
      <c r="C597" s="2" t="s">
        <v>18</v>
      </c>
      <c r="D597" s="2" t="s">
        <v>208</v>
      </c>
      <c r="E597" s="3">
        <v>250</v>
      </c>
      <c r="F597" s="3">
        <f>170/5</f>
        <v>34</v>
      </c>
      <c r="G597" s="4">
        <v>43886</v>
      </c>
      <c r="I597" s="1">
        <v>2300</v>
      </c>
    </row>
    <row r="598" spans="1:18">
      <c r="C598" s="2" t="s">
        <v>7</v>
      </c>
      <c r="D598" s="2" t="s">
        <v>208</v>
      </c>
      <c r="E598" s="3">
        <v>150</v>
      </c>
      <c r="F598" s="3">
        <v>50</v>
      </c>
      <c r="G598" s="4">
        <v>43556</v>
      </c>
    </row>
    <row r="599" spans="1:18">
      <c r="C599" s="265" t="s">
        <v>8</v>
      </c>
      <c r="D599" s="265" t="s">
        <v>3732</v>
      </c>
      <c r="E599" s="3">
        <v>235</v>
      </c>
      <c r="F599" s="3">
        <f>185/8</f>
        <v>23.125</v>
      </c>
      <c r="G599" s="4">
        <v>45161</v>
      </c>
      <c r="I599" s="1">
        <v>4300</v>
      </c>
      <c r="J599" s="1">
        <v>4300</v>
      </c>
    </row>
    <row r="600" spans="1:18">
      <c r="C600" s="265" t="s">
        <v>7915</v>
      </c>
      <c r="D600" s="265" t="s">
        <v>936</v>
      </c>
      <c r="E600" s="3">
        <v>50</v>
      </c>
      <c r="F600" s="3">
        <v>50</v>
      </c>
      <c r="G600" s="4">
        <v>45239</v>
      </c>
    </row>
    <row r="601" spans="1:18">
      <c r="G601" s="4"/>
    </row>
    <row r="602" spans="1:18" s="12" customFormat="1">
      <c r="A602" s="12">
        <v>31</v>
      </c>
      <c r="B602" s="12" t="s">
        <v>1120</v>
      </c>
      <c r="C602" s="13" t="s">
        <v>969</v>
      </c>
      <c r="D602" s="13" t="s">
        <v>968</v>
      </c>
      <c r="E602" s="15"/>
      <c r="F602" s="15">
        <f>SUM(F603:F613)</f>
        <v>335.65821256038646</v>
      </c>
      <c r="G602" s="14">
        <f>G603</f>
        <v>45069</v>
      </c>
      <c r="I602" s="13" t="s">
        <v>1</v>
      </c>
      <c r="J602" s="13" t="s">
        <v>1</v>
      </c>
      <c r="K602" s="13" t="s">
        <v>1</v>
      </c>
      <c r="M602" s="13"/>
      <c r="N602" s="13"/>
      <c r="O602" s="13"/>
      <c r="P602" s="13"/>
      <c r="Q602" s="13"/>
      <c r="R602" s="13"/>
    </row>
    <row r="603" spans="1:18">
      <c r="B603" s="238" t="s">
        <v>7464</v>
      </c>
      <c r="C603" s="2" t="s">
        <v>18</v>
      </c>
      <c r="D603" s="2" t="s">
        <v>964</v>
      </c>
      <c r="E603" s="3">
        <v>450</v>
      </c>
      <c r="F603" s="3">
        <f>300/5</f>
        <v>60</v>
      </c>
      <c r="G603" s="4">
        <v>45069</v>
      </c>
    </row>
    <row r="604" spans="1:18">
      <c r="B604" s="254" t="s">
        <v>7626</v>
      </c>
      <c r="C604" s="2" t="s">
        <v>18</v>
      </c>
      <c r="D604" s="2" t="s">
        <v>952</v>
      </c>
      <c r="E604" s="3">
        <v>270</v>
      </c>
      <c r="F604" s="3">
        <f>220/9</f>
        <v>24.444444444444443</v>
      </c>
      <c r="G604" s="4">
        <v>45048</v>
      </c>
    </row>
    <row r="605" spans="1:18">
      <c r="C605" s="2" t="s">
        <v>4</v>
      </c>
      <c r="D605" s="2" t="s">
        <v>651</v>
      </c>
      <c r="E605" s="3">
        <v>12.3</v>
      </c>
      <c r="F605" s="3">
        <v>3</v>
      </c>
      <c r="G605" s="4">
        <v>44622</v>
      </c>
    </row>
    <row r="606" spans="1:18">
      <c r="C606" s="2" t="s">
        <v>504</v>
      </c>
      <c r="D606" s="2" t="s">
        <v>489</v>
      </c>
      <c r="E606" s="3">
        <v>250</v>
      </c>
      <c r="F606" s="3">
        <v>30</v>
      </c>
      <c r="G606" s="4">
        <v>44376</v>
      </c>
    </row>
    <row r="607" spans="1:18">
      <c r="C607" s="2" t="s">
        <v>53</v>
      </c>
      <c r="D607" s="2" t="s">
        <v>489</v>
      </c>
      <c r="E607" s="3">
        <v>50</v>
      </c>
      <c r="F607" s="3">
        <v>10</v>
      </c>
      <c r="G607" s="4">
        <v>44174</v>
      </c>
    </row>
    <row r="608" spans="1:18">
      <c r="C608" s="2" t="s">
        <v>9</v>
      </c>
      <c r="D608" s="2" t="s">
        <v>55</v>
      </c>
      <c r="E608" s="3">
        <v>250</v>
      </c>
      <c r="F608" s="3">
        <v>30</v>
      </c>
      <c r="G608" s="4">
        <v>44350</v>
      </c>
      <c r="I608" s="1">
        <v>7000</v>
      </c>
      <c r="J608" s="1">
        <v>7000</v>
      </c>
    </row>
    <row r="609" spans="1:18">
      <c r="C609" s="2" t="s">
        <v>8</v>
      </c>
      <c r="D609" s="2" t="s">
        <v>55</v>
      </c>
      <c r="E609" s="3">
        <v>200</v>
      </c>
      <c r="F609" s="3">
        <v>18.75</v>
      </c>
      <c r="G609" s="4">
        <v>44055</v>
      </c>
      <c r="I609" s="1">
        <v>2000</v>
      </c>
      <c r="J609" s="1">
        <v>7000</v>
      </c>
    </row>
    <row r="610" spans="1:18">
      <c r="C610" s="2" t="s">
        <v>7</v>
      </c>
      <c r="D610" s="2" t="s">
        <v>1063</v>
      </c>
      <c r="E610" s="3">
        <v>100</v>
      </c>
      <c r="F610" s="3">
        <v>40</v>
      </c>
      <c r="G610" s="4">
        <v>45106</v>
      </c>
    </row>
    <row r="611" spans="1:18">
      <c r="C611" s="265" t="s">
        <v>504</v>
      </c>
      <c r="D611" s="265" t="s">
        <v>1006</v>
      </c>
      <c r="E611" s="3">
        <v>1000</v>
      </c>
      <c r="F611" s="3">
        <f>900/23</f>
        <v>39.130434782608695</v>
      </c>
      <c r="G611" s="4">
        <v>44228</v>
      </c>
      <c r="I611" s="1">
        <v>27000</v>
      </c>
      <c r="J611" s="1">
        <v>42500</v>
      </c>
    </row>
    <row r="612" spans="1:18">
      <c r="C612" s="265" t="s">
        <v>8</v>
      </c>
      <c r="D612" s="265" t="s">
        <v>926</v>
      </c>
      <c r="E612" s="3">
        <v>235</v>
      </c>
      <c r="F612" s="3">
        <v>50</v>
      </c>
      <c r="G612" s="4">
        <v>45161</v>
      </c>
      <c r="I612" s="1">
        <v>4300</v>
      </c>
      <c r="J612" s="1">
        <v>4300</v>
      </c>
    </row>
    <row r="613" spans="1:18">
      <c r="C613" s="265" t="s">
        <v>1040</v>
      </c>
      <c r="D613" s="265" t="s">
        <v>957</v>
      </c>
      <c r="E613" s="3">
        <v>141</v>
      </c>
      <c r="F613" s="3">
        <f>91/3</f>
        <v>30.333333333333332</v>
      </c>
      <c r="G613" s="4">
        <v>45106</v>
      </c>
      <c r="I613" s="1">
        <v>1400</v>
      </c>
      <c r="J613" s="1">
        <v>1400</v>
      </c>
    </row>
    <row r="614" spans="1:18">
      <c r="G614" s="4"/>
    </row>
    <row r="615" spans="1:18" s="12" customFormat="1">
      <c r="A615" s="12">
        <v>28</v>
      </c>
      <c r="B615" s="12" t="s">
        <v>7461</v>
      </c>
      <c r="C615" s="13" t="s">
        <v>969</v>
      </c>
      <c r="D615" s="13" t="s">
        <v>968</v>
      </c>
      <c r="E615" s="15"/>
      <c r="F615" s="15">
        <f>SUM(F616:F627)</f>
        <v>248.75</v>
      </c>
      <c r="G615" s="14">
        <f>G616</f>
        <v>44852</v>
      </c>
      <c r="M615" s="13"/>
      <c r="N615" s="13"/>
      <c r="O615" s="13"/>
      <c r="P615" s="13"/>
      <c r="Q615" s="13"/>
      <c r="R615" s="13"/>
    </row>
    <row r="616" spans="1:18">
      <c r="B616" s="254" t="s">
        <v>7794</v>
      </c>
      <c r="C616" s="2" t="s">
        <v>5</v>
      </c>
      <c r="D616" s="2" t="s">
        <v>763</v>
      </c>
      <c r="E616" s="3">
        <v>125</v>
      </c>
      <c r="F616" s="3">
        <v>15</v>
      </c>
      <c r="G616" s="4">
        <v>44852</v>
      </c>
    </row>
    <row r="617" spans="1:18">
      <c r="C617" s="2" t="s">
        <v>53</v>
      </c>
      <c r="D617" s="2" t="s">
        <v>176</v>
      </c>
      <c r="E617" s="3">
        <v>475</v>
      </c>
      <c r="F617" s="3">
        <v>40</v>
      </c>
      <c r="G617" s="4">
        <v>44278</v>
      </c>
    </row>
    <row r="618" spans="1:18">
      <c r="C618" s="2" t="s">
        <v>8</v>
      </c>
      <c r="D618" s="2" t="s">
        <v>176</v>
      </c>
      <c r="E618" s="3">
        <v>130</v>
      </c>
      <c r="F618" s="3">
        <v>12</v>
      </c>
      <c r="G618" s="4">
        <v>42080</v>
      </c>
      <c r="I618" s="1">
        <v>570</v>
      </c>
    </row>
    <row r="619" spans="1:18">
      <c r="C619" s="2" t="s">
        <v>18</v>
      </c>
      <c r="D619" s="2" t="s">
        <v>176</v>
      </c>
      <c r="E619" s="3">
        <v>34</v>
      </c>
      <c r="F619" s="3">
        <v>20</v>
      </c>
      <c r="G619" s="4">
        <v>41437</v>
      </c>
    </row>
    <row r="620" spans="1:18">
      <c r="C620" s="2" t="s">
        <v>9</v>
      </c>
      <c r="D620" s="2" t="s">
        <v>39</v>
      </c>
      <c r="E620" s="3">
        <v>230</v>
      </c>
      <c r="F620" s="3">
        <v>24</v>
      </c>
      <c r="G620" s="4">
        <v>44984</v>
      </c>
      <c r="I620" s="1">
        <v>2000</v>
      </c>
      <c r="J620" s="1">
        <v>2000</v>
      </c>
    </row>
    <row r="621" spans="1:18">
      <c r="C621" s="2" t="s">
        <v>8</v>
      </c>
      <c r="D621" s="2" t="s">
        <v>39</v>
      </c>
      <c r="E621" s="3">
        <v>170</v>
      </c>
      <c r="F621" s="3">
        <v>22</v>
      </c>
      <c r="G621" s="4">
        <v>44255</v>
      </c>
      <c r="I621" s="1">
        <v>830</v>
      </c>
      <c r="J621" s="1">
        <v>2000</v>
      </c>
    </row>
    <row r="622" spans="1:18">
      <c r="C622" s="2" t="s">
        <v>18</v>
      </c>
      <c r="D622" s="2" t="s">
        <v>39</v>
      </c>
      <c r="E622" s="3">
        <v>100</v>
      </c>
      <c r="F622" s="3">
        <v>15</v>
      </c>
      <c r="G622" s="4">
        <v>44025</v>
      </c>
      <c r="J622" s="1">
        <v>2000</v>
      </c>
    </row>
    <row r="623" spans="1:18">
      <c r="C623" s="2" t="s">
        <v>7</v>
      </c>
      <c r="D623" s="2" t="s">
        <v>39</v>
      </c>
      <c r="E623" s="3">
        <v>42</v>
      </c>
      <c r="F623" s="3">
        <v>10</v>
      </c>
      <c r="G623" s="4">
        <v>43144</v>
      </c>
      <c r="J623" s="1">
        <v>2000</v>
      </c>
    </row>
    <row r="624" spans="1:18">
      <c r="C624" s="2" t="s">
        <v>9</v>
      </c>
      <c r="D624" s="2" t="s">
        <v>52</v>
      </c>
      <c r="E624" s="3">
        <v>220</v>
      </c>
      <c r="F624" s="3">
        <v>28</v>
      </c>
      <c r="G624" s="4">
        <v>44357</v>
      </c>
      <c r="I624" s="1">
        <v>1900</v>
      </c>
      <c r="J624" s="1">
        <v>1900</v>
      </c>
    </row>
    <row r="625" spans="1:18">
      <c r="C625" s="2" t="s">
        <v>8</v>
      </c>
      <c r="D625" s="2" t="s">
        <v>52</v>
      </c>
      <c r="E625" s="3">
        <v>125</v>
      </c>
      <c r="F625" s="3">
        <v>18.75</v>
      </c>
      <c r="G625" s="4">
        <v>44131</v>
      </c>
      <c r="I625" s="1">
        <v>875</v>
      </c>
      <c r="J625" s="1">
        <v>1900</v>
      </c>
    </row>
    <row r="626" spans="1:18">
      <c r="C626" s="2" t="s">
        <v>18</v>
      </c>
      <c r="D626" s="2" t="s">
        <v>52</v>
      </c>
      <c r="E626" s="3">
        <v>28</v>
      </c>
      <c r="F626" s="3">
        <v>14</v>
      </c>
      <c r="G626" s="4">
        <v>43579</v>
      </c>
      <c r="J626" s="1">
        <v>1900</v>
      </c>
    </row>
    <row r="627" spans="1:18">
      <c r="C627" s="92" t="s">
        <v>7</v>
      </c>
      <c r="D627" s="92" t="s">
        <v>2076</v>
      </c>
      <c r="E627" s="3">
        <v>100</v>
      </c>
      <c r="F627" s="3">
        <v>30</v>
      </c>
      <c r="G627" s="4">
        <v>44937</v>
      </c>
      <c r="I627" s="1">
        <v>900</v>
      </c>
      <c r="J627" s="1">
        <v>900</v>
      </c>
    </row>
    <row r="628" spans="1:18">
      <c r="G628" s="4"/>
    </row>
    <row r="629" spans="1:18" s="12" customFormat="1">
      <c r="A629" s="12">
        <v>29</v>
      </c>
      <c r="B629" s="12" t="s">
        <v>7462</v>
      </c>
      <c r="C629" s="13" t="s">
        <v>969</v>
      </c>
      <c r="D629" s="13" t="s">
        <v>968</v>
      </c>
      <c r="E629" s="15"/>
      <c r="F629" s="15">
        <f>SUM(F630:F639)</f>
        <v>231.21428571428572</v>
      </c>
      <c r="G629" s="14">
        <f>G635</f>
        <v>44515</v>
      </c>
    </row>
    <row r="630" spans="1:18">
      <c r="B630" s="254" t="s">
        <v>7626</v>
      </c>
      <c r="C630" s="2" t="s">
        <v>18</v>
      </c>
      <c r="D630" s="2" t="s">
        <v>883</v>
      </c>
      <c r="E630" s="3">
        <v>200</v>
      </c>
      <c r="F630" s="3">
        <f>100/5</f>
        <v>20</v>
      </c>
      <c r="G630" s="4">
        <v>44377</v>
      </c>
      <c r="M630" s="1"/>
      <c r="N630" s="1"/>
      <c r="O630" s="1"/>
      <c r="P630" s="1"/>
      <c r="Q630" s="1"/>
      <c r="R630" s="1"/>
    </row>
    <row r="631" spans="1:18">
      <c r="C631" s="2" t="s">
        <v>7</v>
      </c>
      <c r="D631" s="2" t="s">
        <v>883</v>
      </c>
      <c r="E631" s="3">
        <v>75</v>
      </c>
      <c r="F631" s="3">
        <v>20</v>
      </c>
      <c r="G631" s="4">
        <v>43783</v>
      </c>
      <c r="M631" s="1"/>
      <c r="N631" s="1"/>
      <c r="O631" s="1"/>
      <c r="P631" s="1"/>
      <c r="Q631" s="1"/>
      <c r="R631" s="1"/>
    </row>
    <row r="632" spans="1:18">
      <c r="C632" s="2" t="s">
        <v>53</v>
      </c>
      <c r="D632" s="2" t="s">
        <v>489</v>
      </c>
      <c r="E632" s="3">
        <v>270</v>
      </c>
      <c r="F632" s="3">
        <v>22</v>
      </c>
      <c r="G632" s="4">
        <v>44152</v>
      </c>
      <c r="M632" s="1"/>
      <c r="N632" s="1"/>
      <c r="O632" s="1"/>
      <c r="P632" s="1"/>
      <c r="Q632" s="1"/>
      <c r="R632" s="1"/>
    </row>
    <row r="633" spans="1:18">
      <c r="C633" s="2" t="s">
        <v>9</v>
      </c>
      <c r="D633" s="2" t="s">
        <v>489</v>
      </c>
      <c r="E633" s="3">
        <v>206</v>
      </c>
      <c r="F633" s="3">
        <v>36</v>
      </c>
      <c r="G633" s="4">
        <v>43725</v>
      </c>
      <c r="M633" s="1"/>
      <c r="N633" s="1"/>
      <c r="O633" s="1"/>
      <c r="P633" s="1"/>
      <c r="Q633" s="1"/>
      <c r="R633" s="1"/>
    </row>
    <row r="634" spans="1:18">
      <c r="C634" s="2" t="s">
        <v>8</v>
      </c>
      <c r="D634" s="2" t="s">
        <v>489</v>
      </c>
      <c r="E634" s="3">
        <v>100</v>
      </c>
      <c r="F634" s="3">
        <v>20</v>
      </c>
      <c r="G634" s="4">
        <v>43397</v>
      </c>
      <c r="M634" s="1"/>
      <c r="N634" s="1"/>
      <c r="O634" s="1"/>
      <c r="P634" s="1"/>
      <c r="Q634" s="1"/>
      <c r="R634" s="1"/>
    </row>
    <row r="635" spans="1:18">
      <c r="C635" s="2" t="s">
        <v>53</v>
      </c>
      <c r="D635" s="2" t="s">
        <v>47</v>
      </c>
      <c r="E635" s="3">
        <v>100</v>
      </c>
      <c r="F635" s="3">
        <f>75/7</f>
        <v>10.714285714285714</v>
      </c>
      <c r="G635" s="4">
        <v>44515</v>
      </c>
      <c r="I635" s="1">
        <v>4100</v>
      </c>
      <c r="J635" s="1">
        <v>4100</v>
      </c>
      <c r="M635" s="1"/>
      <c r="N635" s="1"/>
      <c r="O635" s="1"/>
      <c r="P635" s="1"/>
      <c r="Q635" s="1"/>
      <c r="R635" s="1"/>
    </row>
    <row r="636" spans="1:18">
      <c r="C636" s="2" t="s">
        <v>9</v>
      </c>
      <c r="D636" s="2" t="s">
        <v>47</v>
      </c>
      <c r="E636" s="3">
        <v>248</v>
      </c>
      <c r="F636" s="3">
        <v>37.5</v>
      </c>
      <c r="G636" s="4">
        <v>43678</v>
      </c>
      <c r="I636" s="1">
        <v>1700</v>
      </c>
      <c r="J636" s="1">
        <v>4100</v>
      </c>
      <c r="M636" s="1"/>
      <c r="N636" s="1"/>
      <c r="O636" s="1"/>
      <c r="P636" s="1"/>
      <c r="Q636" s="1"/>
      <c r="R636" s="1"/>
    </row>
    <row r="637" spans="1:18">
      <c r="C637" s="2" t="s">
        <v>8</v>
      </c>
      <c r="D637" s="2" t="s">
        <v>47</v>
      </c>
      <c r="E637" s="3">
        <v>145</v>
      </c>
      <c r="F637" s="3">
        <v>30</v>
      </c>
      <c r="G637" s="4">
        <v>43228</v>
      </c>
      <c r="I637" s="1">
        <v>855</v>
      </c>
      <c r="J637" s="1">
        <v>4100</v>
      </c>
      <c r="M637" s="1"/>
      <c r="N637" s="1"/>
      <c r="O637" s="1"/>
      <c r="P637" s="1"/>
      <c r="Q637" s="1"/>
      <c r="R637" s="1"/>
    </row>
    <row r="638" spans="1:18">
      <c r="C638" s="2" t="s">
        <v>18</v>
      </c>
      <c r="D638" s="2" t="s">
        <v>2127</v>
      </c>
      <c r="E638" s="3">
        <v>200</v>
      </c>
      <c r="F638" s="3">
        <v>30</v>
      </c>
      <c r="G638" s="4">
        <v>44557</v>
      </c>
      <c r="M638" s="1"/>
      <c r="N638" s="1"/>
      <c r="O638" s="1"/>
      <c r="P638" s="1"/>
      <c r="Q638" s="1"/>
      <c r="R638" s="1"/>
    </row>
    <row r="639" spans="1:18">
      <c r="C639" s="265" t="s">
        <v>1040</v>
      </c>
      <c r="D639" s="265" t="s">
        <v>3661</v>
      </c>
      <c r="E639" s="3">
        <v>50</v>
      </c>
      <c r="F639" s="3">
        <f>35/7</f>
        <v>5</v>
      </c>
      <c r="G639" s="4">
        <v>45147</v>
      </c>
      <c r="M639" s="1"/>
      <c r="N639" s="1"/>
      <c r="O639" s="1"/>
      <c r="P639" s="1"/>
      <c r="Q639" s="1"/>
      <c r="R639" s="1"/>
    </row>
    <row r="640" spans="1:18">
      <c r="G640" s="4"/>
      <c r="M640" s="1"/>
      <c r="N640" s="1"/>
      <c r="O640" s="1"/>
      <c r="P640" s="1"/>
      <c r="Q640" s="1"/>
      <c r="R640" s="1"/>
    </row>
    <row r="641" spans="1:11">
      <c r="A641" s="1">
        <v>30</v>
      </c>
      <c r="B641" s="12" t="s">
        <v>7463</v>
      </c>
      <c r="C641" s="13" t="s">
        <v>969</v>
      </c>
      <c r="D641" s="13" t="s">
        <v>968</v>
      </c>
      <c r="E641" s="15"/>
      <c r="F641" s="15">
        <f>SUM(F642:F652)</f>
        <v>224.75</v>
      </c>
      <c r="G641" s="14">
        <f>G647</f>
        <v>44882</v>
      </c>
      <c r="I641" s="479" t="s">
        <v>15183</v>
      </c>
    </row>
    <row r="642" spans="1:11">
      <c r="B642" s="238" t="s">
        <v>7788</v>
      </c>
      <c r="C642" s="2" t="s">
        <v>9</v>
      </c>
      <c r="D642" s="2" t="s">
        <v>803</v>
      </c>
      <c r="E642" s="3">
        <v>325</v>
      </c>
      <c r="F642" s="3">
        <v>18.5</v>
      </c>
      <c r="G642" s="4">
        <v>44299</v>
      </c>
    </row>
    <row r="643" spans="1:11">
      <c r="C643" s="2" t="s">
        <v>18</v>
      </c>
      <c r="D643" s="2" t="s">
        <v>803</v>
      </c>
      <c r="E643" s="3">
        <v>100</v>
      </c>
      <c r="F643" s="3">
        <v>35</v>
      </c>
      <c r="G643" s="4">
        <v>43682</v>
      </c>
    </row>
    <row r="644" spans="1:11">
      <c r="C644" s="2" t="s">
        <v>5</v>
      </c>
      <c r="D644" s="2" t="s">
        <v>701</v>
      </c>
      <c r="E644" s="3">
        <v>50</v>
      </c>
      <c r="F644" s="3">
        <f>30/12</f>
        <v>2.5</v>
      </c>
      <c r="G644" s="4">
        <v>44796</v>
      </c>
    </row>
    <row r="645" spans="1:11">
      <c r="C645" s="2" t="s">
        <v>5</v>
      </c>
      <c r="D645" s="2" t="s">
        <v>1082</v>
      </c>
      <c r="E645" s="3">
        <v>25</v>
      </c>
      <c r="F645" s="3">
        <v>10</v>
      </c>
      <c r="G645" s="4">
        <v>44679</v>
      </c>
    </row>
    <row r="646" spans="1:11">
      <c r="C646" s="2" t="s">
        <v>4</v>
      </c>
      <c r="D646" s="2" t="s">
        <v>1082</v>
      </c>
      <c r="E646" s="3">
        <v>3</v>
      </c>
      <c r="F646" s="3">
        <v>1</v>
      </c>
      <c r="G646" s="4">
        <v>44197</v>
      </c>
    </row>
    <row r="647" spans="1:11">
      <c r="C647" s="2" t="s">
        <v>7</v>
      </c>
      <c r="D647" s="2" t="s">
        <v>810</v>
      </c>
      <c r="E647" s="3">
        <v>27</v>
      </c>
      <c r="F647" s="3">
        <v>10</v>
      </c>
      <c r="G647" s="4">
        <v>44882</v>
      </c>
    </row>
    <row r="648" spans="1:11">
      <c r="C648" s="2" t="s">
        <v>8</v>
      </c>
      <c r="D648" s="2" t="s">
        <v>3934</v>
      </c>
      <c r="E648" s="3">
        <v>90</v>
      </c>
      <c r="F648" s="3">
        <v>45</v>
      </c>
      <c r="G648" s="4">
        <v>40354</v>
      </c>
      <c r="I648" s="1">
        <v>645</v>
      </c>
      <c r="J648" s="1">
        <v>32500</v>
      </c>
    </row>
    <row r="649" spans="1:11">
      <c r="C649" s="2" t="s">
        <v>2486</v>
      </c>
      <c r="D649" s="2" t="s">
        <v>3934</v>
      </c>
      <c r="E649" s="3">
        <v>196.5</v>
      </c>
      <c r="F649" s="3">
        <f>E649/2</f>
        <v>98.25</v>
      </c>
      <c r="G649" s="4">
        <v>41544</v>
      </c>
      <c r="I649" s="1">
        <v>8000</v>
      </c>
      <c r="J649" s="1">
        <v>32500</v>
      </c>
    </row>
    <row r="650" spans="1:11">
      <c r="C650" s="92" t="s">
        <v>5</v>
      </c>
      <c r="D650" s="92" t="s">
        <v>5405</v>
      </c>
      <c r="E650" s="3">
        <v>18.100000000000001</v>
      </c>
      <c r="F650" s="3">
        <v>2</v>
      </c>
      <c r="G650" s="4">
        <v>42719</v>
      </c>
      <c r="J650" s="1">
        <v>2000</v>
      </c>
    </row>
    <row r="651" spans="1:11">
      <c r="C651" s="241" t="s">
        <v>5</v>
      </c>
      <c r="D651" s="241" t="s">
        <v>2010</v>
      </c>
      <c r="E651" s="3">
        <v>9</v>
      </c>
      <c r="F651" s="3">
        <f>6/4</f>
        <v>1.5</v>
      </c>
      <c r="G651" s="4">
        <v>44540</v>
      </c>
    </row>
    <row r="652" spans="1:11">
      <c r="C652" s="241" t="s">
        <v>4</v>
      </c>
      <c r="D652" s="241" t="s">
        <v>2010</v>
      </c>
      <c r="E652" s="3">
        <v>2.5</v>
      </c>
      <c r="F652" s="3">
        <v>1</v>
      </c>
      <c r="G652" s="4">
        <v>44296</v>
      </c>
    </row>
    <row r="653" spans="1:11">
      <c r="G653" s="4"/>
    </row>
    <row r="654" spans="1:11">
      <c r="B654" s="12" t="s">
        <v>1108</v>
      </c>
      <c r="C654" s="13" t="s">
        <v>969</v>
      </c>
      <c r="D654" s="13" t="s">
        <v>968</v>
      </c>
      <c r="E654" s="15"/>
      <c r="F654" s="15">
        <f>SUM(F655:F672)</f>
        <v>223.50000000000003</v>
      </c>
      <c r="G654" s="14">
        <f>G672</f>
        <v>45260</v>
      </c>
      <c r="I654" s="1">
        <v>6800</v>
      </c>
      <c r="J654" s="20">
        <f>+F654/I654</f>
        <v>3.2867647058823536E-2</v>
      </c>
      <c r="K654" s="1">
        <v>1972</v>
      </c>
    </row>
    <row r="655" spans="1:11">
      <c r="B655" s="253" t="s">
        <v>7627</v>
      </c>
      <c r="C655" s="2" t="s">
        <v>18</v>
      </c>
      <c r="D655" s="2" t="s">
        <v>1043</v>
      </c>
      <c r="E655" s="3">
        <v>100</v>
      </c>
      <c r="F655" s="3">
        <v>15</v>
      </c>
      <c r="G655" s="4">
        <v>44699</v>
      </c>
    </row>
    <row r="656" spans="1:11">
      <c r="C656" s="2" t="s">
        <v>7</v>
      </c>
      <c r="D656" s="2" t="s">
        <v>1043</v>
      </c>
      <c r="E656" s="3">
        <v>100</v>
      </c>
      <c r="F656" s="3">
        <f>25/3</f>
        <v>8.3333333333333339</v>
      </c>
      <c r="G656" s="4">
        <v>44286</v>
      </c>
    </row>
    <row r="657" spans="3:10">
      <c r="C657" s="2" t="s">
        <v>18</v>
      </c>
      <c r="D657" s="2" t="s">
        <v>1005</v>
      </c>
      <c r="E657" s="3">
        <v>100</v>
      </c>
      <c r="F657" s="3">
        <v>40</v>
      </c>
      <c r="G657" s="4">
        <v>44754</v>
      </c>
    </row>
    <row r="658" spans="3:10">
      <c r="C658" s="2" t="s">
        <v>5</v>
      </c>
      <c r="D658" s="2" t="s">
        <v>701</v>
      </c>
      <c r="E658" s="3">
        <v>50</v>
      </c>
      <c r="F658" s="3">
        <f>30/12</f>
        <v>2.5</v>
      </c>
      <c r="G658" s="4">
        <v>44796</v>
      </c>
    </row>
    <row r="659" spans="3:10">
      <c r="C659" s="2" t="s">
        <v>4</v>
      </c>
      <c r="D659" s="2" t="s">
        <v>701</v>
      </c>
      <c r="E659" s="3">
        <v>12.5</v>
      </c>
      <c r="F659" s="3">
        <f>8/5</f>
        <v>1.6</v>
      </c>
      <c r="G659" s="4">
        <v>44623</v>
      </c>
    </row>
    <row r="660" spans="3:10">
      <c r="C660" s="2" t="s">
        <v>4</v>
      </c>
      <c r="D660" s="2" t="s">
        <v>701</v>
      </c>
      <c r="E660" s="3">
        <v>7.2</v>
      </c>
      <c r="F660" s="3">
        <v>2</v>
      </c>
      <c r="G660" s="4">
        <v>44508</v>
      </c>
    </row>
    <row r="661" spans="3:10">
      <c r="C661" s="2" t="s">
        <v>7</v>
      </c>
      <c r="D661" s="2" t="s">
        <v>871</v>
      </c>
      <c r="E661" s="3">
        <v>30</v>
      </c>
      <c r="F661" s="3">
        <f>20/3</f>
        <v>6.666666666666667</v>
      </c>
      <c r="G661" s="4">
        <v>44510</v>
      </c>
    </row>
    <row r="662" spans="3:10">
      <c r="C662" s="2" t="s">
        <v>5</v>
      </c>
      <c r="D662" s="2" t="s">
        <v>871</v>
      </c>
      <c r="E662" s="3">
        <v>21.4</v>
      </c>
      <c r="F662" s="3">
        <v>5</v>
      </c>
      <c r="G662" s="4">
        <v>44232</v>
      </c>
    </row>
    <row r="663" spans="3:10">
      <c r="C663" s="2" t="s">
        <v>18</v>
      </c>
      <c r="D663" s="2" t="s">
        <v>883</v>
      </c>
      <c r="E663" s="3">
        <v>200</v>
      </c>
      <c r="F663" s="3">
        <v>20</v>
      </c>
      <c r="G663" s="4">
        <v>44377</v>
      </c>
    </row>
    <row r="664" spans="3:10">
      <c r="C664" s="2" t="s">
        <v>7</v>
      </c>
      <c r="D664" s="2" t="s">
        <v>883</v>
      </c>
      <c r="E664" s="3">
        <v>75</v>
      </c>
      <c r="F664" s="3">
        <v>20</v>
      </c>
      <c r="G664" s="4">
        <v>43783</v>
      </c>
    </row>
    <row r="665" spans="3:10">
      <c r="C665" s="2" t="s">
        <v>18</v>
      </c>
      <c r="D665" s="2" t="s">
        <v>403</v>
      </c>
      <c r="E665" s="3">
        <v>90</v>
      </c>
      <c r="F665" s="3">
        <v>15</v>
      </c>
      <c r="G665" s="4">
        <v>45090</v>
      </c>
    </row>
    <row r="666" spans="3:10">
      <c r="C666" s="2" t="s">
        <v>7</v>
      </c>
      <c r="D666" s="2" t="s">
        <v>403</v>
      </c>
      <c r="E666" s="3">
        <v>50</v>
      </c>
      <c r="F666" s="3">
        <v>20</v>
      </c>
      <c r="G666" s="4">
        <v>44538</v>
      </c>
    </row>
    <row r="667" spans="3:10">
      <c r="C667" s="52" t="s">
        <v>7</v>
      </c>
      <c r="D667" s="52" t="s">
        <v>2116</v>
      </c>
      <c r="E667" s="3">
        <v>40</v>
      </c>
      <c r="F667" s="3">
        <v>3</v>
      </c>
      <c r="G667" s="4">
        <v>43720</v>
      </c>
      <c r="J667" s="1">
        <v>3400</v>
      </c>
    </row>
    <row r="668" spans="3:10">
      <c r="C668" s="55" t="s">
        <v>18</v>
      </c>
      <c r="D668" s="55" t="s">
        <v>2109</v>
      </c>
      <c r="E668" s="3">
        <v>40</v>
      </c>
      <c r="F668" s="3">
        <v>5</v>
      </c>
      <c r="G668" s="4">
        <v>44238</v>
      </c>
      <c r="J668" s="1">
        <v>790</v>
      </c>
    </row>
    <row r="669" spans="3:10">
      <c r="C669" s="55" t="s">
        <v>7</v>
      </c>
      <c r="D669" s="55" t="s">
        <v>2109</v>
      </c>
      <c r="E669" s="3">
        <v>25</v>
      </c>
      <c r="F669" s="3">
        <v>5</v>
      </c>
      <c r="G669" s="4">
        <v>43865</v>
      </c>
      <c r="J669" s="1">
        <v>790</v>
      </c>
    </row>
    <row r="670" spans="3:10">
      <c r="C670" s="55" t="s">
        <v>5</v>
      </c>
      <c r="D670" s="55" t="s">
        <v>2109</v>
      </c>
      <c r="E670" s="3">
        <v>10</v>
      </c>
      <c r="F670" s="3">
        <v>2.5</v>
      </c>
      <c r="G670" s="4">
        <v>43564</v>
      </c>
      <c r="J670" s="1">
        <v>790</v>
      </c>
    </row>
    <row r="671" spans="3:10">
      <c r="C671" s="55" t="s">
        <v>4</v>
      </c>
      <c r="D671" s="55" t="s">
        <v>2109</v>
      </c>
      <c r="E671" s="3">
        <v>3.9</v>
      </c>
      <c r="F671" s="3">
        <v>1.9</v>
      </c>
      <c r="G671" s="4">
        <v>43311</v>
      </c>
      <c r="J671" s="1">
        <v>790</v>
      </c>
    </row>
    <row r="672" spans="3:10">
      <c r="C672" s="331" t="s">
        <v>5</v>
      </c>
      <c r="D672" s="331" t="s">
        <v>9424</v>
      </c>
      <c r="E672" s="3">
        <v>102.5</v>
      </c>
      <c r="F672" s="3">
        <v>50</v>
      </c>
      <c r="G672" s="4">
        <v>45260</v>
      </c>
    </row>
    <row r="673" spans="1:18">
      <c r="G673" s="4"/>
    </row>
    <row r="674" spans="1:18" s="12" customFormat="1">
      <c r="A674" s="12">
        <v>33</v>
      </c>
      <c r="B674" s="12" t="s">
        <v>204</v>
      </c>
      <c r="C674" s="13" t="s">
        <v>969</v>
      </c>
      <c r="D674" s="13" t="s">
        <v>968</v>
      </c>
      <c r="E674" s="15"/>
      <c r="F674" s="15">
        <f>SUM(F675:F676)</f>
        <v>209</v>
      </c>
      <c r="G674" s="14">
        <f>G675</f>
        <v>44504</v>
      </c>
      <c r="M674" s="13"/>
      <c r="N674" s="13"/>
      <c r="O674" s="13"/>
      <c r="P674" s="13"/>
      <c r="Q674" s="13"/>
      <c r="R674" s="13"/>
    </row>
    <row r="675" spans="1:18">
      <c r="B675" s="254" t="s">
        <v>7626</v>
      </c>
      <c r="C675" s="2" t="s">
        <v>18</v>
      </c>
      <c r="D675" s="2" t="s">
        <v>197</v>
      </c>
      <c r="E675" s="3">
        <v>200</v>
      </c>
      <c r="F675" s="3">
        <v>200</v>
      </c>
      <c r="G675" s="4">
        <v>44504</v>
      </c>
    </row>
    <row r="676" spans="1:18">
      <c r="C676" s="2" t="s">
        <v>5</v>
      </c>
      <c r="D676" s="2" t="s">
        <v>161</v>
      </c>
      <c r="E676" s="3">
        <v>112</v>
      </c>
      <c r="F676" s="3">
        <v>9</v>
      </c>
      <c r="G676" s="4">
        <v>43115</v>
      </c>
      <c r="J676" s="1">
        <v>8400</v>
      </c>
    </row>
    <row r="677" spans="1:18">
      <c r="G677" s="4"/>
    </row>
    <row r="678" spans="1:18">
      <c r="A678" s="12">
        <v>34</v>
      </c>
      <c r="B678" s="12" t="s">
        <v>1117</v>
      </c>
      <c r="C678" s="13" t="s">
        <v>969</v>
      </c>
      <c r="D678" s="13" t="s">
        <v>968</v>
      </c>
      <c r="F678" s="15">
        <f>SUM(F679:F702)</f>
        <v>205.44603174603174</v>
      </c>
      <c r="G678" s="14">
        <f>G679</f>
        <v>44852</v>
      </c>
    </row>
    <row r="679" spans="1:18">
      <c r="B679" s="253" t="s">
        <v>7627</v>
      </c>
      <c r="C679" s="2" t="s">
        <v>5</v>
      </c>
      <c r="D679" s="2" t="s">
        <v>763</v>
      </c>
      <c r="E679" s="3">
        <v>125</v>
      </c>
      <c r="F679" s="3">
        <v>15</v>
      </c>
      <c r="G679" s="4">
        <v>44852</v>
      </c>
    </row>
    <row r="680" spans="1:18">
      <c r="C680" s="2" t="s">
        <v>4</v>
      </c>
      <c r="D680" s="2" t="s">
        <v>763</v>
      </c>
      <c r="E680" s="3">
        <v>6</v>
      </c>
      <c r="F680" s="3">
        <v>4</v>
      </c>
      <c r="G680" s="4">
        <v>44352</v>
      </c>
    </row>
    <row r="681" spans="1:18">
      <c r="C681" s="2" t="s">
        <v>1040</v>
      </c>
      <c r="D681" s="2" t="s">
        <v>832</v>
      </c>
      <c r="E681" s="3">
        <v>99</v>
      </c>
      <c r="F681" s="3">
        <v>20</v>
      </c>
      <c r="G681" s="4">
        <v>44796</v>
      </c>
    </row>
    <row r="682" spans="1:18">
      <c r="C682" s="2" t="s">
        <v>1116</v>
      </c>
      <c r="D682" s="2" t="s">
        <v>832</v>
      </c>
      <c r="E682" s="3">
        <v>100</v>
      </c>
      <c r="F682" s="3">
        <f>40/3</f>
        <v>13.333333333333334</v>
      </c>
      <c r="G682" s="4">
        <v>44537</v>
      </c>
    </row>
    <row r="683" spans="1:18">
      <c r="C683" s="2" t="s">
        <v>7</v>
      </c>
      <c r="D683" s="2" t="s">
        <v>832</v>
      </c>
      <c r="E683" s="3">
        <v>40</v>
      </c>
      <c r="F683" s="3">
        <v>8</v>
      </c>
      <c r="G683" s="4">
        <v>44125</v>
      </c>
    </row>
    <row r="684" spans="1:18">
      <c r="C684" s="2" t="s">
        <v>7</v>
      </c>
      <c r="D684" s="2" t="s">
        <v>984</v>
      </c>
      <c r="E684" s="3">
        <v>38</v>
      </c>
      <c r="F684" s="3">
        <f>20/3</f>
        <v>6.666666666666667</v>
      </c>
      <c r="G684" s="4">
        <v>44812</v>
      </c>
    </row>
    <row r="685" spans="1:18">
      <c r="C685" s="2" t="s">
        <v>5</v>
      </c>
      <c r="D685" s="2" t="s">
        <v>984</v>
      </c>
      <c r="E685" s="3">
        <v>19</v>
      </c>
      <c r="F685" s="3">
        <v>3.5</v>
      </c>
      <c r="G685" s="4">
        <v>44467</v>
      </c>
    </row>
    <row r="686" spans="1:18">
      <c r="C686" s="2" t="s">
        <v>4</v>
      </c>
      <c r="D686" s="2" t="s">
        <v>984</v>
      </c>
      <c r="E686" s="3">
        <v>4</v>
      </c>
      <c r="F686" s="3">
        <v>2</v>
      </c>
      <c r="G686" s="4">
        <v>43873</v>
      </c>
    </row>
    <row r="687" spans="1:18">
      <c r="C687" s="2" t="s">
        <v>4</v>
      </c>
      <c r="D687" s="2" t="s">
        <v>258</v>
      </c>
      <c r="E687" s="3">
        <v>3.5</v>
      </c>
      <c r="F687" s="3">
        <f>+E687/9</f>
        <v>0.3888888888888889</v>
      </c>
      <c r="G687" s="4">
        <v>42979</v>
      </c>
    </row>
    <row r="688" spans="1:18">
      <c r="C688" s="2" t="s">
        <v>4</v>
      </c>
      <c r="D688" s="2" t="s">
        <v>87</v>
      </c>
      <c r="E688" s="3">
        <v>4</v>
      </c>
      <c r="F688" s="3">
        <f>2.5/4</f>
        <v>0.625</v>
      </c>
      <c r="G688" s="4">
        <v>43122</v>
      </c>
    </row>
    <row r="689" spans="1:10">
      <c r="C689" s="2" t="s">
        <v>8</v>
      </c>
      <c r="D689" s="2" t="s">
        <v>240</v>
      </c>
      <c r="E689" s="3">
        <v>81</v>
      </c>
      <c r="F689" s="3">
        <f>E689/6</f>
        <v>13.5</v>
      </c>
      <c r="G689" s="4">
        <v>43418</v>
      </c>
      <c r="I689" s="1">
        <v>1700</v>
      </c>
      <c r="J689" s="1">
        <v>3800</v>
      </c>
    </row>
    <row r="690" spans="1:10">
      <c r="C690" s="2" t="s">
        <v>18</v>
      </c>
      <c r="D690" s="2" t="s">
        <v>240</v>
      </c>
      <c r="E690" s="3">
        <v>60</v>
      </c>
      <c r="F690" s="3">
        <f>+E690/5</f>
        <v>12</v>
      </c>
      <c r="G690" s="4">
        <v>42736</v>
      </c>
      <c r="I690" s="1">
        <v>800</v>
      </c>
      <c r="J690" s="1">
        <v>3800</v>
      </c>
    </row>
    <row r="691" spans="1:10">
      <c r="C691" s="2" t="s">
        <v>9</v>
      </c>
      <c r="D691" s="2" t="s">
        <v>22</v>
      </c>
      <c r="E691" s="3">
        <v>222</v>
      </c>
      <c r="F691" s="3">
        <f>200/21</f>
        <v>9.5238095238095237</v>
      </c>
      <c r="G691" s="4">
        <v>44194</v>
      </c>
      <c r="I691" s="1">
        <v>2500</v>
      </c>
      <c r="J691" s="1">
        <v>2500</v>
      </c>
    </row>
    <row r="692" spans="1:10">
      <c r="C692" s="2" t="s">
        <v>8</v>
      </c>
      <c r="D692" s="2" t="s">
        <v>22</v>
      </c>
      <c r="E692" s="3">
        <v>200</v>
      </c>
      <c r="F692" s="3">
        <v>13</v>
      </c>
      <c r="G692" s="4">
        <v>43452</v>
      </c>
      <c r="I692" s="1">
        <v>1500</v>
      </c>
      <c r="J692" s="1">
        <v>2500</v>
      </c>
    </row>
    <row r="693" spans="1:10">
      <c r="C693" s="2" t="s">
        <v>18</v>
      </c>
      <c r="D693" s="2" t="s">
        <v>22</v>
      </c>
      <c r="E693" s="3">
        <v>50</v>
      </c>
      <c r="F693" s="3">
        <v>5</v>
      </c>
      <c r="G693" s="4">
        <v>43051</v>
      </c>
      <c r="J693" s="1">
        <v>2500</v>
      </c>
    </row>
    <row r="694" spans="1:10">
      <c r="C694" s="2" t="s">
        <v>7</v>
      </c>
      <c r="D694" s="2" t="s">
        <v>22</v>
      </c>
      <c r="E694" s="3">
        <v>30</v>
      </c>
      <c r="F694" s="3">
        <v>3</v>
      </c>
      <c r="G694" s="4">
        <v>42936</v>
      </c>
      <c r="J694" s="1">
        <v>2500</v>
      </c>
    </row>
    <row r="695" spans="1:10">
      <c r="C695" s="2" t="s">
        <v>9</v>
      </c>
      <c r="D695" s="2" t="s">
        <v>52</v>
      </c>
      <c r="E695" s="3">
        <v>220</v>
      </c>
      <c r="F695" s="3">
        <v>28</v>
      </c>
      <c r="G695" s="4">
        <v>44357</v>
      </c>
      <c r="I695" s="1">
        <v>1900</v>
      </c>
      <c r="J695" s="1">
        <v>1900</v>
      </c>
    </row>
    <row r="696" spans="1:10">
      <c r="C696" s="2" t="s">
        <v>8</v>
      </c>
      <c r="D696" s="2" t="s">
        <v>52</v>
      </c>
      <c r="E696" s="3">
        <v>125</v>
      </c>
      <c r="F696" s="3">
        <v>18.75</v>
      </c>
      <c r="G696" s="4">
        <v>44131</v>
      </c>
      <c r="I696" s="1">
        <v>875</v>
      </c>
      <c r="J696" s="1">
        <v>1900</v>
      </c>
    </row>
    <row r="697" spans="1:10">
      <c r="C697" s="2" t="s">
        <v>18</v>
      </c>
      <c r="D697" s="2" t="s">
        <v>52</v>
      </c>
      <c r="E697" s="3">
        <v>28</v>
      </c>
      <c r="F697" s="3">
        <v>7</v>
      </c>
      <c r="G697" s="4">
        <v>43579</v>
      </c>
      <c r="J697" s="1">
        <v>1900</v>
      </c>
    </row>
    <row r="698" spans="1:10">
      <c r="C698" s="2" t="s">
        <v>7</v>
      </c>
      <c r="D698" s="2" t="s">
        <v>52</v>
      </c>
      <c r="E698" s="3">
        <v>18</v>
      </c>
      <c r="F698" s="3">
        <v>12</v>
      </c>
      <c r="G698" s="4">
        <v>43207</v>
      </c>
    </row>
    <row r="699" spans="1:10">
      <c r="C699" s="177" t="s">
        <v>5</v>
      </c>
      <c r="D699" s="177" t="s">
        <v>2028</v>
      </c>
      <c r="E699" s="3">
        <v>18.5</v>
      </c>
      <c r="F699" s="3">
        <f>E699/4</f>
        <v>4.625</v>
      </c>
      <c r="G699" s="4">
        <v>44561</v>
      </c>
    </row>
    <row r="700" spans="1:10">
      <c r="C700" s="177" t="s">
        <v>4</v>
      </c>
      <c r="D700" s="177" t="s">
        <v>2028</v>
      </c>
      <c r="E700" s="3">
        <v>5.8</v>
      </c>
      <c r="F700" s="3">
        <f>E700/3</f>
        <v>1.9333333333333333</v>
      </c>
      <c r="G700" s="4">
        <v>44348</v>
      </c>
    </row>
    <row r="701" spans="1:10">
      <c r="C701" s="177" t="s">
        <v>5</v>
      </c>
      <c r="D701" s="177" t="s">
        <v>2018</v>
      </c>
      <c r="E701" s="3">
        <v>16</v>
      </c>
      <c r="F701" s="3">
        <v>2</v>
      </c>
      <c r="G701" s="4">
        <v>44833</v>
      </c>
    </row>
    <row r="702" spans="1:10">
      <c r="C702" s="177" t="s">
        <v>4</v>
      </c>
      <c r="D702" s="177" t="s">
        <v>2018</v>
      </c>
      <c r="E702" s="3">
        <v>4.8</v>
      </c>
      <c r="F702" s="3">
        <f>E702/3</f>
        <v>1.5999999999999999</v>
      </c>
      <c r="G702" s="4">
        <v>44720</v>
      </c>
    </row>
    <row r="703" spans="1:10">
      <c r="G703" s="4"/>
    </row>
    <row r="704" spans="1:10">
      <c r="A704" s="1">
        <v>35</v>
      </c>
      <c r="B704" s="12" t="s">
        <v>1118</v>
      </c>
      <c r="C704" s="13" t="s">
        <v>969</v>
      </c>
      <c r="D704" s="13" t="s">
        <v>968</v>
      </c>
      <c r="E704" s="15"/>
      <c r="F704" s="15">
        <f>SUM(F705:F713)</f>
        <v>204.5</v>
      </c>
      <c r="G704" s="14">
        <f>G705</f>
        <v>45042</v>
      </c>
    </row>
    <row r="705" spans="1:18">
      <c r="B705" s="253" t="s">
        <v>7627</v>
      </c>
      <c r="C705" s="2" t="s">
        <v>7</v>
      </c>
      <c r="D705" s="2" t="s">
        <v>1086</v>
      </c>
      <c r="E705" s="3">
        <v>100</v>
      </c>
      <c r="F705" s="3">
        <v>5</v>
      </c>
      <c r="G705" s="4">
        <v>45042</v>
      </c>
    </row>
    <row r="706" spans="1:18">
      <c r="C706" s="2" t="s">
        <v>18</v>
      </c>
      <c r="D706" s="2" t="s">
        <v>883</v>
      </c>
      <c r="E706" s="3">
        <v>200</v>
      </c>
      <c r="F706" s="3">
        <v>20</v>
      </c>
      <c r="G706" s="4">
        <v>44377</v>
      </c>
    </row>
    <row r="707" spans="1:18">
      <c r="C707" s="2" t="s">
        <v>7</v>
      </c>
      <c r="D707" s="2" t="s">
        <v>883</v>
      </c>
      <c r="E707" s="3">
        <v>75</v>
      </c>
      <c r="F707" s="3">
        <v>20</v>
      </c>
      <c r="G707" s="4">
        <v>43783</v>
      </c>
    </row>
    <row r="708" spans="1:18">
      <c r="C708" s="2" t="s">
        <v>8</v>
      </c>
      <c r="D708" s="2" t="s">
        <v>520</v>
      </c>
      <c r="E708" s="3">
        <v>100</v>
      </c>
      <c r="F708" s="3">
        <f>50/4</f>
        <v>12.5</v>
      </c>
      <c r="G708" s="4">
        <v>44419</v>
      </c>
    </row>
    <row r="709" spans="1:18">
      <c r="C709" s="2" t="s">
        <v>18</v>
      </c>
      <c r="D709" s="2" t="s">
        <v>520</v>
      </c>
      <c r="E709" s="3">
        <v>60</v>
      </c>
      <c r="F709" s="3">
        <v>20</v>
      </c>
      <c r="G709" s="4">
        <v>43606</v>
      </c>
    </row>
    <row r="710" spans="1:18">
      <c r="C710" s="2" t="s">
        <v>9</v>
      </c>
      <c r="D710" s="2" t="s">
        <v>154</v>
      </c>
      <c r="E710" s="3">
        <v>400</v>
      </c>
      <c r="F710" s="3">
        <v>36</v>
      </c>
      <c r="G710" s="4">
        <v>44413</v>
      </c>
    </row>
    <row r="711" spans="1:18">
      <c r="C711" s="2" t="s">
        <v>8</v>
      </c>
      <c r="D711" s="2" t="s">
        <v>154</v>
      </c>
      <c r="E711" s="3">
        <v>100</v>
      </c>
      <c r="F711" s="3">
        <f>75/6</f>
        <v>12.5</v>
      </c>
      <c r="G711" s="4">
        <v>44067</v>
      </c>
    </row>
    <row r="712" spans="1:18">
      <c r="C712" s="2" t="s">
        <v>18</v>
      </c>
      <c r="D712" s="2" t="s">
        <v>154</v>
      </c>
      <c r="E712" s="3">
        <v>101</v>
      </c>
      <c r="F712" s="3">
        <v>41</v>
      </c>
      <c r="G712" s="4">
        <v>43453</v>
      </c>
    </row>
    <row r="713" spans="1:18">
      <c r="C713" s="2" t="s">
        <v>8</v>
      </c>
      <c r="D713" s="2" t="s">
        <v>57</v>
      </c>
      <c r="E713" s="3">
        <v>250</v>
      </c>
      <c r="F713" s="3">
        <f>150/4</f>
        <v>37.5</v>
      </c>
      <c r="G713" s="4">
        <v>45069</v>
      </c>
    </row>
    <row r="714" spans="1:18">
      <c r="G714" s="4"/>
    </row>
    <row r="715" spans="1:18" s="12" customFormat="1">
      <c r="A715" s="12">
        <v>40</v>
      </c>
      <c r="B715" s="12" t="s">
        <v>255</v>
      </c>
      <c r="C715" s="13" t="s">
        <v>969</v>
      </c>
      <c r="D715" s="13" t="s">
        <v>968</v>
      </c>
      <c r="E715" s="15"/>
      <c r="F715" s="15">
        <f>SUM(F716:F722)</f>
        <v>256.85661375661374</v>
      </c>
      <c r="G715" s="14">
        <f>G721</f>
        <v>45183</v>
      </c>
      <c r="M715" s="13"/>
      <c r="N715" s="13"/>
      <c r="O715" s="13"/>
      <c r="P715" s="13"/>
      <c r="Q715" s="13"/>
      <c r="R715" s="13"/>
    </row>
    <row r="716" spans="1:18">
      <c r="C716" s="2" t="s">
        <v>8</v>
      </c>
      <c r="D716" s="2" t="s">
        <v>253</v>
      </c>
      <c r="E716" s="3">
        <v>600</v>
      </c>
      <c r="F716" s="3">
        <f>500/8</f>
        <v>62.5</v>
      </c>
      <c r="G716" s="4">
        <v>44502</v>
      </c>
    </row>
    <row r="717" spans="1:18">
      <c r="C717" s="2" t="s">
        <v>18</v>
      </c>
      <c r="D717" s="2" t="s">
        <v>253</v>
      </c>
      <c r="E717" s="3">
        <v>500</v>
      </c>
      <c r="F717" s="3">
        <v>75</v>
      </c>
      <c r="G717" s="4">
        <v>44144</v>
      </c>
    </row>
    <row r="718" spans="1:18">
      <c r="C718" s="2" t="s">
        <v>9</v>
      </c>
      <c r="D718" s="2" t="s">
        <v>22</v>
      </c>
      <c r="E718" s="3">
        <v>222</v>
      </c>
      <c r="F718" s="3">
        <v>10</v>
      </c>
      <c r="G718" s="4">
        <v>44194</v>
      </c>
      <c r="I718" s="1">
        <v>2500</v>
      </c>
      <c r="J718" s="1">
        <v>2500</v>
      </c>
    </row>
    <row r="719" spans="1:18">
      <c r="C719" s="2" t="s">
        <v>8</v>
      </c>
      <c r="D719" s="2" t="s">
        <v>22</v>
      </c>
      <c r="E719" s="3">
        <v>150</v>
      </c>
      <c r="F719" s="3">
        <v>16.666666666666668</v>
      </c>
      <c r="G719" s="4">
        <v>43885</v>
      </c>
      <c r="I719" s="1">
        <v>1800</v>
      </c>
      <c r="J719" s="1">
        <v>2500</v>
      </c>
    </row>
    <row r="720" spans="1:18">
      <c r="C720" s="2" t="s">
        <v>7</v>
      </c>
      <c r="D720" s="2" t="s">
        <v>2129</v>
      </c>
      <c r="E720" s="3">
        <v>176</v>
      </c>
      <c r="F720" s="3">
        <v>13</v>
      </c>
      <c r="G720" s="4">
        <v>44578</v>
      </c>
    </row>
    <row r="721" spans="1:18">
      <c r="C721" s="265" t="s">
        <v>7885</v>
      </c>
      <c r="D721" s="265" t="s">
        <v>1006</v>
      </c>
      <c r="E721" s="3">
        <v>684.6</v>
      </c>
      <c r="F721" s="3">
        <f>584.6/21</f>
        <v>27.838095238095239</v>
      </c>
      <c r="G721" s="4">
        <v>45183</v>
      </c>
      <c r="I721" s="1">
        <v>42500</v>
      </c>
      <c r="J721" s="1">
        <v>42500</v>
      </c>
    </row>
    <row r="722" spans="1:18">
      <c r="C722" s="265" t="s">
        <v>2486</v>
      </c>
      <c r="D722" s="265" t="s">
        <v>1006</v>
      </c>
      <c r="E722" s="3">
        <v>1600</v>
      </c>
      <c r="F722" s="3">
        <f>1400/27</f>
        <v>51.851851851851855</v>
      </c>
      <c r="G722" s="4">
        <v>44439</v>
      </c>
      <c r="I722" s="1">
        <v>36400</v>
      </c>
      <c r="J722" s="1">
        <v>42500</v>
      </c>
    </row>
    <row r="723" spans="1:18">
      <c r="G723" s="4"/>
    </row>
    <row r="724" spans="1:18" s="12" customFormat="1">
      <c r="A724" s="12">
        <v>36</v>
      </c>
      <c r="B724" s="12" t="s">
        <v>623</v>
      </c>
      <c r="C724" s="13" t="s">
        <v>969</v>
      </c>
      <c r="D724" s="13" t="s">
        <v>968</v>
      </c>
      <c r="E724" s="15"/>
      <c r="F724" s="15">
        <f>SUM(F725:F726)</f>
        <v>201.5</v>
      </c>
      <c r="G724" s="14">
        <f>G725</f>
        <v>44727</v>
      </c>
    </row>
    <row r="725" spans="1:18">
      <c r="C725" s="2" t="s">
        <v>18</v>
      </c>
      <c r="D725" s="2" t="s">
        <v>622</v>
      </c>
      <c r="E725" s="3">
        <v>169</v>
      </c>
      <c r="F725" s="3">
        <v>169</v>
      </c>
      <c r="G725" s="4">
        <v>44727</v>
      </c>
      <c r="M725" s="1"/>
      <c r="N725" s="1"/>
      <c r="O725" s="1"/>
      <c r="P725" s="1"/>
      <c r="Q725" s="1"/>
      <c r="R725" s="1"/>
    </row>
    <row r="726" spans="1:18">
      <c r="C726" s="2" t="s">
        <v>18</v>
      </c>
      <c r="D726" s="2" t="s">
        <v>414</v>
      </c>
      <c r="E726" s="3">
        <v>65</v>
      </c>
      <c r="F726" s="3">
        <v>32.5</v>
      </c>
      <c r="G726" s="4">
        <v>43789</v>
      </c>
      <c r="M726" s="1"/>
      <c r="N726" s="1"/>
      <c r="O726" s="1"/>
      <c r="P726" s="1"/>
      <c r="Q726" s="1"/>
      <c r="R726" s="1"/>
    </row>
    <row r="727" spans="1:18">
      <c r="G727" s="4"/>
      <c r="M727" s="1"/>
      <c r="N727" s="1"/>
      <c r="O727" s="1"/>
      <c r="P727" s="1"/>
      <c r="Q727" s="1"/>
      <c r="R727" s="1"/>
    </row>
    <row r="728" spans="1:18" s="12" customFormat="1">
      <c r="B728" s="12" t="s">
        <v>210</v>
      </c>
      <c r="C728" s="13" t="s">
        <v>969</v>
      </c>
      <c r="D728" s="13" t="s">
        <v>968</v>
      </c>
      <c r="E728" s="15"/>
      <c r="F728" s="15">
        <f>SUM(F729:F733)</f>
        <v>201.24895330112722</v>
      </c>
      <c r="G728" s="14">
        <f>G731</f>
        <v>45183</v>
      </c>
      <c r="M728" s="13"/>
      <c r="N728" s="13"/>
      <c r="O728" s="13"/>
      <c r="P728" s="13"/>
      <c r="Q728" s="13"/>
      <c r="R728" s="13"/>
    </row>
    <row r="729" spans="1:18">
      <c r="C729" s="2" t="s">
        <v>8</v>
      </c>
      <c r="D729" s="2" t="s">
        <v>208</v>
      </c>
      <c r="E729" s="3">
        <v>676</v>
      </c>
      <c r="F729" s="3">
        <f>500/7</f>
        <v>71.428571428571431</v>
      </c>
      <c r="G729" s="4">
        <v>44299</v>
      </c>
      <c r="I729" s="1">
        <v>4400</v>
      </c>
      <c r="J729" s="1">
        <v>4400</v>
      </c>
    </row>
    <row r="730" spans="1:18">
      <c r="C730" s="2" t="s">
        <v>53</v>
      </c>
      <c r="D730" s="2" t="s">
        <v>47</v>
      </c>
      <c r="E730" s="3">
        <v>100</v>
      </c>
      <c r="F730" s="3">
        <v>11</v>
      </c>
      <c r="G730" s="4">
        <v>44515</v>
      </c>
      <c r="I730" s="1">
        <v>4100</v>
      </c>
      <c r="J730" s="1">
        <v>4100</v>
      </c>
    </row>
    <row r="731" spans="1:18">
      <c r="C731" s="265" t="s">
        <v>7885</v>
      </c>
      <c r="D731" s="265" t="s">
        <v>1006</v>
      </c>
      <c r="E731" s="3">
        <v>684.6</v>
      </c>
      <c r="F731" s="3">
        <f>584.6/21</f>
        <v>27.838095238095239</v>
      </c>
      <c r="G731" s="4">
        <v>45183</v>
      </c>
    </row>
    <row r="732" spans="1:18">
      <c r="C732" s="265" t="s">
        <v>2486</v>
      </c>
      <c r="D732" s="265" t="s">
        <v>1006</v>
      </c>
      <c r="E732" s="3">
        <v>1600</v>
      </c>
      <c r="F732" s="3">
        <f>1400/27</f>
        <v>51.851851851851855</v>
      </c>
      <c r="G732" s="4">
        <v>44439</v>
      </c>
      <c r="I732" s="1">
        <v>36400</v>
      </c>
      <c r="J732" s="1">
        <v>42500</v>
      </c>
    </row>
    <row r="733" spans="1:18">
      <c r="C733" s="265" t="s">
        <v>504</v>
      </c>
      <c r="D733" s="265" t="s">
        <v>1006</v>
      </c>
      <c r="E733" s="3">
        <v>1000</v>
      </c>
      <c r="F733" s="3">
        <f>900/23</f>
        <v>39.130434782608695</v>
      </c>
      <c r="G733" s="4">
        <v>44228</v>
      </c>
      <c r="I733" s="1">
        <v>27000</v>
      </c>
      <c r="J733" s="1">
        <v>42500</v>
      </c>
    </row>
    <row r="734" spans="1:18">
      <c r="G734" s="4"/>
    </row>
    <row r="735" spans="1:18" s="12" customFormat="1">
      <c r="A735" s="12">
        <v>37</v>
      </c>
      <c r="B735" s="12" t="s">
        <v>1115</v>
      </c>
      <c r="C735" s="13" t="s">
        <v>969</v>
      </c>
      <c r="D735" s="13" t="s">
        <v>968</v>
      </c>
      <c r="E735" s="15"/>
      <c r="F735" s="15">
        <f>SUM(F736:F748)</f>
        <v>193.96055555555554</v>
      </c>
      <c r="G735" s="14">
        <f>G739</f>
        <v>44274</v>
      </c>
      <c r="M735" s="13"/>
      <c r="N735" s="13"/>
      <c r="O735" s="13"/>
      <c r="P735" s="13"/>
      <c r="Q735" s="13"/>
      <c r="R735" s="13"/>
    </row>
    <row r="736" spans="1:18">
      <c r="C736" s="2" t="s">
        <v>18</v>
      </c>
      <c r="D736" s="2" t="s">
        <v>292</v>
      </c>
      <c r="E736" s="3">
        <v>38</v>
      </c>
      <c r="F736" s="3">
        <f>20/6</f>
        <v>3.3333333333333335</v>
      </c>
      <c r="G736" s="4">
        <v>43104</v>
      </c>
    </row>
    <row r="737" spans="1:18">
      <c r="C737" s="2" t="s">
        <v>7</v>
      </c>
      <c r="D737" s="2" t="s">
        <v>292</v>
      </c>
      <c r="E737" s="3">
        <v>6.9</v>
      </c>
      <c r="F737" s="3">
        <f>E737/5</f>
        <v>1.3800000000000001</v>
      </c>
      <c r="G737" s="4">
        <v>42458</v>
      </c>
    </row>
    <row r="738" spans="1:18">
      <c r="C738" s="2" t="s">
        <v>5</v>
      </c>
      <c r="D738" s="2" t="s">
        <v>292</v>
      </c>
      <c r="E738" s="3">
        <v>2.7</v>
      </c>
      <c r="F738" s="3">
        <f>1.7/4</f>
        <v>0.42499999999999999</v>
      </c>
      <c r="G738" s="4">
        <v>42139</v>
      </c>
    </row>
    <row r="739" spans="1:18">
      <c r="C739" s="2" t="s">
        <v>18</v>
      </c>
      <c r="D739" s="2" t="s">
        <v>197</v>
      </c>
      <c r="E739" s="3">
        <v>500</v>
      </c>
      <c r="F739" s="3">
        <v>100</v>
      </c>
      <c r="G739" s="4">
        <v>44274</v>
      </c>
    </row>
    <row r="740" spans="1:18">
      <c r="C740" s="2" t="s">
        <v>18</v>
      </c>
      <c r="D740" s="2" t="s">
        <v>197</v>
      </c>
      <c r="E740" s="3">
        <v>500</v>
      </c>
      <c r="F740" s="3">
        <f>200/9</f>
        <v>22.222222222222221</v>
      </c>
      <c r="G740" s="4">
        <v>44274</v>
      </c>
    </row>
    <row r="741" spans="1:18">
      <c r="C741" s="2" t="s">
        <v>7</v>
      </c>
      <c r="D741" s="2" t="s">
        <v>192</v>
      </c>
      <c r="E741" s="3">
        <v>43</v>
      </c>
      <c r="F741" s="3">
        <f>E741/5</f>
        <v>8.6</v>
      </c>
      <c r="G741" s="4">
        <v>44077</v>
      </c>
    </row>
    <row r="742" spans="1:18">
      <c r="C742" s="2" t="s">
        <v>5</v>
      </c>
      <c r="D742" s="2" t="s">
        <v>192</v>
      </c>
      <c r="E742" s="3">
        <v>28</v>
      </c>
      <c r="F742" s="3">
        <v>20</v>
      </c>
      <c r="G742" s="4">
        <v>43271</v>
      </c>
    </row>
    <row r="743" spans="1:18">
      <c r="C743" s="2" t="s">
        <v>9</v>
      </c>
      <c r="D743" s="2" t="s">
        <v>22</v>
      </c>
      <c r="E743" s="3">
        <v>222</v>
      </c>
      <c r="F743" s="3">
        <v>10</v>
      </c>
      <c r="G743" s="4">
        <v>44194</v>
      </c>
      <c r="I743" s="1">
        <v>2500</v>
      </c>
      <c r="J743" s="1">
        <v>2500</v>
      </c>
    </row>
    <row r="744" spans="1:18">
      <c r="C744" s="2" t="s">
        <v>8</v>
      </c>
      <c r="D744" s="2" t="s">
        <v>22</v>
      </c>
      <c r="E744" s="3">
        <v>200</v>
      </c>
      <c r="F744" s="3">
        <v>13</v>
      </c>
      <c r="G744" s="4">
        <v>43452</v>
      </c>
      <c r="I744" s="1">
        <v>1500</v>
      </c>
      <c r="J744" s="1">
        <v>2500</v>
      </c>
    </row>
    <row r="745" spans="1:18">
      <c r="C745" s="2" t="s">
        <v>18</v>
      </c>
      <c r="D745" s="2" t="s">
        <v>22</v>
      </c>
      <c r="E745" s="3">
        <v>50</v>
      </c>
      <c r="F745" s="3">
        <v>5</v>
      </c>
      <c r="G745" s="4">
        <v>43051</v>
      </c>
      <c r="J745" s="1">
        <v>2500</v>
      </c>
    </row>
    <row r="746" spans="1:18">
      <c r="C746" s="2" t="s">
        <v>7</v>
      </c>
      <c r="D746" s="2" t="s">
        <v>22</v>
      </c>
      <c r="E746" s="3">
        <v>30</v>
      </c>
      <c r="F746" s="3">
        <v>3</v>
      </c>
      <c r="G746" s="4">
        <v>42936</v>
      </c>
      <c r="J746" s="1">
        <v>2500</v>
      </c>
    </row>
    <row r="747" spans="1:18">
      <c r="C747" s="2" t="s">
        <v>5</v>
      </c>
      <c r="D747" s="2" t="s">
        <v>22</v>
      </c>
      <c r="E747" s="3">
        <v>30</v>
      </c>
      <c r="F747" s="3">
        <v>5</v>
      </c>
      <c r="G747" s="4">
        <v>42674</v>
      </c>
      <c r="J747" s="1">
        <v>2500</v>
      </c>
    </row>
    <row r="748" spans="1:18">
      <c r="C748" s="177" t="s">
        <v>5</v>
      </c>
      <c r="D748" s="177" t="s">
        <v>6762</v>
      </c>
      <c r="E748" s="3">
        <v>11</v>
      </c>
      <c r="F748" s="3">
        <v>2</v>
      </c>
      <c r="G748" s="4">
        <v>43215</v>
      </c>
    </row>
    <row r="749" spans="1:18">
      <c r="G749" s="4"/>
    </row>
    <row r="750" spans="1:18" s="12" customFormat="1">
      <c r="A750" s="12">
        <v>38</v>
      </c>
      <c r="B750" s="12" t="s">
        <v>1114</v>
      </c>
      <c r="C750" s="13" t="s">
        <v>969</v>
      </c>
      <c r="D750" s="13" t="s">
        <v>968</v>
      </c>
      <c r="E750" s="15"/>
      <c r="F750" s="15">
        <f>SUM(F751:F770)</f>
        <v>190.08571428571432</v>
      </c>
      <c r="G750" s="14">
        <f>G758</f>
        <v>45090</v>
      </c>
      <c r="M750" s="13"/>
      <c r="N750" s="13"/>
      <c r="O750" s="13"/>
      <c r="P750" s="13"/>
      <c r="Q750" s="13"/>
      <c r="R750" s="13"/>
    </row>
    <row r="751" spans="1:18">
      <c r="B751" s="253" t="s">
        <v>7627</v>
      </c>
      <c r="C751" s="2" t="s">
        <v>18</v>
      </c>
      <c r="D751" s="2" t="s">
        <v>803</v>
      </c>
      <c r="E751" s="3">
        <v>100</v>
      </c>
      <c r="F751" s="3">
        <v>13</v>
      </c>
      <c r="G751" s="4">
        <v>43682</v>
      </c>
    </row>
    <row r="752" spans="1:18">
      <c r="C752" s="2" t="s">
        <v>7</v>
      </c>
      <c r="D752" s="2" t="s">
        <v>803</v>
      </c>
      <c r="E752" s="3">
        <v>18</v>
      </c>
      <c r="F752" s="3">
        <v>3</v>
      </c>
      <c r="G752" s="4">
        <v>43319</v>
      </c>
    </row>
    <row r="753" spans="3:10">
      <c r="C753" s="2" t="s">
        <v>5</v>
      </c>
      <c r="D753" s="2" t="s">
        <v>803</v>
      </c>
      <c r="E753" s="3">
        <v>4.5</v>
      </c>
      <c r="F753" s="3">
        <f>E753/3</f>
        <v>1.5</v>
      </c>
      <c r="G753" s="4">
        <v>42878</v>
      </c>
    </row>
    <row r="754" spans="3:10">
      <c r="C754" s="2" t="s">
        <v>4</v>
      </c>
      <c r="D754" s="2" t="s">
        <v>877</v>
      </c>
      <c r="E754" s="3">
        <v>3.3</v>
      </c>
      <c r="F754" s="3">
        <v>0.5</v>
      </c>
      <c r="G754" s="4">
        <v>44026</v>
      </c>
    </row>
    <row r="755" spans="3:10">
      <c r="C755" s="2" t="s">
        <v>5</v>
      </c>
      <c r="D755" s="2" t="s">
        <v>483</v>
      </c>
      <c r="E755" s="3">
        <v>13</v>
      </c>
      <c r="F755" s="3">
        <v>1.4</v>
      </c>
      <c r="G755" s="4">
        <v>44516</v>
      </c>
    </row>
    <row r="756" spans="3:10">
      <c r="C756" s="2" t="s">
        <v>7</v>
      </c>
      <c r="D756" s="2" t="s">
        <v>446</v>
      </c>
      <c r="E756" s="3">
        <v>30</v>
      </c>
      <c r="F756" s="3">
        <v>5</v>
      </c>
      <c r="G756" s="4">
        <v>44756</v>
      </c>
    </row>
    <row r="757" spans="3:10">
      <c r="C757" s="2" t="s">
        <v>5</v>
      </c>
      <c r="D757" s="2" t="s">
        <v>446</v>
      </c>
      <c r="E757" s="3">
        <v>28</v>
      </c>
      <c r="F757" s="3">
        <v>13</v>
      </c>
      <c r="G757" s="4">
        <v>44624</v>
      </c>
    </row>
    <row r="758" spans="3:10">
      <c r="C758" s="2" t="s">
        <v>18</v>
      </c>
      <c r="D758" s="2" t="s">
        <v>403</v>
      </c>
      <c r="E758" s="3">
        <v>90</v>
      </c>
      <c r="F758" s="3">
        <v>30</v>
      </c>
      <c r="G758" s="4">
        <v>45090</v>
      </c>
    </row>
    <row r="759" spans="3:10">
      <c r="C759" s="2" t="s">
        <v>18</v>
      </c>
      <c r="D759" s="2" t="s">
        <v>374</v>
      </c>
      <c r="E759" s="3">
        <v>130</v>
      </c>
      <c r="F759" s="3">
        <f>100/7</f>
        <v>14.285714285714286</v>
      </c>
      <c r="G759" s="4">
        <v>44323</v>
      </c>
    </row>
    <row r="760" spans="3:10">
      <c r="C760" s="2" t="s">
        <v>7</v>
      </c>
      <c r="D760" s="2" t="s">
        <v>374</v>
      </c>
      <c r="E760" s="3">
        <v>44</v>
      </c>
      <c r="F760" s="3">
        <v>14</v>
      </c>
      <c r="G760" s="4">
        <v>43909</v>
      </c>
    </row>
    <row r="761" spans="3:10">
      <c r="C761" s="2" t="s">
        <v>5</v>
      </c>
      <c r="D761" s="2" t="s">
        <v>148</v>
      </c>
      <c r="E761" s="3">
        <v>3</v>
      </c>
      <c r="F761" s="6" t="s">
        <v>1051</v>
      </c>
      <c r="G761" s="4">
        <v>41879</v>
      </c>
      <c r="I761" s="1">
        <v>11</v>
      </c>
    </row>
    <row r="762" spans="3:10">
      <c r="C762" s="2" t="s">
        <v>7</v>
      </c>
      <c r="D762" s="2" t="s">
        <v>39</v>
      </c>
      <c r="E762" s="3">
        <v>42</v>
      </c>
      <c r="F762" s="6">
        <v>7</v>
      </c>
      <c r="G762" s="4">
        <v>43144</v>
      </c>
      <c r="J762" s="1">
        <v>2000</v>
      </c>
    </row>
    <row r="763" spans="3:10">
      <c r="C763" s="2" t="s">
        <v>5</v>
      </c>
      <c r="D763" s="2" t="s">
        <v>39</v>
      </c>
      <c r="E763" s="3">
        <v>25</v>
      </c>
      <c r="F763" s="6">
        <v>5</v>
      </c>
      <c r="G763" s="4">
        <v>42374</v>
      </c>
      <c r="J763" s="1">
        <v>2000</v>
      </c>
    </row>
    <row r="764" spans="3:10">
      <c r="C764" s="2" t="s">
        <v>4</v>
      </c>
      <c r="D764" s="2" t="s">
        <v>39</v>
      </c>
      <c r="E764" s="3">
        <v>3</v>
      </c>
      <c r="F764" s="6">
        <v>1</v>
      </c>
      <c r="G764" s="4">
        <v>42019</v>
      </c>
      <c r="J764" s="1">
        <v>2000</v>
      </c>
    </row>
    <row r="765" spans="3:10">
      <c r="C765" s="2" t="s">
        <v>8</v>
      </c>
      <c r="D765" s="2" t="s">
        <v>15</v>
      </c>
      <c r="E765" s="3">
        <v>220</v>
      </c>
      <c r="F765" s="6">
        <v>30</v>
      </c>
      <c r="G765" s="4">
        <v>44502</v>
      </c>
      <c r="I765" s="1">
        <v>794</v>
      </c>
      <c r="J765" s="1">
        <v>794</v>
      </c>
    </row>
    <row r="766" spans="3:10">
      <c r="C766" s="2" t="s">
        <v>8</v>
      </c>
      <c r="D766" s="2" t="s">
        <v>15</v>
      </c>
      <c r="E766" s="3">
        <v>220</v>
      </c>
      <c r="F766" s="6">
        <v>27</v>
      </c>
      <c r="G766" s="4">
        <v>44322</v>
      </c>
      <c r="I766" s="1">
        <v>780</v>
      </c>
      <c r="J766" s="1">
        <v>780</v>
      </c>
    </row>
    <row r="767" spans="3:10">
      <c r="C767" s="2" t="s">
        <v>18</v>
      </c>
      <c r="D767" s="2" t="s">
        <v>15</v>
      </c>
      <c r="E767" s="3">
        <v>60</v>
      </c>
      <c r="F767" s="6">
        <v>10</v>
      </c>
      <c r="G767" s="4">
        <v>43528</v>
      </c>
    </row>
    <row r="768" spans="3:10">
      <c r="C768" s="2" t="s">
        <v>7</v>
      </c>
      <c r="D768" s="2" t="s">
        <v>15</v>
      </c>
      <c r="E768" s="3">
        <v>28</v>
      </c>
      <c r="F768" s="6">
        <v>10</v>
      </c>
      <c r="G768" s="4">
        <v>43031</v>
      </c>
    </row>
    <row r="769" spans="1:18">
      <c r="C769" s="2" t="s">
        <v>5</v>
      </c>
      <c r="D769" s="2" t="s">
        <v>15</v>
      </c>
      <c r="E769" s="3">
        <v>10</v>
      </c>
      <c r="F769" s="6">
        <v>4</v>
      </c>
      <c r="G769" s="4">
        <v>42508</v>
      </c>
    </row>
    <row r="770" spans="1:18">
      <c r="C770" s="2" t="s">
        <v>4</v>
      </c>
      <c r="D770" s="2" t="s">
        <v>15</v>
      </c>
      <c r="E770" s="3">
        <v>1.8</v>
      </c>
      <c r="F770" s="6">
        <v>0.4</v>
      </c>
      <c r="G770" s="4">
        <v>41976</v>
      </c>
    </row>
    <row r="771" spans="1:18">
      <c r="G771" s="4"/>
    </row>
    <row r="772" spans="1:18" s="12" customFormat="1">
      <c r="A772" s="12">
        <v>39</v>
      </c>
      <c r="B772" s="12" t="s">
        <v>1113</v>
      </c>
      <c r="C772" s="13" t="s">
        <v>969</v>
      </c>
      <c r="D772" s="13" t="s">
        <v>968</v>
      </c>
      <c r="E772" s="15"/>
      <c r="F772" s="15">
        <f>SUM(F773:F777)</f>
        <v>185</v>
      </c>
      <c r="G772" s="14">
        <f>G773</f>
        <v>44608</v>
      </c>
      <c r="K772" s="12">
        <v>2014</v>
      </c>
    </row>
    <row r="773" spans="1:18">
      <c r="C773" s="2" t="s">
        <v>9</v>
      </c>
      <c r="D773" s="2" t="s">
        <v>386</v>
      </c>
      <c r="E773" s="3">
        <v>400</v>
      </c>
      <c r="F773" s="3">
        <v>100</v>
      </c>
      <c r="G773" s="4">
        <v>44608</v>
      </c>
      <c r="M773" s="1"/>
      <c r="N773" s="1"/>
      <c r="O773" s="1"/>
      <c r="P773" s="1"/>
      <c r="Q773" s="1"/>
      <c r="R773" s="1"/>
    </row>
    <row r="774" spans="1:18">
      <c r="C774" s="2" t="s">
        <v>8</v>
      </c>
      <c r="D774" s="2" t="s">
        <v>386</v>
      </c>
      <c r="E774" s="3">
        <v>140</v>
      </c>
      <c r="F774" s="3">
        <v>10</v>
      </c>
      <c r="G774" s="4">
        <v>44286</v>
      </c>
      <c r="M774" s="1"/>
      <c r="N774" s="1"/>
      <c r="O774" s="1"/>
      <c r="P774" s="1"/>
      <c r="Q774" s="1"/>
      <c r="R774" s="1"/>
    </row>
    <row r="775" spans="1:18">
      <c r="C775" s="2" t="s">
        <v>18</v>
      </c>
      <c r="D775" s="2" t="s">
        <v>386</v>
      </c>
      <c r="E775" s="3">
        <v>110</v>
      </c>
      <c r="F775" s="3">
        <v>40</v>
      </c>
      <c r="G775" s="4">
        <v>43690</v>
      </c>
      <c r="M775" s="1"/>
      <c r="N775" s="1"/>
      <c r="O775" s="1"/>
      <c r="P775" s="1"/>
      <c r="Q775" s="1"/>
      <c r="R775" s="1"/>
    </row>
    <row r="776" spans="1:18">
      <c r="C776" s="2" t="s">
        <v>53</v>
      </c>
      <c r="D776" s="2" t="s">
        <v>47</v>
      </c>
      <c r="E776" s="3">
        <v>100</v>
      </c>
      <c r="F776" s="3">
        <v>25</v>
      </c>
      <c r="G776" s="4">
        <v>44515</v>
      </c>
      <c r="I776" s="1">
        <v>4100</v>
      </c>
      <c r="J776" s="1">
        <v>4100</v>
      </c>
      <c r="M776" s="1"/>
      <c r="N776" s="1"/>
      <c r="O776" s="1"/>
      <c r="P776" s="1"/>
      <c r="Q776" s="1"/>
      <c r="R776" s="1"/>
    </row>
    <row r="777" spans="1:18">
      <c r="C777" s="153" t="s">
        <v>7</v>
      </c>
      <c r="D777" s="153" t="s">
        <v>2037</v>
      </c>
      <c r="E777" s="3">
        <v>30</v>
      </c>
      <c r="F777" s="3">
        <v>10</v>
      </c>
      <c r="G777" s="4">
        <v>44881</v>
      </c>
      <c r="M777" s="1"/>
      <c r="N777" s="1"/>
      <c r="O777" s="1"/>
      <c r="P777" s="1"/>
      <c r="Q777" s="1"/>
      <c r="R777" s="1"/>
    </row>
    <row r="778" spans="1:18">
      <c r="G778" s="4"/>
      <c r="M778" s="1"/>
      <c r="N778" s="1"/>
      <c r="O778" s="1"/>
      <c r="P778" s="1"/>
      <c r="Q778" s="1"/>
      <c r="R778" s="1"/>
    </row>
    <row r="779" spans="1:18" s="12" customFormat="1">
      <c r="B779" s="12" t="s">
        <v>175</v>
      </c>
      <c r="C779" s="13" t="s">
        <v>969</v>
      </c>
      <c r="D779" s="13" t="s">
        <v>968</v>
      </c>
      <c r="E779" s="15"/>
      <c r="F779" s="15">
        <f>SUM(F780:F783)</f>
        <v>179.83809523809524</v>
      </c>
      <c r="G779" s="14">
        <f>G783</f>
        <v>45183</v>
      </c>
      <c r="M779" s="13"/>
      <c r="N779" s="13"/>
      <c r="O779" s="13"/>
      <c r="P779" s="13"/>
      <c r="Q779" s="13"/>
      <c r="R779" s="13"/>
    </row>
    <row r="780" spans="1:18">
      <c r="B780" s="254" t="s">
        <v>7628</v>
      </c>
      <c r="C780" s="2" t="s">
        <v>18</v>
      </c>
      <c r="D780" s="2" t="s">
        <v>161</v>
      </c>
      <c r="E780" s="3">
        <v>100</v>
      </c>
      <c r="F780" s="3">
        <v>30</v>
      </c>
      <c r="G780" s="4">
        <v>44235</v>
      </c>
      <c r="I780" s="1">
        <v>5200</v>
      </c>
      <c r="J780" s="1">
        <v>8400</v>
      </c>
    </row>
    <row r="781" spans="1:18">
      <c r="C781" s="2" t="s">
        <v>18</v>
      </c>
      <c r="D781" s="2" t="s">
        <v>161</v>
      </c>
      <c r="E781" s="3">
        <v>267</v>
      </c>
      <c r="F781" s="3">
        <v>100</v>
      </c>
      <c r="G781" s="4">
        <v>44140</v>
      </c>
      <c r="I781" s="1">
        <v>5000</v>
      </c>
      <c r="J781" s="1">
        <v>8400</v>
      </c>
    </row>
    <row r="782" spans="1:18">
      <c r="C782" s="2" t="s">
        <v>9</v>
      </c>
      <c r="D782" s="2" t="s">
        <v>22</v>
      </c>
      <c r="E782" s="3">
        <v>222</v>
      </c>
      <c r="F782" s="3">
        <v>22</v>
      </c>
      <c r="G782" s="4">
        <v>44194</v>
      </c>
      <c r="I782" s="1">
        <v>2500</v>
      </c>
    </row>
    <row r="783" spans="1:18">
      <c r="C783" s="265" t="s">
        <v>7885</v>
      </c>
      <c r="D783" s="265" t="s">
        <v>1006</v>
      </c>
      <c r="E783" s="3">
        <f>684.6</f>
        <v>684.6</v>
      </c>
      <c r="F783" s="3">
        <f>584.6/21</f>
        <v>27.838095238095239</v>
      </c>
      <c r="G783" s="4">
        <v>45183</v>
      </c>
    </row>
    <row r="784" spans="1:18">
      <c r="G784" s="4"/>
    </row>
    <row r="785" spans="2:12">
      <c r="B785" s="12" t="s">
        <v>1096</v>
      </c>
      <c r="C785" s="13" t="s">
        <v>969</v>
      </c>
      <c r="D785" s="13" t="s">
        <v>968</v>
      </c>
      <c r="F785" s="15">
        <f>SUM(F786:F812)</f>
        <v>177.73531746031748</v>
      </c>
      <c r="G785" s="14">
        <f>+G812</f>
        <v>45209</v>
      </c>
    </row>
    <row r="786" spans="2:12">
      <c r="B786" s="254" t="s">
        <v>7794</v>
      </c>
      <c r="C786" s="2" t="s">
        <v>18</v>
      </c>
      <c r="D786" s="2" t="s">
        <v>926</v>
      </c>
      <c r="E786" s="3">
        <v>100</v>
      </c>
      <c r="F786" s="3">
        <v>20</v>
      </c>
      <c r="G786" s="4">
        <v>44690</v>
      </c>
      <c r="J786" s="1">
        <v>4300</v>
      </c>
      <c r="L786" s="392" t="s">
        <v>9719</v>
      </c>
    </row>
    <row r="787" spans="2:12">
      <c r="C787" s="2" t="s">
        <v>7</v>
      </c>
      <c r="D787" s="2" t="s">
        <v>926</v>
      </c>
      <c r="E787" s="3">
        <v>40</v>
      </c>
      <c r="F787" s="3">
        <v>20</v>
      </c>
      <c r="G787" s="4">
        <v>44327</v>
      </c>
      <c r="J787" s="1">
        <v>4300</v>
      </c>
    </row>
    <row r="788" spans="2:12">
      <c r="C788" s="2" t="s">
        <v>5</v>
      </c>
      <c r="D788" s="2" t="s">
        <v>926</v>
      </c>
      <c r="E788" s="3">
        <v>15</v>
      </c>
      <c r="F788" s="3">
        <v>5</v>
      </c>
      <c r="G788" s="4">
        <v>43816</v>
      </c>
      <c r="J788" s="1">
        <v>4300</v>
      </c>
    </row>
    <row r="789" spans="2:12">
      <c r="C789" s="2" t="s">
        <v>18</v>
      </c>
      <c r="D789" s="2" t="s">
        <v>957</v>
      </c>
      <c r="E789" s="3">
        <v>50</v>
      </c>
      <c r="F789" s="3">
        <v>6</v>
      </c>
      <c r="G789" s="4">
        <v>44900</v>
      </c>
      <c r="I789" s="1">
        <v>450</v>
      </c>
      <c r="J789" s="1">
        <v>1400</v>
      </c>
    </row>
    <row r="790" spans="2:12">
      <c r="C790" s="2" t="s">
        <v>7</v>
      </c>
      <c r="D790" s="2" t="s">
        <v>957</v>
      </c>
      <c r="E790" s="3">
        <v>35</v>
      </c>
      <c r="F790" s="3">
        <v>5</v>
      </c>
      <c r="G790" s="4">
        <v>44543</v>
      </c>
      <c r="J790" s="1">
        <v>1400</v>
      </c>
    </row>
    <row r="791" spans="2:12">
      <c r="C791" s="2" t="s">
        <v>5</v>
      </c>
      <c r="D791" s="2" t="s">
        <v>957</v>
      </c>
      <c r="E791" s="3">
        <v>8.5</v>
      </c>
      <c r="F791" s="3">
        <v>1</v>
      </c>
      <c r="G791" s="4">
        <v>44181</v>
      </c>
      <c r="J791" s="1">
        <v>1400</v>
      </c>
    </row>
    <row r="792" spans="2:12">
      <c r="C792" s="2" t="s">
        <v>4</v>
      </c>
      <c r="D792" s="2" t="s">
        <v>957</v>
      </c>
      <c r="E792" s="3">
        <v>2</v>
      </c>
      <c r="F792" s="3">
        <v>2</v>
      </c>
      <c r="G792" s="4">
        <v>43435</v>
      </c>
      <c r="J792" s="1">
        <v>1400</v>
      </c>
    </row>
    <row r="793" spans="2:12">
      <c r="C793" s="2" t="s">
        <v>5</v>
      </c>
      <c r="D793" s="2" t="s">
        <v>1005</v>
      </c>
      <c r="E793" s="3">
        <v>20</v>
      </c>
      <c r="F793" s="3">
        <v>4</v>
      </c>
      <c r="G793" s="4">
        <v>43949</v>
      </c>
    </row>
    <row r="794" spans="2:12">
      <c r="C794" s="2" t="s">
        <v>4</v>
      </c>
      <c r="D794" s="2" t="s">
        <v>1005</v>
      </c>
      <c r="E794" s="3">
        <v>5</v>
      </c>
      <c r="F794" s="3">
        <v>1</v>
      </c>
      <c r="G794" s="4">
        <v>43438</v>
      </c>
    </row>
    <row r="795" spans="2:12">
      <c r="C795" s="2" t="s">
        <v>4</v>
      </c>
      <c r="D795" s="2" t="s">
        <v>424</v>
      </c>
      <c r="E795" s="3">
        <v>7</v>
      </c>
      <c r="F795" s="3">
        <v>0.7142857142857143</v>
      </c>
      <c r="G795" s="4">
        <v>43046</v>
      </c>
    </row>
    <row r="796" spans="2:12">
      <c r="C796" s="2" t="s">
        <v>7</v>
      </c>
      <c r="D796" s="2" t="s">
        <v>525</v>
      </c>
      <c r="E796" s="3">
        <v>32</v>
      </c>
      <c r="F796" s="3">
        <f>20/7</f>
        <v>2.8571428571428572</v>
      </c>
      <c r="G796" s="4">
        <v>44364</v>
      </c>
    </row>
    <row r="797" spans="2:12">
      <c r="C797" s="2" t="s">
        <v>7</v>
      </c>
      <c r="D797" s="2" t="s">
        <v>525</v>
      </c>
      <c r="E797" s="3">
        <v>10.199999999999999</v>
      </c>
      <c r="F797" s="3">
        <v>3</v>
      </c>
      <c r="G797" s="4">
        <v>43732</v>
      </c>
    </row>
    <row r="798" spans="2:12">
      <c r="C798" s="2" t="s">
        <v>18</v>
      </c>
      <c r="D798" s="2" t="s">
        <v>310</v>
      </c>
      <c r="E798" s="3">
        <v>110</v>
      </c>
      <c r="F798" s="3">
        <f>70/5</f>
        <v>14</v>
      </c>
      <c r="G798" s="4">
        <v>44369</v>
      </c>
    </row>
    <row r="799" spans="2:12">
      <c r="C799" s="2" t="s">
        <v>7</v>
      </c>
      <c r="D799" s="2" t="s">
        <v>310</v>
      </c>
      <c r="E799" s="3">
        <v>40</v>
      </c>
      <c r="F799" s="3">
        <v>8</v>
      </c>
      <c r="G799" s="4">
        <v>43419</v>
      </c>
    </row>
    <row r="800" spans="2:12">
      <c r="C800" s="2" t="s">
        <v>5</v>
      </c>
      <c r="D800" s="2" t="s">
        <v>310</v>
      </c>
      <c r="E800" s="3">
        <v>14.7</v>
      </c>
      <c r="F800" s="3">
        <v>2.25</v>
      </c>
      <c r="G800" s="4">
        <v>43032</v>
      </c>
    </row>
    <row r="801" spans="2:11">
      <c r="C801" s="2" t="s">
        <v>8</v>
      </c>
      <c r="D801" s="2" t="s">
        <v>258</v>
      </c>
      <c r="E801" s="3">
        <v>111</v>
      </c>
      <c r="F801" s="3">
        <v>7</v>
      </c>
      <c r="G801" s="4">
        <v>44622</v>
      </c>
    </row>
    <row r="802" spans="2:11">
      <c r="C802" s="2" t="s">
        <v>18</v>
      </c>
      <c r="D802" s="2" t="s">
        <v>258</v>
      </c>
      <c r="E802" s="3">
        <v>55</v>
      </c>
      <c r="F802" s="3">
        <v>6</v>
      </c>
      <c r="G802" s="4">
        <v>44314</v>
      </c>
    </row>
    <row r="803" spans="2:11">
      <c r="C803" s="2" t="s">
        <v>7</v>
      </c>
      <c r="D803" s="2" t="s">
        <v>258</v>
      </c>
      <c r="E803" s="3">
        <v>16</v>
      </c>
      <c r="F803" s="3">
        <v>2</v>
      </c>
      <c r="G803" s="4">
        <v>44009</v>
      </c>
    </row>
    <row r="804" spans="2:11">
      <c r="C804" s="2" t="s">
        <v>5</v>
      </c>
      <c r="D804" s="2" t="s">
        <v>258</v>
      </c>
      <c r="E804" s="3">
        <v>14</v>
      </c>
      <c r="F804" s="3">
        <v>4</v>
      </c>
      <c r="G804" s="4">
        <v>43690</v>
      </c>
    </row>
    <row r="805" spans="2:11">
      <c r="C805" s="2" t="s">
        <v>4</v>
      </c>
      <c r="D805" s="2" t="s">
        <v>258</v>
      </c>
      <c r="E805" s="3">
        <v>3.5</v>
      </c>
      <c r="F805" s="3">
        <f>+E805/9</f>
        <v>0.3888888888888889</v>
      </c>
      <c r="G805" s="4">
        <v>42979</v>
      </c>
    </row>
    <row r="806" spans="2:11">
      <c r="C806" s="52" t="s">
        <v>8</v>
      </c>
      <c r="D806" s="52" t="s">
        <v>2116</v>
      </c>
      <c r="E806" s="3">
        <v>175</v>
      </c>
      <c r="F806" s="3">
        <f>75/4</f>
        <v>18.75</v>
      </c>
      <c r="G806" s="4">
        <v>44511</v>
      </c>
      <c r="I806" s="1">
        <v>3400</v>
      </c>
      <c r="J806" s="1">
        <v>3400</v>
      </c>
    </row>
    <row r="807" spans="2:11">
      <c r="C807" s="52" t="s">
        <v>18</v>
      </c>
      <c r="D807" s="52" t="s">
        <v>2116</v>
      </c>
      <c r="E807" s="3">
        <v>125</v>
      </c>
      <c r="F807" s="3">
        <v>35</v>
      </c>
      <c r="G807" s="4">
        <v>44126</v>
      </c>
      <c r="I807" s="1">
        <v>1100</v>
      </c>
      <c r="J807" s="1">
        <v>3400</v>
      </c>
    </row>
    <row r="808" spans="2:11">
      <c r="C808" s="52" t="s">
        <v>7</v>
      </c>
      <c r="D808" s="52" t="s">
        <v>2116</v>
      </c>
      <c r="E808" s="3">
        <v>40</v>
      </c>
      <c r="F808" s="3">
        <v>3</v>
      </c>
      <c r="G808" s="4">
        <v>43720</v>
      </c>
      <c r="J808" s="1">
        <v>3400</v>
      </c>
    </row>
    <row r="809" spans="2:11">
      <c r="C809" s="52" t="s">
        <v>5</v>
      </c>
      <c r="D809" s="52" t="s">
        <v>2116</v>
      </c>
      <c r="E809" s="3">
        <v>11.5</v>
      </c>
      <c r="F809" s="3">
        <f>5.5/4</f>
        <v>1.375</v>
      </c>
      <c r="G809" s="4">
        <v>43355</v>
      </c>
      <c r="J809" s="1">
        <v>3400</v>
      </c>
    </row>
    <row r="810" spans="2:11">
      <c r="C810" s="241" t="s">
        <v>4</v>
      </c>
      <c r="D810" s="241" t="s">
        <v>7579</v>
      </c>
      <c r="E810" s="3">
        <v>2.2000000000000002</v>
      </c>
      <c r="F810" s="3">
        <f>1.2/3</f>
        <v>0.39999999999999997</v>
      </c>
      <c r="G810" s="4">
        <v>43906</v>
      </c>
    </row>
    <row r="811" spans="2:11">
      <c r="C811" s="331" t="s">
        <v>4</v>
      </c>
      <c r="D811" s="331" t="s">
        <v>9424</v>
      </c>
      <c r="E811" s="3">
        <v>20</v>
      </c>
      <c r="F811" s="3">
        <v>4</v>
      </c>
      <c r="G811" s="4">
        <v>45061</v>
      </c>
    </row>
    <row r="812" spans="2:11">
      <c r="C812" s="394" t="s">
        <v>5</v>
      </c>
      <c r="D812" s="394" t="s">
        <v>9711</v>
      </c>
      <c r="E812" s="3">
        <v>16</v>
      </c>
      <c r="F812" s="3">
        <v>1</v>
      </c>
      <c r="G812" s="4">
        <v>45209</v>
      </c>
    </row>
    <row r="813" spans="2:11">
      <c r="C813" s="241"/>
      <c r="D813" s="241"/>
      <c r="G813" s="4"/>
    </row>
    <row r="814" spans="2:11">
      <c r="B814" s="12" t="s">
        <v>1112</v>
      </c>
      <c r="C814" s="13" t="s">
        <v>969</v>
      </c>
      <c r="D814" s="13" t="s">
        <v>968</v>
      </c>
      <c r="F814" s="15">
        <f>SUM(F815:F829)</f>
        <v>176.79545454545456</v>
      </c>
      <c r="G814" s="14">
        <f>G815</f>
        <v>45069</v>
      </c>
      <c r="I814" s="1">
        <v>5000</v>
      </c>
      <c r="J814" s="21">
        <f>+F814/I814</f>
        <v>3.5359090909090909E-2</v>
      </c>
      <c r="K814" s="1">
        <v>1976</v>
      </c>
    </row>
    <row r="815" spans="2:11">
      <c r="B815" s="253" t="s">
        <v>7627</v>
      </c>
      <c r="C815" s="2" t="s">
        <v>18</v>
      </c>
      <c r="D815" s="2" t="s">
        <v>964</v>
      </c>
      <c r="E815" s="3">
        <v>450</v>
      </c>
      <c r="F815" s="3">
        <f>300/5</f>
        <v>60</v>
      </c>
      <c r="G815" s="4">
        <v>45069</v>
      </c>
    </row>
    <row r="816" spans="2:11">
      <c r="C816" s="2" t="s">
        <v>7</v>
      </c>
      <c r="D816" s="2" t="s">
        <v>1086</v>
      </c>
      <c r="E816" s="3">
        <v>100</v>
      </c>
      <c r="F816" s="3">
        <v>5</v>
      </c>
      <c r="G816" s="4">
        <v>45042</v>
      </c>
    </row>
    <row r="817" spans="2:12">
      <c r="C817" s="2" t="s">
        <v>5</v>
      </c>
      <c r="D817" s="2" t="s">
        <v>1086</v>
      </c>
      <c r="E817" s="3">
        <v>28</v>
      </c>
      <c r="F817" s="3">
        <v>16</v>
      </c>
      <c r="G817" s="4">
        <v>44649</v>
      </c>
    </row>
    <row r="818" spans="2:12">
      <c r="C818" s="2" t="s">
        <v>5</v>
      </c>
      <c r="D818" s="2" t="s">
        <v>1063</v>
      </c>
      <c r="E818" s="3">
        <v>65</v>
      </c>
      <c r="F818" s="3">
        <v>10</v>
      </c>
      <c r="G818" s="4">
        <v>44984</v>
      </c>
    </row>
    <row r="819" spans="2:12">
      <c r="C819" s="2" t="s">
        <v>7</v>
      </c>
      <c r="D819" s="2" t="s">
        <v>860</v>
      </c>
      <c r="E819" s="3">
        <v>25</v>
      </c>
      <c r="F819" s="3">
        <v>7</v>
      </c>
      <c r="G819" s="4">
        <v>44636</v>
      </c>
    </row>
    <row r="820" spans="2:12">
      <c r="C820" s="2" t="s">
        <v>18</v>
      </c>
      <c r="D820" s="2" t="s">
        <v>1111</v>
      </c>
      <c r="E820" s="3">
        <v>125</v>
      </c>
      <c r="F820" s="3">
        <v>9</v>
      </c>
      <c r="G820" s="4">
        <v>44663</v>
      </c>
    </row>
    <row r="821" spans="2:12">
      <c r="C821" s="2" t="s">
        <v>7</v>
      </c>
      <c r="D821" s="2" t="s">
        <v>1111</v>
      </c>
      <c r="E821" s="3">
        <v>54</v>
      </c>
      <c r="F821" s="3">
        <v>14</v>
      </c>
      <c r="G821" s="4">
        <v>44089</v>
      </c>
    </row>
    <row r="822" spans="2:12">
      <c r="C822" s="2" t="s">
        <v>8</v>
      </c>
      <c r="D822" s="2" t="s">
        <v>448</v>
      </c>
      <c r="E822" s="3">
        <v>90</v>
      </c>
      <c r="F822" s="3">
        <f>50/11</f>
        <v>4.5454545454545459</v>
      </c>
      <c r="G822" s="4">
        <v>44776</v>
      </c>
    </row>
    <row r="823" spans="2:12">
      <c r="C823" s="2" t="s">
        <v>18</v>
      </c>
      <c r="D823" s="2" t="s">
        <v>448</v>
      </c>
      <c r="E823" s="3">
        <v>40</v>
      </c>
      <c r="F823" s="3">
        <v>3.75</v>
      </c>
      <c r="G823" s="4">
        <v>44176</v>
      </c>
    </row>
    <row r="824" spans="2:12">
      <c r="C824" s="2" t="s">
        <v>7</v>
      </c>
      <c r="D824" s="2" t="s">
        <v>448</v>
      </c>
      <c r="E824" s="3">
        <v>20</v>
      </c>
      <c r="F824" s="3">
        <f>15/5</f>
        <v>3</v>
      </c>
      <c r="G824" s="4">
        <v>43879</v>
      </c>
    </row>
    <row r="825" spans="2:12">
      <c r="C825" s="2" t="s">
        <v>8</v>
      </c>
      <c r="D825" s="2" t="s">
        <v>258</v>
      </c>
      <c r="E825" s="3">
        <v>111</v>
      </c>
      <c r="F825" s="3">
        <v>7</v>
      </c>
      <c r="G825" s="4">
        <v>44622</v>
      </c>
    </row>
    <row r="826" spans="2:12">
      <c r="C826" s="2" t="s">
        <v>18</v>
      </c>
      <c r="D826" s="2" t="s">
        <v>258</v>
      </c>
      <c r="E826" s="3">
        <v>55</v>
      </c>
      <c r="F826" s="3">
        <v>6</v>
      </c>
      <c r="G826" s="4">
        <v>44314</v>
      </c>
    </row>
    <row r="827" spans="2:12">
      <c r="C827" s="2" t="s">
        <v>7</v>
      </c>
      <c r="D827" s="2" t="s">
        <v>258</v>
      </c>
      <c r="E827" s="3">
        <v>16</v>
      </c>
      <c r="F827" s="3">
        <v>4</v>
      </c>
      <c r="G827" s="4">
        <v>44009</v>
      </c>
    </row>
    <row r="828" spans="2:12">
      <c r="C828" s="2" t="s">
        <v>7</v>
      </c>
      <c r="D828" s="2" t="s">
        <v>1063</v>
      </c>
      <c r="E828" s="3">
        <v>100</v>
      </c>
      <c r="F828" s="3">
        <v>15</v>
      </c>
      <c r="G828" s="4">
        <v>45106</v>
      </c>
    </row>
    <row r="829" spans="2:12">
      <c r="C829" s="168" t="s">
        <v>5</v>
      </c>
      <c r="D829" s="168" t="s">
        <v>2033</v>
      </c>
      <c r="E829" s="3">
        <v>25</v>
      </c>
      <c r="F829" s="3">
        <v>12.5</v>
      </c>
      <c r="G829" s="4">
        <v>44454</v>
      </c>
    </row>
    <row r="830" spans="2:12">
      <c r="G830" s="4"/>
    </row>
    <row r="831" spans="2:12">
      <c r="B831" s="12" t="s">
        <v>1105</v>
      </c>
      <c r="C831" s="13" t="s">
        <v>969</v>
      </c>
      <c r="D831" s="13" t="s">
        <v>968</v>
      </c>
      <c r="F831" s="15">
        <f>SUM(F832:F860)</f>
        <v>172.375</v>
      </c>
      <c r="G831" s="14">
        <f>+G859</f>
        <v>45209</v>
      </c>
      <c r="I831" s="1">
        <v>700</v>
      </c>
      <c r="K831" s="19">
        <f>(F832+F840+F841)/I831</f>
        <v>2.5714285714285714E-2</v>
      </c>
      <c r="L831" s="1">
        <v>2022</v>
      </c>
    </row>
    <row r="832" spans="2:12">
      <c r="B832" s="253" t="s">
        <v>7627</v>
      </c>
      <c r="C832" s="2" t="s">
        <v>18</v>
      </c>
      <c r="D832" s="2" t="s">
        <v>957</v>
      </c>
      <c r="E832" s="3">
        <v>50</v>
      </c>
      <c r="F832" s="3">
        <v>6</v>
      </c>
      <c r="G832" s="4">
        <v>44900</v>
      </c>
      <c r="I832" s="1">
        <v>450</v>
      </c>
      <c r="J832" s="1">
        <v>1400</v>
      </c>
      <c r="K832" s="19">
        <f>+F831/I832</f>
        <v>0.38305555555555554</v>
      </c>
      <c r="L832" s="1">
        <v>2012</v>
      </c>
    </row>
    <row r="833" spans="3:10">
      <c r="C833" s="2" t="s">
        <v>7</v>
      </c>
      <c r="D833" s="2" t="s">
        <v>957</v>
      </c>
      <c r="E833" s="3">
        <v>35</v>
      </c>
      <c r="F833" s="3">
        <v>5</v>
      </c>
      <c r="G833" s="4">
        <v>44543</v>
      </c>
      <c r="J833" s="1">
        <v>1400</v>
      </c>
    </row>
    <row r="834" spans="3:10">
      <c r="C834" s="2" t="s">
        <v>5</v>
      </c>
      <c r="D834" s="2" t="s">
        <v>957</v>
      </c>
      <c r="E834" s="3">
        <v>8.5</v>
      </c>
      <c r="F834" s="3">
        <v>5</v>
      </c>
      <c r="G834" s="4">
        <v>44181</v>
      </c>
      <c r="J834" s="1">
        <v>1400</v>
      </c>
    </row>
    <row r="835" spans="3:10">
      <c r="C835" s="2" t="s">
        <v>18</v>
      </c>
      <c r="D835" s="2" t="s">
        <v>1064</v>
      </c>
      <c r="E835" s="3">
        <v>85</v>
      </c>
      <c r="F835" s="3">
        <v>10</v>
      </c>
      <c r="G835" s="4">
        <v>44501</v>
      </c>
    </row>
    <row r="836" spans="3:10">
      <c r="C836" s="2" t="s">
        <v>7</v>
      </c>
      <c r="D836" s="2" t="s">
        <v>1064</v>
      </c>
      <c r="E836" s="3">
        <v>28</v>
      </c>
      <c r="F836" s="3">
        <v>5</v>
      </c>
      <c r="G836" s="4">
        <v>44272</v>
      </c>
    </row>
    <row r="837" spans="3:10">
      <c r="C837" s="2" t="s">
        <v>5</v>
      </c>
      <c r="D837" s="2" t="s">
        <v>1064</v>
      </c>
      <c r="E837" s="3">
        <v>15</v>
      </c>
      <c r="F837" s="3">
        <v>10</v>
      </c>
      <c r="G837" s="4">
        <v>43924</v>
      </c>
    </row>
    <row r="838" spans="3:10">
      <c r="C838" s="2" t="s">
        <v>4</v>
      </c>
      <c r="D838" s="2" t="s">
        <v>1064</v>
      </c>
      <c r="E838" s="3">
        <v>2.9</v>
      </c>
      <c r="F838" s="3">
        <v>1</v>
      </c>
      <c r="G838" s="4">
        <v>43761</v>
      </c>
    </row>
    <row r="839" spans="3:10">
      <c r="C839" s="2" t="s">
        <v>5</v>
      </c>
      <c r="D839" s="2" t="s">
        <v>832</v>
      </c>
      <c r="E839" s="3">
        <v>20</v>
      </c>
      <c r="F839" s="3">
        <v>2</v>
      </c>
      <c r="G839" s="4">
        <v>43816</v>
      </c>
    </row>
    <row r="840" spans="3:10">
      <c r="C840" s="2" t="s">
        <v>5</v>
      </c>
      <c r="D840" s="2" t="s">
        <v>994</v>
      </c>
      <c r="E840" s="3">
        <v>23</v>
      </c>
      <c r="F840" s="3">
        <v>5</v>
      </c>
      <c r="G840" s="4">
        <v>44963</v>
      </c>
    </row>
    <row r="841" spans="3:10">
      <c r="C841" s="2" t="s">
        <v>18</v>
      </c>
      <c r="D841" s="2" t="s">
        <v>424</v>
      </c>
      <c r="E841" s="3">
        <v>75</v>
      </c>
      <c r="F841" s="3">
        <v>7</v>
      </c>
      <c r="G841" s="4">
        <v>45020</v>
      </c>
    </row>
    <row r="842" spans="3:10">
      <c r="C842" s="2" t="s">
        <v>18</v>
      </c>
      <c r="D842" s="2" t="s">
        <v>424</v>
      </c>
      <c r="E842" s="3">
        <v>80</v>
      </c>
      <c r="F842" s="3">
        <v>10</v>
      </c>
      <c r="G842" s="4">
        <v>44404</v>
      </c>
    </row>
    <row r="843" spans="3:10">
      <c r="C843" s="2" t="s">
        <v>7</v>
      </c>
      <c r="D843" s="2" t="s">
        <v>424</v>
      </c>
      <c r="E843" s="3">
        <v>40</v>
      </c>
      <c r="F843" s="3">
        <v>10</v>
      </c>
      <c r="G843" s="4">
        <v>43957</v>
      </c>
    </row>
    <row r="844" spans="3:10">
      <c r="C844" s="2" t="s">
        <v>5</v>
      </c>
      <c r="D844" s="2" t="s">
        <v>424</v>
      </c>
      <c r="E844" s="3">
        <v>20</v>
      </c>
      <c r="F844" s="3">
        <v>20</v>
      </c>
      <c r="G844" s="4">
        <v>43480</v>
      </c>
    </row>
    <row r="845" spans="3:10">
      <c r="C845" s="2" t="s">
        <v>4</v>
      </c>
      <c r="D845" s="2" t="s">
        <v>424</v>
      </c>
      <c r="E845" s="3">
        <v>7</v>
      </c>
      <c r="F845" s="3">
        <v>2</v>
      </c>
      <c r="G845" s="4">
        <v>43046</v>
      </c>
    </row>
    <row r="846" spans="3:10">
      <c r="C846" s="2" t="s">
        <v>7</v>
      </c>
      <c r="D846" s="2" t="s">
        <v>1072</v>
      </c>
      <c r="E846" s="3">
        <v>37</v>
      </c>
      <c r="F846" s="3">
        <v>4</v>
      </c>
      <c r="G846" s="4">
        <v>44860</v>
      </c>
    </row>
    <row r="847" spans="3:10">
      <c r="C847" s="2" t="s">
        <v>7</v>
      </c>
      <c r="D847" s="2" t="s">
        <v>1072</v>
      </c>
      <c r="E847" s="3">
        <v>80</v>
      </c>
      <c r="F847" s="3">
        <v>10</v>
      </c>
      <c r="G847" s="4">
        <v>44327</v>
      </c>
    </row>
    <row r="848" spans="3:10">
      <c r="C848" s="2" t="s">
        <v>5</v>
      </c>
      <c r="D848" s="2" t="s">
        <v>1072</v>
      </c>
      <c r="E848" s="3">
        <v>30</v>
      </c>
      <c r="F848" s="3">
        <v>7</v>
      </c>
      <c r="G848" s="4">
        <v>43963</v>
      </c>
    </row>
    <row r="849" spans="2:18">
      <c r="C849" s="2" t="s">
        <v>18</v>
      </c>
      <c r="D849" s="2" t="s">
        <v>310</v>
      </c>
      <c r="E849" s="3">
        <v>110</v>
      </c>
      <c r="F849" s="3">
        <f>70/5</f>
        <v>14</v>
      </c>
      <c r="G849" s="4">
        <v>44369</v>
      </c>
    </row>
    <row r="850" spans="2:18">
      <c r="C850" s="2" t="s">
        <v>7</v>
      </c>
      <c r="D850" s="2" t="s">
        <v>310</v>
      </c>
      <c r="E850" s="3">
        <v>40</v>
      </c>
      <c r="F850" s="3">
        <v>4</v>
      </c>
      <c r="G850" s="4">
        <v>43419</v>
      </c>
    </row>
    <row r="851" spans="2:18">
      <c r="C851" s="2" t="s">
        <v>5</v>
      </c>
      <c r="D851" s="2" t="s">
        <v>310</v>
      </c>
      <c r="E851" s="3">
        <v>14.7</v>
      </c>
      <c r="F851" s="3">
        <v>2.25</v>
      </c>
      <c r="G851" s="4">
        <v>43032</v>
      </c>
    </row>
    <row r="852" spans="2:18">
      <c r="C852" s="2" t="s">
        <v>7</v>
      </c>
      <c r="D852" s="2" t="s">
        <v>95</v>
      </c>
      <c r="E852" s="3">
        <v>25</v>
      </c>
      <c r="F852" s="3">
        <v>3</v>
      </c>
      <c r="G852" s="4">
        <v>43783</v>
      </c>
    </row>
    <row r="853" spans="2:18">
      <c r="C853" s="2" t="s">
        <v>5</v>
      </c>
      <c r="D853" s="2" t="s">
        <v>95</v>
      </c>
      <c r="E853" s="3">
        <v>10</v>
      </c>
      <c r="F853" s="3">
        <v>2.5</v>
      </c>
      <c r="G853" s="4">
        <v>42304</v>
      </c>
    </row>
    <row r="854" spans="2:18">
      <c r="C854" s="2" t="s">
        <v>4</v>
      </c>
      <c r="D854" s="2" t="s">
        <v>95</v>
      </c>
      <c r="E854" s="3">
        <v>5</v>
      </c>
      <c r="F854" s="3">
        <f>E854/3</f>
        <v>1.6666666666666667</v>
      </c>
      <c r="G854" s="4">
        <v>41940</v>
      </c>
    </row>
    <row r="855" spans="2:18">
      <c r="C855" s="168" t="s">
        <v>5</v>
      </c>
      <c r="D855" s="168" t="s">
        <v>2031</v>
      </c>
      <c r="E855" s="3">
        <v>24</v>
      </c>
      <c r="F855" s="3">
        <v>12</v>
      </c>
      <c r="G855" s="4">
        <v>44719</v>
      </c>
    </row>
    <row r="856" spans="2:18">
      <c r="C856" s="177" t="s">
        <v>5</v>
      </c>
      <c r="D856" s="177" t="s">
        <v>2028</v>
      </c>
      <c r="E856" s="3">
        <v>18.5</v>
      </c>
      <c r="F856" s="3">
        <f>E856/4</f>
        <v>4.625</v>
      </c>
      <c r="G856" s="4">
        <v>44561</v>
      </c>
    </row>
    <row r="857" spans="2:18">
      <c r="C857" s="177" t="s">
        <v>4</v>
      </c>
      <c r="D857" s="177" t="s">
        <v>2028</v>
      </c>
      <c r="E857" s="3">
        <v>5.8</v>
      </c>
      <c r="F857" s="3">
        <f>E857/3</f>
        <v>1.9333333333333333</v>
      </c>
      <c r="G857" s="4">
        <v>44348</v>
      </c>
    </row>
    <row r="858" spans="2:18">
      <c r="C858" s="241" t="s">
        <v>278</v>
      </c>
      <c r="D858" s="241" t="s">
        <v>7579</v>
      </c>
      <c r="E858" s="3">
        <v>2.2000000000000002</v>
      </c>
      <c r="F858" s="3">
        <f>1.2/3</f>
        <v>0.39999999999999997</v>
      </c>
      <c r="G858" s="4">
        <v>43906</v>
      </c>
    </row>
    <row r="859" spans="2:18">
      <c r="C859" s="394" t="s">
        <v>5</v>
      </c>
      <c r="D859" s="394" t="s">
        <v>9711</v>
      </c>
      <c r="E859" s="3">
        <v>16</v>
      </c>
      <c r="F859" s="3">
        <v>1</v>
      </c>
      <c r="G859" s="4">
        <v>45209</v>
      </c>
    </row>
    <row r="860" spans="2:18">
      <c r="C860" s="394" t="s">
        <v>4</v>
      </c>
      <c r="D860" s="394" t="s">
        <v>9711</v>
      </c>
      <c r="E860" s="3">
        <v>7</v>
      </c>
      <c r="F860" s="3">
        <v>6</v>
      </c>
      <c r="G860" s="4">
        <v>44562</v>
      </c>
    </row>
    <row r="861" spans="2:18">
      <c r="G861" s="4"/>
    </row>
    <row r="862" spans="2:18" s="12" customFormat="1">
      <c r="B862" s="12" t="s">
        <v>239</v>
      </c>
      <c r="C862" s="13" t="s">
        <v>969</v>
      </c>
      <c r="D862" s="13" t="s">
        <v>968</v>
      </c>
      <c r="E862" s="15"/>
      <c r="F862" s="15">
        <f>SUM(F863:F864)</f>
        <v>170</v>
      </c>
      <c r="G862" s="14">
        <f>G863</f>
        <v>43040</v>
      </c>
      <c r="M862" s="13"/>
      <c r="N862" s="13"/>
      <c r="O862" s="13"/>
      <c r="P862" s="13"/>
      <c r="Q862" s="13"/>
      <c r="R862" s="13"/>
    </row>
    <row r="863" spans="2:18">
      <c r="C863" s="2" t="s">
        <v>18</v>
      </c>
      <c r="D863" s="2" t="s">
        <v>232</v>
      </c>
      <c r="E863" s="3">
        <v>460</v>
      </c>
      <c r="F863" s="3">
        <v>150</v>
      </c>
      <c r="G863" s="4">
        <v>43040</v>
      </c>
    </row>
    <row r="864" spans="2:18">
      <c r="C864" s="2" t="s">
        <v>18</v>
      </c>
      <c r="D864" s="2" t="s">
        <v>232</v>
      </c>
      <c r="E864" s="3">
        <v>100</v>
      </c>
      <c r="F864" s="3">
        <v>20</v>
      </c>
      <c r="G864" s="4">
        <v>42735</v>
      </c>
    </row>
    <row r="865" spans="2:18">
      <c r="G865" s="4"/>
    </row>
    <row r="866" spans="2:18" s="12" customFormat="1">
      <c r="B866" s="12" t="s">
        <v>1107</v>
      </c>
      <c r="C866" s="13" t="s">
        <v>969</v>
      </c>
      <c r="D866" s="13" t="s">
        <v>968</v>
      </c>
      <c r="E866" s="15"/>
      <c r="F866" s="15">
        <f>SUM(F867:F875)</f>
        <v>168.44285714285715</v>
      </c>
      <c r="G866" s="14">
        <f>G872</f>
        <v>44880</v>
      </c>
      <c r="M866" s="13"/>
      <c r="N866" s="13"/>
      <c r="O866" s="13"/>
      <c r="P866" s="13"/>
      <c r="Q866" s="13"/>
      <c r="R866" s="13"/>
    </row>
    <row r="867" spans="2:18">
      <c r="C867" s="2" t="s">
        <v>8</v>
      </c>
      <c r="D867" s="2" t="s">
        <v>208</v>
      </c>
      <c r="E867" s="3">
        <v>676</v>
      </c>
      <c r="F867" s="3">
        <f>500/7</f>
        <v>71.428571428571431</v>
      </c>
      <c r="G867" s="4">
        <v>44299</v>
      </c>
      <c r="I867" s="1">
        <v>4400</v>
      </c>
    </row>
    <row r="868" spans="2:18">
      <c r="C868" s="2" t="s">
        <v>18</v>
      </c>
      <c r="D868" s="2" t="s">
        <v>208</v>
      </c>
      <c r="E868" s="3">
        <v>250</v>
      </c>
      <c r="F868" s="3">
        <f>170/5</f>
        <v>34</v>
      </c>
      <c r="G868" s="4">
        <v>43886</v>
      </c>
      <c r="I868" s="1">
        <v>2300</v>
      </c>
    </row>
    <row r="869" spans="2:18">
      <c r="C869" s="2" t="s">
        <v>7</v>
      </c>
      <c r="D869" s="2" t="s">
        <v>208</v>
      </c>
      <c r="E869" s="3">
        <v>150</v>
      </c>
      <c r="F869" s="3">
        <v>20</v>
      </c>
      <c r="G869" s="4">
        <v>43556</v>
      </c>
    </row>
    <row r="870" spans="2:18">
      <c r="C870" s="2" t="s">
        <v>5</v>
      </c>
      <c r="D870" s="2" t="s">
        <v>208</v>
      </c>
      <c r="E870" s="3">
        <v>7.3</v>
      </c>
      <c r="F870" s="3">
        <v>7.3</v>
      </c>
      <c r="G870" s="4">
        <v>43327</v>
      </c>
    </row>
    <row r="871" spans="2:18">
      <c r="C871" s="2" t="s">
        <v>4</v>
      </c>
      <c r="D871" s="2" t="s">
        <v>208</v>
      </c>
      <c r="E871" s="3">
        <v>2</v>
      </c>
      <c r="F871" s="3">
        <v>2</v>
      </c>
      <c r="G871" s="4">
        <v>43047</v>
      </c>
    </row>
    <row r="872" spans="2:18">
      <c r="C872" s="2" t="s">
        <v>8</v>
      </c>
      <c r="D872" s="2" t="s">
        <v>131</v>
      </c>
      <c r="E872" s="3">
        <v>135</v>
      </c>
      <c r="F872" s="3">
        <v>8</v>
      </c>
      <c r="G872" s="4">
        <v>44880</v>
      </c>
      <c r="I872" s="1">
        <v>615</v>
      </c>
    </row>
    <row r="873" spans="2:18">
      <c r="C873" s="2" t="s">
        <v>7</v>
      </c>
      <c r="D873" s="2" t="s">
        <v>131</v>
      </c>
      <c r="E873" s="3">
        <v>10</v>
      </c>
      <c r="F873" s="3">
        <v>10</v>
      </c>
      <c r="G873" s="4">
        <v>42414</v>
      </c>
      <c r="J873" s="1">
        <v>615</v>
      </c>
    </row>
    <row r="874" spans="2:18">
      <c r="C874" s="55" t="s">
        <v>9</v>
      </c>
      <c r="D874" s="55" t="s">
        <v>2112</v>
      </c>
      <c r="E874" s="3">
        <v>100</v>
      </c>
      <c r="F874" s="3">
        <f>75/7</f>
        <v>10.714285714285714</v>
      </c>
      <c r="G874" s="4">
        <v>44507</v>
      </c>
      <c r="I874" s="1">
        <v>1600</v>
      </c>
      <c r="J874" s="1">
        <v>1600</v>
      </c>
    </row>
    <row r="875" spans="2:18">
      <c r="C875" s="55" t="s">
        <v>7</v>
      </c>
      <c r="D875" s="55" t="s">
        <v>2112</v>
      </c>
      <c r="E875" s="3">
        <v>5</v>
      </c>
      <c r="F875" s="3">
        <v>5</v>
      </c>
      <c r="G875" s="4">
        <v>42285</v>
      </c>
      <c r="J875" s="1">
        <v>1600</v>
      </c>
    </row>
    <row r="876" spans="2:18">
      <c r="G876" s="4"/>
    </row>
    <row r="877" spans="2:18" s="12" customFormat="1">
      <c r="B877" s="12" t="s">
        <v>1110</v>
      </c>
      <c r="C877" s="13" t="s">
        <v>969</v>
      </c>
      <c r="D877" s="13" t="s">
        <v>968</v>
      </c>
      <c r="E877" s="15"/>
      <c r="F877" s="15">
        <f>SUM(F878:F884)</f>
        <v>165.625</v>
      </c>
      <c r="G877" s="14">
        <f>G878</f>
        <v>44417</v>
      </c>
      <c r="M877" s="13"/>
      <c r="N877" s="13"/>
      <c r="O877" s="13"/>
      <c r="P877" s="13"/>
      <c r="Q877" s="13"/>
      <c r="R877" s="13"/>
    </row>
    <row r="878" spans="2:18">
      <c r="C878" s="2" t="s">
        <v>18</v>
      </c>
      <c r="D878" s="2" t="s">
        <v>877</v>
      </c>
      <c r="E878" s="3">
        <v>85</v>
      </c>
      <c r="F878" s="3">
        <f>45/8</f>
        <v>5.625</v>
      </c>
      <c r="G878" s="4">
        <v>44417</v>
      </c>
      <c r="H878" s="5"/>
    </row>
    <row r="879" spans="2:18">
      <c r="C879" s="2" t="s">
        <v>8</v>
      </c>
      <c r="D879" s="2" t="s">
        <v>208</v>
      </c>
      <c r="E879" s="3">
        <v>676</v>
      </c>
      <c r="F879" s="3">
        <v>71</v>
      </c>
      <c r="G879" s="4">
        <v>44299</v>
      </c>
      <c r="H879" s="5"/>
      <c r="I879" s="1">
        <v>4400</v>
      </c>
    </row>
    <row r="880" spans="2:18">
      <c r="C880" s="2" t="s">
        <v>18</v>
      </c>
      <c r="D880" s="2" t="s">
        <v>208</v>
      </c>
      <c r="E880" s="3">
        <v>250</v>
      </c>
      <c r="F880" s="3">
        <f>170/5</f>
        <v>34</v>
      </c>
      <c r="G880" s="4">
        <v>43886</v>
      </c>
      <c r="H880" s="5"/>
      <c r="I880" s="1">
        <v>2300</v>
      </c>
    </row>
    <row r="881" spans="2:18">
      <c r="C881" s="2" t="s">
        <v>7</v>
      </c>
      <c r="D881" s="2" t="s">
        <v>208</v>
      </c>
      <c r="E881" s="3">
        <v>150</v>
      </c>
      <c r="F881" s="3">
        <f>100/5</f>
        <v>20</v>
      </c>
      <c r="G881" s="4">
        <v>43556</v>
      </c>
      <c r="H881" s="5"/>
    </row>
    <row r="882" spans="2:18">
      <c r="C882" s="2" t="s">
        <v>5</v>
      </c>
      <c r="D882" s="2" t="s">
        <v>208</v>
      </c>
      <c r="E882" s="3">
        <v>56</v>
      </c>
      <c r="F882" s="3">
        <v>20</v>
      </c>
      <c r="G882" s="4">
        <v>43174</v>
      </c>
      <c r="H882" s="5"/>
    </row>
    <row r="883" spans="2:18">
      <c r="C883" s="2" t="s">
        <v>7</v>
      </c>
      <c r="D883" s="2" t="s">
        <v>131</v>
      </c>
      <c r="E883" s="3">
        <v>32</v>
      </c>
      <c r="F883" s="3">
        <v>12</v>
      </c>
      <c r="G883" s="4">
        <v>42528</v>
      </c>
      <c r="H883" s="5"/>
    </row>
    <row r="884" spans="2:18">
      <c r="C884" s="2" t="s">
        <v>5</v>
      </c>
      <c r="D884" s="2" t="s">
        <v>2025</v>
      </c>
      <c r="E884" s="3">
        <v>18</v>
      </c>
      <c r="F884" s="3">
        <v>3</v>
      </c>
      <c r="G884" s="4">
        <v>44866</v>
      </c>
      <c r="H884" s="5"/>
    </row>
    <row r="885" spans="2:18">
      <c r="G885" s="4"/>
      <c r="H885" s="5"/>
    </row>
    <row r="886" spans="2:18" s="12" customFormat="1">
      <c r="B886" s="12" t="s">
        <v>241</v>
      </c>
      <c r="C886" s="13" t="s">
        <v>969</v>
      </c>
      <c r="D886" s="13" t="s">
        <v>968</v>
      </c>
      <c r="E886" s="15"/>
      <c r="F886" s="15">
        <f>SUM(F887:F888)</f>
        <v>162.5</v>
      </c>
      <c r="G886" s="14">
        <f>G888</f>
        <v>44510</v>
      </c>
      <c r="M886" s="13"/>
      <c r="N886" s="13"/>
      <c r="O886" s="13"/>
      <c r="P886" s="13"/>
      <c r="Q886" s="13"/>
      <c r="R886" s="13"/>
    </row>
    <row r="887" spans="2:18">
      <c r="C887" s="2" t="s">
        <v>8</v>
      </c>
      <c r="D887" s="2" t="s">
        <v>232</v>
      </c>
      <c r="E887" s="3">
        <v>750</v>
      </c>
      <c r="F887" s="3">
        <f>450/4</f>
        <v>112.5</v>
      </c>
      <c r="G887" s="4">
        <v>43593</v>
      </c>
    </row>
    <row r="888" spans="2:18">
      <c r="C888" s="2" t="s">
        <v>53</v>
      </c>
      <c r="D888" s="2" t="s">
        <v>240</v>
      </c>
      <c r="E888" s="3">
        <v>250</v>
      </c>
      <c r="F888" s="3">
        <v>50</v>
      </c>
      <c r="G888" s="4">
        <v>44510</v>
      </c>
    </row>
    <row r="889" spans="2:18">
      <c r="G889" s="4"/>
    </row>
    <row r="890" spans="2:18" s="12" customFormat="1">
      <c r="B890" s="12" t="s">
        <v>1104</v>
      </c>
      <c r="C890" s="13" t="s">
        <v>969</v>
      </c>
      <c r="D890" s="13" t="s">
        <v>968</v>
      </c>
      <c r="E890" s="15"/>
      <c r="F890" s="15">
        <f>SUM(F891:F898)</f>
        <v>160.66666666666666</v>
      </c>
      <c r="G890" s="14">
        <f>G891</f>
        <v>44378</v>
      </c>
      <c r="M890" s="13"/>
      <c r="N890" s="13"/>
      <c r="O890" s="13"/>
      <c r="P890" s="13"/>
      <c r="Q890" s="13"/>
      <c r="R890" s="13"/>
    </row>
    <row r="891" spans="2:18">
      <c r="C891" s="2" t="s">
        <v>5</v>
      </c>
      <c r="D891" s="2" t="s">
        <v>864</v>
      </c>
      <c r="E891" s="3">
        <v>10</v>
      </c>
      <c r="F891" s="3">
        <v>3</v>
      </c>
      <c r="G891" s="4">
        <v>44378</v>
      </c>
    </row>
    <row r="892" spans="2:18">
      <c r="C892" s="2" t="s">
        <v>8</v>
      </c>
      <c r="D892" s="2" t="s">
        <v>211</v>
      </c>
      <c r="E892" s="3">
        <v>700</v>
      </c>
      <c r="F892" s="3">
        <f>400/12</f>
        <v>33.333333333333336</v>
      </c>
      <c r="G892" s="4">
        <v>44218</v>
      </c>
    </row>
    <row r="893" spans="2:18">
      <c r="C893" s="2" t="s">
        <v>18</v>
      </c>
      <c r="D893" s="2" t="s">
        <v>211</v>
      </c>
      <c r="E893" s="3">
        <v>140</v>
      </c>
      <c r="F893" s="3">
        <f>E893/9</f>
        <v>15.555555555555555</v>
      </c>
      <c r="G893" s="4">
        <v>43453</v>
      </c>
    </row>
    <row r="894" spans="2:18">
      <c r="C894" s="2" t="s">
        <v>7</v>
      </c>
      <c r="D894" s="2" t="s">
        <v>161</v>
      </c>
      <c r="E894" s="3">
        <v>462</v>
      </c>
      <c r="F894" s="3">
        <f>162/2</f>
        <v>81</v>
      </c>
      <c r="G894" s="4">
        <v>43886</v>
      </c>
      <c r="I894" s="1">
        <v>2500</v>
      </c>
      <c r="J894" s="1">
        <v>8400</v>
      </c>
    </row>
    <row r="895" spans="2:18">
      <c r="C895" s="2" t="s">
        <v>5</v>
      </c>
      <c r="D895" s="2" t="s">
        <v>161</v>
      </c>
      <c r="E895" s="3">
        <v>102</v>
      </c>
      <c r="F895" s="3">
        <f>70/9</f>
        <v>7.7777777777777777</v>
      </c>
      <c r="G895" s="4">
        <v>43292</v>
      </c>
      <c r="J895" s="1">
        <v>8400</v>
      </c>
    </row>
    <row r="896" spans="2:18">
      <c r="C896" s="2" t="s">
        <v>9</v>
      </c>
      <c r="D896" s="2" t="s">
        <v>148</v>
      </c>
      <c r="E896" s="3">
        <v>300</v>
      </c>
      <c r="F896" s="6" t="s">
        <v>1047</v>
      </c>
      <c r="G896" s="4">
        <v>44271</v>
      </c>
    </row>
    <row r="897" spans="2:18">
      <c r="C897" s="2" t="s">
        <v>8</v>
      </c>
      <c r="D897" s="2" t="s">
        <v>148</v>
      </c>
      <c r="E897" s="3">
        <v>38</v>
      </c>
      <c r="F897" s="6" t="s">
        <v>1046</v>
      </c>
      <c r="G897" s="4">
        <v>43266</v>
      </c>
    </row>
    <row r="898" spans="2:18">
      <c r="C898" s="2" t="s">
        <v>8</v>
      </c>
      <c r="D898" s="2" t="s">
        <v>2134</v>
      </c>
      <c r="E898" s="3">
        <v>220</v>
      </c>
      <c r="F898" s="6">
        <v>20</v>
      </c>
      <c r="G898" s="4">
        <v>44287</v>
      </c>
    </row>
    <row r="899" spans="2:18">
      <c r="G899" s="4"/>
    </row>
    <row r="900" spans="2:18" s="12" customFormat="1">
      <c r="B900" s="12" t="s">
        <v>1109</v>
      </c>
      <c r="C900" s="13" t="s">
        <v>969</v>
      </c>
      <c r="D900" s="13" t="s">
        <v>968</v>
      </c>
      <c r="E900" s="15"/>
      <c r="F900" s="15">
        <f>SUM(F901:F906)</f>
        <v>160.33333333333334</v>
      </c>
      <c r="G900" s="14">
        <f>G905</f>
        <v>44271</v>
      </c>
      <c r="M900" s="13"/>
      <c r="N900" s="13"/>
      <c r="O900" s="13"/>
      <c r="P900" s="13"/>
      <c r="Q900" s="13"/>
      <c r="R900" s="13"/>
    </row>
    <row r="901" spans="2:18">
      <c r="C901" s="2" t="s">
        <v>7</v>
      </c>
      <c r="D901" s="2" t="s">
        <v>245</v>
      </c>
      <c r="E901" s="3">
        <v>100</v>
      </c>
      <c r="F901" s="3">
        <v>25</v>
      </c>
      <c r="G901" s="4">
        <v>42576</v>
      </c>
    </row>
    <row r="902" spans="2:18">
      <c r="C902" s="2" t="s">
        <v>8</v>
      </c>
      <c r="D902" s="2" t="s">
        <v>211</v>
      </c>
      <c r="E902" s="3">
        <v>700</v>
      </c>
      <c r="F902" s="3">
        <v>33</v>
      </c>
      <c r="G902" s="4">
        <v>44218</v>
      </c>
    </row>
    <row r="903" spans="2:18">
      <c r="C903" s="2" t="s">
        <v>18</v>
      </c>
      <c r="D903" s="2" t="s">
        <v>211</v>
      </c>
      <c r="E903" s="3">
        <v>230</v>
      </c>
      <c r="F903" s="3">
        <f>E903/6</f>
        <v>38.333333333333336</v>
      </c>
      <c r="G903" s="4">
        <v>43923</v>
      </c>
    </row>
    <row r="904" spans="2:18">
      <c r="C904" s="2" t="s">
        <v>18</v>
      </c>
      <c r="D904" s="2" t="s">
        <v>161</v>
      </c>
      <c r="E904" s="3">
        <v>100</v>
      </c>
      <c r="F904" s="3">
        <f>70/5</f>
        <v>14</v>
      </c>
      <c r="G904" s="4">
        <v>44235</v>
      </c>
      <c r="J904" s="1">
        <v>8400</v>
      </c>
    </row>
    <row r="905" spans="2:18">
      <c r="C905" s="2" t="s">
        <v>9</v>
      </c>
      <c r="D905" s="2" t="s">
        <v>148</v>
      </c>
      <c r="E905" s="3">
        <v>300</v>
      </c>
      <c r="F905" s="6" t="s">
        <v>1047</v>
      </c>
      <c r="G905" s="4">
        <v>44271</v>
      </c>
    </row>
    <row r="906" spans="2:18">
      <c r="C906" s="2" t="s">
        <v>18</v>
      </c>
      <c r="D906" s="2" t="s">
        <v>80</v>
      </c>
      <c r="E906" s="3">
        <v>257</v>
      </c>
      <c r="F906" s="6">
        <v>50</v>
      </c>
      <c r="G906" s="4">
        <v>44201</v>
      </c>
    </row>
    <row r="907" spans="2:18">
      <c r="G907" s="4"/>
    </row>
    <row r="908" spans="2:18">
      <c r="B908" s="12" t="s">
        <v>966</v>
      </c>
      <c r="C908" s="13" t="s">
        <v>969</v>
      </c>
      <c r="D908" s="13" t="s">
        <v>968</v>
      </c>
      <c r="F908" s="15">
        <f>SUM(F909:F911)</f>
        <v>155.98228663446054</v>
      </c>
      <c r="G908" s="14">
        <f>G910</f>
        <v>44439</v>
      </c>
      <c r="I908" s="5"/>
      <c r="J908" s="5"/>
    </row>
    <row r="909" spans="2:18">
      <c r="C909" s="2" t="s">
        <v>9</v>
      </c>
      <c r="D909" s="2" t="s">
        <v>803</v>
      </c>
      <c r="E909" s="3">
        <v>325</v>
      </c>
      <c r="F909" s="3">
        <v>65</v>
      </c>
      <c r="G909" s="4">
        <v>44299</v>
      </c>
      <c r="I909" s="5"/>
      <c r="J909" s="5"/>
    </row>
    <row r="910" spans="2:18">
      <c r="C910" s="265" t="s">
        <v>2486</v>
      </c>
      <c r="D910" s="265" t="s">
        <v>1006</v>
      </c>
      <c r="E910" s="3">
        <v>1600</v>
      </c>
      <c r="F910" s="3">
        <f>1400/27</f>
        <v>51.851851851851855</v>
      </c>
      <c r="G910" s="4">
        <v>44439</v>
      </c>
      <c r="I910" s="5">
        <v>36400</v>
      </c>
      <c r="J910" s="5">
        <v>42500</v>
      </c>
    </row>
    <row r="911" spans="2:18">
      <c r="C911" s="265" t="s">
        <v>504</v>
      </c>
      <c r="D911" s="265" t="s">
        <v>1006</v>
      </c>
      <c r="E911" s="3">
        <v>1000</v>
      </c>
      <c r="F911" s="3">
        <f>900/23</f>
        <v>39.130434782608695</v>
      </c>
      <c r="G911" s="4">
        <v>44228</v>
      </c>
      <c r="I911" s="5">
        <v>27000</v>
      </c>
      <c r="J911" s="5">
        <v>42500</v>
      </c>
    </row>
    <row r="912" spans="2:18">
      <c r="G912" s="4"/>
      <c r="I912" s="5"/>
      <c r="J912" s="5"/>
    </row>
    <row r="913" spans="2:18">
      <c r="B913" s="12" t="s">
        <v>1103</v>
      </c>
      <c r="C913" s="13" t="s">
        <v>969</v>
      </c>
      <c r="D913" s="13" t="s">
        <v>968</v>
      </c>
      <c r="F913" s="15">
        <f>SUM(F914:F926)</f>
        <v>154.78571428571428</v>
      </c>
      <c r="G913" s="14">
        <f>G914</f>
        <v>44852</v>
      </c>
    </row>
    <row r="914" spans="2:18">
      <c r="B914" s="253" t="s">
        <v>7627</v>
      </c>
      <c r="C914" s="2" t="s">
        <v>5</v>
      </c>
      <c r="D914" s="2" t="s">
        <v>763</v>
      </c>
      <c r="E914" s="3">
        <v>125</v>
      </c>
      <c r="F914" s="3">
        <v>15</v>
      </c>
      <c r="G914" s="4">
        <v>44852</v>
      </c>
    </row>
    <row r="915" spans="2:18">
      <c r="C915" s="2" t="s">
        <v>5</v>
      </c>
      <c r="D915" s="2" t="s">
        <v>716</v>
      </c>
      <c r="E915" s="3">
        <v>12.5</v>
      </c>
      <c r="F915" s="3">
        <v>2</v>
      </c>
      <c r="G915" s="4">
        <v>44784</v>
      </c>
    </row>
    <row r="916" spans="2:18">
      <c r="C916" s="2" t="s">
        <v>5</v>
      </c>
      <c r="D916" s="2" t="s">
        <v>716</v>
      </c>
      <c r="E916" s="3">
        <v>10</v>
      </c>
      <c r="F916" s="3">
        <v>2</v>
      </c>
      <c r="G916" s="4">
        <v>44110</v>
      </c>
    </row>
    <row r="917" spans="2:18">
      <c r="C917" s="2" t="s">
        <v>7</v>
      </c>
      <c r="D917" s="2" t="s">
        <v>606</v>
      </c>
      <c r="E917" s="3">
        <v>25</v>
      </c>
      <c r="F917" s="3">
        <v>2</v>
      </c>
      <c r="G917" s="4">
        <v>43440</v>
      </c>
    </row>
    <row r="918" spans="2:18">
      <c r="C918" s="2" t="s">
        <v>18</v>
      </c>
      <c r="D918" s="2" t="s">
        <v>374</v>
      </c>
      <c r="E918" s="3">
        <v>130</v>
      </c>
      <c r="F918" s="3">
        <v>14.285714285714286</v>
      </c>
      <c r="G918" s="4">
        <v>44323</v>
      </c>
    </row>
    <row r="919" spans="2:18">
      <c r="C919" s="2" t="s">
        <v>7</v>
      </c>
      <c r="D919" s="2" t="s">
        <v>374</v>
      </c>
      <c r="E919" s="3">
        <v>44</v>
      </c>
      <c r="F919" s="3">
        <v>5</v>
      </c>
      <c r="G919" s="4">
        <v>43909</v>
      </c>
    </row>
    <row r="920" spans="2:18">
      <c r="C920" s="2" t="s">
        <v>5</v>
      </c>
      <c r="D920" s="2" t="s">
        <v>374</v>
      </c>
      <c r="E920" s="3">
        <v>15</v>
      </c>
      <c r="F920" s="3">
        <v>3</v>
      </c>
      <c r="G920" s="4">
        <v>43452</v>
      </c>
    </row>
    <row r="921" spans="2:18">
      <c r="C921" s="2" t="s">
        <v>4</v>
      </c>
      <c r="D921" s="2" t="s">
        <v>374</v>
      </c>
      <c r="E921" s="3">
        <v>2.5</v>
      </c>
      <c r="F921" s="3">
        <v>1.5</v>
      </c>
      <c r="G921" s="4">
        <v>42936</v>
      </c>
    </row>
    <row r="922" spans="2:18">
      <c r="C922" s="2" t="s">
        <v>8</v>
      </c>
      <c r="D922" s="2" t="s">
        <v>15</v>
      </c>
      <c r="E922" s="3">
        <v>220</v>
      </c>
      <c r="F922" s="3">
        <v>30</v>
      </c>
      <c r="G922" s="4">
        <v>44502</v>
      </c>
      <c r="I922" s="1">
        <v>794</v>
      </c>
      <c r="J922" s="1">
        <v>794</v>
      </c>
    </row>
    <row r="923" spans="2:18">
      <c r="C923" s="2" t="s">
        <v>8</v>
      </c>
      <c r="D923" s="2" t="s">
        <v>15</v>
      </c>
      <c r="E923" s="3">
        <v>220</v>
      </c>
      <c r="F923" s="3">
        <v>27</v>
      </c>
      <c r="G923" s="4">
        <v>44322</v>
      </c>
      <c r="I923" s="1">
        <v>780</v>
      </c>
      <c r="J923" s="1">
        <v>780</v>
      </c>
    </row>
    <row r="924" spans="2:18">
      <c r="C924" s="2" t="s">
        <v>18</v>
      </c>
      <c r="D924" s="2" t="s">
        <v>15</v>
      </c>
      <c r="E924" s="3">
        <v>60</v>
      </c>
      <c r="F924" s="3">
        <v>30</v>
      </c>
      <c r="G924" s="4">
        <v>43528</v>
      </c>
    </row>
    <row r="925" spans="2:18">
      <c r="C925" s="92" t="s">
        <v>7</v>
      </c>
      <c r="D925" s="92" t="s">
        <v>2076</v>
      </c>
      <c r="E925" s="3">
        <v>100</v>
      </c>
      <c r="F925" s="3">
        <f>70/5</f>
        <v>14</v>
      </c>
      <c r="G925" s="4">
        <v>44937</v>
      </c>
      <c r="I925" s="1">
        <v>900</v>
      </c>
      <c r="J925" s="1">
        <v>900</v>
      </c>
    </row>
    <row r="926" spans="2:18">
      <c r="C926" s="177" t="s">
        <v>5</v>
      </c>
      <c r="D926" s="177" t="s">
        <v>2027</v>
      </c>
      <c r="E926" s="3">
        <v>21</v>
      </c>
      <c r="F926" s="3">
        <v>9</v>
      </c>
      <c r="G926" s="4">
        <v>44334</v>
      </c>
    </row>
    <row r="927" spans="2:18">
      <c r="G927" s="4"/>
    </row>
    <row r="928" spans="2:18" s="12" customFormat="1">
      <c r="B928" s="12" t="s">
        <v>1106</v>
      </c>
      <c r="C928" s="13" t="s">
        <v>969</v>
      </c>
      <c r="D928" s="13" t="s">
        <v>968</v>
      </c>
      <c r="E928" s="15"/>
      <c r="F928" s="15">
        <f>SUM(F929:F932)</f>
        <v>151.5</v>
      </c>
      <c r="G928" s="14">
        <f>G930</f>
        <v>44867</v>
      </c>
      <c r="M928" s="13"/>
      <c r="N928" s="13"/>
      <c r="O928" s="13"/>
      <c r="P928" s="13"/>
      <c r="Q928" s="13"/>
      <c r="R928" s="13"/>
    </row>
    <row r="929" spans="2:18">
      <c r="B929" s="238" t="s">
        <v>7629</v>
      </c>
      <c r="C929" s="2" t="s">
        <v>9</v>
      </c>
      <c r="D929" s="2" t="s">
        <v>803</v>
      </c>
      <c r="E929" s="3">
        <v>325</v>
      </c>
      <c r="F929" s="3">
        <v>18.5</v>
      </c>
      <c r="G929" s="4">
        <v>44299</v>
      </c>
    </row>
    <row r="930" spans="2:18">
      <c r="B930" s="254" t="s">
        <v>7628</v>
      </c>
      <c r="C930" s="2" t="s">
        <v>18</v>
      </c>
      <c r="D930" s="2" t="s">
        <v>318</v>
      </c>
      <c r="E930" s="3">
        <v>91</v>
      </c>
      <c r="F930" s="3">
        <v>21</v>
      </c>
      <c r="G930" s="4">
        <v>44867</v>
      </c>
    </row>
    <row r="931" spans="2:18">
      <c r="C931" s="2" t="s">
        <v>8</v>
      </c>
      <c r="D931" s="2" t="s">
        <v>176</v>
      </c>
      <c r="E931" s="3">
        <v>130</v>
      </c>
      <c r="F931" s="3">
        <v>12</v>
      </c>
      <c r="G931" s="4">
        <v>42080</v>
      </c>
    </row>
    <row r="932" spans="2:18">
      <c r="C932" s="2" t="s">
        <v>53</v>
      </c>
      <c r="D932" s="2" t="s">
        <v>154</v>
      </c>
      <c r="E932" s="3">
        <v>200</v>
      </c>
      <c r="F932" s="3">
        <v>100</v>
      </c>
      <c r="G932" s="4">
        <v>44907</v>
      </c>
      <c r="I932" s="1">
        <v>3500</v>
      </c>
    </row>
    <row r="933" spans="2:18">
      <c r="G933" s="4"/>
    </row>
    <row r="934" spans="2:18" s="12" customFormat="1">
      <c r="B934" s="12" t="s">
        <v>231</v>
      </c>
      <c r="C934" s="13" t="s">
        <v>969</v>
      </c>
      <c r="D934" s="13" t="s">
        <v>968</v>
      </c>
      <c r="E934" s="15"/>
      <c r="F934" s="15">
        <f>SUM(F935:F936)</f>
        <v>150</v>
      </c>
      <c r="G934" s="14">
        <f>G935</f>
        <v>44218</v>
      </c>
      <c r="M934" s="13"/>
      <c r="N934" s="13"/>
      <c r="O934" s="13"/>
      <c r="P934" s="13"/>
      <c r="Q934" s="13"/>
      <c r="R934" s="13"/>
    </row>
    <row r="935" spans="2:18">
      <c r="C935" s="2" t="s">
        <v>8</v>
      </c>
      <c r="D935" s="2" t="s">
        <v>211</v>
      </c>
      <c r="E935" s="3">
        <v>700</v>
      </c>
      <c r="F935" s="3">
        <v>100</v>
      </c>
      <c r="G935" s="4">
        <v>44218</v>
      </c>
    </row>
    <row r="936" spans="2:18">
      <c r="C936" s="2" t="s">
        <v>18</v>
      </c>
      <c r="D936" s="2" t="s">
        <v>80</v>
      </c>
      <c r="E936" s="3">
        <v>257</v>
      </c>
      <c r="F936" s="3">
        <v>50</v>
      </c>
      <c r="G936" s="4">
        <v>44201</v>
      </c>
    </row>
    <row r="937" spans="2:18">
      <c r="G937" s="4"/>
    </row>
    <row r="938" spans="2:18" s="12" customFormat="1">
      <c r="B938" s="12" t="s">
        <v>247</v>
      </c>
      <c r="C938" s="13" t="s">
        <v>969</v>
      </c>
      <c r="D938" s="13" t="s">
        <v>968</v>
      </c>
      <c r="E938" s="15"/>
      <c r="F938" s="15">
        <f>SUM(F939:F940)</f>
        <v>150</v>
      </c>
      <c r="G938" s="14">
        <f>G939</f>
        <v>43223</v>
      </c>
      <c r="M938" s="13"/>
      <c r="N938" s="13"/>
      <c r="O938" s="13"/>
      <c r="P938" s="13"/>
      <c r="Q938" s="13"/>
      <c r="R938" s="13"/>
    </row>
    <row r="939" spans="2:18">
      <c r="C939" s="2" t="s">
        <v>18</v>
      </c>
      <c r="D939" s="2" t="s">
        <v>245</v>
      </c>
      <c r="E939" s="3">
        <v>820</v>
      </c>
      <c r="F939" s="3">
        <f>600/6</f>
        <v>100</v>
      </c>
      <c r="G939" s="4">
        <v>43223</v>
      </c>
    </row>
    <row r="940" spans="2:18">
      <c r="C940" s="2" t="s">
        <v>7</v>
      </c>
      <c r="D940" s="2" t="s">
        <v>245</v>
      </c>
      <c r="E940" s="3">
        <v>100</v>
      </c>
      <c r="F940" s="3">
        <v>50</v>
      </c>
      <c r="G940" s="4">
        <v>42576</v>
      </c>
    </row>
    <row r="941" spans="2:18">
      <c r="G941" s="4"/>
    </row>
    <row r="942" spans="2:18" s="12" customFormat="1">
      <c r="B942" s="12" t="s">
        <v>7630</v>
      </c>
      <c r="C942" s="13" t="s">
        <v>969</v>
      </c>
      <c r="D942" s="13" t="s">
        <v>968</v>
      </c>
      <c r="E942" s="15"/>
      <c r="F942" s="15">
        <f>SUM(F943:F954)</f>
        <v>147.95476190476191</v>
      </c>
      <c r="G942" s="14">
        <f>G943</f>
        <v>44776</v>
      </c>
    </row>
    <row r="943" spans="2:18">
      <c r="C943" s="2" t="s">
        <v>8</v>
      </c>
      <c r="D943" s="2" t="s">
        <v>448</v>
      </c>
      <c r="E943" s="3">
        <v>90</v>
      </c>
      <c r="F943" s="3">
        <v>20</v>
      </c>
      <c r="G943" s="4">
        <v>44776</v>
      </c>
      <c r="M943" s="1"/>
      <c r="N943" s="1"/>
      <c r="O943" s="1"/>
      <c r="P943" s="1"/>
      <c r="Q943" s="1"/>
      <c r="R943" s="1"/>
    </row>
    <row r="944" spans="2:18">
      <c r="C944" s="2" t="s">
        <v>8</v>
      </c>
      <c r="D944" s="2" t="s">
        <v>211</v>
      </c>
      <c r="E944" s="3">
        <v>700</v>
      </c>
      <c r="F944" s="3">
        <f>400/12</f>
        <v>33.333333333333336</v>
      </c>
      <c r="G944" s="4">
        <v>44218</v>
      </c>
      <c r="M944" s="1"/>
      <c r="N944" s="1"/>
      <c r="O944" s="1"/>
      <c r="P944" s="1"/>
      <c r="Q944" s="1"/>
      <c r="R944" s="1"/>
    </row>
    <row r="945" spans="2:18">
      <c r="C945" s="2" t="s">
        <v>7</v>
      </c>
      <c r="D945" s="2" t="s">
        <v>108</v>
      </c>
      <c r="E945" s="3">
        <v>37</v>
      </c>
      <c r="F945" s="3">
        <v>6.5</v>
      </c>
      <c r="G945" s="4">
        <v>43783</v>
      </c>
      <c r="M945" s="1"/>
      <c r="N945" s="1"/>
      <c r="O945" s="1"/>
      <c r="P945" s="1"/>
      <c r="Q945" s="1"/>
      <c r="R945" s="1"/>
    </row>
    <row r="946" spans="2:18">
      <c r="C946" s="2" t="s">
        <v>5</v>
      </c>
      <c r="D946" s="2" t="s">
        <v>108</v>
      </c>
      <c r="E946" s="3">
        <v>15</v>
      </c>
      <c r="F946" s="3">
        <f>E946/2</f>
        <v>7.5</v>
      </c>
      <c r="G946" s="4">
        <v>43262</v>
      </c>
      <c r="M946" s="1"/>
      <c r="N946" s="1"/>
      <c r="O946" s="1"/>
      <c r="P946" s="1"/>
      <c r="Q946" s="1"/>
      <c r="R946" s="1"/>
    </row>
    <row r="947" spans="2:18">
      <c r="C947" s="2" t="s">
        <v>8</v>
      </c>
      <c r="D947" s="2" t="s">
        <v>102</v>
      </c>
      <c r="E947" s="3">
        <v>30</v>
      </c>
      <c r="F947" s="3">
        <f>20/7</f>
        <v>2.8571428571428572</v>
      </c>
      <c r="G947" s="4">
        <v>43178</v>
      </c>
      <c r="M947" s="1"/>
      <c r="N947" s="1"/>
      <c r="O947" s="1"/>
      <c r="P947" s="1"/>
      <c r="Q947" s="1"/>
      <c r="R947" s="1"/>
    </row>
    <row r="948" spans="2:18">
      <c r="C948" s="2" t="s">
        <v>8</v>
      </c>
      <c r="D948" s="2" t="s">
        <v>102</v>
      </c>
      <c r="E948" s="3">
        <v>40</v>
      </c>
      <c r="F948" s="3">
        <v>7</v>
      </c>
      <c r="G948" s="4">
        <v>42493</v>
      </c>
      <c r="M948" s="1"/>
      <c r="N948" s="1"/>
      <c r="O948" s="1"/>
      <c r="P948" s="1"/>
      <c r="Q948" s="1"/>
      <c r="R948" s="1"/>
    </row>
    <row r="949" spans="2:18">
      <c r="C949" s="2" t="s">
        <v>18</v>
      </c>
      <c r="D949" s="2" t="s">
        <v>102</v>
      </c>
      <c r="E949" s="3">
        <v>24</v>
      </c>
      <c r="F949" s="3">
        <v>12</v>
      </c>
      <c r="G949" s="4">
        <v>41921</v>
      </c>
      <c r="M949" s="1"/>
      <c r="N949" s="1"/>
      <c r="O949" s="1"/>
      <c r="P949" s="1"/>
      <c r="Q949" s="1"/>
      <c r="R949" s="1"/>
    </row>
    <row r="950" spans="2:18">
      <c r="C950" s="52" t="s">
        <v>8</v>
      </c>
      <c r="D950" s="52" t="s">
        <v>4881</v>
      </c>
      <c r="E950" s="3">
        <v>83</v>
      </c>
      <c r="F950" s="3">
        <v>6.8</v>
      </c>
      <c r="G950" s="4">
        <v>44320</v>
      </c>
      <c r="I950" s="1">
        <v>3600</v>
      </c>
      <c r="J950" s="1">
        <v>3600</v>
      </c>
      <c r="M950" s="1"/>
      <c r="N950" s="1"/>
      <c r="O950" s="1"/>
      <c r="P950" s="1"/>
      <c r="Q950" s="1"/>
      <c r="R950" s="1"/>
    </row>
    <row r="951" spans="2:18">
      <c r="C951" s="52" t="s">
        <v>18</v>
      </c>
      <c r="D951" s="52" t="s">
        <v>4881</v>
      </c>
      <c r="E951" s="3">
        <v>100</v>
      </c>
      <c r="F951" s="3">
        <v>10</v>
      </c>
      <c r="G951" s="4">
        <v>43937</v>
      </c>
      <c r="I951" s="1">
        <v>1100</v>
      </c>
      <c r="J951" s="1">
        <v>3600</v>
      </c>
      <c r="M951" s="1"/>
      <c r="N951" s="1"/>
      <c r="O951" s="1"/>
      <c r="P951" s="1"/>
      <c r="Q951" s="1"/>
      <c r="R951" s="1"/>
    </row>
    <row r="952" spans="2:18">
      <c r="C952" s="52" t="s">
        <v>7</v>
      </c>
      <c r="D952" s="52" t="s">
        <v>4881</v>
      </c>
      <c r="E952" s="3">
        <v>25</v>
      </c>
      <c r="F952" s="3">
        <f>E952/4</f>
        <v>6.25</v>
      </c>
      <c r="G952" s="4">
        <v>43172</v>
      </c>
      <c r="J952" s="1">
        <v>3600</v>
      </c>
      <c r="M952" s="1"/>
      <c r="N952" s="1"/>
      <c r="O952" s="1"/>
      <c r="P952" s="1"/>
      <c r="Q952" s="1"/>
      <c r="R952" s="1"/>
    </row>
    <row r="953" spans="2:18">
      <c r="C953" s="55" t="s">
        <v>9</v>
      </c>
      <c r="D953" s="55" t="s">
        <v>2112</v>
      </c>
      <c r="E953" s="3">
        <v>100</v>
      </c>
      <c r="F953" s="3">
        <f>75/7</f>
        <v>10.714285714285714</v>
      </c>
      <c r="G953" s="4">
        <v>44507</v>
      </c>
      <c r="I953" s="1">
        <v>1600</v>
      </c>
      <c r="J953" s="1">
        <v>1600</v>
      </c>
      <c r="M953" s="1"/>
      <c r="N953" s="1"/>
      <c r="O953" s="1"/>
      <c r="P953" s="1"/>
      <c r="Q953" s="1"/>
      <c r="R953" s="1"/>
    </row>
    <row r="954" spans="2:18">
      <c r="C954" s="55" t="s">
        <v>8</v>
      </c>
      <c r="D954" s="55" t="s">
        <v>2112</v>
      </c>
      <c r="E954" s="3">
        <v>72.5</v>
      </c>
      <c r="F954" s="3">
        <v>25</v>
      </c>
      <c r="G954" s="4">
        <v>43697</v>
      </c>
      <c r="J954" s="1">
        <v>1600</v>
      </c>
      <c r="M954" s="1"/>
      <c r="N954" s="1"/>
      <c r="O954" s="1"/>
      <c r="P954" s="1"/>
      <c r="Q954" s="1"/>
      <c r="R954" s="1"/>
    </row>
    <row r="955" spans="2:18">
      <c r="G955" s="4"/>
      <c r="M955" s="1"/>
      <c r="N955" s="1"/>
      <c r="O955" s="1"/>
      <c r="P955" s="1"/>
      <c r="Q955" s="1"/>
      <c r="R955" s="1"/>
    </row>
    <row r="956" spans="2:18">
      <c r="B956" s="12" t="s">
        <v>1083</v>
      </c>
      <c r="C956" s="13" t="s">
        <v>969</v>
      </c>
      <c r="D956" s="13" t="s">
        <v>968</v>
      </c>
      <c r="E956" s="15"/>
      <c r="F956" s="15">
        <f>SUM(F957:F961)</f>
        <v>175.60728663446054</v>
      </c>
      <c r="G956" s="14">
        <f>G958</f>
        <v>44679</v>
      </c>
      <c r="I956" s="1">
        <v>7000</v>
      </c>
      <c r="J956" s="19">
        <f>+F956/I956</f>
        <v>2.5086755233494362E-2</v>
      </c>
      <c r="K956" s="1">
        <v>2012</v>
      </c>
    </row>
    <row r="957" spans="2:18">
      <c r="C957" s="2" t="s">
        <v>9</v>
      </c>
      <c r="D957" s="2" t="s">
        <v>803</v>
      </c>
      <c r="E957" s="3">
        <v>325</v>
      </c>
      <c r="F957" s="3">
        <f>32.5*2</f>
        <v>65</v>
      </c>
      <c r="G957" s="4">
        <v>44299</v>
      </c>
    </row>
    <row r="958" spans="2:18">
      <c r="C958" s="2" t="s">
        <v>5</v>
      </c>
      <c r="D958" s="2" t="s">
        <v>1082</v>
      </c>
      <c r="E958" s="3">
        <v>25</v>
      </c>
      <c r="F958" s="3">
        <v>15</v>
      </c>
      <c r="G958" s="4">
        <v>44679</v>
      </c>
    </row>
    <row r="959" spans="2:18">
      <c r="C959" s="177" t="s">
        <v>5</v>
      </c>
      <c r="D959" s="177" t="s">
        <v>2028</v>
      </c>
      <c r="E959" s="3">
        <v>18.5</v>
      </c>
      <c r="F959" s="3">
        <f>E959/4</f>
        <v>4.625</v>
      </c>
      <c r="G959" s="4">
        <v>44561</v>
      </c>
    </row>
    <row r="960" spans="2:18">
      <c r="C960" s="265" t="s">
        <v>2486</v>
      </c>
      <c r="D960" s="265" t="s">
        <v>1006</v>
      </c>
      <c r="E960" s="3">
        <v>1600</v>
      </c>
      <c r="F960" s="3">
        <f>1400/27</f>
        <v>51.851851851851855</v>
      </c>
      <c r="G960" s="4">
        <v>44439</v>
      </c>
      <c r="I960" s="1">
        <v>36000</v>
      </c>
      <c r="J960" s="1">
        <v>42500</v>
      </c>
    </row>
    <row r="961" spans="2:18">
      <c r="C961" s="265" t="s">
        <v>504</v>
      </c>
      <c r="D961" s="265" t="s">
        <v>1006</v>
      </c>
      <c r="E961" s="3">
        <v>1000</v>
      </c>
      <c r="F961" s="3">
        <f>900/23</f>
        <v>39.130434782608695</v>
      </c>
      <c r="G961" s="4">
        <v>44228</v>
      </c>
      <c r="I961" s="1">
        <v>27000</v>
      </c>
      <c r="J961" s="1">
        <v>42500</v>
      </c>
    </row>
    <row r="962" spans="2:18">
      <c r="G962" s="4"/>
    </row>
    <row r="963" spans="2:18" s="12" customFormat="1">
      <c r="B963" s="12" t="s">
        <v>249</v>
      </c>
      <c r="C963" s="13" t="s">
        <v>969</v>
      </c>
      <c r="D963" s="13" t="s">
        <v>968</v>
      </c>
      <c r="E963" s="15"/>
      <c r="F963" s="15">
        <f>SUM(F964:F966)</f>
        <v>146</v>
      </c>
      <c r="G963" s="14">
        <f>G965</f>
        <v>43923</v>
      </c>
      <c r="M963" s="13"/>
      <c r="N963" s="13"/>
      <c r="O963" s="13"/>
      <c r="P963" s="13"/>
      <c r="Q963" s="13"/>
      <c r="R963" s="13"/>
    </row>
    <row r="964" spans="2:18">
      <c r="C964" s="2" t="s">
        <v>18</v>
      </c>
      <c r="D964" s="2" t="s">
        <v>245</v>
      </c>
      <c r="E964" s="3">
        <v>820</v>
      </c>
      <c r="F964" s="3">
        <f>600/6</f>
        <v>100</v>
      </c>
      <c r="G964" s="4">
        <v>43223</v>
      </c>
    </row>
    <row r="965" spans="2:18">
      <c r="C965" s="2" t="s">
        <v>18</v>
      </c>
      <c r="D965" s="2" t="s">
        <v>211</v>
      </c>
      <c r="E965" s="3">
        <v>230</v>
      </c>
      <c r="F965" s="3">
        <v>38</v>
      </c>
      <c r="G965" s="4">
        <v>43923</v>
      </c>
    </row>
    <row r="966" spans="2:18">
      <c r="C966" s="2" t="s">
        <v>5</v>
      </c>
      <c r="D966" s="2" t="s">
        <v>161</v>
      </c>
      <c r="E966" s="3">
        <v>102</v>
      </c>
      <c r="F966" s="3">
        <v>8</v>
      </c>
      <c r="G966" s="4">
        <v>43292</v>
      </c>
      <c r="J966" s="1">
        <v>8400</v>
      </c>
    </row>
    <row r="967" spans="2:18">
      <c r="G967" s="4"/>
    </row>
    <row r="968" spans="2:18" s="12" customFormat="1">
      <c r="B968" s="12" t="s">
        <v>4327</v>
      </c>
      <c r="C968" s="13" t="s">
        <v>969</v>
      </c>
      <c r="D968" s="13" t="s">
        <v>968</v>
      </c>
      <c r="E968" s="15"/>
      <c r="F968" s="15">
        <f>SUM(F969:F970)</f>
        <v>140</v>
      </c>
      <c r="G968" s="14">
        <f>G969</f>
        <v>44237</v>
      </c>
      <c r="M968" s="13"/>
      <c r="N968" s="13"/>
      <c r="O968" s="13"/>
      <c r="P968" s="13"/>
      <c r="Q968" s="13"/>
      <c r="R968" s="13"/>
    </row>
    <row r="969" spans="2:18">
      <c r="C969" s="2" t="s">
        <v>8</v>
      </c>
      <c r="D969" s="2" t="s">
        <v>2134</v>
      </c>
      <c r="E969" s="3">
        <v>200</v>
      </c>
      <c r="F969" s="3">
        <v>40</v>
      </c>
      <c r="G969" s="4">
        <v>44237</v>
      </c>
    </row>
    <row r="970" spans="2:18">
      <c r="C970" s="2" t="s">
        <v>18</v>
      </c>
      <c r="D970" s="2" t="s">
        <v>2134</v>
      </c>
      <c r="E970" s="3">
        <v>100</v>
      </c>
      <c r="F970" s="3">
        <v>100</v>
      </c>
      <c r="G970" s="4">
        <v>44158</v>
      </c>
    </row>
    <row r="971" spans="2:18">
      <c r="G971" s="4"/>
    </row>
    <row r="972" spans="2:18" s="12" customFormat="1">
      <c r="B972" s="12" t="s">
        <v>257</v>
      </c>
      <c r="C972" s="13" t="s">
        <v>969</v>
      </c>
      <c r="D972" s="13" t="s">
        <v>968</v>
      </c>
      <c r="E972" s="15"/>
      <c r="F972" s="15">
        <f>SUM(F973:F974)</f>
        <v>137.5</v>
      </c>
      <c r="G972" s="14">
        <f>G973</f>
        <v>44502</v>
      </c>
      <c r="M972" s="13"/>
      <c r="N972" s="13"/>
      <c r="O972" s="13"/>
      <c r="P972" s="13"/>
      <c r="Q972" s="13"/>
      <c r="R972" s="13"/>
    </row>
    <row r="973" spans="2:18">
      <c r="C973" s="2" t="s">
        <v>8</v>
      </c>
      <c r="D973" s="2" t="s">
        <v>253</v>
      </c>
      <c r="E973" s="3">
        <v>600</v>
      </c>
      <c r="F973" s="3">
        <f>500/8</f>
        <v>62.5</v>
      </c>
      <c r="G973" s="4">
        <v>44502</v>
      </c>
    </row>
    <row r="974" spans="2:18">
      <c r="C974" s="2" t="s">
        <v>18</v>
      </c>
      <c r="D974" s="2" t="s">
        <v>253</v>
      </c>
      <c r="E974" s="3">
        <v>500</v>
      </c>
      <c r="F974" s="3">
        <v>75</v>
      </c>
      <c r="G974" s="4">
        <v>44144</v>
      </c>
    </row>
    <row r="975" spans="2:18">
      <c r="G975" s="4"/>
    </row>
    <row r="976" spans="2:18" s="12" customFormat="1">
      <c r="B976" s="12" t="s">
        <v>1099</v>
      </c>
      <c r="C976" s="13" t="s">
        <v>969</v>
      </c>
      <c r="D976" s="13" t="s">
        <v>968</v>
      </c>
      <c r="E976" s="15"/>
      <c r="F976" s="15">
        <f>SUM(F977:F989)</f>
        <v>134.83571428571429</v>
      </c>
      <c r="G976" s="14">
        <f>G977</f>
        <v>45090</v>
      </c>
      <c r="I976" s="12" t="s">
        <v>6704</v>
      </c>
    </row>
    <row r="977" spans="2:18">
      <c r="C977" s="2" t="s">
        <v>18</v>
      </c>
      <c r="D977" s="2" t="s">
        <v>403</v>
      </c>
      <c r="E977" s="3">
        <v>90</v>
      </c>
      <c r="F977" s="3">
        <v>15</v>
      </c>
      <c r="G977" s="4">
        <v>45090</v>
      </c>
      <c r="M977" s="1"/>
      <c r="N977" s="1"/>
      <c r="O977" s="1"/>
      <c r="P977" s="1"/>
      <c r="Q977" s="1"/>
      <c r="R977" s="1"/>
    </row>
    <row r="978" spans="2:18">
      <c r="C978" s="2" t="s">
        <v>7</v>
      </c>
      <c r="D978" s="2" t="s">
        <v>403</v>
      </c>
      <c r="E978" s="3">
        <v>50</v>
      </c>
      <c r="F978" s="3">
        <f>30/6</f>
        <v>5</v>
      </c>
      <c r="G978" s="4">
        <v>44538</v>
      </c>
      <c r="M978" s="1"/>
      <c r="N978" s="1"/>
      <c r="O978" s="1"/>
      <c r="P978" s="1"/>
      <c r="Q978" s="1"/>
      <c r="R978" s="1"/>
    </row>
    <row r="979" spans="2:18">
      <c r="C979" s="2" t="s">
        <v>5</v>
      </c>
      <c r="D979" s="2" t="s">
        <v>403</v>
      </c>
      <c r="E979" s="3">
        <v>12.5</v>
      </c>
      <c r="F979" s="3">
        <f>+E979/2</f>
        <v>6.25</v>
      </c>
      <c r="G979" s="4">
        <v>44306</v>
      </c>
      <c r="M979" s="1"/>
      <c r="N979" s="1"/>
      <c r="O979" s="1"/>
      <c r="P979" s="1"/>
      <c r="Q979" s="1"/>
      <c r="R979" s="1"/>
    </row>
    <row r="980" spans="2:18">
      <c r="C980" s="2" t="s">
        <v>18</v>
      </c>
      <c r="D980" s="2" t="s">
        <v>374</v>
      </c>
      <c r="E980" s="3">
        <v>130</v>
      </c>
      <c r="F980" s="3">
        <f>100/7</f>
        <v>14.285714285714286</v>
      </c>
      <c r="G980" s="4">
        <v>44323</v>
      </c>
      <c r="M980" s="1"/>
      <c r="N980" s="1"/>
      <c r="O980" s="1"/>
      <c r="P980" s="1"/>
      <c r="Q980" s="1"/>
      <c r="R980" s="1"/>
    </row>
    <row r="981" spans="2:18">
      <c r="C981" s="2" t="s">
        <v>7</v>
      </c>
      <c r="D981" s="2" t="s">
        <v>374</v>
      </c>
      <c r="E981" s="3">
        <v>44</v>
      </c>
      <c r="F981" s="3">
        <v>5</v>
      </c>
      <c r="G981" s="4">
        <v>43909</v>
      </c>
      <c r="M981" s="1"/>
      <c r="N981" s="1"/>
      <c r="O981" s="1"/>
      <c r="P981" s="1"/>
      <c r="Q981" s="1"/>
      <c r="R981" s="1"/>
    </row>
    <row r="982" spans="2:18">
      <c r="C982" s="2" t="s">
        <v>5</v>
      </c>
      <c r="D982" s="2" t="s">
        <v>374</v>
      </c>
      <c r="E982" s="3">
        <v>15</v>
      </c>
      <c r="F982" s="3">
        <v>5</v>
      </c>
      <c r="G982" s="4">
        <v>43452</v>
      </c>
      <c r="M982" s="1"/>
      <c r="N982" s="1"/>
      <c r="O982" s="1"/>
      <c r="P982" s="1"/>
      <c r="Q982" s="1"/>
      <c r="R982" s="1"/>
    </row>
    <row r="983" spans="2:18">
      <c r="C983" s="2" t="s">
        <v>9</v>
      </c>
      <c r="D983" s="2" t="s">
        <v>154</v>
      </c>
      <c r="E983" s="3">
        <v>400</v>
      </c>
      <c r="F983" s="3">
        <v>36</v>
      </c>
      <c r="G983" s="4">
        <v>44413</v>
      </c>
      <c r="M983" s="1"/>
      <c r="N983" s="1"/>
      <c r="O983" s="1"/>
      <c r="P983" s="1"/>
      <c r="Q983" s="1"/>
      <c r="R983" s="1"/>
    </row>
    <row r="984" spans="2:18">
      <c r="C984" s="2" t="s">
        <v>8</v>
      </c>
      <c r="D984" s="2" t="s">
        <v>154</v>
      </c>
      <c r="E984" s="3">
        <v>100</v>
      </c>
      <c r="F984" s="3">
        <f>75/6</f>
        <v>12.5</v>
      </c>
      <c r="G984" s="4">
        <v>44067</v>
      </c>
      <c r="M984" s="1"/>
      <c r="N984" s="1"/>
      <c r="O984" s="1"/>
      <c r="P984" s="1"/>
      <c r="Q984" s="1"/>
      <c r="R984" s="1"/>
    </row>
    <row r="985" spans="2:18">
      <c r="C985" s="2" t="s">
        <v>18</v>
      </c>
      <c r="D985" s="2" t="s">
        <v>154</v>
      </c>
      <c r="E985" s="3">
        <v>101</v>
      </c>
      <c r="F985" s="3">
        <f>60/4</f>
        <v>15</v>
      </c>
      <c r="G985" s="4">
        <v>43453</v>
      </c>
      <c r="M985" s="1"/>
      <c r="N985" s="1"/>
      <c r="O985" s="1"/>
      <c r="P985" s="1"/>
      <c r="Q985" s="1"/>
      <c r="R985" s="1"/>
    </row>
    <row r="986" spans="2:18">
      <c r="C986" s="2" t="s">
        <v>7</v>
      </c>
      <c r="D986" s="2" t="s">
        <v>154</v>
      </c>
      <c r="E986" s="3">
        <v>14</v>
      </c>
      <c r="F986" s="3">
        <v>10</v>
      </c>
      <c r="G986" s="4">
        <v>42668</v>
      </c>
      <c r="M986" s="1"/>
      <c r="N986" s="1"/>
      <c r="O986" s="1"/>
      <c r="P986" s="1"/>
      <c r="Q986" s="1"/>
      <c r="R986" s="1"/>
    </row>
    <row r="987" spans="2:18">
      <c r="C987" s="177" t="s">
        <v>5</v>
      </c>
      <c r="D987" s="177" t="s">
        <v>2027</v>
      </c>
      <c r="E987" s="3">
        <v>21</v>
      </c>
      <c r="F987" s="3">
        <f>12/3</f>
        <v>4</v>
      </c>
      <c r="G987" s="4">
        <v>44334</v>
      </c>
      <c r="M987" s="1"/>
      <c r="N987" s="1"/>
      <c r="O987" s="1"/>
      <c r="P987" s="1"/>
      <c r="Q987" s="1"/>
      <c r="R987" s="1"/>
    </row>
    <row r="988" spans="2:18">
      <c r="C988" s="177" t="s">
        <v>5</v>
      </c>
      <c r="D988" s="177" t="s">
        <v>2023</v>
      </c>
      <c r="E988" s="3">
        <v>15.3</v>
      </c>
      <c r="F988" s="3">
        <v>5.3</v>
      </c>
      <c r="G988" s="4">
        <v>44733</v>
      </c>
      <c r="M988" s="1"/>
      <c r="N988" s="1"/>
      <c r="O988" s="1"/>
      <c r="P988" s="1"/>
      <c r="Q988" s="1"/>
      <c r="R988" s="1"/>
    </row>
    <row r="989" spans="2:18">
      <c r="C989" s="177" t="s">
        <v>4</v>
      </c>
      <c r="D989" s="177" t="s">
        <v>2023</v>
      </c>
      <c r="E989" s="3">
        <v>3.5</v>
      </c>
      <c r="F989" s="3">
        <v>1.5</v>
      </c>
      <c r="G989" s="4">
        <v>44609</v>
      </c>
      <c r="M989" s="1"/>
      <c r="N989" s="1"/>
      <c r="O989" s="1"/>
      <c r="P989" s="1"/>
      <c r="Q989" s="1"/>
      <c r="R989" s="1"/>
    </row>
    <row r="990" spans="2:18">
      <c r="G990" s="4"/>
      <c r="M990" s="1"/>
      <c r="N990" s="1"/>
      <c r="O990" s="1"/>
      <c r="P990" s="1"/>
      <c r="Q990" s="1"/>
      <c r="R990" s="1"/>
    </row>
    <row r="991" spans="2:18" s="12" customFormat="1">
      <c r="B991" s="12" t="s">
        <v>193</v>
      </c>
      <c r="C991" s="13" t="s">
        <v>969</v>
      </c>
      <c r="D991" s="13" t="s">
        <v>968</v>
      </c>
      <c r="E991" s="15"/>
      <c r="F991" s="15">
        <f>SUM(F992:F995)</f>
        <v>131.18333333333334</v>
      </c>
      <c r="G991" s="14">
        <f>G993</f>
        <v>44384</v>
      </c>
      <c r="M991" s="13"/>
      <c r="N991" s="13"/>
      <c r="O991" s="13"/>
      <c r="P991" s="13"/>
      <c r="Q991" s="13"/>
      <c r="R991" s="13"/>
    </row>
    <row r="992" spans="2:18">
      <c r="C992" s="2" t="s">
        <v>53</v>
      </c>
      <c r="D992" s="2" t="s">
        <v>176</v>
      </c>
      <c r="E992" s="3">
        <v>475</v>
      </c>
      <c r="F992" s="3">
        <f>E992/12</f>
        <v>39.583333333333336</v>
      </c>
      <c r="G992" s="4">
        <v>44278</v>
      </c>
    </row>
    <row r="993" spans="2:18">
      <c r="C993" s="2" t="s">
        <v>18</v>
      </c>
      <c r="D993" s="2" t="s">
        <v>192</v>
      </c>
      <c r="E993" s="3">
        <v>235</v>
      </c>
      <c r="F993" s="3">
        <v>75</v>
      </c>
      <c r="G993" s="4">
        <v>44384</v>
      </c>
    </row>
    <row r="994" spans="2:18">
      <c r="C994" s="2" t="s">
        <v>7</v>
      </c>
      <c r="D994" s="2" t="s">
        <v>192</v>
      </c>
      <c r="E994" s="3">
        <v>43</v>
      </c>
      <c r="F994" s="3">
        <f>+E994/5</f>
        <v>8.6</v>
      </c>
      <c r="G994" s="4">
        <v>44077</v>
      </c>
    </row>
    <row r="995" spans="2:18">
      <c r="C995" s="2" t="s">
        <v>5</v>
      </c>
      <c r="D995" s="2" t="s">
        <v>192</v>
      </c>
      <c r="E995" s="3">
        <v>28</v>
      </c>
      <c r="F995" s="3">
        <v>8</v>
      </c>
      <c r="G995" s="4">
        <v>43301</v>
      </c>
    </row>
    <row r="996" spans="2:18">
      <c r="G996" s="4"/>
    </row>
    <row r="997" spans="2:18" s="12" customFormat="1">
      <c r="B997" s="12" t="s">
        <v>558</v>
      </c>
      <c r="C997" s="13" t="s">
        <v>969</v>
      </c>
      <c r="D997" s="13" t="s">
        <v>968</v>
      </c>
      <c r="E997" s="15"/>
      <c r="F997" s="15">
        <f>SUM(F998:F1000)</f>
        <v>130.5</v>
      </c>
      <c r="G997" s="14">
        <f>G998</f>
        <v>45077</v>
      </c>
    </row>
    <row r="998" spans="2:18">
      <c r="C998" s="2" t="s">
        <v>7</v>
      </c>
      <c r="D998" s="2" t="s">
        <v>548</v>
      </c>
      <c r="E998" s="3">
        <v>20</v>
      </c>
      <c r="F998" s="3">
        <v>8</v>
      </c>
      <c r="G998" s="4">
        <v>45077</v>
      </c>
      <c r="M998" s="1"/>
      <c r="N998" s="1"/>
      <c r="O998" s="1"/>
      <c r="P998" s="1"/>
      <c r="Q998" s="1"/>
      <c r="R998" s="1"/>
    </row>
    <row r="999" spans="2:18">
      <c r="C999" s="2" t="s">
        <v>8</v>
      </c>
      <c r="D999" s="2" t="s">
        <v>232</v>
      </c>
      <c r="E999" s="3">
        <v>750</v>
      </c>
      <c r="F999" s="3">
        <f>450/4</f>
        <v>112.5</v>
      </c>
      <c r="G999" s="4">
        <v>43593</v>
      </c>
      <c r="M999" s="1"/>
      <c r="N999" s="1"/>
      <c r="O999" s="1"/>
      <c r="P999" s="1"/>
      <c r="Q999" s="1"/>
      <c r="R999" s="1"/>
    </row>
    <row r="1000" spans="2:18">
      <c r="C1000" s="2" t="s">
        <v>7</v>
      </c>
      <c r="D1000" s="2" t="s">
        <v>87</v>
      </c>
      <c r="E1000" s="3">
        <v>25</v>
      </c>
      <c r="F1000" s="3">
        <v>10</v>
      </c>
      <c r="G1000" s="4">
        <v>44642</v>
      </c>
      <c r="M1000" s="1"/>
      <c r="N1000" s="1"/>
      <c r="O1000" s="1"/>
      <c r="P1000" s="1"/>
      <c r="Q1000" s="1"/>
      <c r="R1000" s="1"/>
    </row>
    <row r="1001" spans="2:18">
      <c r="G1001" s="4"/>
      <c r="M1001" s="1"/>
      <c r="N1001" s="1"/>
      <c r="O1001" s="1"/>
      <c r="P1001" s="1"/>
      <c r="Q1001" s="1"/>
      <c r="R1001" s="1"/>
    </row>
    <row r="1002" spans="2:18" s="12" customFormat="1">
      <c r="B1002" s="12" t="s">
        <v>170</v>
      </c>
      <c r="C1002" s="13" t="s">
        <v>969</v>
      </c>
      <c r="D1002" s="13" t="s">
        <v>968</v>
      </c>
      <c r="E1002" s="15"/>
      <c r="F1002" s="15">
        <f>SUM(F1003:F1004)</f>
        <v>131</v>
      </c>
      <c r="G1002" s="14">
        <f>G1003</f>
        <v>43886</v>
      </c>
      <c r="M1002" s="13"/>
      <c r="N1002" s="13"/>
      <c r="O1002" s="13"/>
      <c r="P1002" s="13"/>
      <c r="Q1002" s="13"/>
      <c r="R1002" s="13"/>
    </row>
    <row r="1003" spans="2:18">
      <c r="C1003" s="2" t="s">
        <v>7</v>
      </c>
      <c r="D1003" s="2" t="s">
        <v>161</v>
      </c>
      <c r="E1003" s="3">
        <v>462</v>
      </c>
      <c r="F1003" s="3">
        <f>162/2</f>
        <v>81</v>
      </c>
      <c r="G1003" s="4">
        <v>43886</v>
      </c>
      <c r="I1003" s="1">
        <v>2500</v>
      </c>
      <c r="J1003" s="1">
        <v>8400</v>
      </c>
    </row>
    <row r="1004" spans="2:18">
      <c r="C1004" s="2" t="s">
        <v>7</v>
      </c>
      <c r="D1004" s="2" t="s">
        <v>161</v>
      </c>
      <c r="E1004" s="3">
        <v>50</v>
      </c>
      <c r="F1004" s="3">
        <v>50</v>
      </c>
      <c r="G1004" s="4">
        <v>43566</v>
      </c>
    </row>
    <row r="1005" spans="2:18">
      <c r="G1005" s="4"/>
    </row>
    <row r="1006" spans="2:18" s="12" customFormat="1">
      <c r="B1006" s="12" t="s">
        <v>1085</v>
      </c>
      <c r="C1006" s="13" t="s">
        <v>969</v>
      </c>
      <c r="D1006" s="13" t="s">
        <v>968</v>
      </c>
      <c r="E1006" s="15"/>
      <c r="F1006" s="15">
        <f>SUM(F1007:F1024)</f>
        <v>131.30000000000001</v>
      </c>
      <c r="G1006" s="14">
        <f>G1008</f>
        <v>45005</v>
      </c>
      <c r="M1006" s="13"/>
      <c r="N1006" s="13"/>
      <c r="O1006" s="13"/>
      <c r="P1006" s="13"/>
      <c r="Q1006" s="13"/>
      <c r="R1006" s="13"/>
    </row>
    <row r="1007" spans="2:18">
      <c r="C1007" s="2" t="s">
        <v>5</v>
      </c>
      <c r="D1007" s="2" t="s">
        <v>682</v>
      </c>
      <c r="E1007" s="3">
        <v>15</v>
      </c>
      <c r="F1007" s="3">
        <v>5</v>
      </c>
      <c r="G1007" s="4">
        <v>44838</v>
      </c>
    </row>
    <row r="1008" spans="2:18">
      <c r="C1008" s="2" t="s">
        <v>5</v>
      </c>
      <c r="D1008" s="2" t="s">
        <v>688</v>
      </c>
      <c r="E1008" s="3">
        <v>13</v>
      </c>
      <c r="F1008" s="3">
        <v>3</v>
      </c>
      <c r="G1008" s="4">
        <v>45005</v>
      </c>
    </row>
    <row r="1009" spans="3:10">
      <c r="C1009" s="2" t="s">
        <v>5</v>
      </c>
      <c r="D1009" s="2" t="s">
        <v>640</v>
      </c>
      <c r="E1009" s="3">
        <v>11</v>
      </c>
      <c r="F1009" s="3">
        <v>7</v>
      </c>
      <c r="G1009" s="4">
        <v>44959</v>
      </c>
    </row>
    <row r="1010" spans="3:10">
      <c r="C1010" s="2" t="s">
        <v>8</v>
      </c>
      <c r="D1010" s="2" t="s">
        <v>1084</v>
      </c>
      <c r="E1010" s="3">
        <v>90</v>
      </c>
      <c r="F1010" s="3">
        <v>5</v>
      </c>
      <c r="G1010" s="4">
        <v>44776</v>
      </c>
    </row>
    <row r="1011" spans="3:10">
      <c r="C1011" s="2" t="s">
        <v>18</v>
      </c>
      <c r="D1011" s="2" t="s">
        <v>1084</v>
      </c>
      <c r="E1011" s="3">
        <v>40</v>
      </c>
      <c r="F1011" s="3">
        <v>3.75</v>
      </c>
      <c r="G1011" s="4">
        <v>44176</v>
      </c>
    </row>
    <row r="1012" spans="3:10">
      <c r="C1012" s="2" t="s">
        <v>7</v>
      </c>
      <c r="D1012" s="2" t="s">
        <v>1084</v>
      </c>
      <c r="E1012" s="3">
        <v>20</v>
      </c>
      <c r="F1012" s="3">
        <v>5</v>
      </c>
      <c r="G1012" s="4">
        <v>43879</v>
      </c>
    </row>
    <row r="1013" spans="3:10">
      <c r="C1013" s="2" t="s">
        <v>8</v>
      </c>
      <c r="D1013" s="2" t="s">
        <v>131</v>
      </c>
      <c r="E1013" s="3">
        <v>135</v>
      </c>
      <c r="F1013" s="3">
        <v>8</v>
      </c>
      <c r="G1013" s="4">
        <v>44880</v>
      </c>
      <c r="I1013" s="1">
        <v>615</v>
      </c>
    </row>
    <row r="1014" spans="3:10">
      <c r="C1014" s="2" t="s">
        <v>7</v>
      </c>
      <c r="D1014" s="2" t="s">
        <v>131</v>
      </c>
      <c r="E1014" s="3">
        <v>32</v>
      </c>
      <c r="F1014" s="3">
        <f>20/4</f>
        <v>5</v>
      </c>
      <c r="G1014" s="4">
        <v>42528</v>
      </c>
    </row>
    <row r="1015" spans="3:10">
      <c r="C1015" s="2" t="s">
        <v>8</v>
      </c>
      <c r="D1015" s="2" t="s">
        <v>55</v>
      </c>
      <c r="E1015" s="3">
        <v>200</v>
      </c>
      <c r="F1015" s="3">
        <v>18.75</v>
      </c>
      <c r="G1015" s="4">
        <v>44055</v>
      </c>
      <c r="I1015" s="1">
        <v>2000</v>
      </c>
      <c r="J1015" s="1">
        <v>7000</v>
      </c>
    </row>
    <row r="1016" spans="3:10">
      <c r="C1016" s="2" t="s">
        <v>18</v>
      </c>
      <c r="D1016" s="2" t="s">
        <v>55</v>
      </c>
      <c r="E1016" s="3">
        <v>65</v>
      </c>
      <c r="F1016" s="3">
        <v>8</v>
      </c>
      <c r="G1016" s="4">
        <v>43802</v>
      </c>
      <c r="I1016" s="1">
        <v>685</v>
      </c>
      <c r="J1016" s="1">
        <v>7000</v>
      </c>
    </row>
    <row r="1017" spans="3:10">
      <c r="C1017" s="2" t="s">
        <v>7</v>
      </c>
      <c r="D1017" s="2" t="s">
        <v>55</v>
      </c>
      <c r="E1017" s="3">
        <v>40</v>
      </c>
      <c r="F1017" s="3">
        <v>6.25</v>
      </c>
      <c r="G1017" s="4">
        <v>43503</v>
      </c>
      <c r="J1017" s="1">
        <v>7000</v>
      </c>
    </row>
    <row r="1018" spans="3:10">
      <c r="C1018" s="2" t="s">
        <v>5</v>
      </c>
      <c r="D1018" s="2" t="s">
        <v>55</v>
      </c>
      <c r="E1018" s="3">
        <v>22</v>
      </c>
      <c r="F1018" s="3">
        <v>10</v>
      </c>
      <c r="G1018" s="4">
        <v>46550</v>
      </c>
      <c r="J1018" s="1">
        <v>7000</v>
      </c>
    </row>
    <row r="1019" spans="3:10">
      <c r="C1019" s="2" t="s">
        <v>4</v>
      </c>
      <c r="D1019" s="2" t="s">
        <v>55</v>
      </c>
      <c r="E1019" s="3">
        <v>6</v>
      </c>
      <c r="F1019" s="3">
        <v>6</v>
      </c>
      <c r="G1019" s="4">
        <v>42542</v>
      </c>
      <c r="J1019" s="1">
        <v>7000</v>
      </c>
    </row>
    <row r="1020" spans="3:10">
      <c r="C1020" s="52" t="s">
        <v>8</v>
      </c>
      <c r="D1020" s="52" t="s">
        <v>4881</v>
      </c>
      <c r="E1020" s="3">
        <v>83</v>
      </c>
      <c r="F1020" s="3">
        <f>68/10</f>
        <v>6.8</v>
      </c>
      <c r="G1020" s="4">
        <v>44320</v>
      </c>
      <c r="I1020" s="1">
        <v>3600</v>
      </c>
      <c r="J1020" s="1">
        <v>9000</v>
      </c>
    </row>
    <row r="1021" spans="3:10">
      <c r="C1021" s="52" t="s">
        <v>18</v>
      </c>
      <c r="D1021" s="52" t="s">
        <v>4881</v>
      </c>
      <c r="E1021" s="3">
        <v>100</v>
      </c>
      <c r="F1021" s="3">
        <v>10</v>
      </c>
      <c r="G1021" s="4">
        <v>43937</v>
      </c>
      <c r="I1021" s="1">
        <v>1100</v>
      </c>
      <c r="J1021" s="1">
        <v>9000</v>
      </c>
    </row>
    <row r="1022" spans="3:10">
      <c r="C1022" s="52" t="s">
        <v>7</v>
      </c>
      <c r="D1022" s="52" t="s">
        <v>4881</v>
      </c>
      <c r="E1022" s="3">
        <v>40</v>
      </c>
      <c r="F1022" s="3">
        <v>10</v>
      </c>
      <c r="G1022" s="4">
        <v>43522</v>
      </c>
      <c r="J1022" s="1">
        <v>9000</v>
      </c>
    </row>
    <row r="1023" spans="3:10">
      <c r="C1023" s="52" t="s">
        <v>5</v>
      </c>
      <c r="D1023" s="52" t="s">
        <v>4881</v>
      </c>
      <c r="E1023" s="3">
        <v>25</v>
      </c>
      <c r="F1023" s="3">
        <f>E1023/4</f>
        <v>6.25</v>
      </c>
      <c r="G1023" s="4">
        <v>43172</v>
      </c>
      <c r="J1023" s="1">
        <v>9000</v>
      </c>
    </row>
    <row r="1024" spans="3:10">
      <c r="C1024" s="52" t="s">
        <v>5</v>
      </c>
      <c r="D1024" s="52" t="s">
        <v>4881</v>
      </c>
      <c r="E1024" s="3">
        <v>15</v>
      </c>
      <c r="F1024" s="3">
        <f>E1024/2</f>
        <v>7.5</v>
      </c>
      <c r="G1024" s="4">
        <v>42371</v>
      </c>
      <c r="J1024" s="1">
        <v>9000</v>
      </c>
    </row>
    <row r="1025" spans="2:10">
      <c r="G1025" s="4"/>
    </row>
    <row r="1026" spans="2:10">
      <c r="B1026" s="12" t="s">
        <v>1101</v>
      </c>
      <c r="C1026" s="13" t="s">
        <v>969</v>
      </c>
      <c r="D1026" s="13" t="s">
        <v>968</v>
      </c>
      <c r="F1026" s="15">
        <f>SUM(F1027:F1047)</f>
        <v>131.66666666666669</v>
      </c>
      <c r="G1026" s="14">
        <f>+G1047</f>
        <v>45061</v>
      </c>
    </row>
    <row r="1027" spans="2:10">
      <c r="B1027" s="12"/>
      <c r="C1027" s="2" t="s">
        <v>7</v>
      </c>
      <c r="D1027" s="2" t="s">
        <v>949</v>
      </c>
      <c r="E1027" s="3">
        <v>350</v>
      </c>
      <c r="F1027" s="3">
        <v>20</v>
      </c>
      <c r="G1027" s="4">
        <v>44999</v>
      </c>
    </row>
    <row r="1028" spans="2:10">
      <c r="C1028" s="2" t="s">
        <v>18</v>
      </c>
      <c r="D1028" s="2" t="s">
        <v>926</v>
      </c>
      <c r="E1028" s="3">
        <v>100</v>
      </c>
      <c r="F1028" s="3">
        <v>9</v>
      </c>
      <c r="G1028" s="4">
        <v>44690</v>
      </c>
      <c r="J1028" s="1">
        <v>4300</v>
      </c>
    </row>
    <row r="1029" spans="2:10">
      <c r="C1029" s="2" t="s">
        <v>4</v>
      </c>
      <c r="D1029" s="2" t="s">
        <v>926</v>
      </c>
      <c r="E1029" s="3">
        <v>4</v>
      </c>
      <c r="F1029" s="3">
        <v>1</v>
      </c>
      <c r="G1029" s="4">
        <v>43243</v>
      </c>
      <c r="J1029" s="1">
        <v>4300</v>
      </c>
    </row>
    <row r="1030" spans="2:10">
      <c r="C1030" s="2" t="s">
        <v>550</v>
      </c>
      <c r="D1030" s="2" t="s">
        <v>926</v>
      </c>
      <c r="E1030" s="3">
        <v>1.2</v>
      </c>
      <c r="F1030" s="3">
        <v>0.2</v>
      </c>
      <c r="G1030" s="4">
        <v>42799</v>
      </c>
      <c r="J1030" s="1">
        <v>4300</v>
      </c>
    </row>
    <row r="1031" spans="2:10">
      <c r="C1031" s="2" t="s">
        <v>5</v>
      </c>
      <c r="D1031" s="2" t="s">
        <v>935</v>
      </c>
      <c r="E1031" s="3">
        <v>150</v>
      </c>
      <c r="F1031" s="3">
        <v>10</v>
      </c>
      <c r="G1031" s="4">
        <v>45008</v>
      </c>
    </row>
    <row r="1032" spans="2:10">
      <c r="C1032" s="2" t="s">
        <v>4</v>
      </c>
      <c r="D1032" s="2" t="s">
        <v>1005</v>
      </c>
      <c r="E1032" s="3">
        <v>5</v>
      </c>
      <c r="F1032" s="3">
        <v>1</v>
      </c>
      <c r="G1032" s="4">
        <v>43438</v>
      </c>
    </row>
    <row r="1033" spans="2:10">
      <c r="C1033" s="2" t="s">
        <v>4</v>
      </c>
      <c r="D1033" s="2" t="s">
        <v>690</v>
      </c>
      <c r="E1033" s="3">
        <v>30</v>
      </c>
      <c r="F1033" s="3">
        <v>5</v>
      </c>
      <c r="G1033" s="4">
        <v>44742</v>
      </c>
    </row>
    <row r="1034" spans="2:10">
      <c r="C1034" s="2" t="s">
        <v>5</v>
      </c>
      <c r="D1034" s="2" t="s">
        <v>684</v>
      </c>
      <c r="E1034" s="3">
        <v>21</v>
      </c>
      <c r="F1034" s="3">
        <f>11/3</f>
        <v>3.6666666666666665</v>
      </c>
      <c r="G1034" s="4">
        <v>45027</v>
      </c>
    </row>
    <row r="1035" spans="2:10">
      <c r="C1035" s="2" t="s">
        <v>7</v>
      </c>
      <c r="D1035" s="2" t="s">
        <v>907</v>
      </c>
      <c r="E1035" s="3">
        <v>97.4</v>
      </c>
      <c r="F1035" s="3">
        <f>47/6</f>
        <v>7.833333333333333</v>
      </c>
      <c r="G1035" s="4">
        <v>45041</v>
      </c>
    </row>
    <row r="1036" spans="2:10">
      <c r="C1036" s="2" t="s">
        <v>278</v>
      </c>
      <c r="D1036" s="2" t="s">
        <v>776</v>
      </c>
      <c r="E1036" s="3">
        <v>4.5</v>
      </c>
      <c r="F1036" s="3">
        <v>1</v>
      </c>
      <c r="G1036" s="4">
        <v>44691</v>
      </c>
    </row>
    <row r="1037" spans="2:10">
      <c r="C1037" s="2" t="s">
        <v>5</v>
      </c>
      <c r="D1037" s="2" t="s">
        <v>1069</v>
      </c>
      <c r="E1037" s="3">
        <v>5.3</v>
      </c>
      <c r="F1037" s="3">
        <v>2.5</v>
      </c>
      <c r="G1037" s="4">
        <v>44978</v>
      </c>
    </row>
    <row r="1038" spans="2:10">
      <c r="C1038" s="2" t="s">
        <v>5</v>
      </c>
      <c r="D1038" s="2" t="s">
        <v>520</v>
      </c>
      <c r="E1038" s="3">
        <v>7</v>
      </c>
      <c r="F1038" s="3">
        <v>1</v>
      </c>
      <c r="G1038" s="4">
        <v>42885</v>
      </c>
    </row>
    <row r="1039" spans="2:10">
      <c r="C1039" s="2" t="s">
        <v>4</v>
      </c>
      <c r="D1039" s="2" t="s">
        <v>520</v>
      </c>
      <c r="E1039" s="3">
        <v>3</v>
      </c>
      <c r="F1039" s="3">
        <v>0.5</v>
      </c>
      <c r="G1039" s="4">
        <v>42606</v>
      </c>
    </row>
    <row r="1040" spans="2:10">
      <c r="C1040" s="2" t="s">
        <v>7</v>
      </c>
      <c r="D1040" s="2" t="s">
        <v>1100</v>
      </c>
      <c r="E1040" s="3">
        <v>18</v>
      </c>
      <c r="F1040" s="3">
        <v>4.5</v>
      </c>
      <c r="G1040" s="4">
        <v>44831</v>
      </c>
    </row>
    <row r="1041" spans="2:18">
      <c r="C1041" s="2" t="s">
        <v>5</v>
      </c>
      <c r="D1041" s="2" t="s">
        <v>1100</v>
      </c>
      <c r="E1041" s="3">
        <v>18.5</v>
      </c>
      <c r="F1041" s="3">
        <v>5</v>
      </c>
      <c r="G1041" s="4">
        <v>44658</v>
      </c>
    </row>
    <row r="1042" spans="2:18">
      <c r="C1042" s="2" t="s">
        <v>4</v>
      </c>
      <c r="D1042" s="2" t="s">
        <v>424</v>
      </c>
      <c r="E1042" s="3">
        <v>7</v>
      </c>
      <c r="F1042" s="3">
        <v>0.83333333333333337</v>
      </c>
      <c r="G1042" s="4">
        <v>43046</v>
      </c>
    </row>
    <row r="1043" spans="2:18">
      <c r="C1043" s="2" t="s">
        <v>4</v>
      </c>
      <c r="D1043" s="2" t="s">
        <v>302</v>
      </c>
      <c r="E1043" s="3">
        <v>1.8</v>
      </c>
      <c r="F1043" s="3">
        <f>+E1043/9</f>
        <v>0.2</v>
      </c>
      <c r="G1043" s="4">
        <v>42690</v>
      </c>
    </row>
    <row r="1044" spans="2:18">
      <c r="C1044" s="2" t="s">
        <v>7</v>
      </c>
      <c r="D1044" s="2" t="s">
        <v>74</v>
      </c>
      <c r="E1044" s="3">
        <v>25</v>
      </c>
      <c r="F1044" s="3">
        <v>5</v>
      </c>
      <c r="G1044" s="4">
        <v>42723</v>
      </c>
      <c r="I1044" s="1">
        <v>245</v>
      </c>
      <c r="J1044" s="1">
        <v>3800</v>
      </c>
    </row>
    <row r="1045" spans="2:18">
      <c r="C1045" s="2" t="s">
        <v>1</v>
      </c>
      <c r="D1045" s="2" t="s">
        <v>0</v>
      </c>
      <c r="E1045" s="3">
        <v>300</v>
      </c>
      <c r="F1045" s="3">
        <v>50</v>
      </c>
      <c r="G1045" s="4">
        <v>45044</v>
      </c>
      <c r="I1045" s="1">
        <v>28700</v>
      </c>
      <c r="J1045" s="1">
        <v>28700</v>
      </c>
    </row>
    <row r="1046" spans="2:18">
      <c r="C1046" s="92" t="s">
        <v>5</v>
      </c>
      <c r="D1046" s="92" t="s">
        <v>1144</v>
      </c>
      <c r="E1046" s="3">
        <v>19</v>
      </c>
      <c r="F1046" s="3">
        <f>11/6</f>
        <v>1.8333333333333333</v>
      </c>
      <c r="G1046" s="4">
        <v>45097</v>
      </c>
      <c r="I1046" s="1">
        <v>100</v>
      </c>
      <c r="J1046" s="1">
        <v>100</v>
      </c>
    </row>
    <row r="1047" spans="2:18">
      <c r="C1047" s="331" t="s">
        <v>4</v>
      </c>
      <c r="D1047" s="331" t="s">
        <v>9424</v>
      </c>
      <c r="E1047" s="3">
        <v>20</v>
      </c>
      <c r="F1047" s="3">
        <v>1.6</v>
      </c>
      <c r="G1047" s="4">
        <v>45061</v>
      </c>
    </row>
    <row r="1048" spans="2:18">
      <c r="G1048" s="4"/>
    </row>
    <row r="1049" spans="2:18" s="12" customFormat="1">
      <c r="B1049" s="12" t="s">
        <v>6705</v>
      </c>
      <c r="C1049" s="13" t="s">
        <v>969</v>
      </c>
      <c r="D1049" s="13" t="s">
        <v>968</v>
      </c>
      <c r="E1049" s="15"/>
      <c r="F1049" s="15">
        <f>SUM(F1050:F1057)</f>
        <v>130.82619047619048</v>
      </c>
      <c r="G1049" s="14">
        <f>G1051</f>
        <v>44811</v>
      </c>
      <c r="M1049" s="13"/>
      <c r="N1049" s="13"/>
      <c r="O1049" s="13"/>
      <c r="P1049" s="13"/>
      <c r="Q1049" s="13"/>
      <c r="R1049" s="13"/>
    </row>
    <row r="1050" spans="2:18">
      <c r="C1050" s="2" t="s">
        <v>4</v>
      </c>
      <c r="D1050" s="2" t="s">
        <v>678</v>
      </c>
      <c r="E1050" s="3">
        <v>15</v>
      </c>
      <c r="F1050" s="3">
        <f>15/7</f>
        <v>2.1428571428571428</v>
      </c>
      <c r="G1050" s="4">
        <v>44691</v>
      </c>
    </row>
    <row r="1051" spans="2:18">
      <c r="C1051" s="2" t="s">
        <v>7</v>
      </c>
      <c r="D1051" s="2" t="s">
        <v>542</v>
      </c>
      <c r="E1051" s="3">
        <v>40</v>
      </c>
      <c r="F1051" s="3">
        <f>25/4</f>
        <v>6.25</v>
      </c>
      <c r="G1051" s="4">
        <v>44811</v>
      </c>
    </row>
    <row r="1052" spans="2:18">
      <c r="C1052" s="2" t="s">
        <v>5</v>
      </c>
      <c r="D1052" s="2" t="s">
        <v>542</v>
      </c>
      <c r="E1052" s="3">
        <v>14</v>
      </c>
      <c r="F1052" s="3">
        <f>8/5</f>
        <v>1.6</v>
      </c>
      <c r="G1052" s="4">
        <v>44447</v>
      </c>
    </row>
    <row r="1053" spans="2:18">
      <c r="C1053" s="2" t="s">
        <v>5</v>
      </c>
      <c r="D1053" s="2" t="s">
        <v>542</v>
      </c>
      <c r="E1053" s="3">
        <v>12</v>
      </c>
      <c r="F1053" s="3">
        <v>4</v>
      </c>
      <c r="G1053" s="4">
        <v>43532</v>
      </c>
    </row>
    <row r="1054" spans="2:18">
      <c r="C1054" s="2" t="s">
        <v>9</v>
      </c>
      <c r="D1054" s="2" t="s">
        <v>3</v>
      </c>
      <c r="E1054" s="3">
        <v>90</v>
      </c>
      <c r="F1054" s="3">
        <v>10</v>
      </c>
      <c r="G1054" s="4">
        <v>44721</v>
      </c>
      <c r="I1054" s="1">
        <v>2200</v>
      </c>
      <c r="J1054" s="1">
        <v>2200</v>
      </c>
    </row>
    <row r="1055" spans="2:18">
      <c r="C1055" s="2" t="s">
        <v>8</v>
      </c>
      <c r="D1055" s="2" t="s">
        <v>3</v>
      </c>
      <c r="E1055" s="3">
        <v>210</v>
      </c>
      <c r="F1055" s="3">
        <v>33.333333333333336</v>
      </c>
      <c r="G1055" s="4">
        <v>44432</v>
      </c>
      <c r="I1055" s="1">
        <v>1000</v>
      </c>
      <c r="J1055" s="1">
        <v>2200</v>
      </c>
    </row>
    <row r="1056" spans="2:18">
      <c r="C1056" s="2" t="s">
        <v>18</v>
      </c>
      <c r="D1056" s="2" t="s">
        <v>3</v>
      </c>
      <c r="E1056" s="3">
        <v>70</v>
      </c>
      <c r="F1056" s="3">
        <v>70</v>
      </c>
      <c r="G1056" s="4">
        <v>44250</v>
      </c>
      <c r="J1056" s="1">
        <v>2200</v>
      </c>
    </row>
    <row r="1057" spans="2:18">
      <c r="C1057" s="241" t="s">
        <v>4</v>
      </c>
      <c r="D1057" s="241" t="s">
        <v>2008</v>
      </c>
      <c r="E1057" s="3">
        <v>7</v>
      </c>
      <c r="F1057" s="3">
        <v>3.5</v>
      </c>
      <c r="G1057" s="4">
        <v>44216</v>
      </c>
    </row>
    <row r="1058" spans="2:18">
      <c r="G1058" s="4"/>
    </row>
    <row r="1059" spans="2:18" s="12" customFormat="1">
      <c r="B1059" s="12" t="s">
        <v>508</v>
      </c>
      <c r="C1059" s="13" t="s">
        <v>969</v>
      </c>
      <c r="D1059" s="13" t="s">
        <v>968</v>
      </c>
      <c r="E1059" s="15"/>
      <c r="F1059" s="15">
        <f>SUM(F1060:F1063)</f>
        <v>125.5</v>
      </c>
      <c r="G1059" s="14">
        <f>G1060</f>
        <v>44376</v>
      </c>
    </row>
    <row r="1060" spans="2:18">
      <c r="C1060" s="2" t="s">
        <v>504</v>
      </c>
      <c r="D1060" s="2" t="s">
        <v>489</v>
      </c>
      <c r="E1060" s="3">
        <v>250</v>
      </c>
      <c r="F1060" s="3">
        <v>50</v>
      </c>
      <c r="G1060" s="4">
        <v>44376</v>
      </c>
      <c r="M1060" s="1"/>
      <c r="N1060" s="1"/>
      <c r="O1060" s="1"/>
      <c r="P1060" s="1"/>
      <c r="Q1060" s="1"/>
      <c r="R1060" s="1"/>
    </row>
    <row r="1061" spans="2:18">
      <c r="C1061" s="2" t="s">
        <v>53</v>
      </c>
      <c r="D1061" s="2" t="s">
        <v>489</v>
      </c>
      <c r="E1061" s="3">
        <v>270</v>
      </c>
      <c r="F1061" s="3">
        <v>50</v>
      </c>
      <c r="G1061" s="4">
        <v>44152</v>
      </c>
      <c r="M1061" s="1"/>
      <c r="N1061" s="1"/>
      <c r="O1061" s="1"/>
      <c r="P1061" s="1"/>
      <c r="Q1061" s="1"/>
      <c r="R1061" s="1"/>
    </row>
    <row r="1062" spans="2:18">
      <c r="C1062" s="2" t="s">
        <v>8</v>
      </c>
      <c r="D1062" s="2" t="s">
        <v>240</v>
      </c>
      <c r="E1062" s="3">
        <v>81</v>
      </c>
      <c r="F1062" s="3">
        <f>+E1062/6</f>
        <v>13.5</v>
      </c>
      <c r="G1062" s="4">
        <v>43418</v>
      </c>
      <c r="I1062" s="1">
        <v>1700</v>
      </c>
      <c r="J1062" s="1">
        <v>3800</v>
      </c>
      <c r="M1062" s="1"/>
      <c r="N1062" s="1"/>
      <c r="O1062" s="1"/>
      <c r="P1062" s="1"/>
      <c r="Q1062" s="1"/>
      <c r="R1062" s="1"/>
    </row>
    <row r="1063" spans="2:18">
      <c r="C1063" s="2" t="s">
        <v>18</v>
      </c>
      <c r="D1063" s="2" t="s">
        <v>240</v>
      </c>
      <c r="E1063" s="3">
        <v>60</v>
      </c>
      <c r="F1063" s="3">
        <f>+E1063/5</f>
        <v>12</v>
      </c>
      <c r="G1063" s="4">
        <v>42736</v>
      </c>
      <c r="I1063" s="1">
        <v>800</v>
      </c>
      <c r="J1063" s="1">
        <v>3800</v>
      </c>
      <c r="M1063" s="1"/>
      <c r="N1063" s="1"/>
      <c r="O1063" s="1"/>
      <c r="P1063" s="1"/>
      <c r="Q1063" s="1"/>
      <c r="R1063" s="1"/>
    </row>
    <row r="1064" spans="2:18">
      <c r="G1064" s="4"/>
      <c r="M1064" s="1"/>
      <c r="N1064" s="1"/>
      <c r="O1064" s="1"/>
      <c r="P1064" s="1"/>
      <c r="Q1064" s="1"/>
      <c r="R1064" s="1"/>
    </row>
    <row r="1065" spans="2:18" s="12" customFormat="1">
      <c r="B1065" s="12" t="s">
        <v>160</v>
      </c>
      <c r="C1065" s="13" t="s">
        <v>969</v>
      </c>
      <c r="D1065" s="13" t="s">
        <v>968</v>
      </c>
      <c r="E1065" s="15"/>
      <c r="F1065" s="15">
        <f>SUM(F1066:F1069)</f>
        <v>131.05555555555554</v>
      </c>
      <c r="G1065" s="14">
        <f>G1069</f>
        <v>45063</v>
      </c>
      <c r="M1065" s="13"/>
      <c r="N1065" s="13"/>
      <c r="O1065" s="13"/>
      <c r="P1065" s="13"/>
      <c r="Q1065" s="13"/>
      <c r="R1065" s="13"/>
    </row>
    <row r="1066" spans="2:18">
      <c r="C1066" s="2" t="s">
        <v>53</v>
      </c>
      <c r="D1066" s="2" t="s">
        <v>154</v>
      </c>
      <c r="E1066" s="3">
        <v>200</v>
      </c>
      <c r="F1066" s="3">
        <v>50</v>
      </c>
      <c r="G1066" s="4">
        <v>44907</v>
      </c>
      <c r="I1066" s="1">
        <v>3500</v>
      </c>
    </row>
    <row r="1067" spans="2:18">
      <c r="C1067" s="2" t="s">
        <v>9</v>
      </c>
      <c r="D1067" s="2" t="s">
        <v>154</v>
      </c>
      <c r="E1067" s="3">
        <v>400</v>
      </c>
      <c r="F1067" s="3">
        <f>320/9</f>
        <v>35.555555555555557</v>
      </c>
      <c r="G1067" s="4">
        <v>44413</v>
      </c>
      <c r="I1067" s="1">
        <v>4200</v>
      </c>
    </row>
    <row r="1068" spans="2:18">
      <c r="C1068" s="2" t="s">
        <v>18</v>
      </c>
      <c r="D1068" s="2" t="s">
        <v>32</v>
      </c>
      <c r="E1068" s="3">
        <v>230</v>
      </c>
      <c r="F1068" s="3">
        <v>40</v>
      </c>
      <c r="G1068" s="4">
        <v>43634</v>
      </c>
      <c r="I1068" s="1">
        <v>770</v>
      </c>
      <c r="J1068" s="1">
        <v>770</v>
      </c>
    </row>
    <row r="1069" spans="2:18">
      <c r="C1069" s="241" t="s">
        <v>5</v>
      </c>
      <c r="D1069" s="241" t="s">
        <v>2008</v>
      </c>
      <c r="E1069" s="3">
        <v>11.5</v>
      </c>
      <c r="F1069" s="3">
        <v>5.5</v>
      </c>
      <c r="G1069" s="4">
        <v>45063</v>
      </c>
    </row>
    <row r="1070" spans="2:18">
      <c r="G1070" s="4"/>
    </row>
    <row r="1071" spans="2:18" s="12" customFormat="1">
      <c r="B1071" s="12" t="s">
        <v>495</v>
      </c>
      <c r="C1071" s="13" t="s">
        <v>969</v>
      </c>
      <c r="D1071" s="13" t="s">
        <v>968</v>
      </c>
      <c r="E1071" s="15"/>
      <c r="F1071" s="15">
        <f>SUM(F1072:F1076)</f>
        <v>130.35185185185185</v>
      </c>
      <c r="G1071" s="14">
        <f>G1075</f>
        <v>44557</v>
      </c>
    </row>
    <row r="1072" spans="2:18">
      <c r="C1072" s="2" t="s">
        <v>9</v>
      </c>
      <c r="D1072" s="2" t="s">
        <v>489</v>
      </c>
      <c r="E1072" s="3">
        <v>206</v>
      </c>
      <c r="F1072" s="3">
        <v>14</v>
      </c>
      <c r="G1072" s="4">
        <v>43725</v>
      </c>
      <c r="M1072" s="1"/>
      <c r="N1072" s="1"/>
      <c r="O1072" s="1"/>
      <c r="P1072" s="1"/>
      <c r="Q1072" s="1"/>
      <c r="R1072" s="1"/>
    </row>
    <row r="1073" spans="2:18">
      <c r="C1073" s="2" t="s">
        <v>9</v>
      </c>
      <c r="D1073" s="2" t="s">
        <v>47</v>
      </c>
      <c r="E1073" s="3">
        <v>248</v>
      </c>
      <c r="F1073" s="3">
        <f>150/4</f>
        <v>37.5</v>
      </c>
      <c r="G1073" s="4">
        <v>43678</v>
      </c>
      <c r="I1073" s="1">
        <v>1700</v>
      </c>
      <c r="J1073" s="1">
        <v>4100</v>
      </c>
      <c r="M1073" s="1"/>
      <c r="N1073" s="1"/>
      <c r="O1073" s="1"/>
      <c r="P1073" s="1"/>
      <c r="Q1073" s="1"/>
      <c r="R1073" s="1"/>
    </row>
    <row r="1074" spans="2:18">
      <c r="C1074" s="2" t="s">
        <v>18</v>
      </c>
      <c r="D1074" s="2" t="s">
        <v>47</v>
      </c>
      <c r="E1074" s="3">
        <v>50</v>
      </c>
      <c r="F1074" s="3">
        <v>15</v>
      </c>
      <c r="G1074" s="4">
        <v>42509</v>
      </c>
      <c r="J1074" s="1">
        <v>4100</v>
      </c>
      <c r="M1074" s="1"/>
      <c r="N1074" s="1"/>
      <c r="O1074" s="1"/>
      <c r="P1074" s="1"/>
      <c r="Q1074" s="1"/>
      <c r="R1074" s="1"/>
    </row>
    <row r="1075" spans="2:18">
      <c r="C1075" s="2" t="s">
        <v>18</v>
      </c>
      <c r="D1075" s="2" t="s">
        <v>2127</v>
      </c>
      <c r="E1075" s="3">
        <v>200</v>
      </c>
      <c r="F1075" s="3">
        <v>12</v>
      </c>
      <c r="G1075" s="4">
        <v>44557</v>
      </c>
      <c r="I1075" s="1">
        <v>1300</v>
      </c>
      <c r="J1075" s="1">
        <v>1300</v>
      </c>
      <c r="M1075" s="1"/>
      <c r="N1075" s="1"/>
      <c r="O1075" s="1"/>
      <c r="P1075" s="1"/>
      <c r="Q1075" s="1"/>
      <c r="R1075" s="1"/>
    </row>
    <row r="1076" spans="2:18">
      <c r="C1076" s="265" t="s">
        <v>2486</v>
      </c>
      <c r="D1076" s="265" t="s">
        <v>1006</v>
      </c>
      <c r="E1076" s="3">
        <v>1600</v>
      </c>
      <c r="F1076" s="3">
        <f>1400/27</f>
        <v>51.851851851851855</v>
      </c>
      <c r="G1076" s="4">
        <v>44439</v>
      </c>
      <c r="I1076" s="1">
        <v>36000</v>
      </c>
      <c r="J1076" s="1">
        <v>42500</v>
      </c>
      <c r="M1076" s="1"/>
      <c r="N1076" s="1"/>
      <c r="O1076" s="1"/>
      <c r="P1076" s="1"/>
      <c r="Q1076" s="1"/>
      <c r="R1076" s="1"/>
    </row>
    <row r="1077" spans="2:18">
      <c r="C1077" s="265" t="s">
        <v>504</v>
      </c>
      <c r="D1077" s="265" t="s">
        <v>1006</v>
      </c>
      <c r="E1077" s="3">
        <v>1000</v>
      </c>
      <c r="F1077" s="3">
        <f>900/23</f>
        <v>39.130434782608695</v>
      </c>
      <c r="G1077" s="4">
        <v>44228</v>
      </c>
      <c r="I1077" s="1">
        <v>27000</v>
      </c>
      <c r="J1077" s="1">
        <v>42500</v>
      </c>
      <c r="M1077" s="1"/>
      <c r="N1077" s="1"/>
      <c r="O1077" s="1"/>
      <c r="P1077" s="1"/>
      <c r="Q1077" s="1"/>
      <c r="R1077" s="1"/>
    </row>
    <row r="1078" spans="2:18">
      <c r="G1078" s="4"/>
      <c r="M1078" s="1"/>
      <c r="N1078" s="1"/>
      <c r="O1078" s="1"/>
      <c r="P1078" s="1"/>
      <c r="Q1078" s="1"/>
      <c r="R1078" s="1"/>
    </row>
    <row r="1079" spans="2:18" s="12" customFormat="1">
      <c r="B1079" s="12" t="s">
        <v>312</v>
      </c>
      <c r="C1079" s="13" t="s">
        <v>969</v>
      </c>
      <c r="D1079" s="13" t="s">
        <v>968</v>
      </c>
      <c r="E1079" s="15"/>
      <c r="F1079" s="15">
        <f>SUM(F1080:F1082)</f>
        <v>129</v>
      </c>
      <c r="G1079" s="14">
        <f>+G1082</f>
        <v>45230</v>
      </c>
    </row>
    <row r="1080" spans="2:18">
      <c r="C1080" s="2" t="s">
        <v>8</v>
      </c>
      <c r="D1080" s="2" t="s">
        <v>310</v>
      </c>
      <c r="E1080" s="3">
        <v>69</v>
      </c>
      <c r="F1080" s="3">
        <v>19</v>
      </c>
      <c r="G1080" s="4">
        <v>45091</v>
      </c>
      <c r="M1080" s="1"/>
      <c r="N1080" s="1"/>
      <c r="O1080" s="1"/>
      <c r="P1080" s="1"/>
      <c r="Q1080" s="1"/>
      <c r="R1080" s="1"/>
    </row>
    <row r="1081" spans="2:18">
      <c r="C1081" s="2" t="s">
        <v>9</v>
      </c>
      <c r="D1081" s="2" t="s">
        <v>3</v>
      </c>
      <c r="E1081" s="3">
        <v>60</v>
      </c>
      <c r="F1081" s="3">
        <v>60</v>
      </c>
      <c r="G1081" s="4">
        <v>44908</v>
      </c>
      <c r="I1081" s="1">
        <v>2200</v>
      </c>
      <c r="J1081" s="1">
        <v>2500</v>
      </c>
      <c r="M1081" s="1"/>
      <c r="N1081" s="1"/>
      <c r="O1081" s="1"/>
      <c r="P1081" s="1"/>
      <c r="Q1081" s="1"/>
      <c r="R1081" s="1"/>
    </row>
    <row r="1082" spans="2:18">
      <c r="C1082" s="265" t="s">
        <v>53</v>
      </c>
      <c r="D1082" s="2" t="s">
        <v>3</v>
      </c>
      <c r="E1082" s="3">
        <v>200</v>
      </c>
      <c r="F1082" s="3">
        <v>50</v>
      </c>
      <c r="G1082" s="4">
        <v>45230</v>
      </c>
      <c r="I1082" s="1">
        <v>2500</v>
      </c>
      <c r="J1082" s="1">
        <v>2500</v>
      </c>
      <c r="M1082" s="1"/>
      <c r="N1082" s="1"/>
      <c r="O1082" s="1"/>
      <c r="P1082" s="1"/>
      <c r="Q1082" s="1"/>
      <c r="R1082" s="1"/>
    </row>
    <row r="1083" spans="2:18">
      <c r="G1083" s="4"/>
      <c r="M1083" s="1"/>
      <c r="N1083" s="1"/>
      <c r="O1083" s="1"/>
      <c r="P1083" s="1"/>
      <c r="Q1083" s="1"/>
      <c r="R1083" s="1"/>
    </row>
    <row r="1084" spans="2:18" s="12" customFormat="1">
      <c r="B1084" s="12" t="s">
        <v>63</v>
      </c>
      <c r="C1084" s="13" t="s">
        <v>969</v>
      </c>
      <c r="D1084" s="13" t="s">
        <v>968</v>
      </c>
      <c r="E1084" s="15"/>
      <c r="F1084" s="15">
        <f>SUM(F1085:F1086)</f>
        <v>127.83809523809524</v>
      </c>
      <c r="G1084" s="14">
        <f>G1086</f>
        <v>45183</v>
      </c>
      <c r="I1084" s="46"/>
      <c r="J1084" s="46"/>
      <c r="M1084" s="13"/>
      <c r="N1084" s="13"/>
      <c r="O1084" s="13"/>
      <c r="P1084" s="13"/>
      <c r="Q1084" s="13"/>
      <c r="R1084" s="13"/>
    </row>
    <row r="1085" spans="2:18">
      <c r="C1085" s="2" t="s">
        <v>8</v>
      </c>
      <c r="D1085" s="2" t="s">
        <v>57</v>
      </c>
      <c r="E1085" s="3">
        <v>250</v>
      </c>
      <c r="F1085" s="3">
        <v>100</v>
      </c>
      <c r="G1085" s="4">
        <v>45069</v>
      </c>
      <c r="I1085" s="5"/>
      <c r="J1085" s="5"/>
    </row>
    <row r="1086" spans="2:18">
      <c r="C1086" s="265" t="s">
        <v>7885</v>
      </c>
      <c r="D1086" s="265" t="s">
        <v>1006</v>
      </c>
      <c r="E1086" s="3">
        <v>684.6</v>
      </c>
      <c r="F1086" s="3">
        <f>584.6/21</f>
        <v>27.838095238095239</v>
      </c>
      <c r="G1086" s="4">
        <v>45183</v>
      </c>
      <c r="I1086" s="5"/>
      <c r="J1086" s="5"/>
    </row>
    <row r="1087" spans="2:18">
      <c r="G1087" s="4"/>
      <c r="I1087" s="5"/>
      <c r="J1087" s="5"/>
    </row>
    <row r="1088" spans="2:18" s="12" customFormat="1">
      <c r="B1088" s="12" t="s">
        <v>172</v>
      </c>
      <c r="C1088" s="13" t="s">
        <v>969</v>
      </c>
      <c r="D1088" s="13" t="s">
        <v>968</v>
      </c>
      <c r="E1088" s="15"/>
      <c r="F1088" s="15">
        <f>SUM(F1089:F1094)</f>
        <v>125.4</v>
      </c>
      <c r="G1088" s="14">
        <f>G1093</f>
        <v>44550</v>
      </c>
      <c r="M1088" s="13"/>
      <c r="N1088" s="13"/>
      <c r="O1088" s="13"/>
      <c r="P1088" s="13"/>
      <c r="Q1088" s="13"/>
      <c r="R1088" s="13"/>
    </row>
    <row r="1089" spans="2:19">
      <c r="C1089" s="2" t="s">
        <v>18</v>
      </c>
      <c r="D1089" s="2" t="s">
        <v>161</v>
      </c>
      <c r="E1089" s="3">
        <v>100</v>
      </c>
      <c r="F1089" s="3">
        <v>14</v>
      </c>
      <c r="G1089" s="4">
        <v>44235</v>
      </c>
      <c r="I1089" s="1">
        <v>5200</v>
      </c>
      <c r="J1089" s="1">
        <v>8400</v>
      </c>
    </row>
    <row r="1090" spans="2:19">
      <c r="C1090" s="2" t="s">
        <v>18</v>
      </c>
      <c r="D1090" s="2" t="s">
        <v>161</v>
      </c>
      <c r="E1090" s="3">
        <v>267</v>
      </c>
      <c r="F1090" s="3">
        <f>167/5</f>
        <v>33.4</v>
      </c>
      <c r="G1090" s="4">
        <v>44140</v>
      </c>
      <c r="I1090" s="1">
        <v>5000</v>
      </c>
      <c r="J1090" s="1">
        <v>8400</v>
      </c>
    </row>
    <row r="1091" spans="2:19">
      <c r="C1091" s="2" t="s">
        <v>5</v>
      </c>
      <c r="D1091" s="2" t="s">
        <v>161</v>
      </c>
      <c r="E1091" s="3">
        <v>102</v>
      </c>
      <c r="F1091" s="3">
        <v>8</v>
      </c>
      <c r="G1091" s="4">
        <v>43292</v>
      </c>
      <c r="J1091" s="1">
        <v>8400</v>
      </c>
    </row>
    <row r="1092" spans="2:19">
      <c r="C1092" s="2" t="s">
        <v>5</v>
      </c>
      <c r="D1092" s="2" t="s">
        <v>161</v>
      </c>
      <c r="E1092" s="3">
        <v>112</v>
      </c>
      <c r="F1092" s="3">
        <v>20</v>
      </c>
      <c r="G1092" s="4">
        <v>43115</v>
      </c>
      <c r="J1092" s="1">
        <v>8400</v>
      </c>
    </row>
    <row r="1093" spans="2:19">
      <c r="C1093" s="2" t="s">
        <v>7</v>
      </c>
      <c r="D1093" s="2" t="s">
        <v>64</v>
      </c>
      <c r="E1093" s="3">
        <f>1600/7</f>
        <v>228.57142857142858</v>
      </c>
      <c r="F1093" s="3">
        <v>40</v>
      </c>
      <c r="G1093" s="4">
        <v>44550</v>
      </c>
    </row>
    <row r="1094" spans="2:19">
      <c r="C1094" s="2" t="s">
        <v>5</v>
      </c>
      <c r="D1094" s="2" t="s">
        <v>64</v>
      </c>
      <c r="E1094" s="3">
        <v>50</v>
      </c>
      <c r="F1094" s="3">
        <v>10</v>
      </c>
      <c r="G1094" s="4">
        <v>44165</v>
      </c>
    </row>
    <row r="1095" spans="2:19">
      <c r="G1095" s="4"/>
    </row>
    <row r="1096" spans="2:19">
      <c r="B1096" s="12" t="s">
        <v>1092</v>
      </c>
      <c r="C1096" s="13" t="s">
        <v>969</v>
      </c>
      <c r="D1096" s="13" t="s">
        <v>968</v>
      </c>
      <c r="E1096" s="15"/>
      <c r="F1096" s="15">
        <f>SUM(F1097:F1106)</f>
        <v>125.33333333333333</v>
      </c>
      <c r="G1096" s="14">
        <f>+G1100</f>
        <v>45104</v>
      </c>
      <c r="I1096" s="1">
        <v>350</v>
      </c>
      <c r="J1096" s="19">
        <f>+F1096/I1096</f>
        <v>0.35809523809523808</v>
      </c>
      <c r="K1096" s="1">
        <v>2017</v>
      </c>
      <c r="S1096" s="1" t="s">
        <v>1091</v>
      </c>
    </row>
    <row r="1097" spans="2:19">
      <c r="B1097" s="253" t="s">
        <v>7627</v>
      </c>
      <c r="C1097" s="2" t="s">
        <v>7</v>
      </c>
      <c r="D1097" s="2" t="s">
        <v>952</v>
      </c>
      <c r="E1097" s="3">
        <v>130</v>
      </c>
      <c r="F1097" s="3">
        <f>70/3</f>
        <v>23.333333333333332</v>
      </c>
      <c r="G1097" s="4">
        <v>44607</v>
      </c>
    </row>
    <row r="1098" spans="2:19">
      <c r="C1098" s="2" t="s">
        <v>5</v>
      </c>
      <c r="D1098" s="2" t="s">
        <v>952</v>
      </c>
      <c r="E1098" s="3">
        <v>40</v>
      </c>
      <c r="F1098" s="3">
        <v>10</v>
      </c>
      <c r="G1098" s="4">
        <v>44446</v>
      </c>
    </row>
    <row r="1099" spans="2:19">
      <c r="C1099" s="2" t="s">
        <v>5</v>
      </c>
      <c r="D1099" s="2" t="s">
        <v>779</v>
      </c>
      <c r="E1099" s="3">
        <v>33</v>
      </c>
      <c r="F1099" s="3">
        <v>10</v>
      </c>
      <c r="G1099" s="4">
        <v>44893</v>
      </c>
    </row>
    <row r="1100" spans="2:19">
      <c r="C1100" s="2" t="s">
        <v>5</v>
      </c>
      <c r="D1100" s="2" t="s">
        <v>546</v>
      </c>
      <c r="E1100" s="3">
        <v>58</v>
      </c>
      <c r="F1100" s="3">
        <v>20</v>
      </c>
      <c r="G1100" s="4">
        <v>45104</v>
      </c>
    </row>
    <row r="1101" spans="2:19">
      <c r="C1101" s="2" t="s">
        <v>18</v>
      </c>
      <c r="D1101" s="2" t="s">
        <v>424</v>
      </c>
      <c r="E1101" s="3">
        <v>75</v>
      </c>
      <c r="F1101" s="3">
        <v>20</v>
      </c>
      <c r="G1101" s="4">
        <v>45020</v>
      </c>
    </row>
    <row r="1102" spans="2:19">
      <c r="C1102" s="2" t="s">
        <v>18</v>
      </c>
      <c r="D1102" s="2" t="s">
        <v>424</v>
      </c>
      <c r="E1102" s="3">
        <v>80</v>
      </c>
      <c r="F1102" s="3">
        <v>10</v>
      </c>
      <c r="G1102" s="4">
        <v>44404</v>
      </c>
    </row>
    <row r="1103" spans="2:19">
      <c r="C1103" s="2" t="s">
        <v>7</v>
      </c>
      <c r="D1103" s="2" t="s">
        <v>424</v>
      </c>
      <c r="E1103" s="3">
        <v>40</v>
      </c>
      <c r="F1103" s="3">
        <v>10</v>
      </c>
      <c r="G1103" s="4">
        <v>43957</v>
      </c>
    </row>
    <row r="1104" spans="2:19">
      <c r="C1104" s="92" t="s">
        <v>18</v>
      </c>
      <c r="D1104" s="92" t="s">
        <v>5986</v>
      </c>
      <c r="E1104" s="3">
        <v>15</v>
      </c>
      <c r="F1104" s="3">
        <f>E1104/2</f>
        <v>7.5</v>
      </c>
      <c r="G1104" s="4">
        <v>45006</v>
      </c>
      <c r="I1104" s="1">
        <v>250</v>
      </c>
      <c r="J1104" s="1">
        <v>250</v>
      </c>
    </row>
    <row r="1105" spans="2:18">
      <c r="C1105" s="92" t="s">
        <v>7</v>
      </c>
      <c r="D1105" s="92" t="s">
        <v>5986</v>
      </c>
      <c r="E1105" s="3">
        <v>50</v>
      </c>
      <c r="F1105" s="3">
        <v>7</v>
      </c>
      <c r="G1105" s="4">
        <v>44670</v>
      </c>
      <c r="J1105" s="1">
        <v>250</v>
      </c>
    </row>
    <row r="1106" spans="2:18">
      <c r="C1106" s="168" t="s">
        <v>5</v>
      </c>
      <c r="D1106" s="168" t="s">
        <v>2032</v>
      </c>
      <c r="E1106" s="3">
        <v>30</v>
      </c>
      <c r="F1106" s="3">
        <v>7.5</v>
      </c>
      <c r="G1106" s="4">
        <v>44729</v>
      </c>
    </row>
    <row r="1107" spans="2:18">
      <c r="G1107" s="4"/>
    </row>
    <row r="1108" spans="2:18" s="12" customFormat="1">
      <c r="B1108" s="12" t="s">
        <v>1098</v>
      </c>
      <c r="C1108" s="13" t="s">
        <v>969</v>
      </c>
      <c r="D1108" s="13" t="s">
        <v>968</v>
      </c>
      <c r="E1108" s="15"/>
      <c r="F1108" s="15">
        <f>SUM(F1109:F1118)</f>
        <v>128.44444444444446</v>
      </c>
      <c r="G1108" s="14">
        <f>+G1118</f>
        <v>45209</v>
      </c>
      <c r="M1108" s="13"/>
      <c r="N1108" s="13"/>
      <c r="O1108" s="13"/>
      <c r="P1108" s="13"/>
      <c r="Q1108" s="13"/>
      <c r="R1108" s="13"/>
    </row>
    <row r="1109" spans="2:18">
      <c r="C1109" s="2" t="s">
        <v>5</v>
      </c>
      <c r="D1109" s="2" t="s">
        <v>999</v>
      </c>
      <c r="E1109" s="3">
        <v>25</v>
      </c>
      <c r="F1109" s="3">
        <v>5</v>
      </c>
      <c r="G1109" s="4">
        <v>44699</v>
      </c>
    </row>
    <row r="1110" spans="2:18">
      <c r="C1110" s="2" t="s">
        <v>4</v>
      </c>
      <c r="D1110" s="2" t="s">
        <v>705</v>
      </c>
      <c r="E1110" s="3">
        <v>113</v>
      </c>
      <c r="F1110" s="3">
        <v>8</v>
      </c>
      <c r="G1110" s="4">
        <v>45090</v>
      </c>
    </row>
    <row r="1111" spans="2:18">
      <c r="C1111" s="2" t="s">
        <v>4</v>
      </c>
      <c r="D1111" s="2" t="s">
        <v>652</v>
      </c>
      <c r="E1111" s="3">
        <v>12</v>
      </c>
      <c r="F1111" s="3">
        <v>4</v>
      </c>
      <c r="G1111" s="4">
        <v>44971</v>
      </c>
    </row>
    <row r="1112" spans="2:18">
      <c r="C1112" s="2" t="s">
        <v>5</v>
      </c>
      <c r="D1112" s="2" t="s">
        <v>161</v>
      </c>
      <c r="E1112" s="3">
        <v>102</v>
      </c>
      <c r="F1112" s="3">
        <f>70/9</f>
        <v>7.7777777777777777</v>
      </c>
      <c r="G1112" s="4">
        <v>43292</v>
      </c>
      <c r="J1112" s="1">
        <v>8400</v>
      </c>
    </row>
    <row r="1113" spans="2:18">
      <c r="C1113" s="2" t="s">
        <v>18</v>
      </c>
      <c r="D1113" s="2" t="s">
        <v>80</v>
      </c>
      <c r="E1113" s="3">
        <v>257</v>
      </c>
      <c r="F1113" s="3">
        <f>107/3</f>
        <v>35.666666666666664</v>
      </c>
      <c r="G1113" s="4">
        <v>44201</v>
      </c>
    </row>
    <row r="1114" spans="2:18">
      <c r="C1114" s="2" t="s">
        <v>7</v>
      </c>
      <c r="D1114" s="2" t="s">
        <v>80</v>
      </c>
      <c r="E1114" s="3">
        <v>100</v>
      </c>
      <c r="F1114" s="3">
        <v>20</v>
      </c>
      <c r="G1114" s="4">
        <v>43958</v>
      </c>
    </row>
    <row r="1115" spans="2:18">
      <c r="C1115" s="2" t="s">
        <v>5</v>
      </c>
      <c r="D1115" s="2" t="s">
        <v>80</v>
      </c>
      <c r="E1115" s="3">
        <v>43</v>
      </c>
      <c r="F1115" s="3">
        <f>+E1115/6</f>
        <v>7.166666666666667</v>
      </c>
      <c r="G1115" s="4">
        <v>43622</v>
      </c>
    </row>
    <row r="1116" spans="2:18">
      <c r="C1116" s="2" t="s">
        <v>7</v>
      </c>
      <c r="D1116" s="2" t="s">
        <v>64</v>
      </c>
      <c r="E1116" s="3">
        <f>1600/7</f>
        <v>228.57142857142858</v>
      </c>
      <c r="F1116" s="3">
        <f>149/6</f>
        <v>24.833333333333332</v>
      </c>
      <c r="G1116" s="4">
        <v>44550</v>
      </c>
    </row>
    <row r="1117" spans="2:18">
      <c r="C1117" s="2" t="s">
        <v>5</v>
      </c>
      <c r="D1117" s="2" t="s">
        <v>64</v>
      </c>
      <c r="E1117" s="3">
        <v>50</v>
      </c>
      <c r="F1117" s="3">
        <v>10</v>
      </c>
      <c r="G1117" s="4">
        <v>44165</v>
      </c>
    </row>
    <row r="1118" spans="2:18">
      <c r="C1118" s="394" t="s">
        <v>5</v>
      </c>
      <c r="D1118" s="394" t="s">
        <v>9711</v>
      </c>
      <c r="E1118" s="3">
        <v>16</v>
      </c>
      <c r="F1118" s="3">
        <v>6</v>
      </c>
      <c r="G1118" s="4">
        <v>45209</v>
      </c>
    </row>
    <row r="1119" spans="2:18">
      <c r="G1119" s="4"/>
    </row>
    <row r="1120" spans="2:18">
      <c r="B1120" s="12" t="s">
        <v>1093</v>
      </c>
      <c r="C1120" s="13" t="s">
        <v>969</v>
      </c>
      <c r="D1120" s="13" t="s">
        <v>968</v>
      </c>
      <c r="F1120" s="15">
        <f>SUM(F1121:F1130)</f>
        <v>121.91666666666667</v>
      </c>
      <c r="G1120" s="14">
        <f>G1121</f>
        <v>45036</v>
      </c>
    </row>
    <row r="1121" spans="2:18">
      <c r="B1121" s="253" t="s">
        <v>7627</v>
      </c>
      <c r="C1121" s="2" t="s">
        <v>7</v>
      </c>
      <c r="D1121" s="2" t="s">
        <v>796</v>
      </c>
      <c r="E1121" s="3">
        <v>50</v>
      </c>
      <c r="F1121" s="3">
        <v>6</v>
      </c>
      <c r="G1121" s="4">
        <v>45036</v>
      </c>
    </row>
    <row r="1122" spans="2:18">
      <c r="C1122" s="2" t="s">
        <v>7</v>
      </c>
      <c r="D1122" s="2" t="s">
        <v>984</v>
      </c>
      <c r="E1122" s="3">
        <v>38</v>
      </c>
      <c r="F1122" s="3">
        <f>20/3</f>
        <v>6.666666666666667</v>
      </c>
      <c r="G1122" s="4">
        <v>44812</v>
      </c>
    </row>
    <row r="1123" spans="2:18">
      <c r="C1123" s="2" t="s">
        <v>5</v>
      </c>
      <c r="D1123" s="2" t="s">
        <v>984</v>
      </c>
      <c r="E1123" s="3">
        <v>19</v>
      </c>
      <c r="F1123" s="3">
        <v>7</v>
      </c>
      <c r="G1123" s="4">
        <v>44467</v>
      </c>
    </row>
    <row r="1124" spans="2:18">
      <c r="C1124" s="2" t="s">
        <v>5</v>
      </c>
      <c r="D1124" s="2" t="s">
        <v>516</v>
      </c>
      <c r="E1124" s="3">
        <v>14.5</v>
      </c>
      <c r="F1124" s="3">
        <v>3</v>
      </c>
      <c r="G1124" s="4">
        <v>43389</v>
      </c>
    </row>
    <row r="1125" spans="2:18">
      <c r="C1125" s="2" t="s">
        <v>9</v>
      </c>
      <c r="D1125" s="2" t="s">
        <v>154</v>
      </c>
      <c r="E1125" s="3">
        <v>400</v>
      </c>
      <c r="F1125" s="3">
        <v>36</v>
      </c>
      <c r="G1125" s="4">
        <v>44413</v>
      </c>
      <c r="I1125" s="1">
        <v>4200</v>
      </c>
    </row>
    <row r="1126" spans="2:18">
      <c r="C1126" s="2" t="s">
        <v>8</v>
      </c>
      <c r="D1126" s="2" t="s">
        <v>154</v>
      </c>
      <c r="E1126" s="3">
        <v>100</v>
      </c>
      <c r="F1126" s="3">
        <f>75/6</f>
        <v>12.5</v>
      </c>
      <c r="G1126" s="4">
        <v>44067</v>
      </c>
    </row>
    <row r="1127" spans="2:18">
      <c r="C1127" s="2" t="s">
        <v>8</v>
      </c>
      <c r="D1127" s="2" t="s">
        <v>55</v>
      </c>
      <c r="E1127" s="3">
        <v>200</v>
      </c>
      <c r="F1127" s="3">
        <f>150/8</f>
        <v>18.75</v>
      </c>
      <c r="G1127" s="4">
        <v>44055</v>
      </c>
      <c r="I1127" s="1">
        <v>2000</v>
      </c>
      <c r="J1127" s="1">
        <v>7000</v>
      </c>
    </row>
    <row r="1128" spans="2:18">
      <c r="C1128" s="2" t="s">
        <v>18</v>
      </c>
      <c r="D1128" s="2" t="s">
        <v>55</v>
      </c>
      <c r="E1128" s="3">
        <v>65</v>
      </c>
      <c r="F1128" s="3">
        <v>8</v>
      </c>
      <c r="G1128" s="4">
        <v>43802</v>
      </c>
      <c r="I1128" s="1">
        <v>685</v>
      </c>
      <c r="J1128" s="1">
        <v>7000</v>
      </c>
    </row>
    <row r="1129" spans="2:18">
      <c r="C1129" s="2" t="s">
        <v>7</v>
      </c>
      <c r="D1129" s="2" t="s">
        <v>55</v>
      </c>
      <c r="E1129" s="3">
        <v>40</v>
      </c>
      <c r="F1129" s="3">
        <v>15</v>
      </c>
      <c r="G1129" s="4">
        <v>43503</v>
      </c>
      <c r="J1129" s="1">
        <v>7000</v>
      </c>
    </row>
    <row r="1130" spans="2:18">
      <c r="C1130" s="2" t="s">
        <v>5</v>
      </c>
      <c r="D1130" s="2" t="s">
        <v>2025</v>
      </c>
      <c r="E1130" s="3">
        <v>18</v>
      </c>
      <c r="F1130" s="3">
        <v>9</v>
      </c>
      <c r="G1130" s="4">
        <v>44866</v>
      </c>
    </row>
    <row r="1131" spans="2:18">
      <c r="G1131" s="4"/>
    </row>
    <row r="1132" spans="2:18" s="12" customFormat="1">
      <c r="B1132" s="12" t="s">
        <v>4981</v>
      </c>
      <c r="C1132" s="13" t="s">
        <v>969</v>
      </c>
      <c r="D1132" s="13" t="s">
        <v>968</v>
      </c>
      <c r="E1132" s="15"/>
      <c r="F1132" s="15">
        <f>SUM(F1133:F1134)</f>
        <v>121</v>
      </c>
      <c r="G1132" s="14">
        <f>G1133</f>
        <v>44648</v>
      </c>
      <c r="M1132" s="13"/>
      <c r="N1132" s="13"/>
      <c r="O1132" s="13"/>
      <c r="P1132" s="13"/>
      <c r="Q1132" s="13"/>
      <c r="R1132" s="13"/>
    </row>
    <row r="1133" spans="2:18">
      <c r="B1133" s="54"/>
      <c r="C1133" s="2" t="s">
        <v>7</v>
      </c>
      <c r="D1133" s="2" t="s">
        <v>2130</v>
      </c>
      <c r="E1133" s="3">
        <f>1300/7</f>
        <v>185.71428571428572</v>
      </c>
      <c r="F1133" s="3">
        <v>96</v>
      </c>
      <c r="G1133" s="4">
        <v>44648</v>
      </c>
    </row>
    <row r="1134" spans="2:18">
      <c r="C1134" s="55" t="s">
        <v>8</v>
      </c>
      <c r="D1134" s="55" t="s">
        <v>2112</v>
      </c>
      <c r="E1134" s="3">
        <v>72.5</v>
      </c>
      <c r="F1134" s="3">
        <v>25</v>
      </c>
      <c r="G1134" s="4">
        <v>43697</v>
      </c>
      <c r="J1134" s="1">
        <v>1600</v>
      </c>
    </row>
    <row r="1135" spans="2:18">
      <c r="G1135" s="4"/>
    </row>
    <row r="1136" spans="2:18" s="12" customFormat="1">
      <c r="B1136" s="12" t="s">
        <v>1097</v>
      </c>
      <c r="C1136" s="13" t="s">
        <v>969</v>
      </c>
      <c r="D1136" s="13" t="s">
        <v>968</v>
      </c>
      <c r="E1136" s="15"/>
      <c r="F1136" s="15">
        <f>SUM(F1137:F1157)</f>
        <v>121.18333333333334</v>
      </c>
      <c r="G1136" s="14">
        <f>G1137</f>
        <v>45041</v>
      </c>
      <c r="M1136" s="13"/>
      <c r="N1136" s="13"/>
      <c r="O1136" s="13"/>
      <c r="P1136" s="13"/>
      <c r="Q1136" s="13"/>
      <c r="R1136" s="13"/>
    </row>
    <row r="1137" spans="2:7">
      <c r="B1137" s="259" t="s">
        <v>15184</v>
      </c>
      <c r="C1137" s="2" t="s">
        <v>7</v>
      </c>
      <c r="D1137" s="2" t="s">
        <v>907</v>
      </c>
      <c r="E1137" s="3">
        <v>97.4</v>
      </c>
      <c r="F1137" s="3">
        <f>47/6</f>
        <v>7.833333333333333</v>
      </c>
      <c r="G1137" s="4">
        <v>45041</v>
      </c>
    </row>
    <row r="1138" spans="2:7">
      <c r="C1138" s="2" t="s">
        <v>7</v>
      </c>
      <c r="D1138" s="2" t="s">
        <v>542</v>
      </c>
      <c r="E1138" s="3">
        <v>40</v>
      </c>
      <c r="F1138" s="3">
        <f>25/4</f>
        <v>6.25</v>
      </c>
      <c r="G1138" s="4">
        <v>44811</v>
      </c>
    </row>
    <row r="1139" spans="2:7">
      <c r="C1139" s="2" t="s">
        <v>5</v>
      </c>
      <c r="D1139" s="2" t="s">
        <v>542</v>
      </c>
      <c r="E1139" s="3">
        <v>14</v>
      </c>
      <c r="F1139" s="3">
        <v>6</v>
      </c>
      <c r="G1139" s="4">
        <v>44447</v>
      </c>
    </row>
    <row r="1140" spans="2:7">
      <c r="C1140" s="2" t="s">
        <v>5</v>
      </c>
      <c r="D1140" s="2" t="s">
        <v>465</v>
      </c>
      <c r="E1140" s="3">
        <v>15.5</v>
      </c>
      <c r="F1140" s="3">
        <v>1.625</v>
      </c>
      <c r="G1140" s="4">
        <v>44727</v>
      </c>
    </row>
    <row r="1141" spans="2:7">
      <c r="C1141" s="2" t="s">
        <v>5</v>
      </c>
      <c r="D1141" s="2" t="s">
        <v>465</v>
      </c>
      <c r="E1141" s="3">
        <v>12</v>
      </c>
      <c r="F1141" s="3">
        <v>3</v>
      </c>
      <c r="G1141" s="4">
        <v>43948</v>
      </c>
    </row>
    <row r="1142" spans="2:7">
      <c r="C1142" s="2" t="s">
        <v>5</v>
      </c>
      <c r="D1142" s="2" t="s">
        <v>541</v>
      </c>
      <c r="E1142" s="3">
        <v>5</v>
      </c>
      <c r="F1142" s="3">
        <v>3</v>
      </c>
      <c r="G1142" s="4">
        <v>44514</v>
      </c>
    </row>
    <row r="1143" spans="2:7">
      <c r="C1143" s="2" t="s">
        <v>8</v>
      </c>
      <c r="D1143" s="2" t="s">
        <v>448</v>
      </c>
      <c r="E1143" s="3">
        <v>90</v>
      </c>
      <c r="F1143" s="3">
        <v>5</v>
      </c>
      <c r="G1143" s="4">
        <v>44776</v>
      </c>
    </row>
    <row r="1144" spans="2:7">
      <c r="C1144" s="2" t="s">
        <v>18</v>
      </c>
      <c r="D1144" s="2" t="s">
        <v>448</v>
      </c>
      <c r="E1144" s="3">
        <v>40</v>
      </c>
      <c r="F1144" s="3">
        <v>4</v>
      </c>
      <c r="G1144" s="4">
        <v>44176</v>
      </c>
    </row>
    <row r="1145" spans="2:7">
      <c r="C1145" s="2" t="s">
        <v>7</v>
      </c>
      <c r="D1145" s="2" t="s">
        <v>448</v>
      </c>
      <c r="E1145" s="3">
        <v>20</v>
      </c>
      <c r="F1145" s="3">
        <v>3</v>
      </c>
      <c r="G1145" s="4">
        <v>43879</v>
      </c>
    </row>
    <row r="1146" spans="2:7">
      <c r="C1146" s="2" t="s">
        <v>7</v>
      </c>
      <c r="D1146" s="2" t="s">
        <v>416</v>
      </c>
      <c r="E1146" s="3">
        <v>16</v>
      </c>
      <c r="F1146" s="3">
        <v>4</v>
      </c>
      <c r="G1146" s="4">
        <v>42995</v>
      </c>
    </row>
    <row r="1147" spans="2:7">
      <c r="C1147" s="2" t="s">
        <v>5</v>
      </c>
      <c r="D1147" s="2" t="s">
        <v>416</v>
      </c>
      <c r="E1147" s="3">
        <v>8</v>
      </c>
      <c r="F1147" s="3">
        <v>4</v>
      </c>
      <c r="G1147" s="4">
        <v>42416</v>
      </c>
    </row>
    <row r="1148" spans="2:7">
      <c r="C1148" s="2" t="s">
        <v>7</v>
      </c>
      <c r="D1148" s="2" t="s">
        <v>360</v>
      </c>
      <c r="E1148" s="3">
        <v>27.5</v>
      </c>
      <c r="F1148" s="3">
        <f>E1148/4</f>
        <v>6.875</v>
      </c>
      <c r="G1148" s="4">
        <v>44181</v>
      </c>
    </row>
    <row r="1149" spans="2:7">
      <c r="C1149" s="2" t="s">
        <v>5</v>
      </c>
      <c r="D1149" s="2" t="s">
        <v>360</v>
      </c>
      <c r="E1149" s="3">
        <v>10.7</v>
      </c>
      <c r="F1149" s="3">
        <v>4</v>
      </c>
      <c r="G1149" s="4">
        <v>43250</v>
      </c>
    </row>
    <row r="1150" spans="2:7">
      <c r="C1150" s="2" t="s">
        <v>5</v>
      </c>
      <c r="D1150" s="2" t="s">
        <v>302</v>
      </c>
      <c r="E1150" s="3">
        <v>10</v>
      </c>
      <c r="F1150" s="3">
        <v>3</v>
      </c>
      <c r="G1150" s="4">
        <v>44637</v>
      </c>
    </row>
    <row r="1151" spans="2:7">
      <c r="C1151" s="2" t="s">
        <v>4</v>
      </c>
      <c r="D1151" s="2" t="s">
        <v>302</v>
      </c>
      <c r="E1151" s="3">
        <v>4.5</v>
      </c>
      <c r="F1151" s="3">
        <v>2</v>
      </c>
      <c r="G1151" s="4">
        <v>44175</v>
      </c>
    </row>
    <row r="1152" spans="2:7">
      <c r="C1152" s="2" t="s">
        <v>4</v>
      </c>
      <c r="D1152" s="2" t="s">
        <v>1056</v>
      </c>
      <c r="E1152" s="3">
        <v>4.3</v>
      </c>
      <c r="F1152" s="3">
        <f>E1152/3</f>
        <v>1.4333333333333333</v>
      </c>
      <c r="G1152" s="4">
        <v>42821</v>
      </c>
    </row>
    <row r="1153" spans="2:18">
      <c r="C1153" s="2" t="s">
        <v>53</v>
      </c>
      <c r="D1153" s="2" t="s">
        <v>47</v>
      </c>
      <c r="E1153" s="3">
        <v>100</v>
      </c>
      <c r="F1153" s="3">
        <v>11</v>
      </c>
      <c r="G1153" s="4">
        <v>44515</v>
      </c>
      <c r="I1153" s="1">
        <v>4100</v>
      </c>
      <c r="J1153" s="1">
        <v>4100</v>
      </c>
    </row>
    <row r="1154" spans="2:18">
      <c r="C1154" s="2" t="s">
        <v>8</v>
      </c>
      <c r="D1154" s="2" t="s">
        <v>47</v>
      </c>
      <c r="E1154" s="3">
        <v>145</v>
      </c>
      <c r="F1154" s="3">
        <f>85/6</f>
        <v>14.166666666666666</v>
      </c>
      <c r="G1154" s="4">
        <v>43228</v>
      </c>
      <c r="I1154" s="1">
        <v>855</v>
      </c>
      <c r="J1154" s="1">
        <v>4100</v>
      </c>
    </row>
    <row r="1155" spans="2:18">
      <c r="C1155" s="2" t="s">
        <v>18</v>
      </c>
      <c r="D1155" s="2" t="s">
        <v>47</v>
      </c>
      <c r="E1155" s="3">
        <v>50</v>
      </c>
      <c r="F1155" s="3">
        <v>10</v>
      </c>
      <c r="G1155" s="4">
        <v>42509</v>
      </c>
      <c r="J1155" s="1">
        <v>4100</v>
      </c>
    </row>
    <row r="1156" spans="2:18">
      <c r="C1156" s="2" t="s">
        <v>7</v>
      </c>
      <c r="D1156" s="2" t="s">
        <v>47</v>
      </c>
      <c r="E1156" s="3">
        <v>30</v>
      </c>
      <c r="F1156" s="3">
        <v>20</v>
      </c>
      <c r="G1156" s="4">
        <v>41808</v>
      </c>
      <c r="J1156" s="1">
        <v>4100</v>
      </c>
    </row>
    <row r="1157" spans="2:18">
      <c r="C1157" s="241" t="s">
        <v>5</v>
      </c>
      <c r="D1157" s="241" t="s">
        <v>7579</v>
      </c>
      <c r="E1157" s="3">
        <v>2.2000000000000002</v>
      </c>
      <c r="F1157" s="3">
        <v>1</v>
      </c>
      <c r="G1157" s="4">
        <v>43906</v>
      </c>
    </row>
    <row r="1158" spans="2:18">
      <c r="G1158" s="4"/>
    </row>
    <row r="1159" spans="2:18" s="12" customFormat="1">
      <c r="B1159" s="12" t="s">
        <v>11</v>
      </c>
      <c r="C1159" s="13" t="s">
        <v>969</v>
      </c>
      <c r="D1159" s="13" t="s">
        <v>968</v>
      </c>
      <c r="E1159" s="15"/>
      <c r="F1159" s="15">
        <f>SUM(F1160:F1162)</f>
        <v>153.33333333333334</v>
      </c>
      <c r="G1159" s="14">
        <f>+G1162</f>
        <v>45230</v>
      </c>
      <c r="M1159" s="13"/>
      <c r="N1159" s="13"/>
      <c r="O1159" s="13"/>
      <c r="P1159" s="13"/>
      <c r="Q1159" s="13"/>
      <c r="R1159" s="13"/>
    </row>
    <row r="1160" spans="2:18">
      <c r="C1160" s="2" t="s">
        <v>9</v>
      </c>
      <c r="D1160" s="2" t="s">
        <v>3</v>
      </c>
      <c r="E1160" s="3">
        <v>90</v>
      </c>
      <c r="F1160" s="3">
        <v>10</v>
      </c>
      <c r="G1160" s="4">
        <v>44721</v>
      </c>
      <c r="I1160" s="1">
        <v>2200</v>
      </c>
      <c r="J1160" s="1">
        <v>2500</v>
      </c>
    </row>
    <row r="1161" spans="2:18">
      <c r="C1161" s="2" t="s">
        <v>8</v>
      </c>
      <c r="D1161" s="2" t="s">
        <v>3</v>
      </c>
      <c r="E1161" s="3">
        <v>210</v>
      </c>
      <c r="F1161" s="3">
        <v>110</v>
      </c>
      <c r="G1161" s="4">
        <v>44432</v>
      </c>
      <c r="I1161" s="1">
        <v>1000</v>
      </c>
      <c r="J1161" s="1">
        <v>2500</v>
      </c>
    </row>
    <row r="1162" spans="2:18">
      <c r="C1162" s="265" t="s">
        <v>53</v>
      </c>
      <c r="D1162" s="2" t="s">
        <v>3</v>
      </c>
      <c r="E1162" s="3">
        <v>200</v>
      </c>
      <c r="F1162" s="3">
        <v>33.333333333333336</v>
      </c>
      <c r="G1162" s="4">
        <v>45230</v>
      </c>
      <c r="J1162" s="1">
        <v>2500</v>
      </c>
    </row>
    <row r="1163" spans="2:18">
      <c r="G1163" s="4"/>
    </row>
    <row r="1164" spans="2:18" s="12" customFormat="1">
      <c r="B1164" s="12" t="s">
        <v>207</v>
      </c>
      <c r="C1164" s="13" t="s">
        <v>969</v>
      </c>
      <c r="D1164" s="13" t="s">
        <v>968</v>
      </c>
      <c r="E1164" s="15"/>
      <c r="F1164" s="15">
        <f>SUM(F1165:F1166)</f>
        <v>120</v>
      </c>
      <c r="G1164" s="14">
        <f>G1165</f>
        <v>44274</v>
      </c>
      <c r="M1164" s="13"/>
      <c r="N1164" s="13"/>
      <c r="O1164" s="13"/>
      <c r="P1164" s="13"/>
      <c r="Q1164" s="13"/>
      <c r="R1164" s="13"/>
    </row>
    <row r="1165" spans="2:18">
      <c r="B1165" s="238" t="s">
        <v>7631</v>
      </c>
      <c r="C1165" s="2" t="s">
        <v>18</v>
      </c>
      <c r="D1165" s="2" t="s">
        <v>197</v>
      </c>
      <c r="E1165" s="3">
        <v>500</v>
      </c>
      <c r="F1165" s="3">
        <v>100</v>
      </c>
      <c r="G1165" s="4">
        <v>44274</v>
      </c>
    </row>
    <row r="1166" spans="2:18">
      <c r="B1166" s="254" t="s">
        <v>7626</v>
      </c>
      <c r="C1166" s="2" t="s">
        <v>8</v>
      </c>
      <c r="D1166" s="2" t="s">
        <v>2134</v>
      </c>
      <c r="E1166" s="3">
        <v>200</v>
      </c>
      <c r="F1166" s="3">
        <v>20</v>
      </c>
      <c r="G1166" s="4">
        <v>44237</v>
      </c>
    </row>
    <row r="1167" spans="2:18">
      <c r="G1167" s="4"/>
    </row>
    <row r="1168" spans="2:18">
      <c r="B1168" s="12" t="s">
        <v>1095</v>
      </c>
      <c r="C1168" s="13" t="s">
        <v>969</v>
      </c>
      <c r="D1168" s="13" t="s">
        <v>968</v>
      </c>
      <c r="F1168" s="15">
        <f>SUM(F1169:F1173)</f>
        <v>118.75</v>
      </c>
      <c r="G1168" s="14">
        <f>G1170</f>
        <v>45050</v>
      </c>
    </row>
    <row r="1169" spans="2:10">
      <c r="C1169" s="2" t="s">
        <v>18</v>
      </c>
      <c r="D1169" s="2" t="s">
        <v>803</v>
      </c>
      <c r="E1169" s="3">
        <v>100</v>
      </c>
      <c r="F1169" s="3">
        <v>13</v>
      </c>
      <c r="G1169" s="4">
        <v>43682</v>
      </c>
    </row>
    <row r="1170" spans="2:10">
      <c r="C1170" s="2" t="s">
        <v>4</v>
      </c>
      <c r="D1170" s="2" t="s">
        <v>1094</v>
      </c>
      <c r="E1170" s="3">
        <v>8</v>
      </c>
      <c r="F1170" s="3">
        <v>7</v>
      </c>
      <c r="G1170" s="4">
        <v>45050</v>
      </c>
    </row>
    <row r="1171" spans="2:10">
      <c r="C1171" s="2" t="s">
        <v>9</v>
      </c>
      <c r="D1171" s="2" t="s">
        <v>55</v>
      </c>
      <c r="E1171" s="3">
        <v>250</v>
      </c>
      <c r="F1171" s="3">
        <f>150/5</f>
        <v>30</v>
      </c>
      <c r="G1171" s="4">
        <v>44350</v>
      </c>
      <c r="I1171" s="1">
        <v>7000</v>
      </c>
      <c r="J1171" s="1">
        <v>7000</v>
      </c>
    </row>
    <row r="1172" spans="2:10">
      <c r="C1172" s="2" t="s">
        <v>8</v>
      </c>
      <c r="D1172" s="2" t="s">
        <v>55</v>
      </c>
      <c r="E1172" s="3">
        <v>200</v>
      </c>
      <c r="F1172" s="3">
        <f>150/8</f>
        <v>18.75</v>
      </c>
      <c r="G1172" s="4">
        <v>44055</v>
      </c>
      <c r="I1172" s="1">
        <v>2000</v>
      </c>
      <c r="J1172" s="1">
        <v>7000</v>
      </c>
    </row>
    <row r="1173" spans="2:10">
      <c r="C1173" s="2" t="s">
        <v>1</v>
      </c>
      <c r="D1173" s="2" t="s">
        <v>0</v>
      </c>
      <c r="E1173" s="3">
        <v>300</v>
      </c>
      <c r="F1173" s="3">
        <v>50</v>
      </c>
      <c r="G1173" s="4">
        <v>45044</v>
      </c>
      <c r="I1173" s="1">
        <v>28700</v>
      </c>
      <c r="J1173" s="1">
        <v>28700</v>
      </c>
    </row>
    <row r="1174" spans="2:10">
      <c r="G1174" s="4"/>
    </row>
    <row r="1175" spans="2:10">
      <c r="B1175" s="12" t="s">
        <v>7289</v>
      </c>
      <c r="C1175" s="13" t="s">
        <v>969</v>
      </c>
      <c r="D1175" s="13" t="s">
        <v>968</v>
      </c>
      <c r="E1175" s="15"/>
      <c r="F1175" s="15">
        <f>SUM(F1176:F1191)</f>
        <v>117.86666666666667</v>
      </c>
      <c r="G1175" s="14">
        <f>G1183</f>
        <v>45005</v>
      </c>
      <c r="I1175" s="216" t="s">
        <v>7288</v>
      </c>
    </row>
    <row r="1176" spans="2:10">
      <c r="B1176" s="253" t="s">
        <v>7627</v>
      </c>
      <c r="C1176" s="2" t="s">
        <v>18</v>
      </c>
      <c r="D1176" s="2" t="s">
        <v>957</v>
      </c>
      <c r="E1176" s="3">
        <v>50</v>
      </c>
      <c r="F1176" s="3">
        <f>30/5</f>
        <v>6</v>
      </c>
      <c r="G1176" s="4">
        <v>44900</v>
      </c>
      <c r="I1176" s="1">
        <v>450</v>
      </c>
      <c r="J1176" s="1">
        <v>1400</v>
      </c>
    </row>
    <row r="1177" spans="2:10">
      <c r="C1177" s="2" t="s">
        <v>18</v>
      </c>
      <c r="D1177" s="2" t="s">
        <v>1064</v>
      </c>
      <c r="E1177" s="3">
        <v>85</v>
      </c>
      <c r="F1177" s="3">
        <v>10</v>
      </c>
      <c r="G1177" s="4">
        <v>44501</v>
      </c>
    </row>
    <row r="1178" spans="2:10">
      <c r="C1178" s="2" t="s">
        <v>7</v>
      </c>
      <c r="D1178" s="2" t="s">
        <v>1064</v>
      </c>
      <c r="E1178" s="3">
        <v>28</v>
      </c>
      <c r="F1178" s="3">
        <v>5</v>
      </c>
      <c r="G1178" s="4">
        <v>44272</v>
      </c>
    </row>
    <row r="1179" spans="2:10">
      <c r="C1179" s="2" t="s">
        <v>5</v>
      </c>
      <c r="D1179" s="2" t="s">
        <v>1064</v>
      </c>
      <c r="E1179" s="3">
        <v>15</v>
      </c>
      <c r="F1179" s="3">
        <v>5</v>
      </c>
      <c r="G1179" s="4">
        <v>43924</v>
      </c>
    </row>
    <row r="1180" spans="2:10">
      <c r="C1180" s="2" t="s">
        <v>4</v>
      </c>
      <c r="D1180" s="2" t="s">
        <v>1064</v>
      </c>
      <c r="E1180" s="3">
        <v>3.9</v>
      </c>
      <c r="F1180" s="3">
        <v>2.9</v>
      </c>
      <c r="G1180" s="4">
        <v>43761</v>
      </c>
    </row>
    <row r="1181" spans="2:10">
      <c r="C1181" s="2" t="s">
        <v>4</v>
      </c>
      <c r="D1181" s="2" t="s">
        <v>1024</v>
      </c>
      <c r="E1181" s="3">
        <v>2.8</v>
      </c>
      <c r="F1181" s="3">
        <v>0.8</v>
      </c>
      <c r="G1181" s="4">
        <v>44994</v>
      </c>
    </row>
    <row r="1182" spans="2:10">
      <c r="C1182" s="2" t="s">
        <v>4</v>
      </c>
      <c r="D1182" s="2" t="s">
        <v>1024</v>
      </c>
      <c r="E1182" s="3">
        <v>2.6</v>
      </c>
      <c r="F1182" s="3">
        <v>1</v>
      </c>
      <c r="G1182" s="4">
        <v>44147</v>
      </c>
    </row>
    <row r="1183" spans="2:10">
      <c r="C1183" s="2" t="s">
        <v>5</v>
      </c>
      <c r="D1183" s="2" t="s">
        <v>688</v>
      </c>
      <c r="E1183" s="3">
        <v>12.5</v>
      </c>
      <c r="F1183" s="3">
        <v>7</v>
      </c>
      <c r="G1183" s="4">
        <v>45005</v>
      </c>
    </row>
    <row r="1184" spans="2:10">
      <c r="C1184" s="2" t="s">
        <v>4</v>
      </c>
      <c r="D1184" s="2" t="s">
        <v>652</v>
      </c>
      <c r="E1184" s="3">
        <v>12</v>
      </c>
      <c r="F1184" s="3">
        <v>2</v>
      </c>
      <c r="G1184" s="4">
        <v>44971</v>
      </c>
    </row>
    <row r="1185" spans="2:7">
      <c r="C1185" s="2" t="s">
        <v>4</v>
      </c>
      <c r="D1185" s="2" t="s">
        <v>596</v>
      </c>
      <c r="E1185" s="3">
        <v>6</v>
      </c>
      <c r="F1185" s="3">
        <v>2</v>
      </c>
      <c r="G1185" s="4">
        <v>44781</v>
      </c>
    </row>
    <row r="1186" spans="2:7">
      <c r="C1186" s="2" t="s">
        <v>278</v>
      </c>
      <c r="D1186" s="2" t="s">
        <v>596</v>
      </c>
      <c r="E1186" s="3">
        <v>1</v>
      </c>
      <c r="F1186" s="3">
        <v>0.5</v>
      </c>
      <c r="G1186" s="4">
        <v>44476</v>
      </c>
    </row>
    <row r="1187" spans="2:7">
      <c r="C1187" s="2" t="s">
        <v>7</v>
      </c>
      <c r="D1187" s="2" t="s">
        <v>1063</v>
      </c>
      <c r="E1187" s="3">
        <v>100</v>
      </c>
      <c r="F1187" s="3">
        <v>15</v>
      </c>
      <c r="G1187" s="4">
        <v>45106</v>
      </c>
    </row>
    <row r="1188" spans="2:7">
      <c r="C1188" s="92" t="s">
        <v>7</v>
      </c>
      <c r="D1188" s="92" t="s">
        <v>5438</v>
      </c>
      <c r="E1188" s="3">
        <v>75</v>
      </c>
      <c r="F1188" s="3">
        <f>50/3</f>
        <v>16.666666666666668</v>
      </c>
      <c r="G1188" s="4">
        <v>44677</v>
      </c>
    </row>
    <row r="1189" spans="2:7">
      <c r="C1189" s="92" t="s">
        <v>5</v>
      </c>
      <c r="D1189" s="92" t="s">
        <v>5438</v>
      </c>
      <c r="E1189" s="3">
        <v>40</v>
      </c>
      <c r="F1189" s="3">
        <v>40</v>
      </c>
      <c r="G1189" s="4">
        <v>44682</v>
      </c>
    </row>
    <row r="1190" spans="2:7">
      <c r="C1190" s="92" t="s">
        <v>5</v>
      </c>
      <c r="D1190" s="92" t="s">
        <v>2017</v>
      </c>
      <c r="E1190" s="3">
        <v>10</v>
      </c>
      <c r="F1190" s="3">
        <v>2</v>
      </c>
      <c r="G1190" s="4">
        <v>44504</v>
      </c>
    </row>
    <row r="1191" spans="2:7">
      <c r="C1191" s="92" t="s">
        <v>4</v>
      </c>
      <c r="D1191" s="92" t="s">
        <v>2017</v>
      </c>
      <c r="E1191" s="3">
        <v>4</v>
      </c>
      <c r="F1191" s="3">
        <v>2</v>
      </c>
      <c r="G1191" s="4">
        <v>44097</v>
      </c>
    </row>
    <row r="1192" spans="2:7">
      <c r="G1192" s="4"/>
    </row>
    <row r="1193" spans="2:7">
      <c r="B1193" s="12" t="s">
        <v>1080</v>
      </c>
      <c r="C1193" s="13" t="s">
        <v>969</v>
      </c>
      <c r="D1193" s="13" t="s">
        <v>968</v>
      </c>
      <c r="F1193" s="15">
        <f>SUM(F1194:F1198)</f>
        <v>114.13043478260869</v>
      </c>
      <c r="G1193" s="14">
        <f>+G1196</f>
        <v>44622</v>
      </c>
    </row>
    <row r="1194" spans="2:7">
      <c r="C1194" s="2" t="s">
        <v>18</v>
      </c>
      <c r="D1194" s="2" t="s">
        <v>798</v>
      </c>
      <c r="E1194" s="3">
        <v>50</v>
      </c>
      <c r="F1194" s="3">
        <v>8</v>
      </c>
      <c r="G1194" s="4">
        <v>44496</v>
      </c>
    </row>
    <row r="1195" spans="2:7">
      <c r="C1195" s="2" t="s">
        <v>18</v>
      </c>
      <c r="D1195" s="2" t="s">
        <v>883</v>
      </c>
      <c r="E1195" s="3">
        <v>200</v>
      </c>
      <c r="F1195" s="3">
        <v>50</v>
      </c>
      <c r="G1195" s="4">
        <v>44377</v>
      </c>
    </row>
    <row r="1196" spans="2:7">
      <c r="C1196" s="2" t="s">
        <v>8</v>
      </c>
      <c r="D1196" s="2" t="s">
        <v>258</v>
      </c>
      <c r="E1196" s="3">
        <v>111</v>
      </c>
      <c r="F1196" s="3">
        <v>7</v>
      </c>
      <c r="G1196" s="4">
        <v>44622</v>
      </c>
    </row>
    <row r="1197" spans="2:7">
      <c r="C1197" s="2" t="s">
        <v>18</v>
      </c>
      <c r="D1197" s="2" t="s">
        <v>258</v>
      </c>
      <c r="E1197" s="3">
        <v>55</v>
      </c>
      <c r="F1197" s="3">
        <v>10</v>
      </c>
      <c r="G1197" s="4">
        <v>44314</v>
      </c>
    </row>
    <row r="1198" spans="2:7">
      <c r="C1198" s="265" t="s">
        <v>504</v>
      </c>
      <c r="D1198" s="265" t="s">
        <v>1006</v>
      </c>
      <c r="E1198" s="3">
        <v>1000</v>
      </c>
      <c r="F1198" s="3">
        <f>900/23</f>
        <v>39.130434782608695</v>
      </c>
      <c r="G1198" s="4">
        <v>44228</v>
      </c>
    </row>
    <row r="1199" spans="2:7">
      <c r="G1199" s="4"/>
    </row>
    <row r="1200" spans="2:7" s="12" customFormat="1">
      <c r="B1200" s="12" t="s">
        <v>496</v>
      </c>
      <c r="C1200" s="13" t="s">
        <v>969</v>
      </c>
      <c r="D1200" s="13" t="s">
        <v>968</v>
      </c>
      <c r="E1200" s="15"/>
      <c r="F1200" s="15">
        <f>SUM(F1201:F1202)</f>
        <v>114</v>
      </c>
      <c r="G1200" s="14">
        <f>G1202</f>
        <v>44608</v>
      </c>
    </row>
    <row r="1201" spans="2:18">
      <c r="C1201" s="2" t="s">
        <v>9</v>
      </c>
      <c r="D1201" s="2" t="s">
        <v>489</v>
      </c>
      <c r="E1201" s="3">
        <v>206</v>
      </c>
      <c r="F1201" s="3">
        <v>14</v>
      </c>
      <c r="G1201" s="4">
        <v>43725</v>
      </c>
      <c r="M1201" s="1"/>
      <c r="N1201" s="1"/>
      <c r="O1201" s="1"/>
      <c r="P1201" s="1"/>
      <c r="Q1201" s="1"/>
      <c r="R1201" s="1"/>
    </row>
    <row r="1202" spans="2:18">
      <c r="C1202" s="2" t="s">
        <v>9</v>
      </c>
      <c r="D1202" s="2" t="s">
        <v>386</v>
      </c>
      <c r="E1202" s="3">
        <v>400</v>
      </c>
      <c r="F1202" s="3">
        <v>100</v>
      </c>
      <c r="G1202" s="4">
        <v>44608</v>
      </c>
      <c r="M1202" s="1"/>
      <c r="N1202" s="1"/>
      <c r="O1202" s="1"/>
      <c r="P1202" s="1"/>
      <c r="Q1202" s="1"/>
      <c r="R1202" s="1"/>
    </row>
    <row r="1203" spans="2:18">
      <c r="G1203" s="4"/>
      <c r="M1203" s="1"/>
      <c r="N1203" s="1"/>
      <c r="O1203" s="1"/>
      <c r="P1203" s="1"/>
      <c r="Q1203" s="1"/>
      <c r="R1203" s="1"/>
    </row>
    <row r="1204" spans="2:18" s="12" customFormat="1">
      <c r="B1204" s="12" t="s">
        <v>824</v>
      </c>
      <c r="C1204" s="13" t="s">
        <v>4229</v>
      </c>
      <c r="D1204" s="13" t="s">
        <v>968</v>
      </c>
      <c r="E1204" s="15"/>
      <c r="F1204" s="15">
        <f>SUM(F1205:F1207)</f>
        <v>110.5</v>
      </c>
      <c r="G1204" s="14">
        <f>G1205</f>
        <v>44578</v>
      </c>
      <c r="M1204" s="13"/>
      <c r="N1204" s="13"/>
      <c r="O1204" s="13"/>
      <c r="P1204" s="13"/>
      <c r="Q1204" s="13"/>
      <c r="R1204" s="13"/>
    </row>
    <row r="1205" spans="2:18">
      <c r="C1205" s="2" t="s">
        <v>5</v>
      </c>
      <c r="D1205" s="2" t="s">
        <v>819</v>
      </c>
      <c r="E1205" s="3">
        <v>20</v>
      </c>
      <c r="F1205" s="3">
        <v>2</v>
      </c>
      <c r="G1205" s="4">
        <v>44578</v>
      </c>
    </row>
    <row r="1206" spans="2:18">
      <c r="C1206" s="2" t="s">
        <v>8</v>
      </c>
      <c r="D1206" s="2" t="s">
        <v>253</v>
      </c>
      <c r="E1206" s="3">
        <v>600</v>
      </c>
      <c r="F1206" s="3">
        <f>500/8</f>
        <v>62.5</v>
      </c>
      <c r="G1206" s="4">
        <v>44502</v>
      </c>
    </row>
    <row r="1207" spans="2:18">
      <c r="C1207" s="2" t="s">
        <v>5</v>
      </c>
      <c r="D1207" s="2" t="s">
        <v>253</v>
      </c>
      <c r="E1207" s="3">
        <v>92</v>
      </c>
      <c r="F1207" s="3">
        <f>E1207/2</f>
        <v>46</v>
      </c>
      <c r="G1207" s="4">
        <v>43130</v>
      </c>
    </row>
    <row r="1208" spans="2:18">
      <c r="G1208" s="4"/>
    </row>
    <row r="1209" spans="2:18" s="12" customFormat="1">
      <c r="B1209" s="12" t="s">
        <v>54</v>
      </c>
      <c r="C1209" s="13" t="s">
        <v>969</v>
      </c>
      <c r="D1209" s="13" t="s">
        <v>968</v>
      </c>
      <c r="E1209" s="15"/>
      <c r="F1209" s="15">
        <f>SUM(F1210:F1215)</f>
        <v>109.92142857142856</v>
      </c>
      <c r="G1209" s="14">
        <f>G1215</f>
        <v>45183</v>
      </c>
      <c r="M1209" s="13"/>
      <c r="N1209" s="13"/>
      <c r="O1209" s="13"/>
      <c r="P1209" s="13"/>
      <c r="Q1209" s="13"/>
      <c r="R1209" s="13"/>
    </row>
    <row r="1210" spans="2:18">
      <c r="C1210" s="2" t="s">
        <v>53</v>
      </c>
      <c r="D1210" s="2" t="s">
        <v>47</v>
      </c>
      <c r="E1210" s="3">
        <v>100</v>
      </c>
      <c r="F1210" s="3">
        <v>11</v>
      </c>
      <c r="G1210" s="4">
        <v>44515</v>
      </c>
      <c r="I1210" s="1">
        <v>4100</v>
      </c>
      <c r="J1210" s="1">
        <v>4100</v>
      </c>
    </row>
    <row r="1211" spans="2:18">
      <c r="C1211" s="2" t="s">
        <v>18</v>
      </c>
      <c r="D1211" s="2" t="s">
        <v>47</v>
      </c>
      <c r="E1211" s="3">
        <v>60</v>
      </c>
      <c r="F1211" s="3">
        <v>20</v>
      </c>
      <c r="G1211" s="4">
        <v>42964</v>
      </c>
      <c r="J1211" s="1">
        <v>4100</v>
      </c>
    </row>
    <row r="1212" spans="2:18">
      <c r="C1212" s="2" t="s">
        <v>9</v>
      </c>
      <c r="D1212" s="2" t="s">
        <v>52</v>
      </c>
      <c r="E1212" s="3">
        <v>220</v>
      </c>
      <c r="F1212" s="3">
        <v>28</v>
      </c>
      <c r="G1212" s="4">
        <v>44357</v>
      </c>
      <c r="I1212" s="1">
        <v>1900</v>
      </c>
      <c r="J1212" s="1">
        <v>1900</v>
      </c>
    </row>
    <row r="1213" spans="2:18">
      <c r="C1213" s="2" t="s">
        <v>8</v>
      </c>
      <c r="D1213" s="2" t="s">
        <v>52</v>
      </c>
      <c r="E1213" s="3">
        <v>125</v>
      </c>
      <c r="F1213" s="3">
        <v>18.75</v>
      </c>
      <c r="G1213" s="4">
        <v>44131</v>
      </c>
      <c r="I1213" s="1">
        <v>875</v>
      </c>
      <c r="J1213" s="1">
        <v>1900</v>
      </c>
    </row>
    <row r="1214" spans="2:18">
      <c r="C1214" s="55" t="s">
        <v>7</v>
      </c>
      <c r="D1214" s="55" t="s">
        <v>2112</v>
      </c>
      <c r="E1214" s="3">
        <v>20</v>
      </c>
      <c r="F1214" s="3">
        <f>13/3</f>
        <v>4.333333333333333</v>
      </c>
      <c r="G1214" s="4">
        <v>42317</v>
      </c>
      <c r="J1214" s="1">
        <v>1600</v>
      </c>
    </row>
    <row r="1215" spans="2:18">
      <c r="C1215" s="265" t="s">
        <v>7885</v>
      </c>
      <c r="D1215" s="265" t="s">
        <v>1006</v>
      </c>
      <c r="E1215" s="3">
        <v>684.6</v>
      </c>
      <c r="F1215" s="3">
        <f>584.6/21</f>
        <v>27.838095238095239</v>
      </c>
      <c r="G1215" s="4">
        <v>45183</v>
      </c>
    </row>
    <row r="1216" spans="2:18">
      <c r="G1216" s="4"/>
    </row>
    <row r="1217" spans="2:18" s="12" customFormat="1">
      <c r="B1217" s="12" t="s">
        <v>20</v>
      </c>
      <c r="C1217" s="13" t="s">
        <v>969</v>
      </c>
      <c r="D1217" s="13" t="s">
        <v>968</v>
      </c>
      <c r="E1217" s="15"/>
      <c r="F1217" s="15">
        <f>SUM(F1218:F1219)</f>
        <v>110</v>
      </c>
      <c r="G1217" s="14">
        <f>G1218</f>
        <v>44502</v>
      </c>
      <c r="M1217" s="13"/>
      <c r="N1217" s="13"/>
      <c r="O1217" s="13"/>
      <c r="P1217" s="13"/>
      <c r="Q1217" s="13"/>
      <c r="R1217" s="13"/>
    </row>
    <row r="1218" spans="2:18">
      <c r="C1218" s="2" t="s">
        <v>8</v>
      </c>
      <c r="D1218" s="2" t="s">
        <v>15</v>
      </c>
      <c r="E1218" s="3">
        <v>220</v>
      </c>
      <c r="F1218" s="3">
        <v>50</v>
      </c>
      <c r="G1218" s="4">
        <v>44502</v>
      </c>
      <c r="I1218" s="1">
        <v>794</v>
      </c>
      <c r="J1218" s="1">
        <v>794</v>
      </c>
    </row>
    <row r="1219" spans="2:18">
      <c r="C1219" s="2" t="s">
        <v>8</v>
      </c>
      <c r="D1219" s="2" t="s">
        <v>15</v>
      </c>
      <c r="E1219" s="3">
        <v>220</v>
      </c>
      <c r="F1219" s="3">
        <v>60</v>
      </c>
      <c r="G1219" s="4">
        <v>44322</v>
      </c>
      <c r="I1219" s="1">
        <v>780</v>
      </c>
      <c r="J1219" s="1">
        <v>780</v>
      </c>
    </row>
    <row r="1220" spans="2:18">
      <c r="G1220" s="4"/>
    </row>
    <row r="1221" spans="2:18" s="12" customFormat="1">
      <c r="B1221" s="12" t="s">
        <v>121</v>
      </c>
      <c r="C1221" s="13" t="s">
        <v>969</v>
      </c>
      <c r="D1221" s="13" t="s">
        <v>968</v>
      </c>
      <c r="E1221" s="15"/>
      <c r="F1221" s="15">
        <f>SUM(F1222:F1223)</f>
        <v>106.25</v>
      </c>
      <c r="G1221" s="14">
        <f>G1222</f>
        <v>44510</v>
      </c>
      <c r="M1221" s="13"/>
      <c r="N1221" s="13"/>
      <c r="O1221" s="13"/>
      <c r="P1221" s="13"/>
      <c r="Q1221" s="13"/>
      <c r="R1221" s="13"/>
    </row>
    <row r="1222" spans="2:18">
      <c r="C1222" s="2" t="s">
        <v>5</v>
      </c>
      <c r="D1222" s="2" t="s">
        <v>110</v>
      </c>
      <c r="E1222" s="3">
        <v>25</v>
      </c>
      <c r="F1222" s="3">
        <v>8</v>
      </c>
      <c r="G1222" s="4">
        <v>44510</v>
      </c>
    </row>
    <row r="1223" spans="2:18">
      <c r="C1223" s="2" t="s">
        <v>2486</v>
      </c>
      <c r="D1223" s="2" t="s">
        <v>3934</v>
      </c>
      <c r="E1223" s="3">
        <v>196.5</v>
      </c>
      <c r="F1223" s="3">
        <f>E1223/2</f>
        <v>98.25</v>
      </c>
      <c r="G1223" s="4">
        <v>41544</v>
      </c>
      <c r="I1223" s="1">
        <v>8000</v>
      </c>
      <c r="J1223" s="1">
        <v>32500</v>
      </c>
    </row>
    <row r="1224" spans="2:18">
      <c r="G1224" s="4"/>
    </row>
    <row r="1225" spans="2:18" s="12" customFormat="1">
      <c r="B1225" s="12" t="s">
        <v>1073</v>
      </c>
      <c r="C1225" s="13" t="s">
        <v>969</v>
      </c>
      <c r="D1225" s="13" t="s">
        <v>968</v>
      </c>
      <c r="E1225" s="15"/>
      <c r="F1225" s="15">
        <f>SUM(F1226:F1238)</f>
        <v>105.71666666666667</v>
      </c>
      <c r="G1225" s="14">
        <f>G1227</f>
        <v>44860</v>
      </c>
      <c r="M1225" s="13"/>
      <c r="N1225" s="13"/>
      <c r="O1225" s="13"/>
      <c r="P1225" s="13"/>
      <c r="Q1225" s="13"/>
      <c r="R1225" s="13"/>
    </row>
    <row r="1226" spans="2:18">
      <c r="C1226" s="2" t="s">
        <v>7</v>
      </c>
      <c r="D1226" s="2" t="s">
        <v>891</v>
      </c>
      <c r="E1226" s="3">
        <v>40</v>
      </c>
      <c r="F1226" s="3">
        <v>10</v>
      </c>
      <c r="G1226" s="4">
        <v>44650</v>
      </c>
    </row>
    <row r="1227" spans="2:18">
      <c r="C1227" s="2" t="s">
        <v>7</v>
      </c>
      <c r="D1227" s="2" t="s">
        <v>1072</v>
      </c>
      <c r="E1227" s="3">
        <v>37</v>
      </c>
      <c r="F1227" s="3">
        <v>4</v>
      </c>
      <c r="G1227" s="4">
        <v>44860</v>
      </c>
    </row>
    <row r="1228" spans="2:18">
      <c r="C1228" s="2" t="s">
        <v>7</v>
      </c>
      <c r="D1228" s="2" t="s">
        <v>1072</v>
      </c>
      <c r="E1228" s="3">
        <v>80</v>
      </c>
      <c r="F1228" s="3">
        <v>10</v>
      </c>
      <c r="G1228" s="4">
        <v>44327</v>
      </c>
    </row>
    <row r="1229" spans="2:18">
      <c r="C1229" s="2" t="s">
        <v>5</v>
      </c>
      <c r="D1229" s="2" t="s">
        <v>1072</v>
      </c>
      <c r="E1229" s="3">
        <v>30</v>
      </c>
      <c r="F1229" s="3">
        <v>10</v>
      </c>
      <c r="G1229" s="4">
        <v>43963</v>
      </c>
    </row>
    <row r="1230" spans="2:18">
      <c r="C1230" s="2" t="s">
        <v>9</v>
      </c>
      <c r="D1230" s="2" t="s">
        <v>22</v>
      </c>
      <c r="E1230" s="3">
        <v>222</v>
      </c>
      <c r="F1230" s="3">
        <v>10</v>
      </c>
      <c r="G1230" s="4">
        <v>44194</v>
      </c>
      <c r="I1230" s="1">
        <v>2500</v>
      </c>
      <c r="J1230" s="1">
        <v>2500</v>
      </c>
    </row>
    <row r="1231" spans="2:18">
      <c r="C1231" s="2" t="s">
        <v>8</v>
      </c>
      <c r="D1231" s="2" t="s">
        <v>22</v>
      </c>
      <c r="E1231" s="3">
        <v>200</v>
      </c>
      <c r="F1231" s="3">
        <v>13</v>
      </c>
      <c r="G1231" s="4">
        <v>43452</v>
      </c>
      <c r="I1231" s="1">
        <v>1500</v>
      </c>
      <c r="J1231" s="1">
        <v>2500</v>
      </c>
    </row>
    <row r="1232" spans="2:18">
      <c r="C1232" s="2" t="s">
        <v>18</v>
      </c>
      <c r="D1232" s="2" t="s">
        <v>22</v>
      </c>
      <c r="E1232" s="3">
        <v>50</v>
      </c>
      <c r="F1232" s="3">
        <v>5</v>
      </c>
      <c r="G1232" s="4">
        <v>43051</v>
      </c>
      <c r="J1232" s="1">
        <v>2500</v>
      </c>
    </row>
    <row r="1233" spans="2:18">
      <c r="C1233" s="2" t="s">
        <v>7</v>
      </c>
      <c r="D1233" s="2" t="s">
        <v>22</v>
      </c>
      <c r="E1233" s="3">
        <v>30</v>
      </c>
      <c r="F1233" s="3">
        <v>3</v>
      </c>
      <c r="G1233" s="4">
        <v>42936</v>
      </c>
      <c r="J1233" s="1">
        <v>2500</v>
      </c>
    </row>
    <row r="1234" spans="2:18">
      <c r="C1234" s="52" t="s">
        <v>8</v>
      </c>
      <c r="D1234" s="52" t="s">
        <v>4881</v>
      </c>
      <c r="E1234" s="3">
        <v>83</v>
      </c>
      <c r="F1234" s="3">
        <v>6.8</v>
      </c>
      <c r="G1234" s="4">
        <v>44320</v>
      </c>
      <c r="I1234" s="1">
        <v>3600</v>
      </c>
      <c r="J1234" s="1">
        <v>3600</v>
      </c>
    </row>
    <row r="1235" spans="2:18">
      <c r="C1235" s="52" t="s">
        <v>18</v>
      </c>
      <c r="D1235" s="52" t="s">
        <v>4881</v>
      </c>
      <c r="E1235" s="3">
        <v>100</v>
      </c>
      <c r="F1235" s="3">
        <v>10</v>
      </c>
      <c r="G1235" s="4">
        <v>43937</v>
      </c>
      <c r="I1235" s="1">
        <v>1100</v>
      </c>
      <c r="J1235" s="1">
        <v>3600</v>
      </c>
    </row>
    <row r="1236" spans="2:18">
      <c r="C1236" s="52" t="s">
        <v>7</v>
      </c>
      <c r="D1236" s="52" t="s">
        <v>4881</v>
      </c>
      <c r="E1236" s="3">
        <v>40</v>
      </c>
      <c r="F1236" s="3">
        <v>10</v>
      </c>
      <c r="G1236" s="4">
        <v>43522</v>
      </c>
      <c r="J1236" s="1">
        <v>3600</v>
      </c>
    </row>
    <row r="1237" spans="2:18">
      <c r="C1237" s="52" t="s">
        <v>5</v>
      </c>
      <c r="D1237" s="52" t="s">
        <v>4881</v>
      </c>
      <c r="E1237" s="3">
        <v>25</v>
      </c>
      <c r="F1237" s="3">
        <f>E1237/4</f>
        <v>6.25</v>
      </c>
      <c r="G1237" s="4">
        <v>43172</v>
      </c>
      <c r="J1237" s="1">
        <v>3600</v>
      </c>
    </row>
    <row r="1238" spans="2:18">
      <c r="C1238" s="55" t="s">
        <v>9</v>
      </c>
      <c r="D1238" s="55" t="s">
        <v>4995</v>
      </c>
      <c r="E1238" s="3">
        <v>43</v>
      </c>
      <c r="F1238" s="3">
        <f>23/3</f>
        <v>7.666666666666667</v>
      </c>
      <c r="G1238" s="4">
        <v>43992</v>
      </c>
    </row>
    <row r="1239" spans="2:18">
      <c r="G1239" s="4"/>
    </row>
    <row r="1240" spans="2:18" s="12" customFormat="1">
      <c r="B1240" s="12" t="s">
        <v>248</v>
      </c>
      <c r="C1240" s="13" t="s">
        <v>969</v>
      </c>
      <c r="D1240" s="13" t="s">
        <v>968</v>
      </c>
      <c r="E1240" s="15"/>
      <c r="F1240" s="15">
        <f>SUM(F1241:F1242)</f>
        <v>105</v>
      </c>
      <c r="G1240" s="14">
        <f>G1241</f>
        <v>43223</v>
      </c>
      <c r="M1240" s="13"/>
      <c r="N1240" s="13"/>
      <c r="O1240" s="13"/>
      <c r="P1240" s="13"/>
      <c r="Q1240" s="13"/>
      <c r="R1240" s="13"/>
    </row>
    <row r="1241" spans="2:18">
      <c r="C1241" s="2" t="s">
        <v>18</v>
      </c>
      <c r="D1241" s="2" t="s">
        <v>245</v>
      </c>
      <c r="E1241" s="3">
        <v>820</v>
      </c>
      <c r="F1241" s="3">
        <f>600/6</f>
        <v>100</v>
      </c>
      <c r="G1241" s="4">
        <v>43223</v>
      </c>
    </row>
    <row r="1242" spans="2:18">
      <c r="C1242" s="55" t="s">
        <v>18</v>
      </c>
      <c r="D1242" s="55" t="s">
        <v>2112</v>
      </c>
      <c r="E1242" s="3">
        <v>40</v>
      </c>
      <c r="F1242" s="3">
        <v>5</v>
      </c>
      <c r="G1242" s="4">
        <v>43069</v>
      </c>
      <c r="J1242" s="1">
        <v>1600</v>
      </c>
    </row>
    <row r="1243" spans="2:18">
      <c r="G1243" s="4"/>
    </row>
    <row r="1244" spans="2:18" s="12" customFormat="1">
      <c r="B1244" s="12" t="s">
        <v>76</v>
      </c>
      <c r="C1244" s="13" t="s">
        <v>969</v>
      </c>
      <c r="D1244" s="13" t="s">
        <v>968</v>
      </c>
      <c r="E1244" s="15"/>
      <c r="F1244" s="15">
        <f>SUM(F1245:F1251)</f>
        <v>104.5</v>
      </c>
      <c r="G1244" s="14">
        <f>G1249</f>
        <v>44578</v>
      </c>
      <c r="K1244" s="46"/>
      <c r="M1244" s="13"/>
      <c r="N1244" s="13"/>
      <c r="O1244" s="13"/>
      <c r="P1244" s="13"/>
      <c r="Q1244" s="13"/>
      <c r="R1244" s="13"/>
    </row>
    <row r="1245" spans="2:18">
      <c r="C1245" s="2" t="s">
        <v>8</v>
      </c>
      <c r="D1245" s="2" t="s">
        <v>74</v>
      </c>
      <c r="E1245" s="3">
        <v>81</v>
      </c>
      <c r="F1245" s="3">
        <f>+E1245/6</f>
        <v>13.5</v>
      </c>
      <c r="G1245" s="4">
        <v>43418</v>
      </c>
      <c r="I1245" s="1">
        <v>1700</v>
      </c>
      <c r="J1245" s="1">
        <v>3800</v>
      </c>
      <c r="K1245" s="5">
        <f>(E1245/(I1245+E1245))*J1245*(F1245/E1245)</f>
        <v>28.804042672655811</v>
      </c>
    </row>
    <row r="1246" spans="2:18">
      <c r="C1246" s="2" t="s">
        <v>18</v>
      </c>
      <c r="D1246" s="2" t="s">
        <v>74</v>
      </c>
      <c r="E1246" s="3">
        <v>60</v>
      </c>
      <c r="F1246" s="3">
        <f>+E1246/5</f>
        <v>12</v>
      </c>
      <c r="G1246" s="4">
        <v>42736</v>
      </c>
      <c r="I1246" s="1">
        <v>800</v>
      </c>
      <c r="J1246" s="1">
        <v>3800</v>
      </c>
      <c r="K1246" s="5">
        <f>(E1246/(I1246+E1246))*J1246*(F1246/E1246)</f>
        <v>53.023255813953483</v>
      </c>
    </row>
    <row r="1247" spans="2:18">
      <c r="C1247" s="2" t="s">
        <v>7</v>
      </c>
      <c r="D1247" s="2" t="s">
        <v>74</v>
      </c>
      <c r="E1247" s="3">
        <v>25</v>
      </c>
      <c r="F1247" s="3">
        <v>15</v>
      </c>
      <c r="G1247" s="4">
        <v>42723</v>
      </c>
      <c r="I1247" s="1">
        <v>245</v>
      </c>
      <c r="J1247" s="1">
        <v>3800</v>
      </c>
      <c r="K1247" s="5">
        <f>(E1247/(I1247+E1247))*J1247*(F1247/E1247)</f>
        <v>211.11111111111111</v>
      </c>
    </row>
    <row r="1248" spans="2:18">
      <c r="C1248" s="2" t="s">
        <v>5</v>
      </c>
      <c r="D1248" s="2" t="s">
        <v>74</v>
      </c>
      <c r="E1248" s="3">
        <v>27</v>
      </c>
      <c r="F1248" s="3">
        <v>27</v>
      </c>
      <c r="G1248" s="4">
        <v>42495</v>
      </c>
      <c r="I1248" s="5">
        <v>62.5</v>
      </c>
      <c r="J1248" s="1">
        <v>3800</v>
      </c>
      <c r="K1248" s="5">
        <f>(E1248/(I1248+E1248))*J1248*(F1248/E1248)</f>
        <v>1146.3687150837989</v>
      </c>
    </row>
    <row r="1249" spans="2:18">
      <c r="C1249" s="2" t="s">
        <v>7</v>
      </c>
      <c r="D1249" s="2" t="s">
        <v>2129</v>
      </c>
      <c r="E1249" s="3">
        <v>176</v>
      </c>
      <c r="F1249" s="3">
        <v>26</v>
      </c>
      <c r="G1249" s="4">
        <v>44578</v>
      </c>
      <c r="I1249" s="5"/>
      <c r="K1249" s="5"/>
    </row>
    <row r="1250" spans="2:18">
      <c r="C1250" s="2" t="s">
        <v>5</v>
      </c>
      <c r="D1250" s="2" t="s">
        <v>2129</v>
      </c>
      <c r="E1250" s="3">
        <v>20</v>
      </c>
      <c r="F1250" s="3">
        <v>3</v>
      </c>
      <c r="G1250" s="4">
        <v>44044</v>
      </c>
      <c r="I1250" s="5"/>
      <c r="K1250" s="5"/>
    </row>
    <row r="1251" spans="2:18">
      <c r="C1251" s="2" t="s">
        <v>5</v>
      </c>
      <c r="D1251" s="2" t="s">
        <v>2129</v>
      </c>
      <c r="E1251" s="3">
        <v>20</v>
      </c>
      <c r="F1251" s="3">
        <v>8</v>
      </c>
      <c r="G1251" s="4">
        <v>43647</v>
      </c>
      <c r="I1251" s="5"/>
      <c r="K1251" s="5"/>
    </row>
    <row r="1252" spans="2:18">
      <c r="G1252" s="4"/>
      <c r="I1252" s="5"/>
      <c r="K1252" s="5"/>
    </row>
    <row r="1253" spans="2:18" s="12" customFormat="1">
      <c r="B1253" s="12" t="s">
        <v>7906</v>
      </c>
      <c r="C1253" s="13" t="s">
        <v>969</v>
      </c>
      <c r="D1253" s="13" t="s">
        <v>968</v>
      </c>
      <c r="E1253" s="15"/>
      <c r="F1253" s="15">
        <f>SUM(F1254:F1262)</f>
        <v>104.22499999999999</v>
      </c>
      <c r="G1253" s="14">
        <f>G1255</f>
        <v>44880</v>
      </c>
    </row>
    <row r="1254" spans="2:18">
      <c r="C1254" s="2" t="s">
        <v>5</v>
      </c>
      <c r="D1254" s="2" t="s">
        <v>465</v>
      </c>
      <c r="E1254" s="3">
        <v>15.5</v>
      </c>
      <c r="F1254" s="3">
        <v>3</v>
      </c>
      <c r="G1254" s="4">
        <v>44727</v>
      </c>
      <c r="M1254" s="1"/>
      <c r="N1254" s="1"/>
      <c r="O1254" s="1"/>
      <c r="P1254" s="1"/>
      <c r="Q1254" s="1"/>
      <c r="R1254" s="1"/>
    </row>
    <row r="1255" spans="2:18">
      <c r="C1255" s="2" t="s">
        <v>8</v>
      </c>
      <c r="D1255" s="2" t="s">
        <v>131</v>
      </c>
      <c r="E1255" s="3">
        <v>135</v>
      </c>
      <c r="F1255" s="3">
        <v>8</v>
      </c>
      <c r="G1255" s="4">
        <v>44880</v>
      </c>
      <c r="M1255" s="1"/>
      <c r="N1255" s="1"/>
      <c r="O1255" s="1"/>
      <c r="P1255" s="1"/>
      <c r="Q1255" s="1"/>
      <c r="R1255" s="1"/>
    </row>
    <row r="1256" spans="2:18">
      <c r="C1256" s="2" t="s">
        <v>18</v>
      </c>
      <c r="D1256" s="2" t="s">
        <v>131</v>
      </c>
      <c r="E1256" s="3">
        <v>31.7</v>
      </c>
      <c r="F1256" s="3">
        <v>7</v>
      </c>
      <c r="G1256" s="4">
        <v>43599</v>
      </c>
      <c r="M1256" s="1"/>
      <c r="N1256" s="1"/>
      <c r="O1256" s="1"/>
      <c r="P1256" s="1"/>
      <c r="Q1256" s="1"/>
      <c r="R1256" s="1"/>
    </row>
    <row r="1257" spans="2:18">
      <c r="C1257" s="2" t="s">
        <v>7</v>
      </c>
      <c r="D1257" s="2" t="s">
        <v>131</v>
      </c>
      <c r="E1257" s="3">
        <v>32</v>
      </c>
      <c r="F1257" s="3">
        <f>20/4</f>
        <v>5</v>
      </c>
      <c r="G1257" s="4">
        <v>42528</v>
      </c>
      <c r="M1257" s="1"/>
      <c r="N1257" s="1"/>
      <c r="O1257" s="1"/>
      <c r="P1257" s="1"/>
      <c r="Q1257" s="1"/>
      <c r="R1257" s="1"/>
    </row>
    <row r="1258" spans="2:18">
      <c r="C1258" s="2" t="s">
        <v>18</v>
      </c>
      <c r="D1258" s="2" t="s">
        <v>192</v>
      </c>
      <c r="E1258" s="3">
        <v>235</v>
      </c>
      <c r="F1258" s="3">
        <f>85/2</f>
        <v>42.5</v>
      </c>
      <c r="G1258" s="4">
        <v>44384</v>
      </c>
      <c r="M1258" s="1"/>
      <c r="N1258" s="1"/>
      <c r="O1258" s="1"/>
      <c r="P1258" s="1"/>
      <c r="Q1258" s="1"/>
      <c r="R1258" s="1"/>
    </row>
    <row r="1259" spans="2:18">
      <c r="C1259" s="2" t="s">
        <v>7</v>
      </c>
      <c r="D1259" s="2" t="s">
        <v>192</v>
      </c>
      <c r="E1259" s="3">
        <f>43</f>
        <v>43</v>
      </c>
      <c r="F1259" s="3">
        <f>E1259/5</f>
        <v>8.6</v>
      </c>
      <c r="G1259" s="4">
        <v>44077</v>
      </c>
      <c r="M1259" s="1"/>
      <c r="N1259" s="1"/>
      <c r="O1259" s="1"/>
      <c r="P1259" s="1"/>
      <c r="Q1259" s="1"/>
      <c r="R1259" s="1"/>
    </row>
    <row r="1260" spans="2:18">
      <c r="C1260" s="2" t="s">
        <v>5</v>
      </c>
      <c r="D1260" s="2" t="s">
        <v>192</v>
      </c>
      <c r="E1260" s="3">
        <v>15</v>
      </c>
      <c r="F1260" s="3">
        <v>5</v>
      </c>
      <c r="G1260" s="4">
        <v>43479</v>
      </c>
      <c r="M1260" s="1"/>
      <c r="N1260" s="1"/>
      <c r="O1260" s="1"/>
      <c r="P1260" s="1"/>
      <c r="Q1260" s="1"/>
      <c r="R1260" s="1"/>
    </row>
    <row r="1261" spans="2:18">
      <c r="C1261" s="241" t="s">
        <v>5</v>
      </c>
      <c r="D1261" s="241" t="s">
        <v>7426</v>
      </c>
      <c r="E1261" s="3">
        <v>10</v>
      </c>
      <c r="F1261" s="3">
        <v>2</v>
      </c>
      <c r="G1261" s="4">
        <v>44384</v>
      </c>
      <c r="M1261" s="1"/>
      <c r="N1261" s="1"/>
      <c r="O1261" s="1"/>
      <c r="P1261" s="1"/>
      <c r="Q1261" s="1"/>
      <c r="R1261" s="1"/>
    </row>
    <row r="1262" spans="2:18">
      <c r="C1262" s="265" t="s">
        <v>8</v>
      </c>
      <c r="D1262" s="265" t="s">
        <v>926</v>
      </c>
      <c r="E1262" s="3">
        <v>235</v>
      </c>
      <c r="F1262" s="3">
        <f>185/8</f>
        <v>23.125</v>
      </c>
      <c r="G1262" s="4">
        <v>45161</v>
      </c>
      <c r="J1262" s="1">
        <v>4300</v>
      </c>
      <c r="M1262" s="1"/>
      <c r="N1262" s="1"/>
      <c r="O1262" s="1"/>
      <c r="P1262" s="1"/>
      <c r="Q1262" s="1"/>
      <c r="R1262" s="1"/>
    </row>
    <row r="1263" spans="2:18">
      <c r="G1263" s="4"/>
      <c r="M1263" s="1"/>
      <c r="N1263" s="1"/>
      <c r="O1263" s="1"/>
      <c r="P1263" s="1"/>
      <c r="Q1263" s="1"/>
      <c r="R1263" s="1"/>
    </row>
    <row r="1264" spans="2:18" s="12" customFormat="1">
      <c r="B1264" s="12" t="s">
        <v>7907</v>
      </c>
      <c r="C1264" s="13" t="s">
        <v>969</v>
      </c>
      <c r="D1264" s="13" t="s">
        <v>968</v>
      </c>
      <c r="E1264" s="15"/>
      <c r="F1264" s="15">
        <f>SUM(F1265:F1270)</f>
        <v>104.26984126984127</v>
      </c>
      <c r="G1264" s="14">
        <f>G1266</f>
        <v>45104</v>
      </c>
      <c r="I1264" s="1" t="s">
        <v>1</v>
      </c>
      <c r="J1264" s="1" t="s">
        <v>1</v>
      </c>
      <c r="K1264" s="1" t="s">
        <v>1</v>
      </c>
      <c r="M1264" s="13"/>
      <c r="N1264" s="13"/>
      <c r="O1264" s="13"/>
      <c r="P1264" s="13"/>
      <c r="Q1264" s="13"/>
      <c r="R1264" s="13"/>
    </row>
    <row r="1265" spans="2:18">
      <c r="C1265" s="2" t="s">
        <v>18</v>
      </c>
      <c r="D1265" s="2" t="s">
        <v>1005</v>
      </c>
      <c r="E1265" s="3">
        <v>100</v>
      </c>
      <c r="F1265" s="3">
        <v>10</v>
      </c>
      <c r="G1265" s="4">
        <v>44754</v>
      </c>
    </row>
    <row r="1266" spans="2:18">
      <c r="C1266" s="2" t="s">
        <v>5</v>
      </c>
      <c r="D1266" s="2" t="s">
        <v>546</v>
      </c>
      <c r="E1266" s="3">
        <v>58</v>
      </c>
      <c r="F1266" s="3">
        <v>8</v>
      </c>
      <c r="G1266" s="4">
        <v>45104</v>
      </c>
    </row>
    <row r="1267" spans="2:18">
      <c r="C1267" s="2" t="s">
        <v>53</v>
      </c>
      <c r="D1267" s="2" t="s">
        <v>489</v>
      </c>
      <c r="E1267" s="3">
        <v>50</v>
      </c>
      <c r="F1267" s="3">
        <v>20</v>
      </c>
      <c r="G1267" s="4">
        <v>44174</v>
      </c>
    </row>
    <row r="1268" spans="2:18">
      <c r="C1268" s="2" t="s">
        <v>9</v>
      </c>
      <c r="D1268" s="2" t="s">
        <v>154</v>
      </c>
      <c r="E1268" s="3">
        <v>400</v>
      </c>
      <c r="F1268" s="3">
        <v>35.555555555555557</v>
      </c>
      <c r="G1268" s="4">
        <v>44413</v>
      </c>
    </row>
    <row r="1269" spans="2:18">
      <c r="C1269" s="2" t="s">
        <v>53</v>
      </c>
      <c r="D1269" s="2" t="s">
        <v>47</v>
      </c>
      <c r="E1269" s="3">
        <v>100</v>
      </c>
      <c r="F1269" s="3">
        <f>75/7</f>
        <v>10.714285714285714</v>
      </c>
      <c r="G1269" s="4">
        <v>44515</v>
      </c>
      <c r="I1269" s="1">
        <v>4100</v>
      </c>
      <c r="J1269" s="1">
        <v>4100</v>
      </c>
    </row>
    <row r="1270" spans="2:18">
      <c r="C1270" s="2" t="s">
        <v>1089</v>
      </c>
      <c r="D1270" s="2" t="s">
        <v>47</v>
      </c>
      <c r="E1270" s="3">
        <v>20</v>
      </c>
      <c r="F1270" s="3">
        <v>20</v>
      </c>
      <c r="G1270" s="4">
        <v>44265</v>
      </c>
    </row>
    <row r="1271" spans="2:18">
      <c r="G1271" s="4"/>
    </row>
    <row r="1272" spans="2:18" s="12" customFormat="1">
      <c r="B1272" s="12" t="s">
        <v>174</v>
      </c>
      <c r="C1272" s="13" t="s">
        <v>969</v>
      </c>
      <c r="D1272" s="13" t="s">
        <v>968</v>
      </c>
      <c r="E1272" s="15"/>
      <c r="F1272" s="15">
        <f>SUM(F1273:F1276)</f>
        <v>103.4</v>
      </c>
      <c r="G1272" s="14">
        <f>G1276</f>
        <v>44287</v>
      </c>
      <c r="M1272" s="13"/>
      <c r="N1272" s="13"/>
      <c r="O1272" s="13"/>
      <c r="P1272" s="13"/>
      <c r="Q1272" s="13"/>
      <c r="R1272" s="13"/>
    </row>
    <row r="1273" spans="2:18">
      <c r="C1273" s="2" t="s">
        <v>18</v>
      </c>
      <c r="D1273" s="2" t="s">
        <v>161</v>
      </c>
      <c r="E1273" s="3">
        <v>100</v>
      </c>
      <c r="F1273" s="3">
        <v>14</v>
      </c>
      <c r="G1273" s="4">
        <v>44235</v>
      </c>
      <c r="I1273" s="1">
        <v>5200</v>
      </c>
      <c r="J1273" s="1">
        <v>8400</v>
      </c>
    </row>
    <row r="1274" spans="2:18">
      <c r="C1274" s="2" t="s">
        <v>18</v>
      </c>
      <c r="D1274" s="2" t="s">
        <v>161</v>
      </c>
      <c r="E1274" s="3">
        <v>267</v>
      </c>
      <c r="F1274" s="3">
        <f>167/5</f>
        <v>33.4</v>
      </c>
      <c r="G1274" s="4">
        <v>44140</v>
      </c>
      <c r="I1274" s="1">
        <v>5000</v>
      </c>
      <c r="J1274" s="1">
        <v>8400</v>
      </c>
    </row>
    <row r="1275" spans="2:18">
      <c r="C1275" s="2" t="s">
        <v>5</v>
      </c>
      <c r="D1275" s="2" t="s">
        <v>161</v>
      </c>
      <c r="E1275" s="3">
        <v>102</v>
      </c>
      <c r="F1275" s="3">
        <v>16</v>
      </c>
      <c r="G1275" s="4">
        <v>43292</v>
      </c>
      <c r="J1275" s="1">
        <v>8400</v>
      </c>
    </row>
    <row r="1276" spans="2:18">
      <c r="C1276" s="2" t="s">
        <v>8</v>
      </c>
      <c r="D1276" s="2" t="s">
        <v>2134</v>
      </c>
      <c r="E1276" s="3">
        <v>220</v>
      </c>
      <c r="F1276" s="3">
        <v>40</v>
      </c>
      <c r="G1276" s="4">
        <v>44287</v>
      </c>
    </row>
    <row r="1277" spans="2:18">
      <c r="G1277" s="4"/>
    </row>
    <row r="1278" spans="2:18" s="12" customFormat="1">
      <c r="B1278" s="12" t="s">
        <v>501</v>
      </c>
      <c r="C1278" s="13" t="s">
        <v>969</v>
      </c>
      <c r="D1278" s="13" t="s">
        <v>968</v>
      </c>
      <c r="E1278" s="15"/>
      <c r="F1278" s="15">
        <f>SUM(F1279:F1281)</f>
        <v>101.68994708994708</v>
      </c>
      <c r="G1278" s="14">
        <f>G1280</f>
        <v>45183</v>
      </c>
      <c r="M1278" s="13"/>
      <c r="N1278" s="13"/>
      <c r="O1278" s="13"/>
      <c r="P1278" s="13"/>
      <c r="Q1278" s="13"/>
      <c r="R1278" s="13"/>
    </row>
    <row r="1279" spans="2:18">
      <c r="C1279" s="2" t="s">
        <v>53</v>
      </c>
      <c r="D1279" s="2" t="s">
        <v>489</v>
      </c>
      <c r="E1279" s="3">
        <v>270</v>
      </c>
      <c r="F1279" s="3">
        <v>22</v>
      </c>
      <c r="G1279" s="4">
        <v>44152</v>
      </c>
      <c r="M1279" s="1"/>
      <c r="N1279" s="1"/>
      <c r="O1279" s="1"/>
      <c r="P1279" s="1"/>
      <c r="Q1279" s="1"/>
      <c r="R1279" s="1"/>
    </row>
    <row r="1280" spans="2:18">
      <c r="C1280" s="265" t="s">
        <v>7885</v>
      </c>
      <c r="D1280" s="265" t="s">
        <v>1006</v>
      </c>
      <c r="E1280" s="3">
        <v>684.6</v>
      </c>
      <c r="F1280" s="3">
        <f>584.6/21</f>
        <v>27.838095238095239</v>
      </c>
      <c r="G1280" s="4">
        <v>45183</v>
      </c>
      <c r="I1280" s="1">
        <v>42500</v>
      </c>
      <c r="J1280" s="1">
        <v>42500</v>
      </c>
      <c r="M1280" s="1"/>
      <c r="N1280" s="1"/>
      <c r="O1280" s="1"/>
      <c r="P1280" s="1"/>
      <c r="Q1280" s="1"/>
      <c r="R1280" s="1"/>
    </row>
    <row r="1281" spans="2:18">
      <c r="C1281" s="265" t="s">
        <v>2486</v>
      </c>
      <c r="D1281" s="265" t="s">
        <v>1006</v>
      </c>
      <c r="E1281" s="3">
        <v>1600</v>
      </c>
      <c r="F1281" s="3">
        <f>1400/27</f>
        <v>51.851851851851855</v>
      </c>
      <c r="G1281" s="4">
        <v>44439</v>
      </c>
      <c r="I1281" s="1">
        <v>36400</v>
      </c>
      <c r="J1281" s="1">
        <v>42500</v>
      </c>
      <c r="M1281" s="1"/>
      <c r="N1281" s="1"/>
      <c r="O1281" s="1"/>
      <c r="P1281" s="1"/>
      <c r="Q1281" s="1"/>
      <c r="R1281" s="1"/>
    </row>
    <row r="1282" spans="2:18">
      <c r="G1282" s="4"/>
      <c r="M1282" s="1"/>
      <c r="N1282" s="1"/>
      <c r="O1282" s="1"/>
      <c r="P1282" s="1"/>
      <c r="Q1282" s="1"/>
      <c r="R1282" s="1"/>
    </row>
    <row r="1283" spans="2:18" s="12" customFormat="1">
      <c r="B1283" s="12" t="s">
        <v>78</v>
      </c>
      <c r="C1283" s="13" t="s">
        <v>969</v>
      </c>
      <c r="D1283" s="13" t="s">
        <v>968</v>
      </c>
      <c r="E1283" s="15"/>
      <c r="F1283" s="15">
        <f>SUM(F1284:F1286)</f>
        <v>101.5</v>
      </c>
      <c r="G1283" s="14">
        <f>G1284</f>
        <v>44510</v>
      </c>
      <c r="K1283" s="46"/>
      <c r="M1283" s="13"/>
      <c r="N1283" s="13"/>
      <c r="O1283" s="13"/>
      <c r="P1283" s="13"/>
      <c r="Q1283" s="13"/>
      <c r="R1283" s="13"/>
    </row>
    <row r="1284" spans="2:18">
      <c r="C1284" s="2" t="s">
        <v>53</v>
      </c>
      <c r="D1284" s="2" t="s">
        <v>74</v>
      </c>
      <c r="E1284" s="3">
        <v>250</v>
      </c>
      <c r="F1284" s="3">
        <v>50</v>
      </c>
      <c r="G1284" s="4">
        <v>44510</v>
      </c>
      <c r="I1284" s="1">
        <v>3800</v>
      </c>
      <c r="J1284" s="1">
        <v>3800</v>
      </c>
      <c r="K1284" s="5">
        <f>(E1284/(I1284+E1284))*J1284*(F1284/E1284)</f>
        <v>46.913580246913583</v>
      </c>
    </row>
    <row r="1285" spans="2:18">
      <c r="C1285" s="2" t="s">
        <v>9</v>
      </c>
      <c r="D1285" s="2" t="s">
        <v>47</v>
      </c>
      <c r="E1285" s="3">
        <v>248</v>
      </c>
      <c r="F1285" s="3">
        <f>150/4</f>
        <v>37.5</v>
      </c>
      <c r="G1285" s="4">
        <v>43678</v>
      </c>
      <c r="I1285" s="1">
        <v>1700</v>
      </c>
      <c r="J1285" s="1">
        <v>4100</v>
      </c>
      <c r="K1285" s="5">
        <f>(E1285/(I1285+E1285))*J1285*(F1285/E1285)</f>
        <v>78.927104722792606</v>
      </c>
    </row>
    <row r="1286" spans="2:18">
      <c r="C1286" s="55" t="s">
        <v>53</v>
      </c>
      <c r="D1286" s="55" t="s">
        <v>4995</v>
      </c>
      <c r="E1286" s="3">
        <v>100</v>
      </c>
      <c r="F1286" s="3">
        <f>70/5</f>
        <v>14</v>
      </c>
      <c r="G1286" s="4">
        <v>44474</v>
      </c>
      <c r="K1286" s="5"/>
    </row>
    <row r="1287" spans="2:18">
      <c r="G1287" s="4"/>
      <c r="K1287" s="5"/>
    </row>
    <row r="1288" spans="2:18" s="12" customFormat="1">
      <c r="B1288" s="12" t="s">
        <v>5993</v>
      </c>
      <c r="C1288" s="13" t="s">
        <v>969</v>
      </c>
      <c r="D1288" s="13" t="s">
        <v>968</v>
      </c>
      <c r="E1288" s="15"/>
      <c r="F1288" s="15">
        <f>SUM(F1289:F1294)</f>
        <v>102.1857142857143</v>
      </c>
      <c r="G1288" s="14">
        <f>G1289</f>
        <v>45037</v>
      </c>
    </row>
    <row r="1289" spans="2:18">
      <c r="C1289" s="2" t="s">
        <v>4</v>
      </c>
      <c r="D1289" s="2" t="s">
        <v>509</v>
      </c>
      <c r="E1289" s="3">
        <v>3</v>
      </c>
      <c r="F1289" s="3">
        <v>0.5</v>
      </c>
      <c r="G1289" s="4">
        <v>45037</v>
      </c>
      <c r="M1289" s="1"/>
      <c r="N1289" s="1"/>
      <c r="O1289" s="1"/>
      <c r="P1289" s="1"/>
      <c r="Q1289" s="1"/>
      <c r="R1289" s="1"/>
    </row>
    <row r="1290" spans="2:18">
      <c r="C1290" s="2" t="s">
        <v>7</v>
      </c>
      <c r="D1290" s="2" t="s">
        <v>475</v>
      </c>
      <c r="E1290" s="3">
        <v>90</v>
      </c>
      <c r="F1290" s="3">
        <v>6</v>
      </c>
      <c r="G1290" s="4">
        <v>44398</v>
      </c>
      <c r="M1290" s="1"/>
      <c r="N1290" s="1"/>
      <c r="O1290" s="1"/>
      <c r="P1290" s="1"/>
      <c r="Q1290" s="1"/>
      <c r="R1290" s="1"/>
    </row>
    <row r="1291" spans="2:18">
      <c r="C1291" s="2" t="s">
        <v>9</v>
      </c>
      <c r="D1291" s="2" t="s">
        <v>176</v>
      </c>
      <c r="E1291" s="3">
        <v>392</v>
      </c>
      <c r="F1291" s="3">
        <f>E1291/5</f>
        <v>78.400000000000006</v>
      </c>
      <c r="G1291" s="4">
        <v>43280</v>
      </c>
      <c r="M1291" s="1"/>
      <c r="N1291" s="1"/>
      <c r="O1291" s="1"/>
      <c r="P1291" s="1"/>
      <c r="Q1291" s="1"/>
      <c r="R1291" s="1"/>
    </row>
    <row r="1292" spans="2:18">
      <c r="C1292" s="52" t="s">
        <v>18</v>
      </c>
      <c r="D1292" s="52" t="s">
        <v>2118</v>
      </c>
      <c r="E1292" s="3">
        <v>300</v>
      </c>
      <c r="F1292" s="3">
        <f>200/14</f>
        <v>14.285714285714286</v>
      </c>
      <c r="G1292" s="4">
        <v>44300</v>
      </c>
      <c r="M1292" s="1"/>
      <c r="N1292" s="1"/>
      <c r="O1292" s="1"/>
      <c r="P1292" s="1"/>
      <c r="Q1292" s="1"/>
      <c r="R1292" s="1"/>
    </row>
    <row r="1293" spans="2:18">
      <c r="C1293" s="92" t="s">
        <v>5</v>
      </c>
      <c r="D1293" s="92" t="s">
        <v>5988</v>
      </c>
      <c r="E1293" s="3">
        <v>3</v>
      </c>
      <c r="F1293" s="3">
        <v>1</v>
      </c>
      <c r="G1293" s="4">
        <v>44140</v>
      </c>
      <c r="J1293" s="1">
        <v>250</v>
      </c>
      <c r="M1293" s="1"/>
      <c r="N1293" s="1"/>
      <c r="O1293" s="1"/>
      <c r="P1293" s="1"/>
      <c r="Q1293" s="1"/>
      <c r="R1293" s="1"/>
    </row>
    <row r="1294" spans="2:18">
      <c r="C1294" s="92" t="s">
        <v>5</v>
      </c>
      <c r="D1294" s="92" t="s">
        <v>5988</v>
      </c>
      <c r="E1294" s="3">
        <v>12</v>
      </c>
      <c r="F1294" s="3">
        <v>2</v>
      </c>
      <c r="G1294" s="4">
        <v>43941</v>
      </c>
      <c r="J1294" s="1">
        <v>250</v>
      </c>
      <c r="M1294" s="1"/>
      <c r="N1294" s="1"/>
      <c r="O1294" s="1"/>
      <c r="P1294" s="1"/>
      <c r="Q1294" s="1"/>
      <c r="R1294" s="1"/>
    </row>
    <row r="1295" spans="2:18">
      <c r="G1295" s="4"/>
      <c r="M1295" s="1"/>
      <c r="N1295" s="1"/>
      <c r="O1295" s="1"/>
      <c r="P1295" s="1"/>
      <c r="Q1295" s="1"/>
      <c r="R1295" s="1"/>
    </row>
    <row r="1296" spans="2:18" s="12" customFormat="1">
      <c r="B1296" s="12" t="s">
        <v>46</v>
      </c>
      <c r="C1296" s="13" t="s">
        <v>969</v>
      </c>
      <c r="D1296" s="13" t="s">
        <v>968</v>
      </c>
      <c r="E1296" s="15"/>
      <c r="F1296" s="15">
        <f>SUM(F1297:F1299)</f>
        <v>95</v>
      </c>
      <c r="G1296" s="14">
        <f>G1297</f>
        <v>44984</v>
      </c>
      <c r="M1296" s="13"/>
      <c r="N1296" s="13"/>
      <c r="O1296" s="13"/>
      <c r="P1296" s="13"/>
      <c r="Q1296" s="13"/>
      <c r="R1296" s="13"/>
    </row>
    <row r="1297" spans="2:18">
      <c r="C1297" s="2" t="s">
        <v>9</v>
      </c>
      <c r="D1297" s="2" t="s">
        <v>39</v>
      </c>
      <c r="E1297" s="3">
        <v>230</v>
      </c>
      <c r="F1297" s="3">
        <v>60</v>
      </c>
      <c r="G1297" s="4">
        <v>44984</v>
      </c>
      <c r="I1297" s="1">
        <v>2000</v>
      </c>
      <c r="J1297" s="1">
        <v>2000</v>
      </c>
    </row>
    <row r="1298" spans="2:18">
      <c r="C1298" s="2" t="s">
        <v>8</v>
      </c>
      <c r="D1298" s="2" t="s">
        <v>39</v>
      </c>
      <c r="E1298" s="3">
        <v>170</v>
      </c>
      <c r="F1298" s="3">
        <v>22</v>
      </c>
      <c r="G1298" s="4">
        <v>44255</v>
      </c>
      <c r="I1298" s="1">
        <v>830</v>
      </c>
      <c r="J1298" s="1">
        <v>2000</v>
      </c>
    </row>
    <row r="1299" spans="2:18">
      <c r="C1299" s="2" t="s">
        <v>7</v>
      </c>
      <c r="D1299" s="2" t="s">
        <v>2129</v>
      </c>
      <c r="E1299" s="3">
        <v>176</v>
      </c>
      <c r="F1299" s="3">
        <v>13</v>
      </c>
      <c r="G1299" s="4">
        <v>44578</v>
      </c>
    </row>
    <row r="1300" spans="2:18">
      <c r="G1300" s="4"/>
    </row>
    <row r="1301" spans="2:18" s="12" customFormat="1">
      <c r="B1301" s="12" t="s">
        <v>1087</v>
      </c>
      <c r="C1301" s="13" t="s">
        <v>969</v>
      </c>
      <c r="D1301" s="13" t="s">
        <v>968</v>
      </c>
      <c r="E1301" s="15"/>
      <c r="F1301" s="15">
        <f>SUM(F1302:F1317)</f>
        <v>92.738095238095241</v>
      </c>
      <c r="G1301" s="14">
        <f>G1302</f>
        <v>45042</v>
      </c>
      <c r="M1301" s="13"/>
      <c r="N1301" s="13"/>
      <c r="O1301" s="13"/>
      <c r="P1301" s="13"/>
      <c r="Q1301" s="13"/>
      <c r="R1301" s="13"/>
    </row>
    <row r="1302" spans="2:18">
      <c r="B1302" s="253" t="s">
        <v>7627</v>
      </c>
      <c r="C1302" s="2" t="s">
        <v>7</v>
      </c>
      <c r="D1302" s="2" t="s">
        <v>1086</v>
      </c>
      <c r="E1302" s="3">
        <v>100</v>
      </c>
      <c r="F1302" s="3">
        <v>5</v>
      </c>
      <c r="G1302" s="4">
        <v>45042</v>
      </c>
    </row>
    <row r="1303" spans="2:18">
      <c r="C1303" s="2" t="s">
        <v>5</v>
      </c>
      <c r="D1303" s="2" t="s">
        <v>1086</v>
      </c>
      <c r="E1303" s="3">
        <v>28</v>
      </c>
      <c r="F1303" s="3">
        <v>6</v>
      </c>
      <c r="G1303" s="4">
        <v>44649</v>
      </c>
    </row>
    <row r="1304" spans="2:18">
      <c r="C1304" s="2" t="s">
        <v>4</v>
      </c>
      <c r="D1304" s="2" t="s">
        <v>1086</v>
      </c>
      <c r="E1304" s="3">
        <v>10</v>
      </c>
      <c r="F1304" s="3">
        <v>5</v>
      </c>
      <c r="G1304" s="4">
        <v>44223</v>
      </c>
    </row>
    <row r="1305" spans="2:18">
      <c r="C1305" s="2" t="s">
        <v>7</v>
      </c>
      <c r="D1305" s="2" t="s">
        <v>1011</v>
      </c>
      <c r="E1305" s="3">
        <v>43</v>
      </c>
      <c r="F1305" s="3">
        <f>30/5</f>
        <v>6</v>
      </c>
      <c r="G1305" s="4">
        <v>44978</v>
      </c>
    </row>
    <row r="1306" spans="2:18">
      <c r="C1306" s="2" t="s">
        <v>7</v>
      </c>
      <c r="D1306" s="2" t="s">
        <v>860</v>
      </c>
      <c r="E1306" s="3">
        <v>25</v>
      </c>
      <c r="F1306" s="3">
        <f>18/7</f>
        <v>2.5714285714285716</v>
      </c>
      <c r="G1306" s="4">
        <v>44636</v>
      </c>
    </row>
    <row r="1307" spans="2:18">
      <c r="C1307" s="2" t="s">
        <v>5</v>
      </c>
      <c r="D1307" s="2" t="s">
        <v>860</v>
      </c>
      <c r="E1307" s="3">
        <v>12.2</v>
      </c>
      <c r="F1307" s="3">
        <v>4</v>
      </c>
      <c r="G1307" s="4">
        <v>44179</v>
      </c>
    </row>
    <row r="1308" spans="2:18">
      <c r="C1308" s="2" t="s">
        <v>4</v>
      </c>
      <c r="D1308" s="2" t="s">
        <v>860</v>
      </c>
      <c r="E1308" s="3">
        <v>5.0999999999999996</v>
      </c>
      <c r="F1308" s="3">
        <v>1</v>
      </c>
      <c r="G1308" s="4">
        <v>44046</v>
      </c>
    </row>
    <row r="1309" spans="2:18">
      <c r="C1309" s="2" t="s">
        <v>4</v>
      </c>
      <c r="D1309" s="2" t="s">
        <v>829</v>
      </c>
      <c r="E1309" s="3">
        <v>4.5</v>
      </c>
      <c r="F1309" s="3">
        <v>0.5</v>
      </c>
      <c r="G1309" s="4">
        <v>45056</v>
      </c>
    </row>
    <row r="1310" spans="2:18">
      <c r="C1310" s="2" t="s">
        <v>5</v>
      </c>
      <c r="D1310" s="2" t="s">
        <v>719</v>
      </c>
      <c r="E1310" s="3">
        <v>11</v>
      </c>
      <c r="F1310" s="3">
        <v>4</v>
      </c>
      <c r="G1310" s="4">
        <v>44483</v>
      </c>
    </row>
    <row r="1311" spans="2:18">
      <c r="C1311" s="2" t="s">
        <v>7</v>
      </c>
      <c r="D1311" s="2" t="s">
        <v>398</v>
      </c>
      <c r="E1311" s="3">
        <v>37</v>
      </c>
      <c r="F1311" s="3">
        <v>4</v>
      </c>
      <c r="G1311" s="4">
        <v>44860</v>
      </c>
    </row>
    <row r="1312" spans="2:18">
      <c r="C1312" s="2" t="s">
        <v>7</v>
      </c>
      <c r="D1312" s="2" t="s">
        <v>398</v>
      </c>
      <c r="E1312" s="3">
        <v>80</v>
      </c>
      <c r="F1312" s="3">
        <v>10</v>
      </c>
      <c r="G1312" s="4">
        <v>44327</v>
      </c>
    </row>
    <row r="1313" spans="2:18">
      <c r="C1313" s="2" t="s">
        <v>5</v>
      </c>
      <c r="D1313" s="2" t="s">
        <v>398</v>
      </c>
      <c r="E1313" s="3">
        <v>30</v>
      </c>
      <c r="F1313" s="3">
        <v>6.666666666666667</v>
      </c>
      <c r="G1313" s="4">
        <v>43963</v>
      </c>
    </row>
    <row r="1314" spans="2:18">
      <c r="C1314" s="2" t="s">
        <v>8</v>
      </c>
      <c r="D1314" s="2" t="s">
        <v>55</v>
      </c>
      <c r="E1314" s="3">
        <v>200</v>
      </c>
      <c r="F1314" s="3">
        <f>150/8</f>
        <v>18.75</v>
      </c>
      <c r="G1314" s="4">
        <v>44055</v>
      </c>
      <c r="I1314" s="1">
        <v>2000</v>
      </c>
      <c r="J1314" s="1">
        <v>7000</v>
      </c>
    </row>
    <row r="1315" spans="2:18">
      <c r="C1315" s="2" t="s">
        <v>18</v>
      </c>
      <c r="D1315" s="2" t="s">
        <v>55</v>
      </c>
      <c r="E1315" s="3">
        <v>65</v>
      </c>
      <c r="F1315" s="3">
        <v>8</v>
      </c>
      <c r="G1315" s="4">
        <v>43802</v>
      </c>
      <c r="I1315" s="1">
        <v>685</v>
      </c>
      <c r="J1315" s="1">
        <v>7000</v>
      </c>
    </row>
    <row r="1316" spans="2:18">
      <c r="C1316" s="2" t="s">
        <v>7</v>
      </c>
      <c r="D1316" s="2" t="s">
        <v>55</v>
      </c>
      <c r="E1316" s="3">
        <v>40</v>
      </c>
      <c r="F1316" s="3">
        <v>6.25</v>
      </c>
      <c r="G1316" s="4">
        <v>43503</v>
      </c>
      <c r="J1316" s="1">
        <v>7000</v>
      </c>
    </row>
    <row r="1317" spans="2:18">
      <c r="C1317" s="2" t="s">
        <v>5</v>
      </c>
      <c r="D1317" s="2" t="s">
        <v>55</v>
      </c>
      <c r="E1317" s="3">
        <v>20</v>
      </c>
      <c r="F1317" s="3">
        <v>5</v>
      </c>
      <c r="G1317" s="4">
        <v>42898</v>
      </c>
    </row>
    <row r="1318" spans="2:18">
      <c r="G1318" s="4"/>
    </row>
    <row r="1319" spans="2:18" s="12" customFormat="1">
      <c r="B1319" s="12" t="s">
        <v>72</v>
      </c>
      <c r="C1319" s="13" t="s">
        <v>969</v>
      </c>
      <c r="D1319" s="13" t="s">
        <v>968</v>
      </c>
      <c r="E1319" s="15"/>
      <c r="F1319" s="15" cm="1">
        <f t="array" ref="F1319">SUM(F1320+F1320:F1322)</f>
        <v>89.714285714285722</v>
      </c>
      <c r="G1319" s="14">
        <f>G1320</f>
        <v>44825</v>
      </c>
      <c r="M1319" s="13"/>
      <c r="N1319" s="13"/>
      <c r="O1319" s="13"/>
      <c r="P1319" s="13"/>
      <c r="Q1319" s="13"/>
      <c r="R1319" s="13"/>
    </row>
    <row r="1320" spans="2:18">
      <c r="C1320" s="2" t="s">
        <v>5</v>
      </c>
      <c r="D1320" s="2" t="s">
        <v>71</v>
      </c>
      <c r="E1320" s="3">
        <v>10</v>
      </c>
      <c r="F1320" s="3">
        <v>6</v>
      </c>
      <c r="G1320" s="4">
        <v>44825</v>
      </c>
    </row>
    <row r="1321" spans="2:18">
      <c r="C1321" s="2" t="s">
        <v>7</v>
      </c>
      <c r="D1321" s="2" t="s">
        <v>64</v>
      </c>
      <c r="E1321" s="3">
        <f>1600/7</f>
        <v>228.57142857142858</v>
      </c>
      <c r="F1321" s="3">
        <v>30</v>
      </c>
      <c r="G1321" s="4">
        <v>44550</v>
      </c>
    </row>
    <row r="1322" spans="2:18">
      <c r="C1322" s="2" t="s">
        <v>5</v>
      </c>
      <c r="D1322" s="2" t="s">
        <v>64</v>
      </c>
      <c r="E1322" s="3">
        <f>500/7</f>
        <v>71.428571428571431</v>
      </c>
      <c r="F1322" s="3">
        <f>E1322/2</f>
        <v>35.714285714285715</v>
      </c>
      <c r="G1322" s="4">
        <v>44315</v>
      </c>
    </row>
    <row r="1324" spans="2:18" s="12" customFormat="1">
      <c r="B1324" s="12" t="s">
        <v>236</v>
      </c>
      <c r="C1324" s="13" t="s">
        <v>969</v>
      </c>
      <c r="D1324" s="13" t="s">
        <v>968</v>
      </c>
      <c r="E1324" s="15"/>
      <c r="F1324" s="15">
        <f>SUM(F1325:F1327)</f>
        <v>88.8888888888889</v>
      </c>
      <c r="G1324" s="14">
        <f>G1326</f>
        <v>44218</v>
      </c>
      <c r="M1324" s="13"/>
      <c r="N1324" s="13"/>
      <c r="O1324" s="13"/>
      <c r="P1324" s="13"/>
      <c r="Q1324" s="13"/>
      <c r="R1324" s="13"/>
    </row>
    <row r="1325" spans="2:18">
      <c r="C1325" s="2" t="s">
        <v>18</v>
      </c>
      <c r="D1325" s="2" t="s">
        <v>232</v>
      </c>
      <c r="E1325" s="3">
        <v>460</v>
      </c>
      <c r="F1325" s="3">
        <f>160/4</f>
        <v>40</v>
      </c>
      <c r="G1325" s="4">
        <v>43040</v>
      </c>
    </row>
    <row r="1326" spans="2:18">
      <c r="C1326" s="2" t="s">
        <v>8</v>
      </c>
      <c r="D1326" s="2" t="s">
        <v>211</v>
      </c>
      <c r="E1326" s="3">
        <v>700</v>
      </c>
      <c r="F1326" s="3">
        <f>400/12</f>
        <v>33.333333333333336</v>
      </c>
      <c r="G1326" s="4">
        <v>44218</v>
      </c>
    </row>
    <row r="1327" spans="2:18">
      <c r="C1327" s="2" t="s">
        <v>18</v>
      </c>
      <c r="D1327" s="2" t="s">
        <v>211</v>
      </c>
      <c r="E1327" s="3">
        <v>140</v>
      </c>
      <c r="F1327" s="3">
        <f>E1327/9</f>
        <v>15.555555555555555</v>
      </c>
      <c r="G1327" s="4">
        <v>43453</v>
      </c>
    </row>
    <row r="1328" spans="2:18">
      <c r="G1328" s="4"/>
    </row>
    <row r="1329" spans="2:18" s="12" customFormat="1">
      <c r="B1329" s="12" t="s">
        <v>603</v>
      </c>
      <c r="C1329" s="13" t="s">
        <v>969</v>
      </c>
      <c r="D1329" s="13" t="s">
        <v>968</v>
      </c>
      <c r="E1329" s="15"/>
      <c r="F1329" s="15">
        <f>SUM(F1330:F1334)</f>
        <v>86.174999999999997</v>
      </c>
      <c r="G1329" s="14">
        <f>G1330</f>
        <v>44663</v>
      </c>
    </row>
    <row r="1330" spans="2:18">
      <c r="C1330" s="2" t="s">
        <v>18</v>
      </c>
      <c r="D1330" s="2" t="s">
        <v>599</v>
      </c>
      <c r="E1330" s="3">
        <v>125</v>
      </c>
      <c r="F1330" s="3">
        <f>75/8</f>
        <v>9.375</v>
      </c>
      <c r="G1330" s="4">
        <v>44663</v>
      </c>
      <c r="M1330" s="1"/>
      <c r="N1330" s="1"/>
      <c r="O1330" s="1"/>
      <c r="P1330" s="1"/>
      <c r="Q1330" s="1"/>
      <c r="R1330" s="1"/>
    </row>
    <row r="1331" spans="2:18">
      <c r="C1331" s="2" t="s">
        <v>7</v>
      </c>
      <c r="D1331" s="2" t="s">
        <v>599</v>
      </c>
      <c r="E1331" s="3">
        <v>54</v>
      </c>
      <c r="F1331" s="3">
        <f>40/5</f>
        <v>8</v>
      </c>
      <c r="G1331" s="4">
        <v>44089</v>
      </c>
      <c r="M1331" s="1"/>
      <c r="N1331" s="1"/>
      <c r="O1331" s="1"/>
      <c r="P1331" s="1"/>
      <c r="Q1331" s="1"/>
      <c r="R1331" s="1"/>
    </row>
    <row r="1332" spans="2:18">
      <c r="C1332" s="2" t="s">
        <v>8</v>
      </c>
      <c r="D1332" s="2" t="s">
        <v>39</v>
      </c>
      <c r="E1332" s="3">
        <v>170</v>
      </c>
      <c r="F1332" s="3">
        <v>22</v>
      </c>
      <c r="G1332" s="4">
        <v>44255</v>
      </c>
      <c r="I1332" s="1">
        <v>830</v>
      </c>
      <c r="J1332" s="1">
        <v>2000</v>
      </c>
      <c r="M1332" s="1"/>
      <c r="N1332" s="1"/>
      <c r="O1332" s="1"/>
      <c r="P1332" s="1"/>
      <c r="Q1332" s="1"/>
      <c r="R1332" s="1"/>
    </row>
    <row r="1333" spans="2:18">
      <c r="C1333" s="2" t="s">
        <v>18</v>
      </c>
      <c r="D1333" s="2" t="s">
        <v>39</v>
      </c>
      <c r="E1333" s="3">
        <v>100</v>
      </c>
      <c r="F1333" s="3">
        <v>40</v>
      </c>
      <c r="G1333" s="4">
        <v>44025</v>
      </c>
      <c r="J1333" s="1">
        <v>2000</v>
      </c>
      <c r="M1333" s="1"/>
      <c r="N1333" s="1"/>
      <c r="O1333" s="1"/>
      <c r="P1333" s="1"/>
      <c r="Q1333" s="1"/>
      <c r="R1333" s="1"/>
    </row>
    <row r="1334" spans="2:18">
      <c r="C1334" s="52" t="s">
        <v>8</v>
      </c>
      <c r="D1334" s="52" t="s">
        <v>4881</v>
      </c>
      <c r="E1334" s="3">
        <v>83</v>
      </c>
      <c r="F1334" s="3">
        <v>6.8</v>
      </c>
      <c r="G1334" s="4">
        <v>44320</v>
      </c>
      <c r="I1334" s="1">
        <v>3600</v>
      </c>
      <c r="J1334" s="1">
        <v>3600</v>
      </c>
      <c r="M1334" s="1"/>
      <c r="N1334" s="1"/>
      <c r="O1334" s="1"/>
      <c r="P1334" s="1"/>
      <c r="Q1334" s="1"/>
      <c r="R1334" s="1"/>
    </row>
    <row r="1335" spans="2:18">
      <c r="C1335" s="52" t="s">
        <v>18</v>
      </c>
      <c r="D1335" s="52" t="s">
        <v>4881</v>
      </c>
      <c r="E1335" s="3">
        <v>100</v>
      </c>
      <c r="F1335" s="3">
        <v>20</v>
      </c>
      <c r="G1335" s="4">
        <v>43937</v>
      </c>
      <c r="I1335" s="1">
        <v>1100</v>
      </c>
      <c r="J1335" s="1">
        <v>3600</v>
      </c>
      <c r="M1335" s="1"/>
      <c r="N1335" s="1"/>
      <c r="O1335" s="1"/>
      <c r="P1335" s="1"/>
      <c r="Q1335" s="1"/>
      <c r="R1335" s="1"/>
    </row>
    <row r="1336" spans="2:18">
      <c r="G1336" s="4"/>
      <c r="M1336" s="1"/>
      <c r="N1336" s="1"/>
      <c r="O1336" s="1"/>
      <c r="P1336" s="1"/>
      <c r="Q1336" s="1"/>
      <c r="R1336" s="1"/>
    </row>
    <row r="1337" spans="2:18" s="12" customFormat="1">
      <c r="B1337" s="12" t="s">
        <v>619</v>
      </c>
      <c r="C1337" s="13" t="s">
        <v>969</v>
      </c>
      <c r="D1337" s="13" t="s">
        <v>968</v>
      </c>
      <c r="E1337" s="15"/>
      <c r="F1337" s="15">
        <f>SUM(F1338:F1343)</f>
        <v>91.888888888888886</v>
      </c>
      <c r="G1337" s="14">
        <f>G1340</f>
        <v>45124</v>
      </c>
    </row>
    <row r="1338" spans="2:18">
      <c r="C1338" s="2" t="s">
        <v>9</v>
      </c>
      <c r="D1338" s="2" t="s">
        <v>606</v>
      </c>
      <c r="E1338" s="3">
        <v>132</v>
      </c>
      <c r="F1338" s="3">
        <v>20</v>
      </c>
      <c r="G1338" s="4">
        <v>44215</v>
      </c>
      <c r="I1338" s="1">
        <v>1400</v>
      </c>
      <c r="J1338" s="1">
        <v>1200</v>
      </c>
      <c r="M1338" s="1"/>
      <c r="N1338" s="1"/>
      <c r="O1338" s="1"/>
      <c r="P1338" s="1"/>
      <c r="Q1338" s="1"/>
      <c r="R1338" s="1"/>
    </row>
    <row r="1339" spans="2:18">
      <c r="C1339" s="2" t="s">
        <v>8</v>
      </c>
      <c r="D1339" s="2" t="s">
        <v>606</v>
      </c>
      <c r="E1339" s="3">
        <v>42</v>
      </c>
      <c r="F1339" s="3">
        <v>12</v>
      </c>
      <c r="G1339" s="4">
        <v>44153</v>
      </c>
      <c r="J1339" s="1">
        <v>1200</v>
      </c>
      <c r="M1339" s="1"/>
      <c r="N1339" s="1"/>
      <c r="O1339" s="1"/>
      <c r="P1339" s="1"/>
      <c r="Q1339" s="1"/>
      <c r="R1339" s="1"/>
    </row>
    <row r="1340" spans="2:18">
      <c r="C1340" s="265" t="s">
        <v>7929</v>
      </c>
      <c r="D1340" s="2" t="s">
        <v>606</v>
      </c>
      <c r="E1340" s="3">
        <v>59</v>
      </c>
      <c r="F1340" s="3">
        <f>E1340/9</f>
        <v>6.5555555555555554</v>
      </c>
      <c r="G1340" s="4">
        <v>45124</v>
      </c>
      <c r="I1340" s="1">
        <v>1200</v>
      </c>
      <c r="J1340" s="1">
        <v>1200</v>
      </c>
      <c r="M1340" s="1"/>
      <c r="N1340" s="1"/>
      <c r="O1340" s="1"/>
      <c r="P1340" s="1"/>
      <c r="Q1340" s="1"/>
      <c r="R1340" s="1"/>
    </row>
    <row r="1341" spans="2:18">
      <c r="C1341" s="2" t="s">
        <v>7</v>
      </c>
      <c r="D1341" s="2" t="s">
        <v>318</v>
      </c>
      <c r="E1341" s="3">
        <v>55</v>
      </c>
      <c r="F1341" s="3">
        <f>30/6</f>
        <v>5</v>
      </c>
      <c r="G1341" s="4">
        <v>44200</v>
      </c>
      <c r="M1341" s="1"/>
      <c r="N1341" s="1"/>
      <c r="O1341" s="1"/>
      <c r="P1341" s="1"/>
      <c r="Q1341" s="1"/>
      <c r="R1341" s="1"/>
    </row>
    <row r="1342" spans="2:18">
      <c r="C1342" s="2" t="s">
        <v>18</v>
      </c>
      <c r="D1342" s="2" t="s">
        <v>318</v>
      </c>
      <c r="E1342" s="3">
        <v>91</v>
      </c>
      <c r="F1342" s="3">
        <v>8.75</v>
      </c>
      <c r="G1342" s="4">
        <v>44867</v>
      </c>
      <c r="M1342" s="1"/>
      <c r="N1342" s="1"/>
      <c r="O1342" s="1"/>
      <c r="P1342" s="1"/>
      <c r="Q1342" s="1"/>
      <c r="R1342" s="1"/>
    </row>
    <row r="1343" spans="2:18">
      <c r="C1343" s="2" t="s">
        <v>53</v>
      </c>
      <c r="D1343" s="2" t="s">
        <v>176</v>
      </c>
      <c r="E1343" s="3">
        <v>475</v>
      </c>
      <c r="F1343" s="3">
        <f>E1343/12</f>
        <v>39.583333333333336</v>
      </c>
      <c r="G1343" s="4">
        <v>44278</v>
      </c>
      <c r="M1343" s="1"/>
      <c r="N1343" s="1"/>
      <c r="O1343" s="1"/>
      <c r="P1343" s="1"/>
      <c r="Q1343" s="1"/>
      <c r="R1343" s="1"/>
    </row>
    <row r="1344" spans="2:18">
      <c r="G1344" s="4"/>
      <c r="M1344" s="1"/>
      <c r="N1344" s="1"/>
      <c r="O1344" s="1"/>
      <c r="P1344" s="1"/>
      <c r="Q1344" s="1"/>
      <c r="R1344" s="1"/>
    </row>
    <row r="1345" spans="2:18">
      <c r="B1345" s="12" t="s">
        <v>965</v>
      </c>
      <c r="C1345" s="13" t="s">
        <v>969</v>
      </c>
      <c r="D1345" s="13" t="s">
        <v>968</v>
      </c>
      <c r="F1345" s="15">
        <f>SUM(F1346:F1349)</f>
        <v>108.69642857142857</v>
      </c>
      <c r="G1345" s="14">
        <f>G1347</f>
        <v>45161</v>
      </c>
      <c r="I1345" s="5"/>
      <c r="J1345" s="5"/>
    </row>
    <row r="1346" spans="2:18">
      <c r="C1346" s="2" t="s">
        <v>18</v>
      </c>
      <c r="D1346" s="2" t="s">
        <v>964</v>
      </c>
      <c r="E1346" s="3">
        <v>450</v>
      </c>
      <c r="F1346" s="3">
        <f>300/5</f>
        <v>60</v>
      </c>
      <c r="G1346" s="4">
        <v>45069</v>
      </c>
      <c r="I1346" s="268" t="s">
        <v>7916</v>
      </c>
      <c r="J1346" s="5"/>
    </row>
    <row r="1347" spans="2:18">
      <c r="C1347" s="265" t="s">
        <v>8</v>
      </c>
      <c r="D1347" s="265" t="s">
        <v>926</v>
      </c>
      <c r="E1347" s="3">
        <v>235</v>
      </c>
      <c r="F1347" s="3">
        <f>185/8</f>
        <v>23.125</v>
      </c>
      <c r="G1347" s="4">
        <v>45161</v>
      </c>
      <c r="I1347" s="5">
        <v>4300</v>
      </c>
      <c r="J1347" s="5">
        <v>4300</v>
      </c>
    </row>
    <row r="1348" spans="2:18">
      <c r="C1348" s="265" t="s">
        <v>7915</v>
      </c>
      <c r="D1348" s="265" t="s">
        <v>936</v>
      </c>
      <c r="E1348" s="3">
        <v>25</v>
      </c>
      <c r="F1348" s="3">
        <v>25</v>
      </c>
      <c r="G1348" s="4">
        <v>45047</v>
      </c>
      <c r="I1348" s="5"/>
      <c r="J1348" s="5"/>
    </row>
    <row r="1349" spans="2:18">
      <c r="C1349" s="394" t="s">
        <v>278</v>
      </c>
      <c r="D1349" s="394" t="s">
        <v>9775</v>
      </c>
      <c r="E1349" s="3">
        <v>6</v>
      </c>
      <c r="F1349" s="3">
        <f>4/7</f>
        <v>0.5714285714285714</v>
      </c>
      <c r="G1349" s="4">
        <v>44348</v>
      </c>
      <c r="I1349" s="5"/>
      <c r="J1349" s="5"/>
    </row>
    <row r="1350" spans="2:18">
      <c r="G1350" s="4"/>
      <c r="I1350" s="5"/>
      <c r="J1350" s="5"/>
    </row>
    <row r="1351" spans="2:18" s="12" customFormat="1">
      <c r="B1351" s="12" t="s">
        <v>75</v>
      </c>
      <c r="C1351" s="13" t="s">
        <v>969</v>
      </c>
      <c r="D1351" s="13" t="s">
        <v>968</v>
      </c>
      <c r="E1351" s="15"/>
      <c r="F1351" s="15">
        <f>SUM(F1352:F1358)</f>
        <v>84</v>
      </c>
      <c r="G1351" s="14">
        <f>G1355</f>
        <v>44937</v>
      </c>
      <c r="K1351" s="46"/>
      <c r="M1351" s="13"/>
      <c r="N1351" s="13"/>
      <c r="O1351" s="13"/>
      <c r="P1351" s="13"/>
      <c r="Q1351" s="13"/>
      <c r="R1351" s="13"/>
    </row>
    <row r="1352" spans="2:18">
      <c r="B1352" s="399" t="s">
        <v>9799</v>
      </c>
      <c r="C1352" s="2" t="s">
        <v>8</v>
      </c>
      <c r="D1352" s="2" t="s">
        <v>74</v>
      </c>
      <c r="E1352" s="3">
        <v>81</v>
      </c>
      <c r="F1352" s="3">
        <f>+E1352/6</f>
        <v>13.5</v>
      </c>
      <c r="G1352" s="4">
        <v>43418</v>
      </c>
      <c r="I1352" s="1">
        <v>1700</v>
      </c>
      <c r="J1352" s="1">
        <v>3800</v>
      </c>
      <c r="K1352" s="5">
        <f>(E1352/(I1352+E1352))*J1352*(F1352/E1352)</f>
        <v>28.804042672655811</v>
      </c>
      <c r="M1352" s="92" t="s">
        <v>5901</v>
      </c>
    </row>
    <row r="1353" spans="2:18">
      <c r="C1353" s="2" t="s">
        <v>18</v>
      </c>
      <c r="D1353" s="2" t="s">
        <v>74</v>
      </c>
      <c r="E1353" s="3">
        <v>60</v>
      </c>
      <c r="F1353" s="3">
        <f>+E1353/5</f>
        <v>12</v>
      </c>
      <c r="G1353" s="4">
        <v>42736</v>
      </c>
      <c r="I1353" s="1">
        <v>800</v>
      </c>
      <c r="J1353" s="1">
        <v>3800</v>
      </c>
      <c r="K1353" s="5">
        <f>(E1353/(I1353+E1353))*J1353*(F1353/E1353)</f>
        <v>53.023255813953483</v>
      </c>
    </row>
    <row r="1354" spans="2:18">
      <c r="C1354" s="2" t="s">
        <v>7</v>
      </c>
      <c r="D1354" s="2" t="s">
        <v>74</v>
      </c>
      <c r="E1354" s="3">
        <v>25</v>
      </c>
      <c r="F1354" s="3">
        <v>15</v>
      </c>
      <c r="G1354" s="4">
        <v>42723</v>
      </c>
      <c r="I1354" s="1">
        <v>245</v>
      </c>
      <c r="J1354" s="1">
        <v>3800</v>
      </c>
      <c r="K1354" s="5">
        <f>(E1354/(I1354+E1354))*J1354*(F1354/E1354)</f>
        <v>211.11111111111111</v>
      </c>
    </row>
    <row r="1355" spans="2:18">
      <c r="C1355" s="92" t="s">
        <v>7</v>
      </c>
      <c r="D1355" s="92" t="s">
        <v>2076</v>
      </c>
      <c r="E1355" s="3">
        <v>100</v>
      </c>
      <c r="F1355" s="3">
        <f>70/5</f>
        <v>14</v>
      </c>
      <c r="G1355" s="4">
        <v>44937</v>
      </c>
      <c r="I1355" s="1">
        <v>900</v>
      </c>
      <c r="J1355" s="1">
        <v>900</v>
      </c>
      <c r="K1355" s="5"/>
    </row>
    <row r="1356" spans="2:18">
      <c r="C1356" s="92" t="s">
        <v>18</v>
      </c>
      <c r="D1356" s="92" t="s">
        <v>2072</v>
      </c>
      <c r="E1356" s="3">
        <v>65</v>
      </c>
      <c r="F1356" s="3">
        <v>10</v>
      </c>
      <c r="G1356" s="4">
        <v>44644</v>
      </c>
      <c r="I1356" s="1">
        <v>500</v>
      </c>
      <c r="J1356" s="1">
        <v>500</v>
      </c>
      <c r="K1356" s="5"/>
    </row>
    <row r="1357" spans="2:18">
      <c r="C1357" s="92" t="s">
        <v>7</v>
      </c>
      <c r="D1357" s="92" t="s">
        <v>2072</v>
      </c>
      <c r="E1357" s="3">
        <v>22</v>
      </c>
      <c r="F1357" s="3">
        <v>10</v>
      </c>
      <c r="G1357" s="4">
        <v>43944</v>
      </c>
      <c r="J1357" s="1">
        <v>500</v>
      </c>
      <c r="K1357" s="5"/>
    </row>
    <row r="1358" spans="2:18">
      <c r="C1358" s="92" t="s">
        <v>5</v>
      </c>
      <c r="D1358" s="92" t="s">
        <v>2072</v>
      </c>
      <c r="E1358" s="3">
        <v>10.5</v>
      </c>
      <c r="F1358" s="3">
        <v>9.5</v>
      </c>
      <c r="G1358" s="4"/>
      <c r="J1358" s="1">
        <v>500</v>
      </c>
      <c r="K1358" s="5"/>
    </row>
    <row r="1359" spans="2:18">
      <c r="G1359" s="4"/>
      <c r="K1359" s="5"/>
    </row>
    <row r="1360" spans="2:18" s="12" customFormat="1">
      <c r="B1360" s="12" t="s">
        <v>85</v>
      </c>
      <c r="C1360" s="13" t="s">
        <v>969</v>
      </c>
      <c r="D1360" s="13" t="s">
        <v>968</v>
      </c>
      <c r="E1360" s="15"/>
      <c r="F1360" s="15">
        <f>SUM(F1361:F1363)</f>
        <v>83.166666666666657</v>
      </c>
      <c r="G1360" s="14">
        <f>G1361</f>
        <v>44201</v>
      </c>
      <c r="M1360" s="13"/>
      <c r="N1360" s="13"/>
      <c r="O1360" s="13"/>
      <c r="P1360" s="13"/>
      <c r="Q1360" s="13"/>
      <c r="R1360" s="13"/>
    </row>
    <row r="1361" spans="2:18">
      <c r="C1361" s="2" t="s">
        <v>18</v>
      </c>
      <c r="D1361" s="2" t="s">
        <v>80</v>
      </c>
      <c r="E1361" s="3">
        <v>257</v>
      </c>
      <c r="F1361" s="3">
        <f>107/3</f>
        <v>35.666666666666664</v>
      </c>
      <c r="G1361" s="4">
        <v>44201</v>
      </c>
      <c r="I1361" s="5">
        <v>1286</v>
      </c>
    </row>
    <row r="1362" spans="2:18">
      <c r="C1362" s="2" t="s">
        <v>7</v>
      </c>
      <c r="D1362" s="2" t="s">
        <v>80</v>
      </c>
      <c r="E1362" s="3">
        <v>100</v>
      </c>
      <c r="F1362" s="3">
        <v>40</v>
      </c>
      <c r="G1362" s="4">
        <v>43958</v>
      </c>
      <c r="I1362" s="5">
        <f>4500/7</f>
        <v>642.85714285714289</v>
      </c>
    </row>
    <row r="1363" spans="2:18">
      <c r="C1363" s="2" t="s">
        <v>4</v>
      </c>
      <c r="D1363" s="2" t="s">
        <v>80</v>
      </c>
      <c r="E1363" s="3">
        <v>49</v>
      </c>
      <c r="F1363" s="3">
        <v>7.5</v>
      </c>
      <c r="G1363" s="4">
        <v>43319</v>
      </c>
      <c r="I1363" s="5"/>
    </row>
    <row r="1364" spans="2:18">
      <c r="G1364" s="4"/>
      <c r="I1364" s="5"/>
    </row>
    <row r="1365" spans="2:18" s="12" customFormat="1">
      <c r="B1365" s="12" t="s">
        <v>844</v>
      </c>
      <c r="C1365" s="13" t="s">
        <v>969</v>
      </c>
      <c r="D1365" s="13" t="s">
        <v>968</v>
      </c>
      <c r="E1365" s="15"/>
      <c r="F1365" s="15">
        <f>SUM(F1366:F1369)</f>
        <v>82.5</v>
      </c>
      <c r="G1365" s="14">
        <f>G1366</f>
        <v>44796</v>
      </c>
      <c r="M1365" s="13"/>
      <c r="N1365" s="13"/>
      <c r="O1365" s="13"/>
      <c r="P1365" s="13"/>
      <c r="Q1365" s="13"/>
      <c r="R1365" s="13"/>
    </row>
    <row r="1366" spans="2:18">
      <c r="C1366" s="2" t="s">
        <v>5</v>
      </c>
      <c r="D1366" s="2" t="s">
        <v>701</v>
      </c>
      <c r="E1366" s="3">
        <v>50</v>
      </c>
      <c r="F1366" s="3">
        <f>30/12</f>
        <v>2.5</v>
      </c>
      <c r="G1366" s="4">
        <v>44796</v>
      </c>
    </row>
    <row r="1367" spans="2:18">
      <c r="C1367" s="2" t="s">
        <v>5</v>
      </c>
      <c r="D1367" s="2" t="s">
        <v>843</v>
      </c>
      <c r="E1367" s="3">
        <v>44</v>
      </c>
      <c r="F1367" s="3">
        <v>10</v>
      </c>
      <c r="G1367" s="4">
        <v>44671</v>
      </c>
    </row>
    <row r="1368" spans="2:18">
      <c r="C1368" s="2" t="s">
        <v>18</v>
      </c>
      <c r="D1368" s="2" t="s">
        <v>232</v>
      </c>
      <c r="E1368" s="3">
        <v>460</v>
      </c>
      <c r="F1368" s="3">
        <v>40</v>
      </c>
      <c r="G1368" s="4">
        <v>43040</v>
      </c>
    </row>
    <row r="1369" spans="2:18">
      <c r="C1369" s="2" t="s">
        <v>7</v>
      </c>
      <c r="D1369" s="2" t="s">
        <v>2130</v>
      </c>
      <c r="E1369" s="3">
        <v>186</v>
      </c>
      <c r="F1369" s="3">
        <v>30</v>
      </c>
      <c r="G1369" s="4">
        <v>44648</v>
      </c>
    </row>
    <row r="1370" spans="2:18">
      <c r="G1370" s="4"/>
    </row>
    <row r="1371" spans="2:18">
      <c r="B1371" s="12" t="s">
        <v>1079</v>
      </c>
      <c r="C1371" s="13" t="s">
        <v>969</v>
      </c>
      <c r="D1371" s="13" t="s">
        <v>968</v>
      </c>
      <c r="E1371" s="15"/>
      <c r="F1371" s="15">
        <f>SUM(F1372:F1375)</f>
        <v>80.920454545454547</v>
      </c>
      <c r="G1371" s="14">
        <f>G1372</f>
        <v>45069</v>
      </c>
    </row>
    <row r="1372" spans="2:18">
      <c r="C1372" s="2" t="s">
        <v>18</v>
      </c>
      <c r="D1372" s="2" t="s">
        <v>964</v>
      </c>
      <c r="E1372" s="3">
        <v>450</v>
      </c>
      <c r="F1372" s="3">
        <f>300/5</f>
        <v>60</v>
      </c>
      <c r="G1372" s="4">
        <v>45069</v>
      </c>
    </row>
    <row r="1373" spans="2:18">
      <c r="C1373" s="2" t="s">
        <v>18</v>
      </c>
      <c r="D1373" s="2" t="s">
        <v>692</v>
      </c>
      <c r="E1373" s="3">
        <v>125</v>
      </c>
      <c r="F1373" s="3">
        <f>75/8</f>
        <v>9.375</v>
      </c>
      <c r="G1373" s="4">
        <v>44663</v>
      </c>
    </row>
    <row r="1374" spans="2:18">
      <c r="C1374" s="2" t="s">
        <v>8</v>
      </c>
      <c r="D1374" s="2" t="s">
        <v>448</v>
      </c>
      <c r="E1374" s="3">
        <v>90</v>
      </c>
      <c r="F1374" s="3">
        <f>50/11</f>
        <v>4.5454545454545459</v>
      </c>
      <c r="G1374" s="4">
        <v>44776</v>
      </c>
    </row>
    <row r="1375" spans="2:18">
      <c r="C1375" s="92" t="s">
        <v>18</v>
      </c>
      <c r="D1375" s="92" t="s">
        <v>2090</v>
      </c>
      <c r="E1375" s="3">
        <v>80</v>
      </c>
      <c r="F1375" s="3">
        <f>70/10</f>
        <v>7</v>
      </c>
      <c r="G1375" s="4">
        <v>44637</v>
      </c>
    </row>
    <row r="1376" spans="2:18">
      <c r="G1376" s="4"/>
    </row>
    <row r="1377" spans="2:18" s="12" customFormat="1">
      <c r="B1377" s="12" t="s">
        <v>246</v>
      </c>
      <c r="C1377" s="13" t="s">
        <v>969</v>
      </c>
      <c r="D1377" s="13" t="s">
        <v>968</v>
      </c>
      <c r="E1377" s="15"/>
      <c r="F1377" s="15">
        <f>SUM(F1378:F1381)</f>
        <v>79</v>
      </c>
      <c r="G1377" s="14">
        <f>G1380</f>
        <v>42735</v>
      </c>
      <c r="M1377" s="13"/>
      <c r="N1377" s="13"/>
      <c r="O1377" s="13"/>
      <c r="P1377" s="13"/>
      <c r="Q1377" s="13"/>
      <c r="R1377" s="13"/>
    </row>
    <row r="1378" spans="2:18">
      <c r="C1378" s="2" t="s">
        <v>7</v>
      </c>
      <c r="D1378" s="2" t="s">
        <v>245</v>
      </c>
      <c r="E1378" s="3">
        <v>100</v>
      </c>
      <c r="F1378" s="3">
        <v>25</v>
      </c>
      <c r="G1378" s="4">
        <v>42576</v>
      </c>
    </row>
    <row r="1379" spans="2:18">
      <c r="C1379" s="2" t="s">
        <v>5</v>
      </c>
      <c r="D1379" s="2" t="s">
        <v>245</v>
      </c>
      <c r="E1379" s="3">
        <v>20</v>
      </c>
      <c r="F1379" s="3">
        <v>20</v>
      </c>
      <c r="G1379" s="4">
        <v>42339</v>
      </c>
    </row>
    <row r="1380" spans="2:18">
      <c r="C1380" s="2" t="s">
        <v>18</v>
      </c>
      <c r="D1380" s="2" t="s">
        <v>232</v>
      </c>
      <c r="E1380" s="3">
        <v>100</v>
      </c>
      <c r="F1380" s="3">
        <v>20</v>
      </c>
      <c r="G1380" s="4">
        <v>42735</v>
      </c>
    </row>
    <row r="1381" spans="2:18">
      <c r="C1381" s="2" t="s">
        <v>7</v>
      </c>
      <c r="D1381" s="2" t="s">
        <v>232</v>
      </c>
      <c r="E1381" s="3">
        <v>22</v>
      </c>
      <c r="F1381" s="3">
        <v>14</v>
      </c>
      <c r="G1381" s="4">
        <v>41821</v>
      </c>
    </row>
    <row r="1382" spans="2:18">
      <c r="G1382" s="4"/>
    </row>
    <row r="1383" spans="2:18">
      <c r="B1383" s="12" t="s">
        <v>1075</v>
      </c>
      <c r="C1383" s="13" t="s">
        <v>969</v>
      </c>
      <c r="D1383" s="13" t="s">
        <v>968</v>
      </c>
      <c r="E1383" s="15"/>
      <c r="F1383" s="15">
        <f>SUM(F1384:F1394)</f>
        <v>79.304761904761889</v>
      </c>
      <c r="G1383" s="14">
        <f>G1386</f>
        <v>44796</v>
      </c>
    </row>
    <row r="1384" spans="2:18">
      <c r="C1384" s="2" t="s">
        <v>7</v>
      </c>
      <c r="D1384" s="2" t="s">
        <v>952</v>
      </c>
      <c r="E1384" s="3">
        <v>130</v>
      </c>
      <c r="F1384" s="3">
        <f>70/3</f>
        <v>23.333333333333332</v>
      </c>
      <c r="G1384" s="4">
        <v>44607</v>
      </c>
    </row>
    <row r="1385" spans="2:18">
      <c r="C1385" s="2" t="s">
        <v>5</v>
      </c>
      <c r="D1385" s="2" t="s">
        <v>952</v>
      </c>
      <c r="E1385" s="3">
        <v>40</v>
      </c>
      <c r="F1385" s="3">
        <v>10</v>
      </c>
      <c r="G1385" s="4">
        <v>44446</v>
      </c>
    </row>
    <row r="1386" spans="2:18">
      <c r="C1386" s="2" t="s">
        <v>5</v>
      </c>
      <c r="D1386" s="2" t="s">
        <v>701</v>
      </c>
      <c r="E1386" s="3">
        <v>50</v>
      </c>
      <c r="F1386" s="3">
        <v>10</v>
      </c>
      <c r="G1386" s="4">
        <v>44796</v>
      </c>
    </row>
    <row r="1387" spans="2:18">
      <c r="C1387" s="2" t="s">
        <v>5</v>
      </c>
      <c r="D1387" s="2" t="s">
        <v>730</v>
      </c>
      <c r="E1387" s="3">
        <v>25</v>
      </c>
      <c r="F1387" s="3">
        <f>18/7</f>
        <v>2.5714285714285716</v>
      </c>
      <c r="G1387" s="4">
        <v>44757</v>
      </c>
    </row>
    <row r="1388" spans="2:18">
      <c r="C1388" s="2" t="s">
        <v>4</v>
      </c>
      <c r="D1388" s="2" t="s">
        <v>730</v>
      </c>
      <c r="E1388" s="3">
        <v>4</v>
      </c>
      <c r="F1388" s="3">
        <v>0.5</v>
      </c>
      <c r="G1388" s="4">
        <v>44340</v>
      </c>
    </row>
    <row r="1389" spans="2:18">
      <c r="C1389" s="2" t="s">
        <v>4</v>
      </c>
      <c r="D1389" s="2" t="s">
        <v>730</v>
      </c>
      <c r="E1389" s="3">
        <v>1.5</v>
      </c>
      <c r="F1389" s="3">
        <v>0.5</v>
      </c>
      <c r="G1389" s="4">
        <v>43979</v>
      </c>
    </row>
    <row r="1390" spans="2:18">
      <c r="C1390" s="2" t="s">
        <v>7</v>
      </c>
      <c r="D1390" s="2" t="s">
        <v>310</v>
      </c>
      <c r="E1390" s="3">
        <v>40</v>
      </c>
      <c r="F1390" s="3">
        <f>32/8</f>
        <v>4</v>
      </c>
      <c r="G1390" s="4">
        <v>43419</v>
      </c>
    </row>
    <row r="1391" spans="2:18">
      <c r="C1391" s="2" t="s">
        <v>18</v>
      </c>
      <c r="D1391" s="2" t="s">
        <v>1056</v>
      </c>
      <c r="E1391" s="3">
        <v>40</v>
      </c>
      <c r="F1391" s="3">
        <f>20/3</f>
        <v>6.666666666666667</v>
      </c>
      <c r="G1391" s="4">
        <v>44599</v>
      </c>
    </row>
    <row r="1392" spans="2:18">
      <c r="C1392" s="2" t="s">
        <v>7</v>
      </c>
      <c r="D1392" s="2" t="s">
        <v>1056</v>
      </c>
      <c r="E1392" s="3">
        <v>28</v>
      </c>
      <c r="F1392" s="3">
        <v>10</v>
      </c>
      <c r="G1392" s="4">
        <v>44377</v>
      </c>
    </row>
    <row r="1393" spans="2:18">
      <c r="C1393" s="140" t="s">
        <v>7</v>
      </c>
      <c r="D1393" s="140" t="s">
        <v>6269</v>
      </c>
      <c r="E1393" s="3">
        <v>52.2</v>
      </c>
      <c r="F1393" s="3">
        <f>32.2/3</f>
        <v>10.733333333333334</v>
      </c>
      <c r="G1393" s="4">
        <v>44476</v>
      </c>
    </row>
    <row r="1394" spans="2:18">
      <c r="C1394" s="331" t="s">
        <v>4</v>
      </c>
      <c r="D1394" s="331" t="s">
        <v>8298</v>
      </c>
      <c r="E1394" s="3">
        <v>8</v>
      </c>
      <c r="F1394" s="3">
        <v>1</v>
      </c>
      <c r="G1394" s="4">
        <v>44482</v>
      </c>
    </row>
    <row r="1395" spans="2:18">
      <c r="G1395" s="4"/>
    </row>
    <row r="1396" spans="2:18" s="12" customFormat="1">
      <c r="B1396" s="12" t="s">
        <v>1078</v>
      </c>
      <c r="C1396" s="13" t="s">
        <v>969</v>
      </c>
      <c r="D1396" s="13" t="s">
        <v>968</v>
      </c>
      <c r="E1396" s="15"/>
      <c r="F1396" s="15">
        <f>SUM(F1397:F1406)</f>
        <v>77.5</v>
      </c>
      <c r="G1396" s="14">
        <f>G1399</f>
        <v>44578</v>
      </c>
      <c r="M1396" s="13"/>
      <c r="N1396" s="13"/>
      <c r="O1396" s="13"/>
      <c r="P1396" s="13"/>
      <c r="Q1396" s="13"/>
      <c r="R1396" s="13"/>
    </row>
    <row r="1397" spans="2:18">
      <c r="B1397" s="253" t="s">
        <v>7627</v>
      </c>
      <c r="C1397" s="2" t="s">
        <v>5</v>
      </c>
      <c r="D1397" s="2" t="s">
        <v>873</v>
      </c>
      <c r="E1397" s="3">
        <v>30</v>
      </c>
      <c r="F1397" s="3">
        <v>4</v>
      </c>
      <c r="G1397" s="4">
        <v>44522</v>
      </c>
    </row>
    <row r="1398" spans="2:18">
      <c r="C1398" s="2" t="s">
        <v>4</v>
      </c>
      <c r="D1398" s="2" t="s">
        <v>873</v>
      </c>
      <c r="E1398" s="3">
        <v>5.5</v>
      </c>
      <c r="F1398" s="3">
        <v>3.5</v>
      </c>
      <c r="G1398" s="4">
        <v>44096</v>
      </c>
    </row>
    <row r="1399" spans="2:18">
      <c r="C1399" s="2" t="s">
        <v>5</v>
      </c>
      <c r="D1399" s="2" t="s">
        <v>819</v>
      </c>
      <c r="E1399" s="3">
        <v>20</v>
      </c>
      <c r="F1399" s="3">
        <v>2</v>
      </c>
      <c r="G1399" s="4">
        <v>44578</v>
      </c>
    </row>
    <row r="1400" spans="2:18">
      <c r="C1400" s="2" t="s">
        <v>9</v>
      </c>
      <c r="D1400" s="2" t="s">
        <v>606</v>
      </c>
      <c r="E1400" s="3">
        <v>132</v>
      </c>
      <c r="F1400" s="3">
        <v>20</v>
      </c>
      <c r="G1400" s="4">
        <v>44215</v>
      </c>
    </row>
    <row r="1401" spans="2:18">
      <c r="C1401" s="2" t="s">
        <v>18</v>
      </c>
      <c r="D1401" s="2" t="s">
        <v>520</v>
      </c>
      <c r="E1401" s="3">
        <v>60</v>
      </c>
      <c r="F1401" s="3">
        <v>5</v>
      </c>
      <c r="G1401" s="4">
        <v>43606</v>
      </c>
    </row>
    <row r="1402" spans="2:18">
      <c r="C1402" s="2" t="s">
        <v>7</v>
      </c>
      <c r="D1402" s="2" t="s">
        <v>520</v>
      </c>
      <c r="E1402" s="3">
        <v>30</v>
      </c>
      <c r="F1402" s="3">
        <v>5</v>
      </c>
      <c r="G1402" s="4">
        <v>43396</v>
      </c>
    </row>
    <row r="1403" spans="2:18">
      <c r="C1403" s="2" t="s">
        <v>7</v>
      </c>
      <c r="D1403" s="2" t="s">
        <v>197</v>
      </c>
      <c r="E1403" s="3">
        <v>21</v>
      </c>
      <c r="F1403" s="3">
        <v>21</v>
      </c>
      <c r="G1403" s="4">
        <v>43140</v>
      </c>
    </row>
    <row r="1404" spans="2:18">
      <c r="C1404" s="2" t="s">
        <v>7</v>
      </c>
      <c r="D1404" s="2" t="s">
        <v>197</v>
      </c>
      <c r="E1404" s="3">
        <v>11</v>
      </c>
      <c r="F1404" s="3">
        <v>11</v>
      </c>
      <c r="G1404" s="4">
        <v>43025</v>
      </c>
    </row>
    <row r="1405" spans="2:18">
      <c r="C1405" s="153" t="s">
        <v>7</v>
      </c>
      <c r="D1405" s="153" t="s">
        <v>2046</v>
      </c>
      <c r="E1405" s="3">
        <v>50</v>
      </c>
      <c r="F1405" s="3">
        <v>4</v>
      </c>
      <c r="G1405" s="4">
        <v>44252</v>
      </c>
    </row>
    <row r="1406" spans="2:18">
      <c r="C1406" s="153" t="s">
        <v>5</v>
      </c>
      <c r="D1406" s="153" t="s">
        <v>6395</v>
      </c>
      <c r="E1406" s="3">
        <v>8</v>
      </c>
      <c r="F1406" s="3">
        <v>2</v>
      </c>
      <c r="G1406" s="4">
        <v>44179</v>
      </c>
    </row>
    <row r="1407" spans="2:18">
      <c r="G1407" s="4"/>
    </row>
    <row r="1408" spans="2:18" s="12" customFormat="1">
      <c r="B1408" s="12" t="s">
        <v>6690</v>
      </c>
      <c r="C1408" s="13" t="s">
        <v>969</v>
      </c>
      <c r="D1408" s="13" t="s">
        <v>968</v>
      </c>
      <c r="E1408" s="15"/>
      <c r="F1408" s="15">
        <f>SUM(F1409:F1410)</f>
        <v>76.666666666666671</v>
      </c>
      <c r="G1408" s="14">
        <f>G1409</f>
        <v>44502</v>
      </c>
      <c r="M1408" s="13"/>
      <c r="N1408" s="13"/>
      <c r="O1408" s="13"/>
      <c r="P1408" s="13"/>
      <c r="Q1408" s="13"/>
      <c r="R1408" s="13"/>
    </row>
    <row r="1409" spans="2:18">
      <c r="B1409" s="176"/>
      <c r="C1409" s="2" t="s">
        <v>8</v>
      </c>
      <c r="D1409" s="2" t="s">
        <v>15</v>
      </c>
      <c r="E1409" s="3">
        <v>220</v>
      </c>
      <c r="F1409" s="3">
        <v>50</v>
      </c>
      <c r="G1409" s="4">
        <v>44502</v>
      </c>
      <c r="I1409" s="1">
        <v>794</v>
      </c>
      <c r="J1409" s="1">
        <v>794</v>
      </c>
    </row>
    <row r="1410" spans="2:18">
      <c r="C1410" s="2" t="s">
        <v>8</v>
      </c>
      <c r="D1410" s="2" t="s">
        <v>15</v>
      </c>
      <c r="E1410" s="3">
        <v>220</v>
      </c>
      <c r="F1410" s="3">
        <v>26.666666666666668</v>
      </c>
      <c r="G1410" s="4">
        <v>44322</v>
      </c>
      <c r="I1410" s="1">
        <v>780</v>
      </c>
      <c r="J1410" s="1">
        <v>780</v>
      </c>
    </row>
    <row r="1411" spans="2:18">
      <c r="G1411" s="4"/>
    </row>
    <row r="1412" spans="2:18" s="12" customFormat="1">
      <c r="B1412" s="12" t="s">
        <v>1081</v>
      </c>
      <c r="C1412" s="13" t="s">
        <v>969</v>
      </c>
      <c r="D1412" s="13" t="s">
        <v>968</v>
      </c>
      <c r="E1412" s="15"/>
      <c r="F1412" s="15">
        <f>SUM(F1413:F1420)</f>
        <v>81.36</v>
      </c>
      <c r="G1412" s="14">
        <f>G1415</f>
        <v>45077</v>
      </c>
      <c r="M1412" s="13"/>
      <c r="N1412" s="13"/>
      <c r="O1412" s="13"/>
      <c r="P1412" s="13"/>
      <c r="Q1412" s="13"/>
      <c r="R1412" s="13"/>
    </row>
    <row r="1413" spans="2:18">
      <c r="B1413" s="253" t="s">
        <v>7627</v>
      </c>
      <c r="C1413" s="2" t="s">
        <v>18</v>
      </c>
      <c r="D1413" s="2" t="s">
        <v>962</v>
      </c>
      <c r="E1413" s="3">
        <v>135</v>
      </c>
      <c r="F1413" s="3">
        <v>42.5</v>
      </c>
      <c r="G1413" s="4">
        <v>44482</v>
      </c>
      <c r="J1413" s="1">
        <v>1200</v>
      </c>
    </row>
    <row r="1414" spans="2:18">
      <c r="C1414" s="2" t="s">
        <v>18</v>
      </c>
      <c r="D1414" s="2" t="s">
        <v>957</v>
      </c>
      <c r="E1414" s="3">
        <v>50</v>
      </c>
      <c r="F1414" s="3">
        <v>20</v>
      </c>
      <c r="G1414" s="4">
        <v>44900</v>
      </c>
      <c r="I1414" s="1">
        <v>450</v>
      </c>
      <c r="J1414" s="1">
        <v>1400</v>
      </c>
    </row>
    <row r="1415" spans="2:18">
      <c r="C1415" s="2" t="s">
        <v>5</v>
      </c>
      <c r="D1415" s="2" t="s">
        <v>689</v>
      </c>
      <c r="E1415" s="3">
        <v>28.5</v>
      </c>
      <c r="F1415" s="3">
        <v>6</v>
      </c>
      <c r="G1415" s="4">
        <v>45077</v>
      </c>
    </row>
    <row r="1416" spans="2:18">
      <c r="C1416" s="2" t="s">
        <v>7</v>
      </c>
      <c r="D1416" s="2" t="s">
        <v>416</v>
      </c>
      <c r="E1416" s="3">
        <v>16</v>
      </c>
      <c r="F1416" s="3">
        <v>4</v>
      </c>
      <c r="G1416" s="4">
        <v>42995</v>
      </c>
    </row>
    <row r="1417" spans="2:18">
      <c r="C1417" s="2" t="s">
        <v>5</v>
      </c>
      <c r="D1417" s="2" t="s">
        <v>416</v>
      </c>
      <c r="E1417" s="3">
        <v>8</v>
      </c>
      <c r="F1417" s="3">
        <v>2</v>
      </c>
      <c r="G1417" s="4">
        <v>42416</v>
      </c>
    </row>
    <row r="1418" spans="2:18">
      <c r="C1418" s="153" t="s">
        <v>5</v>
      </c>
      <c r="D1418" s="153" t="s">
        <v>2039</v>
      </c>
      <c r="E1418" s="3">
        <v>18</v>
      </c>
      <c r="F1418" s="3">
        <v>1</v>
      </c>
      <c r="G1418" s="4">
        <v>43445</v>
      </c>
    </row>
    <row r="1419" spans="2:18">
      <c r="C1419" s="153" t="s">
        <v>4</v>
      </c>
      <c r="D1419" s="153" t="s">
        <v>2039</v>
      </c>
      <c r="E1419" s="3">
        <v>4.3</v>
      </c>
      <c r="F1419" s="3">
        <f>E1419/5</f>
        <v>0.86</v>
      </c>
      <c r="G1419" s="4">
        <v>43157</v>
      </c>
    </row>
    <row r="1420" spans="2:18">
      <c r="C1420" s="265" t="s">
        <v>1040</v>
      </c>
      <c r="D1420" s="265" t="s">
        <v>962</v>
      </c>
      <c r="E1420" s="3">
        <v>50</v>
      </c>
      <c r="F1420" s="3">
        <v>5</v>
      </c>
      <c r="G1420" s="4">
        <v>45147</v>
      </c>
      <c r="I1420" s="1">
        <v>1200</v>
      </c>
      <c r="J1420" s="1">
        <v>1200</v>
      </c>
    </row>
    <row r="1421" spans="2:18">
      <c r="G1421" s="4"/>
    </row>
    <row r="1422" spans="2:18" s="12" customFormat="1">
      <c r="B1422" s="12" t="s">
        <v>6798</v>
      </c>
      <c r="C1422" s="13" t="s">
        <v>969</v>
      </c>
      <c r="D1422" s="13" t="s">
        <v>968</v>
      </c>
      <c r="E1422" s="15"/>
      <c r="F1422" s="15">
        <f>SUM(F1423:F1429)</f>
        <v>74.904761904761898</v>
      </c>
      <c r="G1422" s="14">
        <f>G1426</f>
        <v>44565</v>
      </c>
    </row>
    <row r="1423" spans="2:18">
      <c r="C1423" s="2" t="s">
        <v>8</v>
      </c>
      <c r="D1423" s="2" t="s">
        <v>386</v>
      </c>
      <c r="E1423" s="3">
        <v>140</v>
      </c>
      <c r="F1423" s="3">
        <v>10</v>
      </c>
      <c r="G1423" s="4">
        <v>44286</v>
      </c>
      <c r="M1423" s="1"/>
      <c r="N1423" s="1"/>
      <c r="O1423" s="1"/>
      <c r="P1423" s="1"/>
      <c r="Q1423" s="1"/>
      <c r="R1423" s="1"/>
    </row>
    <row r="1424" spans="2:18">
      <c r="C1424" s="2" t="s">
        <v>18</v>
      </c>
      <c r="D1424" s="2" t="s">
        <v>292</v>
      </c>
      <c r="E1424" s="3">
        <v>38</v>
      </c>
      <c r="F1424" s="3">
        <v>3</v>
      </c>
      <c r="G1424" s="4">
        <v>43104</v>
      </c>
      <c r="M1424" s="1"/>
      <c r="N1424" s="1"/>
      <c r="O1424" s="1"/>
      <c r="P1424" s="1"/>
      <c r="Q1424" s="1"/>
      <c r="R1424" s="1"/>
    </row>
    <row r="1425" spans="2:18">
      <c r="C1425" s="2" t="s">
        <v>18</v>
      </c>
      <c r="D1425" s="2" t="s">
        <v>211</v>
      </c>
      <c r="E1425" s="3">
        <v>230</v>
      </c>
      <c r="F1425" s="3">
        <f>E1425/6</f>
        <v>38.333333333333336</v>
      </c>
      <c r="G1425" s="4">
        <v>43923</v>
      </c>
      <c r="M1425" s="1"/>
      <c r="N1425" s="1"/>
      <c r="O1425" s="1"/>
      <c r="P1425" s="1"/>
      <c r="Q1425" s="1"/>
      <c r="R1425" s="1"/>
    </row>
    <row r="1426" spans="2:18">
      <c r="C1426" s="2" t="s">
        <v>18</v>
      </c>
      <c r="D1426" s="2" t="s">
        <v>131</v>
      </c>
      <c r="E1426" s="3">
        <v>73</v>
      </c>
      <c r="F1426" s="3">
        <f>53/7</f>
        <v>7.5714285714285712</v>
      </c>
      <c r="G1426" s="4">
        <v>44565</v>
      </c>
      <c r="J1426" s="1">
        <v>615</v>
      </c>
      <c r="M1426" s="1"/>
      <c r="N1426" s="1"/>
      <c r="O1426" s="1"/>
      <c r="P1426" s="1"/>
      <c r="Q1426" s="1"/>
      <c r="R1426" s="1"/>
    </row>
    <row r="1427" spans="2:18">
      <c r="C1427" s="2" t="s">
        <v>18</v>
      </c>
      <c r="D1427" s="2" t="s">
        <v>55</v>
      </c>
      <c r="E1427" s="3">
        <v>65</v>
      </c>
      <c r="F1427" s="3">
        <v>8</v>
      </c>
      <c r="G1427" s="4">
        <v>43802</v>
      </c>
      <c r="I1427" s="1">
        <v>685</v>
      </c>
      <c r="J1427" s="1">
        <v>7000</v>
      </c>
      <c r="M1427" s="1"/>
      <c r="N1427" s="1"/>
      <c r="O1427" s="1"/>
      <c r="P1427" s="1"/>
      <c r="Q1427" s="1"/>
      <c r="R1427" s="1"/>
    </row>
    <row r="1428" spans="2:18">
      <c r="C1428" s="2" t="s">
        <v>7</v>
      </c>
      <c r="D1428" s="2" t="s">
        <v>55</v>
      </c>
      <c r="E1428" s="3">
        <v>40</v>
      </c>
      <c r="F1428" s="3">
        <v>6</v>
      </c>
      <c r="G1428" s="4">
        <v>43503</v>
      </c>
      <c r="J1428" s="1">
        <v>7000</v>
      </c>
      <c r="M1428" s="1"/>
      <c r="N1428" s="1"/>
      <c r="O1428" s="1"/>
      <c r="P1428" s="1"/>
      <c r="Q1428" s="1"/>
      <c r="R1428" s="1"/>
    </row>
    <row r="1429" spans="2:18">
      <c r="C1429" s="2" t="s">
        <v>5</v>
      </c>
      <c r="D1429" s="2" t="s">
        <v>55</v>
      </c>
      <c r="E1429" s="3">
        <v>2</v>
      </c>
      <c r="F1429" s="3">
        <v>2</v>
      </c>
      <c r="G1429" s="4">
        <v>42928</v>
      </c>
      <c r="J1429" s="1">
        <v>7000</v>
      </c>
      <c r="M1429" s="1"/>
      <c r="N1429" s="1"/>
      <c r="O1429" s="1"/>
      <c r="P1429" s="1"/>
      <c r="Q1429" s="1"/>
      <c r="R1429" s="1"/>
    </row>
    <row r="1430" spans="2:18">
      <c r="G1430" s="4"/>
    </row>
    <row r="1431" spans="2:18" s="12" customFormat="1">
      <c r="B1431" s="12" t="s">
        <v>158</v>
      </c>
      <c r="C1431" s="13" t="s">
        <v>969</v>
      </c>
      <c r="D1431" s="13" t="s">
        <v>968</v>
      </c>
      <c r="E1431" s="15"/>
      <c r="F1431" s="15">
        <f>SUM(F1432:F1435)</f>
        <v>75.055555555555557</v>
      </c>
      <c r="G1431" s="14">
        <f>G1432</f>
        <v>44413</v>
      </c>
      <c r="M1431" s="13"/>
      <c r="N1431" s="13"/>
      <c r="O1431" s="13"/>
      <c r="P1431" s="13"/>
      <c r="Q1431" s="13"/>
      <c r="R1431" s="13"/>
    </row>
    <row r="1432" spans="2:18">
      <c r="C1432" s="2" t="s">
        <v>9</v>
      </c>
      <c r="D1432" s="2" t="s">
        <v>154</v>
      </c>
      <c r="E1432" s="3">
        <v>400</v>
      </c>
      <c r="F1432" s="3">
        <f>320/9</f>
        <v>35.555555555555557</v>
      </c>
      <c r="G1432" s="4">
        <v>44413</v>
      </c>
      <c r="I1432" s="1">
        <v>4200</v>
      </c>
    </row>
    <row r="1433" spans="2:18">
      <c r="C1433" s="2" t="s">
        <v>8</v>
      </c>
      <c r="D1433" s="2" t="s">
        <v>154</v>
      </c>
      <c r="E1433" s="3">
        <v>100</v>
      </c>
      <c r="F1433" s="3">
        <f>75/6</f>
        <v>12.5</v>
      </c>
      <c r="G1433" s="4">
        <v>44067</v>
      </c>
    </row>
    <row r="1434" spans="2:18">
      <c r="C1434" s="2" t="s">
        <v>18</v>
      </c>
      <c r="D1434" s="2" t="s">
        <v>154</v>
      </c>
      <c r="E1434" s="3">
        <v>101</v>
      </c>
      <c r="F1434" s="3">
        <f>60/4</f>
        <v>15</v>
      </c>
      <c r="G1434" s="4">
        <v>43453</v>
      </c>
    </row>
    <row r="1435" spans="2:18">
      <c r="C1435" s="2" t="s">
        <v>7</v>
      </c>
      <c r="D1435" s="2" t="s">
        <v>108</v>
      </c>
      <c r="E1435" s="3">
        <v>37</v>
      </c>
      <c r="F1435" s="3">
        <v>12</v>
      </c>
      <c r="G1435" s="4">
        <v>43783</v>
      </c>
    </row>
    <row r="1436" spans="2:18">
      <c r="G1436" s="4"/>
    </row>
    <row r="1437" spans="2:18" s="12" customFormat="1">
      <c r="B1437" s="12" t="s">
        <v>963</v>
      </c>
      <c r="C1437" s="13" t="s">
        <v>969</v>
      </c>
      <c r="D1437" s="13" t="s">
        <v>968</v>
      </c>
      <c r="E1437" s="15"/>
      <c r="F1437" s="15">
        <f>SUM(F1438:F1441)</f>
        <v>100.16666666666667</v>
      </c>
      <c r="G1437" s="14">
        <f>G1440</f>
        <v>45265</v>
      </c>
      <c r="M1437" s="13"/>
      <c r="N1437" s="13"/>
      <c r="O1437" s="13"/>
      <c r="P1437" s="13"/>
      <c r="Q1437" s="13"/>
      <c r="R1437" s="13"/>
    </row>
    <row r="1438" spans="2:18">
      <c r="C1438" s="2" t="s">
        <v>18</v>
      </c>
      <c r="D1438" s="2" t="s">
        <v>962</v>
      </c>
      <c r="E1438" s="3">
        <v>135</v>
      </c>
      <c r="F1438" s="3">
        <v>42.5</v>
      </c>
      <c r="G1438" s="4">
        <v>44482</v>
      </c>
    </row>
    <row r="1439" spans="2:18">
      <c r="C1439" s="92" t="s">
        <v>7</v>
      </c>
      <c r="D1439" s="92" t="s">
        <v>2069</v>
      </c>
      <c r="E1439" s="3">
        <v>60</v>
      </c>
      <c r="F1439" s="3">
        <v>30</v>
      </c>
      <c r="G1439" s="4">
        <v>44278</v>
      </c>
    </row>
    <row r="1440" spans="2:18">
      <c r="C1440" s="265" t="s">
        <v>9</v>
      </c>
      <c r="D1440" s="265" t="s">
        <v>4881</v>
      </c>
      <c r="E1440" s="3">
        <v>118</v>
      </c>
      <c r="F1440" s="3">
        <f>68/3</f>
        <v>22.666666666666668</v>
      </c>
      <c r="G1440" s="4">
        <v>45265</v>
      </c>
      <c r="I1440" s="1">
        <v>9000</v>
      </c>
      <c r="J1440" s="1">
        <v>9000</v>
      </c>
    </row>
    <row r="1441" spans="2:18">
      <c r="C1441" s="265" t="s">
        <v>1040</v>
      </c>
      <c r="D1441" s="265" t="s">
        <v>962</v>
      </c>
      <c r="E1441" s="3">
        <v>50</v>
      </c>
      <c r="F1441" s="3">
        <v>5</v>
      </c>
      <c r="G1441" s="4">
        <v>45147</v>
      </c>
      <c r="I1441" s="1">
        <v>1200</v>
      </c>
      <c r="J1441" s="1">
        <v>1200</v>
      </c>
    </row>
    <row r="1442" spans="2:18">
      <c r="G1442" s="4"/>
    </row>
    <row r="1443" spans="2:18" s="12" customFormat="1">
      <c r="B1443" s="12" t="s">
        <v>225</v>
      </c>
      <c r="C1443" s="13" t="s">
        <v>969</v>
      </c>
      <c r="D1443" s="13" t="s">
        <v>968</v>
      </c>
      <c r="E1443" s="15"/>
      <c r="F1443" s="15">
        <f>SUM(F1444:F1445)</f>
        <v>73.333333333333343</v>
      </c>
      <c r="G1443" s="14">
        <f>G1445</f>
        <v>44287</v>
      </c>
      <c r="M1443" s="13"/>
      <c r="N1443" s="13"/>
      <c r="O1443" s="13"/>
      <c r="P1443" s="13"/>
      <c r="Q1443" s="13"/>
      <c r="R1443" s="13"/>
    </row>
    <row r="1444" spans="2:18">
      <c r="C1444" s="2" t="s">
        <v>8</v>
      </c>
      <c r="D1444" s="2" t="s">
        <v>211</v>
      </c>
      <c r="E1444" s="3">
        <v>700</v>
      </c>
      <c r="F1444" s="3">
        <f t="shared" ref="F1444" si="0">400/12</f>
        <v>33.333333333333336</v>
      </c>
      <c r="G1444" s="4">
        <v>44218</v>
      </c>
    </row>
    <row r="1445" spans="2:18">
      <c r="C1445" s="2" t="s">
        <v>8</v>
      </c>
      <c r="D1445" s="2" t="s">
        <v>2134</v>
      </c>
      <c r="E1445" s="3">
        <v>220</v>
      </c>
      <c r="F1445" s="3">
        <v>40</v>
      </c>
      <c r="G1445" s="4">
        <v>44287</v>
      </c>
    </row>
    <row r="1446" spans="2:18">
      <c r="G1446" s="4"/>
    </row>
    <row r="1447" spans="2:18" s="12" customFormat="1">
      <c r="B1447" s="12" t="s">
        <v>694</v>
      </c>
      <c r="C1447" s="13" t="s">
        <v>969</v>
      </c>
      <c r="D1447" s="13" t="s">
        <v>968</v>
      </c>
      <c r="E1447" s="15"/>
      <c r="F1447" s="15">
        <f>SUM(F1448:F1454)</f>
        <v>73.375</v>
      </c>
      <c r="G1447" s="14">
        <f>G1454</f>
        <v>44833</v>
      </c>
      <c r="M1447" s="13"/>
      <c r="N1447" s="13"/>
      <c r="O1447" s="13"/>
      <c r="P1447" s="13"/>
      <c r="Q1447" s="13"/>
      <c r="R1447" s="13"/>
    </row>
    <row r="1448" spans="2:18">
      <c r="B1448" s="253" t="s">
        <v>7627</v>
      </c>
      <c r="C1448" s="2" t="s">
        <v>7</v>
      </c>
      <c r="D1448" s="2" t="s">
        <v>693</v>
      </c>
      <c r="E1448" s="3">
        <v>50</v>
      </c>
      <c r="F1448" s="3">
        <v>25</v>
      </c>
      <c r="G1448" s="4">
        <v>44643</v>
      </c>
    </row>
    <row r="1449" spans="2:18">
      <c r="C1449" s="2" t="s">
        <v>18</v>
      </c>
      <c r="D1449" s="2" t="s">
        <v>692</v>
      </c>
      <c r="E1449" s="3">
        <v>125</v>
      </c>
      <c r="F1449" s="3">
        <f>75/8</f>
        <v>9.375</v>
      </c>
      <c r="G1449" s="4">
        <v>44663</v>
      </c>
    </row>
    <row r="1450" spans="2:18">
      <c r="C1450" s="2" t="s">
        <v>7</v>
      </c>
      <c r="D1450" s="2" t="s">
        <v>692</v>
      </c>
      <c r="E1450" s="3">
        <v>54</v>
      </c>
      <c r="F1450" s="3">
        <f>40/5</f>
        <v>8</v>
      </c>
      <c r="G1450" s="4">
        <v>44089</v>
      </c>
    </row>
    <row r="1451" spans="2:18">
      <c r="C1451" s="2" t="s">
        <v>5</v>
      </c>
      <c r="D1451" s="2" t="s">
        <v>692</v>
      </c>
      <c r="E1451" s="3">
        <v>26</v>
      </c>
      <c r="F1451" s="3">
        <v>10</v>
      </c>
      <c r="G1451" s="4">
        <v>43809</v>
      </c>
    </row>
    <row r="1452" spans="2:18">
      <c r="C1452" s="140" t="s">
        <v>7</v>
      </c>
      <c r="D1452" s="140" t="s">
        <v>2057</v>
      </c>
      <c r="E1452" s="3">
        <v>50</v>
      </c>
      <c r="F1452" s="3">
        <v>10</v>
      </c>
      <c r="G1452" s="4">
        <v>44518</v>
      </c>
    </row>
    <row r="1453" spans="2:18">
      <c r="C1453" s="140" t="s">
        <v>5</v>
      </c>
      <c r="D1453" s="140" t="s">
        <v>2057</v>
      </c>
      <c r="E1453" s="3">
        <v>13</v>
      </c>
      <c r="F1453" s="3">
        <v>7</v>
      </c>
      <c r="G1453" s="4">
        <v>44294</v>
      </c>
    </row>
    <row r="1454" spans="2:18">
      <c r="C1454" s="177" t="s">
        <v>5</v>
      </c>
      <c r="D1454" s="177" t="s">
        <v>2018</v>
      </c>
      <c r="E1454" s="3">
        <v>16</v>
      </c>
      <c r="F1454" s="3">
        <v>4</v>
      </c>
      <c r="G1454" s="4">
        <v>44833</v>
      </c>
    </row>
    <row r="1455" spans="2:18">
      <c r="G1455" s="4"/>
    </row>
    <row r="1456" spans="2:18" s="12" customFormat="1">
      <c r="B1456" s="12" t="s">
        <v>1074</v>
      </c>
      <c r="C1456" s="13" t="s">
        <v>969</v>
      </c>
      <c r="D1456" s="13" t="s">
        <v>968</v>
      </c>
      <c r="E1456" s="15"/>
      <c r="F1456" s="15">
        <f>SUM(F1457:F1470)</f>
        <v>73.469047619047615</v>
      </c>
      <c r="G1456" s="14">
        <f>G1468</f>
        <v>45001</v>
      </c>
      <c r="M1456" s="13"/>
      <c r="N1456" s="13"/>
      <c r="O1456" s="13"/>
      <c r="P1456" s="13"/>
      <c r="Q1456" s="13"/>
      <c r="R1456" s="13"/>
    </row>
    <row r="1457" spans="2:10">
      <c r="B1457" s="253" t="s">
        <v>7627</v>
      </c>
      <c r="C1457" s="2" t="s">
        <v>5</v>
      </c>
      <c r="D1457" s="2" t="s">
        <v>779</v>
      </c>
      <c r="E1457" s="3">
        <v>33</v>
      </c>
      <c r="F1457" s="3">
        <f>13/3</f>
        <v>4.333333333333333</v>
      </c>
      <c r="G1457" s="4">
        <v>44893</v>
      </c>
    </row>
    <row r="1458" spans="2:10">
      <c r="C1458" s="2" t="s">
        <v>670</v>
      </c>
      <c r="D1458" s="2" t="s">
        <v>779</v>
      </c>
      <c r="E1458" s="3">
        <v>3</v>
      </c>
      <c r="F1458" s="3">
        <v>2</v>
      </c>
      <c r="G1458" s="4">
        <v>44183</v>
      </c>
    </row>
    <row r="1459" spans="2:10">
      <c r="C1459" s="2" t="s">
        <v>7</v>
      </c>
      <c r="D1459" s="2" t="s">
        <v>542</v>
      </c>
      <c r="E1459" s="3">
        <v>40</v>
      </c>
      <c r="F1459" s="3">
        <f>25/4</f>
        <v>6.25</v>
      </c>
      <c r="G1459" s="4">
        <v>44811</v>
      </c>
    </row>
    <row r="1460" spans="2:10">
      <c r="C1460" s="2" t="s">
        <v>5</v>
      </c>
      <c r="D1460" s="2" t="s">
        <v>542</v>
      </c>
      <c r="E1460" s="3">
        <v>14</v>
      </c>
      <c r="F1460" s="3">
        <f>8/5</f>
        <v>1.6</v>
      </c>
      <c r="G1460" s="4">
        <v>44447</v>
      </c>
    </row>
    <row r="1461" spans="2:10">
      <c r="C1461" s="2" t="s">
        <v>5</v>
      </c>
      <c r="D1461" s="2" t="s">
        <v>542</v>
      </c>
      <c r="E1461" s="3">
        <v>12</v>
      </c>
      <c r="F1461" s="3">
        <v>2</v>
      </c>
      <c r="G1461" s="4">
        <v>43532</v>
      </c>
    </row>
    <row r="1462" spans="2:10">
      <c r="C1462" s="2" t="s">
        <v>9</v>
      </c>
      <c r="D1462" s="2" t="s">
        <v>22</v>
      </c>
      <c r="E1462" s="3">
        <v>222</v>
      </c>
      <c r="F1462" s="3">
        <v>10</v>
      </c>
      <c r="G1462" s="4">
        <v>44194</v>
      </c>
      <c r="I1462" s="1">
        <v>2500</v>
      </c>
      <c r="J1462" s="1">
        <v>2500</v>
      </c>
    </row>
    <row r="1463" spans="2:10">
      <c r="C1463" s="2" t="s">
        <v>8</v>
      </c>
      <c r="D1463" s="2" t="s">
        <v>22</v>
      </c>
      <c r="E1463" s="3">
        <v>150</v>
      </c>
      <c r="F1463" s="3">
        <v>14.285714285714286</v>
      </c>
      <c r="G1463" s="4">
        <v>43885</v>
      </c>
      <c r="I1463" s="1">
        <v>1800</v>
      </c>
      <c r="J1463" s="1">
        <v>2500</v>
      </c>
    </row>
    <row r="1464" spans="2:10">
      <c r="C1464" s="2" t="s">
        <v>8</v>
      </c>
      <c r="D1464" s="2" t="s">
        <v>22</v>
      </c>
      <c r="E1464" s="3">
        <v>200</v>
      </c>
      <c r="F1464" s="3">
        <v>13</v>
      </c>
      <c r="G1464" s="4">
        <v>43452</v>
      </c>
      <c r="I1464" s="1">
        <v>1500</v>
      </c>
      <c r="J1464" s="1">
        <v>2500</v>
      </c>
    </row>
    <row r="1465" spans="2:10">
      <c r="C1465" s="2" t="s">
        <v>18</v>
      </c>
      <c r="D1465" s="2" t="s">
        <v>22</v>
      </c>
      <c r="E1465" s="3">
        <v>50</v>
      </c>
      <c r="F1465" s="3">
        <v>5</v>
      </c>
      <c r="G1465" s="4">
        <v>43051</v>
      </c>
      <c r="J1465" s="1">
        <v>2500</v>
      </c>
    </row>
    <row r="1466" spans="2:10">
      <c r="C1466" s="2" t="s">
        <v>7</v>
      </c>
      <c r="D1466" s="2" t="s">
        <v>22</v>
      </c>
      <c r="E1466" s="3">
        <v>30</v>
      </c>
      <c r="F1466" s="3">
        <v>3</v>
      </c>
      <c r="G1466" s="4">
        <v>42936</v>
      </c>
      <c r="J1466" s="1">
        <v>2500</v>
      </c>
    </row>
    <row r="1467" spans="2:10">
      <c r="C1467" s="2" t="s">
        <v>5</v>
      </c>
      <c r="D1467" s="2" t="s">
        <v>22</v>
      </c>
      <c r="E1467" s="3">
        <v>30</v>
      </c>
      <c r="F1467" s="3">
        <v>5</v>
      </c>
      <c r="G1467" s="4">
        <v>42674</v>
      </c>
      <c r="J1467" s="1">
        <v>2500</v>
      </c>
    </row>
    <row r="1468" spans="2:10">
      <c r="C1468" s="241" t="s">
        <v>7</v>
      </c>
      <c r="D1468" s="241" t="s">
        <v>2012</v>
      </c>
      <c r="E1468" s="3">
        <v>20</v>
      </c>
      <c r="F1468" s="3">
        <v>4</v>
      </c>
      <c r="G1468" s="4">
        <v>45001</v>
      </c>
    </row>
    <row r="1469" spans="2:10">
      <c r="C1469" s="241" t="s">
        <v>5</v>
      </c>
      <c r="D1469" s="241" t="s">
        <v>2012</v>
      </c>
      <c r="E1469" s="3">
        <v>9</v>
      </c>
      <c r="F1469" s="3">
        <v>1</v>
      </c>
      <c r="G1469" s="4">
        <v>44152</v>
      </c>
    </row>
    <row r="1470" spans="2:10">
      <c r="C1470" s="241" t="s">
        <v>4</v>
      </c>
      <c r="D1470" s="241" t="s">
        <v>2012</v>
      </c>
      <c r="E1470" s="3">
        <v>4</v>
      </c>
      <c r="F1470" s="3">
        <v>2</v>
      </c>
      <c r="G1470" s="4">
        <v>43481</v>
      </c>
    </row>
    <row r="1471" spans="2:10">
      <c r="G1471" s="4"/>
    </row>
    <row r="1472" spans="2:10" s="12" customFormat="1">
      <c r="B1472" s="12" t="s">
        <v>359</v>
      </c>
      <c r="C1472" s="13" t="s">
        <v>969</v>
      </c>
      <c r="D1472" s="13" t="s">
        <v>968</v>
      </c>
      <c r="E1472" s="15"/>
      <c r="F1472" s="15">
        <f>SUM(F1473:F1476)</f>
        <v>73</v>
      </c>
      <c r="G1472" s="14">
        <f>G1473</f>
        <v>44663</v>
      </c>
    </row>
    <row r="1473" spans="2:18">
      <c r="C1473" s="2" t="s">
        <v>5</v>
      </c>
      <c r="D1473" s="2" t="s">
        <v>355</v>
      </c>
      <c r="E1473" s="3">
        <v>16</v>
      </c>
      <c r="F1473" s="3">
        <v>10</v>
      </c>
      <c r="G1473" s="4">
        <v>44663</v>
      </c>
      <c r="M1473" s="1"/>
      <c r="N1473" s="1"/>
      <c r="O1473" s="1"/>
      <c r="P1473" s="1"/>
      <c r="Q1473" s="1"/>
      <c r="R1473" s="1"/>
    </row>
    <row r="1474" spans="2:18">
      <c r="C1474" s="2" t="s">
        <v>18</v>
      </c>
      <c r="D1474" s="2" t="s">
        <v>161</v>
      </c>
      <c r="E1474" s="3">
        <v>100</v>
      </c>
      <c r="F1474" s="3">
        <f>70/5</f>
        <v>14</v>
      </c>
      <c r="G1474" s="4">
        <v>44235</v>
      </c>
      <c r="I1474" s="1">
        <v>5200</v>
      </c>
      <c r="J1474" s="1">
        <v>8400</v>
      </c>
      <c r="M1474" s="1"/>
      <c r="N1474" s="1"/>
      <c r="O1474" s="1"/>
      <c r="P1474" s="1"/>
      <c r="Q1474" s="1"/>
      <c r="R1474" s="1"/>
    </row>
    <row r="1475" spans="2:18">
      <c r="C1475" s="2" t="s">
        <v>18</v>
      </c>
      <c r="D1475" s="2" t="s">
        <v>161</v>
      </c>
      <c r="E1475" s="3">
        <v>267</v>
      </c>
      <c r="F1475" s="3">
        <v>33</v>
      </c>
      <c r="G1475" s="4">
        <v>44235</v>
      </c>
      <c r="I1475" s="1">
        <v>5000</v>
      </c>
      <c r="J1475" s="1">
        <v>8400</v>
      </c>
      <c r="M1475" s="1"/>
      <c r="N1475" s="1"/>
      <c r="O1475" s="1"/>
      <c r="P1475" s="1"/>
      <c r="Q1475" s="1"/>
      <c r="R1475" s="1"/>
    </row>
    <row r="1476" spans="2:18">
      <c r="C1476" s="2" t="s">
        <v>5</v>
      </c>
      <c r="D1476" s="2" t="s">
        <v>161</v>
      </c>
      <c r="E1476" s="3">
        <v>102</v>
      </c>
      <c r="F1476" s="3">
        <v>16</v>
      </c>
      <c r="G1476" s="4">
        <v>43292</v>
      </c>
      <c r="J1476" s="1">
        <v>8400</v>
      </c>
      <c r="M1476" s="1"/>
      <c r="N1476" s="1"/>
      <c r="O1476" s="1"/>
      <c r="P1476" s="1"/>
      <c r="Q1476" s="1"/>
      <c r="R1476" s="1"/>
    </row>
    <row r="1477" spans="2:18">
      <c r="G1477" s="4"/>
      <c r="M1477" s="1"/>
      <c r="N1477" s="1"/>
      <c r="O1477" s="1"/>
      <c r="P1477" s="1"/>
      <c r="Q1477" s="1"/>
      <c r="R1477" s="1"/>
    </row>
    <row r="1478" spans="2:18" s="12" customFormat="1">
      <c r="B1478" s="12" t="s">
        <v>708</v>
      </c>
      <c r="C1478" s="13" t="s">
        <v>969</v>
      </c>
      <c r="D1478" s="13" t="s">
        <v>968</v>
      </c>
      <c r="E1478" s="15"/>
      <c r="F1478" s="15" cm="1">
        <f t="array" ref="F1478">SUM(F1479+F1479:F1482)</f>
        <v>72.166666666666671</v>
      </c>
      <c r="G1478" s="14">
        <f>G1479</f>
        <v>45090</v>
      </c>
      <c r="M1478" s="13"/>
      <c r="N1478" s="13"/>
      <c r="O1478" s="13"/>
      <c r="P1478" s="13"/>
      <c r="Q1478" s="13"/>
      <c r="R1478" s="13"/>
    </row>
    <row r="1479" spans="2:18">
      <c r="C1479" s="2" t="s">
        <v>4</v>
      </c>
      <c r="D1479" s="2" t="s">
        <v>705</v>
      </c>
      <c r="E1479" s="3">
        <v>113</v>
      </c>
      <c r="F1479" s="3">
        <v>8</v>
      </c>
      <c r="G1479" s="4">
        <v>45090</v>
      </c>
    </row>
    <row r="1480" spans="2:18">
      <c r="C1480" s="2" t="s">
        <v>5</v>
      </c>
      <c r="D1480" s="2" t="s">
        <v>381</v>
      </c>
      <c r="E1480" s="3">
        <v>86</v>
      </c>
      <c r="F1480" s="3">
        <v>10</v>
      </c>
      <c r="G1480" s="4">
        <v>44488</v>
      </c>
    </row>
    <row r="1481" spans="2:18">
      <c r="C1481" s="2" t="s">
        <v>4</v>
      </c>
      <c r="D1481" s="2" t="s">
        <v>381</v>
      </c>
      <c r="E1481" s="3">
        <v>8.5</v>
      </c>
      <c r="F1481" s="3">
        <v>5.5</v>
      </c>
      <c r="G1481" s="4">
        <v>43796</v>
      </c>
    </row>
    <row r="1482" spans="2:18">
      <c r="C1482" s="2" t="s">
        <v>8</v>
      </c>
      <c r="D1482" s="2" t="s">
        <v>707</v>
      </c>
      <c r="E1482" s="3">
        <v>150</v>
      </c>
      <c r="F1482" s="3">
        <f>100/6</f>
        <v>16.666666666666668</v>
      </c>
      <c r="G1482" s="4">
        <v>43885</v>
      </c>
      <c r="I1482" s="1">
        <v>1800</v>
      </c>
      <c r="J1482" s="1">
        <v>2500</v>
      </c>
    </row>
    <row r="1483" spans="2:18">
      <c r="G1483" s="4"/>
    </row>
    <row r="1484" spans="2:18" s="12" customFormat="1">
      <c r="B1484" s="12" t="s">
        <v>7892</v>
      </c>
      <c r="C1484" s="13" t="s">
        <v>969</v>
      </c>
      <c r="D1484" s="13" t="s">
        <v>968</v>
      </c>
      <c r="E1484" s="15"/>
      <c r="F1484" s="15">
        <f>SUM(F1485:F1487)</f>
        <v>69.968530020703938</v>
      </c>
      <c r="G1484" s="14">
        <f>G1486</f>
        <v>45183</v>
      </c>
      <c r="M1484" s="13"/>
      <c r="N1484" s="13"/>
      <c r="O1484" s="13"/>
      <c r="P1484" s="13"/>
      <c r="Q1484" s="13"/>
      <c r="R1484" s="13"/>
    </row>
    <row r="1485" spans="2:18">
      <c r="B1485" s="264"/>
      <c r="C1485" s="2" t="s">
        <v>7</v>
      </c>
      <c r="D1485" s="2" t="s">
        <v>525</v>
      </c>
      <c r="E1485" s="3">
        <v>32</v>
      </c>
      <c r="F1485" s="3">
        <v>3</v>
      </c>
      <c r="G1485" s="4">
        <v>44364</v>
      </c>
    </row>
    <row r="1486" spans="2:18">
      <c r="B1486" s="264"/>
      <c r="C1486" s="265" t="s">
        <v>7885</v>
      </c>
      <c r="D1486" s="265" t="s">
        <v>1006</v>
      </c>
      <c r="E1486" s="3">
        <v>684.6</v>
      </c>
      <c r="F1486" s="3">
        <f>584.6/21</f>
        <v>27.838095238095239</v>
      </c>
      <c r="G1486" s="4">
        <v>45183</v>
      </c>
    </row>
    <row r="1487" spans="2:18">
      <c r="B1487" s="264"/>
      <c r="C1487" s="265" t="s">
        <v>504</v>
      </c>
      <c r="D1487" s="265" t="s">
        <v>1006</v>
      </c>
      <c r="E1487" s="3">
        <v>1000</v>
      </c>
      <c r="F1487" s="3">
        <f>900/23</f>
        <v>39.130434782608695</v>
      </c>
      <c r="G1487" s="4">
        <v>44228</v>
      </c>
    </row>
    <row r="1488" spans="2:18">
      <c r="B1488" s="264"/>
      <c r="C1488" s="265" t="s">
        <v>8</v>
      </c>
      <c r="D1488" s="265" t="s">
        <v>3732</v>
      </c>
      <c r="E1488" s="3">
        <v>235</v>
      </c>
      <c r="F1488" s="3">
        <f>185/8</f>
        <v>23.125</v>
      </c>
      <c r="G1488" s="4">
        <v>45161</v>
      </c>
      <c r="I1488" s="1">
        <v>4300</v>
      </c>
      <c r="J1488" s="1">
        <v>4300</v>
      </c>
    </row>
    <row r="1489" spans="2:18">
      <c r="B1489" s="264"/>
      <c r="G1489" s="4"/>
    </row>
    <row r="1490" spans="2:18" s="12" customFormat="1">
      <c r="B1490" s="12" t="s">
        <v>1077</v>
      </c>
      <c r="C1490" s="13" t="s">
        <v>969</v>
      </c>
      <c r="D1490" s="13" t="s">
        <v>968</v>
      </c>
      <c r="E1490" s="15"/>
      <c r="F1490" s="15">
        <f>SUM(F1491:F1495)</f>
        <v>69.833333333333329</v>
      </c>
      <c r="G1490" s="14">
        <f>G1491</f>
        <v>45048</v>
      </c>
      <c r="M1490" s="13"/>
      <c r="N1490" s="13"/>
      <c r="O1490" s="13"/>
      <c r="P1490" s="13"/>
      <c r="Q1490" s="13"/>
      <c r="R1490" s="13"/>
    </row>
    <row r="1491" spans="2:18">
      <c r="C1491" s="2" t="s">
        <v>18</v>
      </c>
      <c r="D1491" s="2" t="s">
        <v>952</v>
      </c>
      <c r="E1491" s="3">
        <v>270</v>
      </c>
      <c r="F1491" s="3">
        <v>24</v>
      </c>
      <c r="G1491" s="4">
        <v>45048</v>
      </c>
    </row>
    <row r="1492" spans="2:18">
      <c r="C1492" s="2" t="s">
        <v>7</v>
      </c>
      <c r="D1492" s="2" t="s">
        <v>475</v>
      </c>
      <c r="E1492" s="3">
        <v>90</v>
      </c>
      <c r="F1492" s="3">
        <v>6</v>
      </c>
      <c r="G1492" s="4">
        <v>44398</v>
      </c>
    </row>
    <row r="1493" spans="2:18">
      <c r="C1493" s="2" t="s">
        <v>8</v>
      </c>
      <c r="D1493" s="2" t="s">
        <v>258</v>
      </c>
      <c r="E1493" s="3">
        <v>111</v>
      </c>
      <c r="F1493" s="3">
        <v>7</v>
      </c>
      <c r="G1493" s="4">
        <v>44622</v>
      </c>
    </row>
    <row r="1494" spans="2:18">
      <c r="C1494" s="2" t="s">
        <v>8</v>
      </c>
      <c r="D1494" s="2" t="s">
        <v>131</v>
      </c>
      <c r="E1494" s="3">
        <v>135</v>
      </c>
      <c r="F1494" s="3">
        <v>8</v>
      </c>
      <c r="G1494" s="4">
        <v>44880</v>
      </c>
    </row>
    <row r="1495" spans="2:18">
      <c r="C1495" s="2" t="s">
        <v>7</v>
      </c>
      <c r="D1495" s="2" t="s">
        <v>64</v>
      </c>
      <c r="E1495" s="3">
        <f>1600/7</f>
        <v>228.57142857142858</v>
      </c>
      <c r="F1495" s="3">
        <f>149/6</f>
        <v>24.833333333333332</v>
      </c>
      <c r="G1495" s="4">
        <v>44550</v>
      </c>
    </row>
    <row r="1496" spans="2:18">
      <c r="G1496" s="4"/>
    </row>
    <row r="1497" spans="2:18" s="12" customFormat="1">
      <c r="B1497" s="12" t="s">
        <v>502</v>
      </c>
      <c r="C1497" s="13" t="s">
        <v>969</v>
      </c>
      <c r="D1497" s="13" t="s">
        <v>968</v>
      </c>
      <c r="E1497" s="15"/>
      <c r="F1497" s="15">
        <f>SUM(F1498:F1501)</f>
        <v>69</v>
      </c>
      <c r="G1497" s="14">
        <f>G1498</f>
        <v>44152</v>
      </c>
    </row>
    <row r="1498" spans="2:18">
      <c r="C1498" s="2" t="s">
        <v>53</v>
      </c>
      <c r="D1498" s="2" t="s">
        <v>489</v>
      </c>
      <c r="E1498" s="3">
        <v>270</v>
      </c>
      <c r="F1498" s="3">
        <v>22</v>
      </c>
      <c r="G1498" s="4">
        <v>44152</v>
      </c>
      <c r="M1498" s="1"/>
      <c r="N1498" s="1"/>
      <c r="O1498" s="1"/>
      <c r="P1498" s="1"/>
      <c r="Q1498" s="1"/>
      <c r="R1498" s="1"/>
    </row>
    <row r="1499" spans="2:18">
      <c r="C1499" s="2" t="s">
        <v>8</v>
      </c>
      <c r="D1499" s="2" t="s">
        <v>176</v>
      </c>
      <c r="E1499" s="3">
        <v>130</v>
      </c>
      <c r="F1499" s="3">
        <v>12</v>
      </c>
      <c r="G1499" s="4">
        <v>42080</v>
      </c>
      <c r="M1499" s="1"/>
      <c r="N1499" s="1"/>
      <c r="O1499" s="1"/>
      <c r="P1499" s="1"/>
      <c r="Q1499" s="1"/>
      <c r="R1499" s="1"/>
    </row>
    <row r="1500" spans="2:18">
      <c r="C1500" s="2" t="s">
        <v>8</v>
      </c>
      <c r="D1500" s="2" t="s">
        <v>3934</v>
      </c>
      <c r="E1500" s="3">
        <v>90</v>
      </c>
      <c r="F1500" s="3">
        <v>15</v>
      </c>
      <c r="G1500" s="4">
        <v>40354</v>
      </c>
      <c r="M1500" s="1"/>
      <c r="N1500" s="1"/>
      <c r="O1500" s="1"/>
      <c r="P1500" s="1"/>
      <c r="Q1500" s="1"/>
      <c r="R1500" s="1"/>
    </row>
    <row r="1501" spans="2:18">
      <c r="C1501" s="92" t="s">
        <v>8</v>
      </c>
      <c r="D1501" s="92" t="s">
        <v>5405</v>
      </c>
      <c r="E1501" s="3">
        <v>50</v>
      </c>
      <c r="F1501" s="3">
        <v>20</v>
      </c>
      <c r="G1501" s="4">
        <v>44307</v>
      </c>
      <c r="I1501" s="1">
        <v>2000</v>
      </c>
      <c r="J1501" s="1">
        <v>2000</v>
      </c>
      <c r="M1501" s="1"/>
      <c r="N1501" s="1"/>
      <c r="O1501" s="1"/>
      <c r="P1501" s="1"/>
      <c r="Q1501" s="1"/>
      <c r="R1501" s="1"/>
    </row>
    <row r="1502" spans="2:18">
      <c r="G1502" s="4"/>
      <c r="M1502" s="1"/>
      <c r="N1502" s="1"/>
      <c r="O1502" s="1"/>
      <c r="P1502" s="1"/>
      <c r="Q1502" s="1"/>
      <c r="R1502" s="1"/>
    </row>
    <row r="1503" spans="2:18" s="12" customFormat="1">
      <c r="B1503" s="12" t="s">
        <v>493</v>
      </c>
      <c r="C1503" s="13" t="s">
        <v>969</v>
      </c>
      <c r="D1503" s="13" t="s">
        <v>968</v>
      </c>
      <c r="E1503" s="15"/>
      <c r="F1503" s="15">
        <f>SUM(F1504:F1507)</f>
        <v>68.599999999999994</v>
      </c>
      <c r="G1503" s="14">
        <f>G1506</f>
        <v>44077</v>
      </c>
    </row>
    <row r="1504" spans="2:18">
      <c r="C1504" s="2" t="s">
        <v>9</v>
      </c>
      <c r="D1504" s="2" t="s">
        <v>489</v>
      </c>
      <c r="E1504" s="3">
        <v>206</v>
      </c>
      <c r="F1504" s="3">
        <v>14</v>
      </c>
      <c r="G1504" s="4">
        <v>43725</v>
      </c>
      <c r="M1504" s="1"/>
      <c r="N1504" s="1"/>
      <c r="O1504" s="1"/>
      <c r="P1504" s="1"/>
      <c r="Q1504" s="1"/>
      <c r="R1504" s="1"/>
    </row>
    <row r="1505" spans="2:18">
      <c r="C1505" s="2" t="s">
        <v>8</v>
      </c>
      <c r="D1505" s="2" t="s">
        <v>489</v>
      </c>
      <c r="E1505" s="3">
        <v>100</v>
      </c>
      <c r="F1505" s="3">
        <v>15</v>
      </c>
      <c r="G1505" s="4">
        <v>43397</v>
      </c>
      <c r="M1505" s="1"/>
      <c r="N1505" s="1"/>
      <c r="O1505" s="1"/>
      <c r="P1505" s="1"/>
      <c r="Q1505" s="1"/>
      <c r="R1505" s="1"/>
    </row>
    <row r="1506" spans="2:18">
      <c r="C1506" s="2" t="s">
        <v>7</v>
      </c>
      <c r="D1506" s="2" t="s">
        <v>192</v>
      </c>
      <c r="E1506" s="3">
        <v>43</v>
      </c>
      <c r="F1506" s="3">
        <f>E1506/5</f>
        <v>8.6</v>
      </c>
      <c r="G1506" s="4">
        <v>44077</v>
      </c>
      <c r="M1506" s="1"/>
      <c r="N1506" s="1"/>
      <c r="O1506" s="1"/>
      <c r="P1506" s="1"/>
      <c r="Q1506" s="1"/>
      <c r="R1506" s="1"/>
    </row>
    <row r="1507" spans="2:18">
      <c r="C1507" s="2" t="s">
        <v>5</v>
      </c>
      <c r="D1507" s="2" t="s">
        <v>493</v>
      </c>
      <c r="E1507" s="3">
        <v>31</v>
      </c>
      <c r="F1507" s="3">
        <v>31</v>
      </c>
      <c r="G1507" s="4">
        <v>43634</v>
      </c>
      <c r="M1507" s="1"/>
      <c r="N1507" s="1"/>
      <c r="O1507" s="1"/>
      <c r="P1507" s="1"/>
      <c r="Q1507" s="1"/>
      <c r="R1507" s="1"/>
    </row>
    <row r="1508" spans="2:18">
      <c r="G1508" s="4"/>
      <c r="M1508" s="1"/>
      <c r="N1508" s="1"/>
      <c r="O1508" s="1"/>
      <c r="P1508" s="1"/>
      <c r="Q1508" s="1"/>
      <c r="R1508" s="1"/>
    </row>
    <row r="1509" spans="2:18" s="12" customFormat="1">
      <c r="B1509" s="12" t="s">
        <v>1076</v>
      </c>
      <c r="C1509" s="13" t="s">
        <v>969</v>
      </c>
      <c r="D1509" s="13" t="s">
        <v>968</v>
      </c>
      <c r="E1509" s="15"/>
      <c r="F1509" s="15">
        <f>SUM(F1510:F1514)</f>
        <v>68.900000000000006</v>
      </c>
      <c r="G1509" s="14">
        <f>G1510</f>
        <v>44679</v>
      </c>
    </row>
    <row r="1510" spans="2:18">
      <c r="C1510" s="2" t="s">
        <v>5</v>
      </c>
      <c r="D1510" s="2" t="s">
        <v>663</v>
      </c>
      <c r="E1510" s="3">
        <v>17</v>
      </c>
      <c r="F1510" s="3">
        <v>1.5</v>
      </c>
      <c r="G1510" s="4">
        <v>44679</v>
      </c>
      <c r="M1510" s="1"/>
      <c r="N1510" s="1"/>
      <c r="O1510" s="1"/>
      <c r="P1510" s="1"/>
      <c r="Q1510" s="1"/>
      <c r="R1510" s="1"/>
    </row>
    <row r="1511" spans="2:18">
      <c r="C1511" s="2" t="s">
        <v>5</v>
      </c>
      <c r="D1511" s="2" t="s">
        <v>656</v>
      </c>
      <c r="E1511" s="3">
        <v>12.6</v>
      </c>
      <c r="F1511" s="3">
        <v>3</v>
      </c>
      <c r="G1511" s="4">
        <v>44579</v>
      </c>
      <c r="M1511" s="1"/>
      <c r="N1511" s="1"/>
      <c r="O1511" s="1"/>
      <c r="P1511" s="1"/>
      <c r="Q1511" s="1"/>
      <c r="R1511" s="1"/>
    </row>
    <row r="1512" spans="2:18">
      <c r="C1512" s="2" t="s">
        <v>5</v>
      </c>
      <c r="D1512" s="2" t="s">
        <v>516</v>
      </c>
      <c r="E1512" s="3">
        <v>14.5</v>
      </c>
      <c r="F1512" s="3">
        <v>3</v>
      </c>
      <c r="G1512" s="4">
        <v>43389</v>
      </c>
      <c r="M1512" s="1"/>
      <c r="N1512" s="1"/>
      <c r="O1512" s="1"/>
      <c r="P1512" s="1"/>
      <c r="Q1512" s="1"/>
      <c r="R1512" s="1"/>
    </row>
    <row r="1513" spans="2:18">
      <c r="C1513" s="2" t="s">
        <v>8</v>
      </c>
      <c r="D1513" s="2" t="s">
        <v>386</v>
      </c>
      <c r="E1513" s="3">
        <v>140</v>
      </c>
      <c r="F1513" s="3">
        <v>60</v>
      </c>
      <c r="G1513" s="4">
        <v>44286</v>
      </c>
      <c r="M1513" s="1"/>
      <c r="N1513" s="1"/>
      <c r="O1513" s="1"/>
      <c r="P1513" s="1"/>
      <c r="Q1513" s="1"/>
      <c r="R1513" s="1"/>
    </row>
    <row r="1514" spans="2:18">
      <c r="C1514" s="2" t="s">
        <v>5</v>
      </c>
      <c r="D1514" s="2" t="s">
        <v>302</v>
      </c>
      <c r="E1514" s="3">
        <v>10</v>
      </c>
      <c r="F1514" s="3">
        <v>1.4</v>
      </c>
      <c r="G1514" s="4">
        <v>44637</v>
      </c>
      <c r="M1514" s="1"/>
      <c r="N1514" s="1"/>
      <c r="O1514" s="1"/>
      <c r="P1514" s="1"/>
      <c r="Q1514" s="1"/>
      <c r="R1514" s="1"/>
    </row>
    <row r="1515" spans="2:18">
      <c r="G1515" s="4"/>
      <c r="M1515" s="1"/>
      <c r="N1515" s="1"/>
      <c r="O1515" s="1"/>
      <c r="P1515" s="1"/>
      <c r="Q1515" s="1"/>
      <c r="R1515" s="1"/>
    </row>
    <row r="1516" spans="2:18" s="12" customFormat="1">
      <c r="B1516" s="12" t="s">
        <v>1062</v>
      </c>
      <c r="C1516" s="13" t="s">
        <v>969</v>
      </c>
      <c r="D1516" s="13" t="s">
        <v>968</v>
      </c>
      <c r="E1516" s="15"/>
      <c r="F1516" s="15">
        <f>SUM(F1517:F1524)</f>
        <v>67.8</v>
      </c>
      <c r="G1516" s="14">
        <f>+G1517</f>
        <v>44754</v>
      </c>
      <c r="M1516" s="13"/>
      <c r="N1516" s="13"/>
      <c r="O1516" s="13"/>
      <c r="P1516" s="13"/>
      <c r="Q1516" s="13"/>
      <c r="R1516" s="13"/>
    </row>
    <row r="1517" spans="2:18">
      <c r="C1517" s="2" t="s">
        <v>18</v>
      </c>
      <c r="D1517" s="2" t="s">
        <v>1005</v>
      </c>
      <c r="E1517" s="3">
        <v>100</v>
      </c>
      <c r="F1517" s="3">
        <v>10</v>
      </c>
      <c r="G1517" s="4">
        <v>44754</v>
      </c>
    </row>
    <row r="1518" spans="2:18">
      <c r="C1518" s="2" t="s">
        <v>7</v>
      </c>
      <c r="D1518" s="2" t="s">
        <v>894</v>
      </c>
      <c r="E1518" s="3">
        <v>40</v>
      </c>
      <c r="F1518" s="3">
        <v>5</v>
      </c>
      <c r="G1518" s="4">
        <v>44728</v>
      </c>
    </row>
    <row r="1519" spans="2:18">
      <c r="C1519" s="2" t="s">
        <v>7</v>
      </c>
      <c r="D1519" s="2" t="s">
        <v>894</v>
      </c>
      <c r="E1519" s="3">
        <v>18.600000000000001</v>
      </c>
      <c r="F1519" s="3">
        <f>8.6/2</f>
        <v>4.3</v>
      </c>
      <c r="G1519" s="4">
        <v>44112</v>
      </c>
    </row>
    <row r="1520" spans="2:18">
      <c r="C1520" s="2" t="s">
        <v>18</v>
      </c>
      <c r="D1520" s="2" t="s">
        <v>883</v>
      </c>
      <c r="E1520" s="3">
        <v>200</v>
      </c>
      <c r="F1520" s="3">
        <v>20</v>
      </c>
      <c r="G1520" s="4">
        <v>44377</v>
      </c>
    </row>
    <row r="1521" spans="2:18">
      <c r="C1521" s="2" t="s">
        <v>7</v>
      </c>
      <c r="D1521" s="2" t="s">
        <v>883</v>
      </c>
      <c r="E1521" s="3">
        <v>75</v>
      </c>
      <c r="F1521" s="3">
        <v>5</v>
      </c>
      <c r="G1521" s="4">
        <v>43783</v>
      </c>
    </row>
    <row r="1522" spans="2:18">
      <c r="C1522" s="2" t="s">
        <v>5</v>
      </c>
      <c r="D1522" s="2" t="s">
        <v>883</v>
      </c>
      <c r="E1522" s="3">
        <v>30</v>
      </c>
      <c r="F1522" s="3">
        <v>10</v>
      </c>
      <c r="G1522" s="4">
        <v>43573</v>
      </c>
    </row>
    <row r="1523" spans="2:18">
      <c r="C1523" s="92" t="s">
        <v>8</v>
      </c>
      <c r="D1523" s="92" t="s">
        <v>5405</v>
      </c>
      <c r="E1523" s="3">
        <v>50</v>
      </c>
      <c r="F1523" s="3">
        <f>30/4</f>
        <v>7.5</v>
      </c>
      <c r="G1523" s="4">
        <v>44307</v>
      </c>
    </row>
    <row r="1524" spans="2:18">
      <c r="C1524" s="92" t="s">
        <v>18</v>
      </c>
      <c r="D1524" s="92" t="s">
        <v>5405</v>
      </c>
      <c r="E1524" s="3">
        <v>37</v>
      </c>
      <c r="F1524" s="3">
        <v>6</v>
      </c>
      <c r="G1524" s="4">
        <v>43831</v>
      </c>
    </row>
    <row r="1525" spans="2:18">
      <c r="G1525" s="4"/>
    </row>
    <row r="1526" spans="2:18" s="12" customFormat="1">
      <c r="B1526" s="12" t="s">
        <v>38</v>
      </c>
      <c r="C1526" s="13" t="s">
        <v>969</v>
      </c>
      <c r="D1526" s="13" t="s">
        <v>968</v>
      </c>
      <c r="E1526" s="15"/>
      <c r="F1526" s="15">
        <f>SUM(F1527:F1528)</f>
        <v>67</v>
      </c>
      <c r="G1526" s="14">
        <f>G1528</f>
        <v>44322</v>
      </c>
      <c r="M1526" s="13"/>
      <c r="N1526" s="13"/>
      <c r="O1526" s="13"/>
      <c r="P1526" s="13"/>
      <c r="Q1526" s="13"/>
      <c r="R1526" s="13"/>
    </row>
    <row r="1527" spans="2:18">
      <c r="C1527" s="2" t="s">
        <v>18</v>
      </c>
      <c r="D1527" s="2" t="s">
        <v>32</v>
      </c>
      <c r="E1527" s="3">
        <v>230</v>
      </c>
      <c r="F1527" s="3">
        <v>40</v>
      </c>
      <c r="G1527" s="4">
        <v>43634</v>
      </c>
      <c r="I1527" s="1">
        <v>770</v>
      </c>
      <c r="J1527" s="1">
        <v>770</v>
      </c>
    </row>
    <row r="1528" spans="2:18">
      <c r="C1528" s="2" t="s">
        <v>8</v>
      </c>
      <c r="D1528" s="2" t="s">
        <v>15</v>
      </c>
      <c r="E1528" s="3">
        <v>220</v>
      </c>
      <c r="F1528" s="3">
        <v>27</v>
      </c>
      <c r="G1528" s="4">
        <v>44322</v>
      </c>
      <c r="I1528" s="1">
        <v>780</v>
      </c>
      <c r="J1528" s="1">
        <v>780</v>
      </c>
    </row>
    <row r="1529" spans="2:18">
      <c r="G1529" s="4"/>
    </row>
    <row r="1530" spans="2:18" s="12" customFormat="1">
      <c r="B1530" s="12" t="s">
        <v>209</v>
      </c>
      <c r="C1530" s="13" t="s">
        <v>969</v>
      </c>
      <c r="D1530" s="13" t="s">
        <v>968</v>
      </c>
      <c r="E1530" s="15"/>
      <c r="F1530" s="15">
        <f>SUM(F1531:F1533)</f>
        <v>67</v>
      </c>
      <c r="G1530" s="14">
        <f>G1531</f>
        <v>43886</v>
      </c>
      <c r="M1530" s="13"/>
      <c r="N1530" s="13"/>
      <c r="O1530" s="13"/>
      <c r="P1530" s="13"/>
      <c r="Q1530" s="13"/>
      <c r="R1530" s="13"/>
    </row>
    <row r="1531" spans="2:18">
      <c r="C1531" s="2" t="s">
        <v>18</v>
      </c>
      <c r="D1531" s="2" t="s">
        <v>208</v>
      </c>
      <c r="E1531" s="3">
        <v>250</v>
      </c>
      <c r="F1531" s="3">
        <f>170/5</f>
        <v>34</v>
      </c>
      <c r="G1531" s="4">
        <v>43886</v>
      </c>
      <c r="I1531" s="1">
        <v>2300</v>
      </c>
      <c r="J1531" s="1">
        <v>2300</v>
      </c>
    </row>
    <row r="1532" spans="2:18">
      <c r="C1532" s="2" t="s">
        <v>7</v>
      </c>
      <c r="D1532" s="2" t="s">
        <v>208</v>
      </c>
      <c r="E1532" s="3">
        <v>150</v>
      </c>
      <c r="F1532" s="3">
        <v>20</v>
      </c>
      <c r="G1532" s="4">
        <v>43556</v>
      </c>
    </row>
    <row r="1533" spans="2:18">
      <c r="C1533" s="2" t="s">
        <v>5</v>
      </c>
      <c r="D1533" s="2" t="s">
        <v>208</v>
      </c>
      <c r="E1533" s="3">
        <v>56</v>
      </c>
      <c r="F1533" s="3">
        <f>26/2</f>
        <v>13</v>
      </c>
      <c r="G1533" s="4">
        <v>43174</v>
      </c>
    </row>
    <row r="1534" spans="2:18">
      <c r="G1534" s="4"/>
    </row>
    <row r="1535" spans="2:18" s="12" customFormat="1">
      <c r="B1535" s="12" t="s">
        <v>1054</v>
      </c>
      <c r="C1535" s="13" t="s">
        <v>969</v>
      </c>
      <c r="D1535" s="13" t="s">
        <v>968</v>
      </c>
      <c r="E1535" s="15"/>
      <c r="F1535" s="15">
        <f>SUM(F1536:F1541)</f>
        <v>65.5</v>
      </c>
      <c r="G1535" s="14">
        <f>G1536</f>
        <v>44636</v>
      </c>
      <c r="M1535" s="13"/>
      <c r="N1535" s="13"/>
      <c r="O1535" s="13"/>
      <c r="P1535" s="13"/>
      <c r="Q1535" s="13"/>
      <c r="R1535" s="13"/>
    </row>
    <row r="1536" spans="2:18">
      <c r="C1536" s="2" t="s">
        <v>7</v>
      </c>
      <c r="D1536" s="2" t="s">
        <v>860</v>
      </c>
      <c r="E1536" s="3">
        <v>25</v>
      </c>
      <c r="F1536" s="3">
        <v>3</v>
      </c>
      <c r="G1536" s="4">
        <v>44636</v>
      </c>
    </row>
    <row r="1537" spans="2:18">
      <c r="C1537" s="2" t="s">
        <v>5</v>
      </c>
      <c r="D1537" s="2" t="s">
        <v>860</v>
      </c>
      <c r="E1537" s="3">
        <v>12</v>
      </c>
      <c r="F1537" s="3">
        <v>2</v>
      </c>
      <c r="G1537" s="4">
        <v>44179</v>
      </c>
    </row>
    <row r="1538" spans="2:18">
      <c r="C1538" s="2" t="s">
        <v>53</v>
      </c>
      <c r="D1538" s="2" t="s">
        <v>489</v>
      </c>
      <c r="E1538" s="3">
        <v>270</v>
      </c>
      <c r="F1538" s="3">
        <v>22</v>
      </c>
      <c r="G1538" s="4">
        <v>44152</v>
      </c>
    </row>
    <row r="1539" spans="2:18">
      <c r="C1539" s="2" t="s">
        <v>18</v>
      </c>
      <c r="D1539" s="2" t="s">
        <v>292</v>
      </c>
      <c r="E1539" s="3">
        <v>38</v>
      </c>
      <c r="F1539" s="3">
        <v>6</v>
      </c>
      <c r="G1539" s="4">
        <v>43104</v>
      </c>
    </row>
    <row r="1540" spans="2:18">
      <c r="C1540" s="55" t="s">
        <v>8</v>
      </c>
      <c r="D1540" s="55" t="s">
        <v>2109</v>
      </c>
      <c r="E1540" s="3">
        <v>110</v>
      </c>
      <c r="F1540" s="3">
        <f>70/4</f>
        <v>17.5</v>
      </c>
      <c r="G1540" s="4">
        <v>44567</v>
      </c>
      <c r="I1540" s="1">
        <v>790</v>
      </c>
      <c r="J1540" s="1">
        <v>790</v>
      </c>
    </row>
    <row r="1541" spans="2:18">
      <c r="C1541" s="55" t="s">
        <v>18</v>
      </c>
      <c r="D1541" s="55" t="s">
        <v>2109</v>
      </c>
      <c r="E1541" s="3">
        <v>40</v>
      </c>
      <c r="F1541" s="3">
        <v>15</v>
      </c>
      <c r="G1541" s="4">
        <v>44238</v>
      </c>
      <c r="J1541" s="1">
        <v>790</v>
      </c>
    </row>
    <row r="1542" spans="2:18">
      <c r="G1542" s="4"/>
    </row>
    <row r="1543" spans="2:18" s="12" customFormat="1">
      <c r="B1543" s="12" t="s">
        <v>7934</v>
      </c>
      <c r="C1543" s="13" t="s">
        <v>969</v>
      </c>
      <c r="D1543" s="13" t="s">
        <v>968</v>
      </c>
      <c r="E1543" s="15"/>
      <c r="F1543" s="15">
        <f>SUM(F1544:F1550)</f>
        <v>66</v>
      </c>
      <c r="G1543" s="14">
        <f>+G1550</f>
        <v>45147</v>
      </c>
      <c r="M1543" s="13"/>
      <c r="N1543" s="13"/>
      <c r="O1543" s="13"/>
      <c r="P1543" s="13"/>
      <c r="Q1543" s="13"/>
      <c r="R1543" s="13"/>
    </row>
    <row r="1544" spans="2:18">
      <c r="B1544" s="12"/>
      <c r="C1544" s="2" t="s">
        <v>5</v>
      </c>
      <c r="D1544" s="2" t="s">
        <v>935</v>
      </c>
      <c r="E1544" s="3">
        <v>150</v>
      </c>
      <c r="F1544" s="3">
        <v>25</v>
      </c>
      <c r="G1544" s="4">
        <v>45008</v>
      </c>
    </row>
    <row r="1545" spans="2:18">
      <c r="B1545" s="12"/>
      <c r="C1545" s="2" t="s">
        <v>5</v>
      </c>
      <c r="D1545" s="2" t="s">
        <v>446</v>
      </c>
      <c r="E1545" s="3">
        <v>28</v>
      </c>
      <c r="F1545" s="3">
        <v>5</v>
      </c>
      <c r="G1545" s="4">
        <v>44624</v>
      </c>
    </row>
    <row r="1546" spans="2:18">
      <c r="B1546" s="12"/>
      <c r="C1546" s="2" t="s">
        <v>4</v>
      </c>
      <c r="D1546" s="2" t="s">
        <v>446</v>
      </c>
      <c r="E1546" s="3">
        <v>5</v>
      </c>
      <c r="F1546" s="3">
        <v>3</v>
      </c>
      <c r="G1546" s="4">
        <v>44136</v>
      </c>
    </row>
    <row r="1547" spans="2:18">
      <c r="B1547" s="12"/>
      <c r="C1547" s="92" t="s">
        <v>5</v>
      </c>
      <c r="D1547" s="92" t="s">
        <v>3213</v>
      </c>
      <c r="E1547" s="3">
        <v>19</v>
      </c>
      <c r="F1547" s="3">
        <v>3</v>
      </c>
      <c r="G1547" s="4">
        <v>45097</v>
      </c>
    </row>
    <row r="1548" spans="2:18">
      <c r="B1548" s="12"/>
      <c r="C1548" s="92" t="s">
        <v>5</v>
      </c>
      <c r="D1548" s="92" t="s">
        <v>546</v>
      </c>
      <c r="E1548" s="3">
        <v>58</v>
      </c>
      <c r="F1548" s="3">
        <v>10</v>
      </c>
      <c r="G1548" s="4">
        <v>45104</v>
      </c>
      <c r="I1548" s="1">
        <v>242</v>
      </c>
      <c r="J1548" s="1">
        <v>242</v>
      </c>
    </row>
    <row r="1549" spans="2:18">
      <c r="B1549" s="12"/>
      <c r="C1549" s="92" t="s">
        <v>5</v>
      </c>
      <c r="D1549" s="92" t="s">
        <v>1004</v>
      </c>
      <c r="E1549" s="3">
        <v>25.6</v>
      </c>
      <c r="F1549" s="3">
        <v>5</v>
      </c>
      <c r="G1549" s="4">
        <v>45013</v>
      </c>
    </row>
    <row r="1550" spans="2:18">
      <c r="B1550" s="12"/>
      <c r="C1550" s="265" t="s">
        <v>1040</v>
      </c>
      <c r="D1550" s="265" t="s">
        <v>3661</v>
      </c>
      <c r="E1550" s="3">
        <v>50</v>
      </c>
      <c r="F1550" s="3">
        <v>15</v>
      </c>
      <c r="G1550" s="4">
        <v>45147</v>
      </c>
    </row>
    <row r="1551" spans="2:18">
      <c r="B1551" s="12"/>
      <c r="G1551" s="4"/>
    </row>
    <row r="1552" spans="2:18" s="12" customFormat="1">
      <c r="B1552" s="12" t="s">
        <v>62</v>
      </c>
      <c r="C1552" s="13" t="s">
        <v>969</v>
      </c>
      <c r="D1552" s="13" t="s">
        <v>968</v>
      </c>
      <c r="E1552" s="15"/>
      <c r="F1552" s="15">
        <f>SUM(F1553:F1555)</f>
        <v>64.5</v>
      </c>
      <c r="G1552" s="14">
        <f>G1553</f>
        <v>45069</v>
      </c>
      <c r="M1552" s="13"/>
      <c r="N1552" s="13"/>
      <c r="O1552" s="13"/>
      <c r="P1552" s="13"/>
      <c r="Q1552" s="13"/>
      <c r="R1552" s="13"/>
    </row>
    <row r="1553" spans="2:11">
      <c r="C1553" s="2" t="s">
        <v>8</v>
      </c>
      <c r="D1553" s="2" t="s">
        <v>57</v>
      </c>
      <c r="E1553" s="3">
        <v>250</v>
      </c>
      <c r="F1553" s="3">
        <f>150/4</f>
        <v>37.5</v>
      </c>
      <c r="G1553" s="4">
        <v>45069</v>
      </c>
    </row>
    <row r="1554" spans="2:11">
      <c r="C1554" s="2" t="s">
        <v>18</v>
      </c>
      <c r="D1554" s="2" t="s">
        <v>57</v>
      </c>
      <c r="E1554" s="3">
        <v>100</v>
      </c>
      <c r="F1554" s="3">
        <f>75/5</f>
        <v>15</v>
      </c>
      <c r="G1554" s="4">
        <v>44650</v>
      </c>
    </row>
    <row r="1555" spans="2:11">
      <c r="C1555" s="2" t="s">
        <v>5</v>
      </c>
      <c r="D1555" s="2" t="s">
        <v>57</v>
      </c>
      <c r="E1555" s="3">
        <v>29.5</v>
      </c>
      <c r="F1555" s="3">
        <v>12</v>
      </c>
      <c r="G1555" s="4">
        <v>43410</v>
      </c>
    </row>
    <row r="1556" spans="2:11">
      <c r="G1556" s="4"/>
    </row>
    <row r="1557" spans="2:11">
      <c r="B1557" s="12" t="s">
        <v>1071</v>
      </c>
      <c r="C1557" s="13" t="s">
        <v>969</v>
      </c>
      <c r="D1557" s="13" t="s">
        <v>968</v>
      </c>
      <c r="F1557" s="15">
        <f>SUM(F1558:F1567)</f>
        <v>65.214285714285708</v>
      </c>
      <c r="G1557" s="14">
        <f>G1560</f>
        <v>44690</v>
      </c>
      <c r="I1557" s="1">
        <f>140+191</f>
        <v>331</v>
      </c>
      <c r="J1557" s="19">
        <f>+F1557/I1557</f>
        <v>0.19702201122140697</v>
      </c>
      <c r="K1557" s="1">
        <v>2014</v>
      </c>
    </row>
    <row r="1558" spans="2:11">
      <c r="B1558" s="12"/>
      <c r="C1558" s="2" t="s">
        <v>5</v>
      </c>
      <c r="D1558" s="2" t="s">
        <v>935</v>
      </c>
      <c r="E1558" s="3">
        <v>150</v>
      </c>
      <c r="F1558" s="3">
        <v>15</v>
      </c>
      <c r="G1558" s="4">
        <v>45008</v>
      </c>
    </row>
    <row r="1559" spans="2:11">
      <c r="B1559" s="12"/>
      <c r="C1559" s="2" t="s">
        <v>7</v>
      </c>
      <c r="D1559" s="2" t="s">
        <v>949</v>
      </c>
      <c r="E1559" s="3">
        <v>350</v>
      </c>
      <c r="F1559" s="3">
        <v>10</v>
      </c>
      <c r="G1559" s="4">
        <v>44999</v>
      </c>
    </row>
    <row r="1560" spans="2:11">
      <c r="C1560" s="2" t="s">
        <v>18</v>
      </c>
      <c r="D1560" s="2" t="s">
        <v>926</v>
      </c>
      <c r="E1560" s="3">
        <v>100</v>
      </c>
      <c r="F1560" s="3">
        <v>9</v>
      </c>
      <c r="G1560" s="4">
        <v>44690</v>
      </c>
      <c r="J1560" s="1">
        <v>4300</v>
      </c>
    </row>
    <row r="1561" spans="2:11">
      <c r="C1561" s="2" t="s">
        <v>7</v>
      </c>
      <c r="D1561" s="2" t="s">
        <v>926</v>
      </c>
      <c r="E1561" s="3">
        <v>40</v>
      </c>
      <c r="F1561" s="3">
        <v>7</v>
      </c>
      <c r="G1561" s="4">
        <v>44327</v>
      </c>
      <c r="J1561" s="1">
        <v>4300</v>
      </c>
    </row>
    <row r="1562" spans="2:11">
      <c r="C1562" s="2" t="s">
        <v>5</v>
      </c>
      <c r="D1562" s="2" t="s">
        <v>926</v>
      </c>
      <c r="E1562" s="3">
        <v>15</v>
      </c>
      <c r="F1562" s="3">
        <v>3</v>
      </c>
      <c r="G1562" s="4">
        <v>43816</v>
      </c>
      <c r="J1562" s="1">
        <v>4300</v>
      </c>
    </row>
    <row r="1563" spans="2:11">
      <c r="C1563" s="2" t="s">
        <v>4</v>
      </c>
      <c r="D1563" s="2" t="s">
        <v>926</v>
      </c>
      <c r="E1563" s="3">
        <v>4</v>
      </c>
      <c r="F1563" s="3">
        <v>1</v>
      </c>
      <c r="G1563" s="4">
        <v>43243</v>
      </c>
      <c r="J1563" s="1">
        <v>4300</v>
      </c>
    </row>
    <row r="1564" spans="2:11">
      <c r="C1564" s="2" t="s">
        <v>5</v>
      </c>
      <c r="D1564" s="2" t="s">
        <v>907</v>
      </c>
      <c r="E1564" s="3">
        <v>20</v>
      </c>
      <c r="F1564" s="3">
        <v>10</v>
      </c>
      <c r="G1564" s="4">
        <v>44245</v>
      </c>
    </row>
    <row r="1565" spans="2:11">
      <c r="C1565" s="2" t="s">
        <v>7</v>
      </c>
      <c r="D1565" s="2" t="s">
        <v>1070</v>
      </c>
      <c r="E1565" s="3">
        <v>18</v>
      </c>
      <c r="F1565" s="3">
        <v>4.5</v>
      </c>
      <c r="G1565" s="4">
        <v>44831</v>
      </c>
    </row>
    <row r="1566" spans="2:11">
      <c r="C1566" s="2" t="s">
        <v>5</v>
      </c>
      <c r="D1566" s="2" t="s">
        <v>1070</v>
      </c>
      <c r="E1566" s="3">
        <v>18.5</v>
      </c>
      <c r="F1566" s="3">
        <v>5</v>
      </c>
      <c r="G1566" s="4">
        <v>44658</v>
      </c>
    </row>
    <row r="1567" spans="2:11">
      <c r="C1567" s="2" t="s">
        <v>4</v>
      </c>
      <c r="D1567" s="2" t="s">
        <v>424</v>
      </c>
      <c r="E1567" s="3">
        <v>7</v>
      </c>
      <c r="F1567" s="3">
        <v>0.7142857142857143</v>
      </c>
      <c r="G1567" s="4">
        <v>43046</v>
      </c>
    </row>
    <row r="1568" spans="2:11">
      <c r="G1568" s="4"/>
    </row>
    <row r="1569" spans="2:18" s="12" customFormat="1">
      <c r="B1569" s="12" t="s">
        <v>1068</v>
      </c>
      <c r="C1569" s="13" t="s">
        <v>969</v>
      </c>
      <c r="D1569" s="13" t="s">
        <v>968</v>
      </c>
      <c r="E1569" s="15"/>
      <c r="F1569" s="15">
        <f>SUM(F1570:F1599)</f>
        <v>65.004761904761892</v>
      </c>
      <c r="G1569" s="14">
        <f>+G1574</f>
        <v>45041</v>
      </c>
      <c r="I1569" s="12" t="s">
        <v>6669</v>
      </c>
      <c r="M1569" s="13"/>
      <c r="N1569" s="13"/>
      <c r="O1569" s="13"/>
      <c r="P1569" s="13"/>
      <c r="Q1569" s="13"/>
      <c r="R1569" s="13"/>
    </row>
    <row r="1570" spans="2:18">
      <c r="C1570" s="2" t="s">
        <v>9</v>
      </c>
      <c r="D1570" s="2" t="s">
        <v>803</v>
      </c>
      <c r="E1570" s="3">
        <v>325</v>
      </c>
      <c r="F1570" s="3">
        <v>18.5</v>
      </c>
      <c r="G1570" s="4">
        <v>44299</v>
      </c>
    </row>
    <row r="1571" spans="2:18">
      <c r="C1571" s="2" t="s">
        <v>7</v>
      </c>
      <c r="D1571" s="2" t="s">
        <v>803</v>
      </c>
      <c r="E1571" s="3">
        <v>18</v>
      </c>
      <c r="F1571" s="3">
        <v>3</v>
      </c>
      <c r="G1571" s="4">
        <v>43319</v>
      </c>
    </row>
    <row r="1572" spans="2:18">
      <c r="C1572" s="2" t="s">
        <v>5</v>
      </c>
      <c r="D1572" s="2" t="s">
        <v>803</v>
      </c>
      <c r="E1572" s="3">
        <v>4.5</v>
      </c>
      <c r="F1572" s="3">
        <v>1.5</v>
      </c>
      <c r="G1572" s="4">
        <v>42878</v>
      </c>
    </row>
    <row r="1573" spans="2:18">
      <c r="C1573" s="2" t="s">
        <v>4</v>
      </c>
      <c r="D1573" s="2" t="s">
        <v>803</v>
      </c>
      <c r="E1573" s="3">
        <v>0.12</v>
      </c>
      <c r="F1573" s="3">
        <v>0.12</v>
      </c>
      <c r="G1573" s="4">
        <v>42604</v>
      </c>
    </row>
    <row r="1574" spans="2:18">
      <c r="C1574" s="2" t="s">
        <v>7</v>
      </c>
      <c r="D1574" s="2" t="s">
        <v>907</v>
      </c>
      <c r="E1574" s="3">
        <v>97.4</v>
      </c>
      <c r="F1574" s="3">
        <f>47/6</f>
        <v>7.833333333333333</v>
      </c>
      <c r="G1574" s="4">
        <v>45041</v>
      </c>
    </row>
    <row r="1575" spans="2:18">
      <c r="C1575" s="2" t="s">
        <v>4</v>
      </c>
      <c r="D1575" s="2" t="s">
        <v>720</v>
      </c>
      <c r="E1575" s="3">
        <v>0.12</v>
      </c>
      <c r="F1575" s="3">
        <v>0.12</v>
      </c>
      <c r="G1575" s="4">
        <v>44068</v>
      </c>
    </row>
    <row r="1576" spans="2:18">
      <c r="C1576" s="2" t="s">
        <v>4</v>
      </c>
      <c r="D1576" s="2" t="s">
        <v>709</v>
      </c>
      <c r="E1576" s="3">
        <v>5.5</v>
      </c>
      <c r="F1576" s="3">
        <v>0.5</v>
      </c>
      <c r="G1576" s="4">
        <v>45092</v>
      </c>
    </row>
    <row r="1577" spans="2:18">
      <c r="C1577" s="2" t="s">
        <v>278</v>
      </c>
      <c r="D1577" s="2" t="s">
        <v>709</v>
      </c>
      <c r="E1577" s="3">
        <v>0.125</v>
      </c>
      <c r="F1577" s="3">
        <v>0.125</v>
      </c>
      <c r="G1577" s="4">
        <f>G1576</f>
        <v>45092</v>
      </c>
    </row>
    <row r="1578" spans="2:18">
      <c r="C1578" s="2" t="s">
        <v>5</v>
      </c>
      <c r="D1578" s="2" t="s">
        <v>676</v>
      </c>
      <c r="E1578" s="3">
        <v>15</v>
      </c>
      <c r="F1578" s="3">
        <v>3.3</v>
      </c>
      <c r="G1578" s="4">
        <v>44482</v>
      </c>
    </row>
    <row r="1579" spans="2:18">
      <c r="C1579" s="2" t="s">
        <v>4</v>
      </c>
      <c r="D1579" s="2" t="s">
        <v>676</v>
      </c>
      <c r="E1579" s="3">
        <v>4.5</v>
      </c>
      <c r="F1579" s="3">
        <v>0.5</v>
      </c>
      <c r="G1579" s="4">
        <v>44362</v>
      </c>
    </row>
    <row r="1580" spans="2:18">
      <c r="C1580" s="2" t="s">
        <v>4</v>
      </c>
      <c r="D1580" s="2" t="s">
        <v>676</v>
      </c>
      <c r="E1580" s="3">
        <v>0.125</v>
      </c>
      <c r="F1580" s="3">
        <v>0.125</v>
      </c>
      <c r="G1580" s="4">
        <v>44246</v>
      </c>
    </row>
    <row r="1581" spans="2:18">
      <c r="C1581" s="2" t="s">
        <v>5</v>
      </c>
      <c r="D1581" s="2" t="s">
        <v>1069</v>
      </c>
      <c r="E1581" s="3">
        <v>12.5</v>
      </c>
      <c r="F1581" s="3">
        <v>3</v>
      </c>
      <c r="G1581" s="4">
        <v>44978</v>
      </c>
    </row>
    <row r="1582" spans="2:18">
      <c r="C1582" s="2" t="s">
        <v>278</v>
      </c>
      <c r="D1582" s="2" t="s">
        <v>620</v>
      </c>
      <c r="E1582" s="3">
        <v>0.5</v>
      </c>
      <c r="F1582" s="3">
        <v>0.5</v>
      </c>
      <c r="G1582" s="4">
        <v>45021</v>
      </c>
    </row>
    <row r="1583" spans="2:18">
      <c r="C1583" s="2" t="s">
        <v>5</v>
      </c>
      <c r="D1583" s="2" t="s">
        <v>692</v>
      </c>
      <c r="E1583" s="3">
        <v>8</v>
      </c>
      <c r="F1583" s="3">
        <v>1</v>
      </c>
      <c r="G1583" s="4">
        <v>43249</v>
      </c>
    </row>
    <row r="1584" spans="2:18">
      <c r="C1584" s="2" t="s">
        <v>278</v>
      </c>
      <c r="D1584" s="2" t="s">
        <v>692</v>
      </c>
      <c r="E1584" s="3">
        <v>0.12</v>
      </c>
      <c r="F1584" s="3">
        <v>0.12</v>
      </c>
      <c r="G1584" s="4">
        <v>43104</v>
      </c>
    </row>
    <row r="1585" spans="3:7">
      <c r="C1585" s="2" t="s">
        <v>278</v>
      </c>
      <c r="D1585" s="2" t="s">
        <v>584</v>
      </c>
      <c r="E1585" s="3">
        <v>0.12</v>
      </c>
      <c r="F1585" s="3">
        <v>0.12</v>
      </c>
      <c r="G1585" s="4">
        <v>44439</v>
      </c>
    </row>
    <row r="1586" spans="3:7">
      <c r="C1586" s="2" t="s">
        <v>18</v>
      </c>
      <c r="D1586" s="2" t="s">
        <v>520</v>
      </c>
      <c r="E1586" s="3">
        <v>60</v>
      </c>
      <c r="F1586" s="3">
        <v>5</v>
      </c>
      <c r="G1586" s="4">
        <v>43606</v>
      </c>
    </row>
    <row r="1587" spans="3:7">
      <c r="C1587" s="2" t="s">
        <v>7</v>
      </c>
      <c r="D1587" s="2" t="s">
        <v>520</v>
      </c>
      <c r="E1587" s="3">
        <v>30</v>
      </c>
      <c r="F1587" s="3">
        <v>5</v>
      </c>
      <c r="G1587" s="4">
        <v>43396</v>
      </c>
    </row>
    <row r="1588" spans="3:7">
      <c r="C1588" s="2" t="s">
        <v>4</v>
      </c>
      <c r="D1588" s="2" t="s">
        <v>520</v>
      </c>
      <c r="E1588" s="3">
        <v>3</v>
      </c>
      <c r="F1588" s="3">
        <v>0.5</v>
      </c>
      <c r="G1588" s="4">
        <v>42606</v>
      </c>
    </row>
    <row r="1589" spans="3:7">
      <c r="C1589" s="2" t="s">
        <v>7</v>
      </c>
      <c r="D1589" s="2" t="s">
        <v>446</v>
      </c>
      <c r="E1589" s="3">
        <v>30</v>
      </c>
      <c r="F1589" s="3">
        <v>5</v>
      </c>
      <c r="G1589" s="4">
        <v>44756</v>
      </c>
    </row>
    <row r="1590" spans="3:7">
      <c r="C1590" s="2" t="s">
        <v>5</v>
      </c>
      <c r="D1590" s="2" t="s">
        <v>446</v>
      </c>
      <c r="E1590" s="3">
        <v>28</v>
      </c>
      <c r="F1590" s="3">
        <v>5</v>
      </c>
      <c r="G1590" s="4">
        <v>44624</v>
      </c>
    </row>
    <row r="1591" spans="3:7">
      <c r="C1591" s="2" t="s">
        <v>4</v>
      </c>
      <c r="D1591" s="2" t="s">
        <v>446</v>
      </c>
      <c r="E1591" s="3">
        <v>0.12</v>
      </c>
      <c r="F1591" s="3">
        <v>0.12</v>
      </c>
      <c r="G1591" s="4">
        <v>42970</v>
      </c>
    </row>
    <row r="1592" spans="3:7">
      <c r="C1592" s="2" t="s">
        <v>4</v>
      </c>
      <c r="D1592" s="2" t="s">
        <v>277</v>
      </c>
      <c r="E1592" s="3">
        <v>0.125</v>
      </c>
      <c r="F1592" s="3">
        <v>0.125</v>
      </c>
      <c r="G1592" s="4">
        <v>44265</v>
      </c>
    </row>
    <row r="1593" spans="3:7">
      <c r="C1593" s="2" t="s">
        <v>4</v>
      </c>
      <c r="D1593" s="2" t="s">
        <v>1068</v>
      </c>
      <c r="E1593" s="3">
        <v>1.6</v>
      </c>
      <c r="F1593" s="3">
        <f>E1593/2</f>
        <v>0.8</v>
      </c>
      <c r="G1593" s="4">
        <v>43060</v>
      </c>
    </row>
    <row r="1594" spans="3:7">
      <c r="C1594" s="2" t="s">
        <v>4</v>
      </c>
      <c r="D1594" s="2" t="s">
        <v>87</v>
      </c>
      <c r="E1594" s="3">
        <v>5.3</v>
      </c>
      <c r="F1594" s="3">
        <f>4/7</f>
        <v>0.5714285714285714</v>
      </c>
      <c r="G1594" s="4">
        <v>43398</v>
      </c>
    </row>
    <row r="1595" spans="3:7">
      <c r="C1595" s="2" t="s">
        <v>4</v>
      </c>
      <c r="D1595" s="2" t="s">
        <v>87</v>
      </c>
      <c r="E1595" s="3">
        <v>4</v>
      </c>
      <c r="F1595" s="3">
        <f>2.5/4</f>
        <v>0.625</v>
      </c>
      <c r="G1595" s="4">
        <v>43122</v>
      </c>
    </row>
    <row r="1596" spans="3:7">
      <c r="C1596" s="140" t="s">
        <v>4</v>
      </c>
      <c r="D1596" s="140" t="s">
        <v>6299</v>
      </c>
      <c r="E1596" s="3">
        <v>5</v>
      </c>
      <c r="F1596" s="3">
        <v>0.5</v>
      </c>
      <c r="G1596" s="4">
        <v>43335</v>
      </c>
    </row>
    <row r="1597" spans="3:7">
      <c r="C1597" s="177" t="s">
        <v>4</v>
      </c>
      <c r="D1597" s="177" t="s">
        <v>2030</v>
      </c>
      <c r="E1597" s="3">
        <v>2</v>
      </c>
      <c r="F1597" s="3">
        <v>0.5</v>
      </c>
      <c r="G1597" s="4">
        <v>43522</v>
      </c>
    </row>
    <row r="1598" spans="3:7">
      <c r="C1598" s="241" t="s">
        <v>278</v>
      </c>
      <c r="D1598" s="241" t="s">
        <v>7579</v>
      </c>
      <c r="E1598" s="3">
        <v>0.5</v>
      </c>
      <c r="F1598" s="3">
        <v>0.5</v>
      </c>
      <c r="G1598" s="4">
        <v>43696</v>
      </c>
    </row>
    <row r="1599" spans="3:7">
      <c r="C1599" s="241" t="s">
        <v>4</v>
      </c>
      <c r="D1599" s="241" t="s">
        <v>7579</v>
      </c>
      <c r="E1599" s="3">
        <v>2.2000000000000002</v>
      </c>
      <c r="F1599" s="3">
        <f>1.2/3</f>
        <v>0.39999999999999997</v>
      </c>
      <c r="G1599" s="4">
        <v>43906</v>
      </c>
    </row>
    <row r="1600" spans="3:7">
      <c r="G1600" s="4"/>
    </row>
    <row r="1601" spans="2:18" s="12" customFormat="1">
      <c r="B1601" s="12" t="s">
        <v>13</v>
      </c>
      <c r="C1601" s="13" t="s">
        <v>969</v>
      </c>
      <c r="D1601" s="13" t="s">
        <v>968</v>
      </c>
      <c r="E1601" s="15"/>
      <c r="F1601" s="15">
        <f>SUM(F1602:F1604)</f>
        <v>63.75</v>
      </c>
      <c r="G1601" s="14">
        <f>+G1604</f>
        <v>45230</v>
      </c>
      <c r="M1601" s="13"/>
      <c r="N1601" s="13"/>
      <c r="O1601" s="13"/>
      <c r="P1601" s="13"/>
      <c r="Q1601" s="13"/>
      <c r="R1601" s="13"/>
    </row>
    <row r="1602" spans="2:18">
      <c r="C1602" s="2" t="s">
        <v>9</v>
      </c>
      <c r="D1602" s="2" t="s">
        <v>3</v>
      </c>
      <c r="E1602" s="3">
        <v>90</v>
      </c>
      <c r="F1602" s="3">
        <v>10</v>
      </c>
      <c r="G1602" s="4">
        <v>44721</v>
      </c>
      <c r="I1602" s="1">
        <v>2200</v>
      </c>
      <c r="J1602" s="1">
        <v>2500</v>
      </c>
    </row>
    <row r="1603" spans="2:18">
      <c r="C1603" s="2" t="s">
        <v>7</v>
      </c>
      <c r="D1603" s="2" t="s">
        <v>3</v>
      </c>
      <c r="E1603" s="3">
        <v>25</v>
      </c>
      <c r="F1603" s="3">
        <v>3.75</v>
      </c>
      <c r="G1603" s="4">
        <v>43697</v>
      </c>
      <c r="J1603" s="1">
        <v>2500</v>
      </c>
    </row>
    <row r="1604" spans="2:18">
      <c r="C1604" s="265" t="s">
        <v>53</v>
      </c>
      <c r="D1604" s="265" t="s">
        <v>3</v>
      </c>
      <c r="E1604" s="3">
        <v>200</v>
      </c>
      <c r="F1604" s="3">
        <v>50</v>
      </c>
      <c r="G1604" s="4">
        <v>45230</v>
      </c>
      <c r="I1604" s="1">
        <v>2500</v>
      </c>
      <c r="J1604" s="1">
        <v>2500</v>
      </c>
    </row>
    <row r="1605" spans="2:18">
      <c r="G1605" s="4"/>
    </row>
    <row r="1606" spans="2:18">
      <c r="B1606" s="12" t="s">
        <v>985</v>
      </c>
      <c r="C1606" s="13" t="s">
        <v>969</v>
      </c>
      <c r="D1606" s="13" t="s">
        <v>968</v>
      </c>
      <c r="F1606" s="15">
        <f>SUM(F1607:F1611)</f>
        <v>63.18518518518519</v>
      </c>
      <c r="G1606" s="14">
        <f>G1608</f>
        <v>44467</v>
      </c>
    </row>
    <row r="1607" spans="2:18">
      <c r="C1607" s="2" t="s">
        <v>5</v>
      </c>
      <c r="D1607" s="2" t="s">
        <v>832</v>
      </c>
      <c r="E1607" s="3">
        <v>20</v>
      </c>
      <c r="F1607" s="3">
        <f>12/6</f>
        <v>2</v>
      </c>
      <c r="G1607" s="4">
        <v>43816</v>
      </c>
    </row>
    <row r="1608" spans="2:18">
      <c r="C1608" s="2" t="s">
        <v>5</v>
      </c>
      <c r="D1608" s="2" t="s">
        <v>984</v>
      </c>
      <c r="E1608" s="3">
        <v>19</v>
      </c>
      <c r="F1608" s="3">
        <v>4</v>
      </c>
      <c r="G1608" s="4">
        <v>44467</v>
      </c>
    </row>
    <row r="1609" spans="2:18">
      <c r="C1609" s="2" t="s">
        <v>5</v>
      </c>
      <c r="D1609" s="2" t="s">
        <v>281</v>
      </c>
      <c r="E1609" s="3">
        <v>26</v>
      </c>
      <c r="F1609" s="3">
        <v>4.333333333333333</v>
      </c>
      <c r="G1609" s="4">
        <v>44453</v>
      </c>
    </row>
    <row r="1610" spans="2:18">
      <c r="C1610" s="2" t="s">
        <v>4</v>
      </c>
      <c r="D1610" s="2" t="s">
        <v>281</v>
      </c>
      <c r="E1610" s="3">
        <v>6.2</v>
      </c>
      <c r="F1610" s="3">
        <v>1</v>
      </c>
      <c r="G1610" s="4">
        <v>44201</v>
      </c>
    </row>
    <row r="1611" spans="2:18">
      <c r="C1611" s="265" t="s">
        <v>2486</v>
      </c>
      <c r="D1611" s="265" t="s">
        <v>1006</v>
      </c>
      <c r="E1611" s="3">
        <v>1600</v>
      </c>
      <c r="F1611" s="3">
        <f>1400/27</f>
        <v>51.851851851851855</v>
      </c>
      <c r="G1611" s="4">
        <v>44439</v>
      </c>
    </row>
    <row r="1612" spans="2:18">
      <c r="G1612" s="4"/>
    </row>
    <row r="1613" spans="2:18" s="12" customFormat="1">
      <c r="B1613" s="12" t="s">
        <v>220</v>
      </c>
      <c r="C1613" s="13" t="s">
        <v>969</v>
      </c>
      <c r="D1613" s="13" t="s">
        <v>968</v>
      </c>
      <c r="E1613" s="15"/>
      <c r="F1613" s="15">
        <f>SUM(F1614:F1615)</f>
        <v>63.166666666666671</v>
      </c>
      <c r="G1613" s="14">
        <f>G1615</f>
        <v>44550</v>
      </c>
      <c r="M1613" s="13"/>
      <c r="N1613" s="13"/>
      <c r="O1613" s="13"/>
      <c r="P1613" s="13"/>
      <c r="Q1613" s="13"/>
      <c r="R1613" s="13"/>
    </row>
    <row r="1614" spans="2:18">
      <c r="C1614" s="2" t="s">
        <v>18</v>
      </c>
      <c r="D1614" s="2" t="s">
        <v>211</v>
      </c>
      <c r="E1614" s="3">
        <v>230</v>
      </c>
      <c r="F1614" s="3">
        <f>E1614/6</f>
        <v>38.333333333333336</v>
      </c>
      <c r="G1614" s="4">
        <v>43923</v>
      </c>
    </row>
    <row r="1615" spans="2:18">
      <c r="C1615" s="2" t="s">
        <v>7</v>
      </c>
      <c r="D1615" s="2" t="s">
        <v>64</v>
      </c>
      <c r="E1615" s="3">
        <f>1600/7</f>
        <v>228.57142857142858</v>
      </c>
      <c r="F1615" s="3">
        <f>149/6</f>
        <v>24.833333333333332</v>
      </c>
      <c r="G1615" s="4">
        <v>44550</v>
      </c>
    </row>
    <row r="1616" spans="2:18">
      <c r="G1616" s="4"/>
    </row>
    <row r="1617" spans="2:18" s="12" customFormat="1">
      <c r="B1617" s="12" t="s">
        <v>6800</v>
      </c>
      <c r="C1617" s="13" t="s">
        <v>969</v>
      </c>
      <c r="D1617" s="13" t="s">
        <v>968</v>
      </c>
      <c r="E1617" s="15"/>
      <c r="F1617" s="15">
        <f>SUM(F1618:F1619)</f>
        <v>62.5</v>
      </c>
      <c r="G1617" s="14">
        <f>G1618</f>
        <v>44578</v>
      </c>
      <c r="M1617" s="13"/>
      <c r="N1617" s="13"/>
      <c r="O1617" s="13"/>
      <c r="P1617" s="13"/>
      <c r="Q1617" s="13"/>
      <c r="R1617" s="13"/>
    </row>
    <row r="1618" spans="2:18">
      <c r="B1618" s="254" t="s">
        <v>7626</v>
      </c>
      <c r="C1618" s="2" t="s">
        <v>7</v>
      </c>
      <c r="D1618" s="2" t="s">
        <v>2129</v>
      </c>
      <c r="E1618" s="3">
        <f>176</f>
        <v>176</v>
      </c>
      <c r="F1618" s="3">
        <f>150/12</f>
        <v>12.5</v>
      </c>
      <c r="G1618" s="4">
        <v>44578</v>
      </c>
    </row>
    <row r="1619" spans="2:18">
      <c r="C1619" s="52" t="s">
        <v>18</v>
      </c>
      <c r="D1619" s="52" t="s">
        <v>2118</v>
      </c>
      <c r="E1619" s="3">
        <v>300</v>
      </c>
      <c r="F1619" s="3">
        <v>50</v>
      </c>
      <c r="G1619" s="4">
        <v>44300</v>
      </c>
      <c r="I1619" s="1">
        <v>700</v>
      </c>
      <c r="J1619" s="1">
        <v>700</v>
      </c>
    </row>
    <row r="1620" spans="2:18">
      <c r="G1620" s="4"/>
    </row>
    <row r="1621" spans="2:18" s="12" customFormat="1">
      <c r="B1621" s="12" t="s">
        <v>1067</v>
      </c>
      <c r="C1621" s="13" t="s">
        <v>969</v>
      </c>
      <c r="D1621" s="13" t="s">
        <v>968</v>
      </c>
      <c r="E1621" s="15"/>
      <c r="F1621" s="15">
        <f>SUM(F1622:F1635)</f>
        <v>62.685714285714283</v>
      </c>
      <c r="G1621" s="14">
        <f>G1624</f>
        <v>44727</v>
      </c>
      <c r="I1621" s="12" t="s">
        <v>7562</v>
      </c>
    </row>
    <row r="1622" spans="2:18">
      <c r="C1622" s="2" t="s">
        <v>5</v>
      </c>
      <c r="D1622" s="2" t="s">
        <v>986</v>
      </c>
      <c r="E1622" s="3">
        <v>25</v>
      </c>
      <c r="F1622" s="3">
        <f>15/4</f>
        <v>3.75</v>
      </c>
      <c r="G1622" s="4">
        <v>44615</v>
      </c>
    </row>
    <row r="1623" spans="2:18">
      <c r="C1623" s="2" t="s">
        <v>5</v>
      </c>
      <c r="D1623" s="2" t="s">
        <v>735</v>
      </c>
      <c r="E1623" s="3">
        <v>21</v>
      </c>
      <c r="F1623" s="3">
        <f>14/5</f>
        <v>2.8</v>
      </c>
      <c r="G1623" s="4">
        <v>44489</v>
      </c>
    </row>
    <row r="1624" spans="2:18">
      <c r="C1624" s="2" t="s">
        <v>5</v>
      </c>
      <c r="D1624" s="2" t="s">
        <v>465</v>
      </c>
      <c r="E1624" s="3">
        <v>15.5</v>
      </c>
      <c r="F1624" s="3">
        <v>3</v>
      </c>
      <c r="G1624" s="4">
        <v>44727</v>
      </c>
    </row>
    <row r="1625" spans="2:18">
      <c r="C1625" s="2" t="s">
        <v>4</v>
      </c>
      <c r="D1625" s="2" t="s">
        <v>424</v>
      </c>
      <c r="E1625" s="3">
        <v>7</v>
      </c>
      <c r="F1625" s="3">
        <v>0.7142857142857143</v>
      </c>
      <c r="G1625" s="4">
        <v>43046</v>
      </c>
    </row>
    <row r="1626" spans="2:18">
      <c r="C1626" s="2" t="s">
        <v>7</v>
      </c>
      <c r="D1626" s="2" t="s">
        <v>363</v>
      </c>
      <c r="E1626" s="3">
        <v>120</v>
      </c>
      <c r="F1626" s="3">
        <f>90/8</f>
        <v>11.25</v>
      </c>
      <c r="G1626" s="4">
        <v>44602</v>
      </c>
    </row>
    <row r="1627" spans="2:18">
      <c r="C1627" s="2" t="s">
        <v>5</v>
      </c>
      <c r="D1627" s="2" t="s">
        <v>313</v>
      </c>
      <c r="E1627" s="3">
        <v>57</v>
      </c>
      <c r="F1627" s="3">
        <v>6</v>
      </c>
      <c r="G1627" s="4">
        <v>44508</v>
      </c>
    </row>
    <row r="1628" spans="2:18">
      <c r="C1628" s="2" t="s">
        <v>18</v>
      </c>
      <c r="D1628" s="2" t="s">
        <v>292</v>
      </c>
      <c r="E1628" s="3">
        <v>38</v>
      </c>
      <c r="F1628" s="3">
        <f>20/6</f>
        <v>3.3333333333333335</v>
      </c>
      <c r="G1628" s="4">
        <v>43104</v>
      </c>
    </row>
    <row r="1629" spans="2:18">
      <c r="C1629" s="2" t="s">
        <v>8</v>
      </c>
      <c r="D1629" s="2" t="s">
        <v>131</v>
      </c>
      <c r="E1629" s="3">
        <v>135</v>
      </c>
      <c r="F1629" s="3">
        <f>115/14</f>
        <v>8.2142857142857135</v>
      </c>
      <c r="G1629" s="4">
        <v>44880</v>
      </c>
    </row>
    <row r="1630" spans="2:18">
      <c r="C1630" s="2" t="s">
        <v>9</v>
      </c>
      <c r="D1630" s="2" t="s">
        <v>22</v>
      </c>
      <c r="E1630" s="3">
        <v>222</v>
      </c>
      <c r="F1630" s="3">
        <f>200/21</f>
        <v>9.5238095238095237</v>
      </c>
      <c r="G1630" s="4">
        <v>44194</v>
      </c>
      <c r="I1630" s="1">
        <v>2500</v>
      </c>
      <c r="J1630" s="1">
        <v>2500</v>
      </c>
    </row>
    <row r="1631" spans="2:18">
      <c r="C1631" s="2" t="s">
        <v>18</v>
      </c>
      <c r="D1631" s="2" t="s">
        <v>22</v>
      </c>
      <c r="E1631" s="3">
        <v>50</v>
      </c>
      <c r="F1631" s="3">
        <v>5</v>
      </c>
      <c r="G1631" s="4">
        <v>43051</v>
      </c>
      <c r="J1631" s="1">
        <v>2500</v>
      </c>
    </row>
    <row r="1632" spans="2:18">
      <c r="C1632" s="2" t="s">
        <v>5</v>
      </c>
      <c r="D1632" s="2" t="s">
        <v>22</v>
      </c>
      <c r="E1632" s="3">
        <v>30</v>
      </c>
      <c r="F1632" s="3">
        <v>5</v>
      </c>
      <c r="G1632" s="4">
        <v>42674</v>
      </c>
      <c r="J1632" s="1">
        <v>2500</v>
      </c>
    </row>
    <row r="1633" spans="2:18">
      <c r="C1633" s="177" t="s">
        <v>5</v>
      </c>
      <c r="D1633" s="177" t="s">
        <v>6762</v>
      </c>
      <c r="E1633" s="3">
        <v>11</v>
      </c>
      <c r="F1633" s="3">
        <v>2</v>
      </c>
      <c r="G1633" s="4">
        <v>43215</v>
      </c>
    </row>
    <row r="1634" spans="2:18">
      <c r="C1634" s="241" t="s">
        <v>5</v>
      </c>
      <c r="D1634" s="241" t="s">
        <v>2010</v>
      </c>
      <c r="E1634" s="3">
        <v>9</v>
      </c>
      <c r="F1634" s="3">
        <f>6/4</f>
        <v>1.5</v>
      </c>
      <c r="G1634" s="4">
        <v>44540</v>
      </c>
    </row>
    <row r="1635" spans="2:18">
      <c r="C1635" s="241" t="s">
        <v>4</v>
      </c>
      <c r="D1635" s="241" t="s">
        <v>7580</v>
      </c>
      <c r="E1635" s="3">
        <v>2.2000000000000002</v>
      </c>
      <c r="F1635" s="3">
        <v>0.6</v>
      </c>
      <c r="G1635" s="4">
        <v>43544</v>
      </c>
    </row>
    <row r="1636" spans="2:18">
      <c r="G1636" s="4"/>
    </row>
    <row r="1637" spans="2:18" s="12" customFormat="1">
      <c r="B1637" s="12" t="s">
        <v>25</v>
      </c>
      <c r="C1637" s="13" t="s">
        <v>969</v>
      </c>
      <c r="D1637" s="13" t="s">
        <v>968</v>
      </c>
      <c r="E1637" s="15"/>
      <c r="F1637" s="15">
        <f>SUM(F1638:F1639)</f>
        <v>59.523809523809526</v>
      </c>
      <c r="G1637" s="14">
        <f>G1638</f>
        <v>44194</v>
      </c>
      <c r="M1637" s="13"/>
      <c r="N1637" s="13"/>
      <c r="O1637" s="13"/>
      <c r="P1637" s="13"/>
      <c r="Q1637" s="13"/>
      <c r="R1637" s="13"/>
    </row>
    <row r="1638" spans="2:18">
      <c r="C1638" s="2" t="s">
        <v>9</v>
      </c>
      <c r="D1638" s="2" t="s">
        <v>22</v>
      </c>
      <c r="E1638" s="3">
        <v>222</v>
      </c>
      <c r="F1638" s="3">
        <f>200/21</f>
        <v>9.5238095238095237</v>
      </c>
      <c r="G1638" s="4">
        <v>44194</v>
      </c>
      <c r="I1638" s="1">
        <v>2500</v>
      </c>
      <c r="J1638" s="1">
        <v>2500</v>
      </c>
    </row>
    <row r="1639" spans="2:18">
      <c r="C1639" s="2" t="s">
        <v>8</v>
      </c>
      <c r="D1639" s="2" t="s">
        <v>22</v>
      </c>
      <c r="E1639" s="3">
        <v>150</v>
      </c>
      <c r="F1639" s="3">
        <v>50</v>
      </c>
      <c r="G1639" s="4">
        <v>43885</v>
      </c>
      <c r="I1639" s="1">
        <v>1800</v>
      </c>
      <c r="J1639" s="1">
        <v>2500</v>
      </c>
    </row>
    <row r="1640" spans="2:18">
      <c r="G1640" s="4"/>
    </row>
    <row r="1641" spans="2:18" s="12" customFormat="1">
      <c r="B1641" s="12" t="s">
        <v>24</v>
      </c>
      <c r="C1641" s="13" t="s">
        <v>969</v>
      </c>
      <c r="D1641" s="13" t="s">
        <v>968</v>
      </c>
      <c r="E1641" s="15"/>
      <c r="F1641" s="15">
        <f>SUM(F1642:F1643)</f>
        <v>59.523809523809526</v>
      </c>
      <c r="G1641" s="14">
        <f>G1642</f>
        <v>44194</v>
      </c>
      <c r="M1641" s="13"/>
      <c r="N1641" s="13"/>
      <c r="O1641" s="13"/>
      <c r="P1641" s="13"/>
      <c r="Q1641" s="13"/>
      <c r="R1641" s="13"/>
    </row>
    <row r="1642" spans="2:18">
      <c r="C1642" s="2" t="s">
        <v>9</v>
      </c>
      <c r="D1642" s="2" t="s">
        <v>22</v>
      </c>
      <c r="E1642" s="3">
        <v>222</v>
      </c>
      <c r="F1642" s="3">
        <f>200/21</f>
        <v>9.5238095238095237</v>
      </c>
      <c r="G1642" s="4">
        <v>44194</v>
      </c>
      <c r="I1642" s="1">
        <v>2500</v>
      </c>
      <c r="J1642" s="1">
        <v>2500</v>
      </c>
    </row>
    <row r="1643" spans="2:18">
      <c r="C1643" s="2" t="s">
        <v>8</v>
      </c>
      <c r="D1643" s="2" t="s">
        <v>22</v>
      </c>
      <c r="E1643" s="3">
        <v>150</v>
      </c>
      <c r="F1643" s="3">
        <v>50</v>
      </c>
      <c r="G1643" s="4">
        <v>43885</v>
      </c>
      <c r="I1643" s="1">
        <v>1800</v>
      </c>
      <c r="J1643" s="1">
        <v>2500</v>
      </c>
    </row>
    <row r="1644" spans="2:18">
      <c r="G1644" s="4"/>
    </row>
    <row r="1645" spans="2:18" s="12" customFormat="1">
      <c r="B1645" s="12" t="s">
        <v>6799</v>
      </c>
      <c r="C1645" s="13" t="s">
        <v>969</v>
      </c>
      <c r="D1645" s="13" t="s">
        <v>968</v>
      </c>
      <c r="E1645" s="15"/>
      <c r="F1645" s="15">
        <f>SUM(F1646:F1648)</f>
        <v>59.383333333333333</v>
      </c>
      <c r="G1645" s="14">
        <f>G1646</f>
        <v>44600</v>
      </c>
    </row>
    <row r="1646" spans="2:18">
      <c r="B1646" s="254" t="s">
        <v>7626</v>
      </c>
      <c r="C1646" s="2" t="s">
        <v>7</v>
      </c>
      <c r="D1646" s="2" t="s">
        <v>456</v>
      </c>
      <c r="E1646" s="3">
        <v>26.8</v>
      </c>
      <c r="F1646" s="3">
        <v>6.8</v>
      </c>
      <c r="G1646" s="4">
        <v>44600</v>
      </c>
      <c r="M1646" s="1"/>
      <c r="N1646" s="1"/>
      <c r="O1646" s="1"/>
      <c r="P1646" s="1"/>
      <c r="Q1646" s="1"/>
      <c r="R1646" s="1"/>
    </row>
    <row r="1647" spans="2:18">
      <c r="C1647" s="2" t="s">
        <v>53</v>
      </c>
      <c r="D1647" s="2" t="s">
        <v>176</v>
      </c>
      <c r="E1647" s="3">
        <v>475</v>
      </c>
      <c r="F1647" s="3">
        <f>E1647/12</f>
        <v>39.583333333333336</v>
      </c>
      <c r="G1647" s="4">
        <v>44278</v>
      </c>
      <c r="M1647" s="1"/>
      <c r="N1647" s="1"/>
      <c r="O1647" s="1"/>
      <c r="P1647" s="1"/>
      <c r="Q1647" s="1"/>
      <c r="R1647" s="1"/>
    </row>
    <row r="1648" spans="2:18">
      <c r="C1648" s="2" t="s">
        <v>7</v>
      </c>
      <c r="D1648" s="2" t="s">
        <v>2129</v>
      </c>
      <c r="E1648" s="3">
        <v>176</v>
      </c>
      <c r="F1648" s="3">
        <v>13</v>
      </c>
      <c r="G1648" s="4">
        <v>44578</v>
      </c>
      <c r="M1648" s="1"/>
      <c r="N1648" s="1"/>
      <c r="O1648" s="1"/>
      <c r="P1648" s="1"/>
      <c r="Q1648" s="1"/>
      <c r="R1648" s="1"/>
    </row>
    <row r="1649" spans="2:18">
      <c r="G1649" s="4"/>
      <c r="M1649" s="1"/>
      <c r="N1649" s="1"/>
      <c r="O1649" s="1"/>
      <c r="P1649" s="1"/>
      <c r="Q1649" s="1"/>
      <c r="R1649" s="1"/>
    </row>
    <row r="1650" spans="2:18" s="12" customFormat="1">
      <c r="B1650" s="12" t="s">
        <v>156</v>
      </c>
      <c r="C1650" s="13" t="s">
        <v>969</v>
      </c>
      <c r="D1650" s="13" t="s">
        <v>968</v>
      </c>
      <c r="E1650" s="15"/>
      <c r="F1650" s="15">
        <f>SUM(F1651:F1655)</f>
        <v>58.214285714285715</v>
      </c>
      <c r="G1650" s="14">
        <f>G1651</f>
        <v>44067</v>
      </c>
      <c r="M1650" s="13"/>
      <c r="N1650" s="13"/>
      <c r="O1650" s="13"/>
      <c r="P1650" s="13"/>
      <c r="Q1650" s="13"/>
      <c r="R1650" s="13"/>
    </row>
    <row r="1651" spans="2:18">
      <c r="C1651" s="2" t="s">
        <v>18</v>
      </c>
      <c r="D1651" s="2" t="s">
        <v>154</v>
      </c>
      <c r="E1651" s="3">
        <v>101</v>
      </c>
      <c r="F1651" s="3">
        <v>25</v>
      </c>
      <c r="G1651" s="4">
        <v>44067</v>
      </c>
    </row>
    <row r="1652" spans="2:18">
      <c r="C1652" s="2" t="s">
        <v>4</v>
      </c>
      <c r="D1652" s="2" t="s">
        <v>154</v>
      </c>
      <c r="E1652" s="3">
        <v>4</v>
      </c>
      <c r="F1652" s="3">
        <v>1.5</v>
      </c>
      <c r="G1652" s="4">
        <v>42023</v>
      </c>
    </row>
    <row r="1653" spans="2:18">
      <c r="C1653" s="2" t="s">
        <v>18</v>
      </c>
      <c r="D1653" s="2" t="s">
        <v>32</v>
      </c>
      <c r="E1653" s="3">
        <v>230</v>
      </c>
      <c r="F1653" s="3">
        <f>110/7</f>
        <v>15.714285714285714</v>
      </c>
      <c r="G1653" s="4">
        <v>43634</v>
      </c>
    </row>
    <row r="1654" spans="2:18">
      <c r="C1654" s="2" t="s">
        <v>7</v>
      </c>
      <c r="D1654" s="2" t="s">
        <v>32</v>
      </c>
      <c r="E1654" s="3">
        <v>45</v>
      </c>
      <c r="F1654" s="3">
        <v>11</v>
      </c>
      <c r="G1654" s="4">
        <v>43263</v>
      </c>
    </row>
    <row r="1655" spans="2:18">
      <c r="C1655" s="2" t="s">
        <v>5</v>
      </c>
      <c r="D1655" s="2" t="s">
        <v>32</v>
      </c>
      <c r="E1655" s="3">
        <v>18</v>
      </c>
      <c r="F1655" s="3">
        <v>5</v>
      </c>
      <c r="G1655" s="4">
        <v>42983</v>
      </c>
    </row>
    <row r="1656" spans="2:18">
      <c r="G1656" s="4"/>
    </row>
    <row r="1657" spans="2:18">
      <c r="B1657" s="12" t="s">
        <v>4992</v>
      </c>
      <c r="C1657" s="13" t="s">
        <v>969</v>
      </c>
      <c r="D1657" s="13" t="s">
        <v>968</v>
      </c>
      <c r="E1657" s="15"/>
      <c r="F1657" s="15">
        <f>SUM(F1658:F1675)</f>
        <v>55.749999999999993</v>
      </c>
      <c r="G1657" s="14">
        <f>+G1675</f>
        <v>45147</v>
      </c>
    </row>
    <row r="1658" spans="2:18">
      <c r="B1658" s="254" t="s">
        <v>7626</v>
      </c>
      <c r="C1658" s="2" t="s">
        <v>7</v>
      </c>
      <c r="D1658" s="2" t="s">
        <v>962</v>
      </c>
      <c r="E1658" s="3">
        <v>45</v>
      </c>
      <c r="F1658" s="3">
        <v>10</v>
      </c>
      <c r="G1658" s="4">
        <v>44228</v>
      </c>
    </row>
    <row r="1659" spans="2:18">
      <c r="C1659" s="2" t="s">
        <v>5</v>
      </c>
      <c r="D1659" s="2" t="s">
        <v>962</v>
      </c>
      <c r="E1659" s="3">
        <v>5</v>
      </c>
      <c r="F1659" s="3">
        <v>1</v>
      </c>
      <c r="G1659" s="4">
        <v>43251</v>
      </c>
    </row>
    <row r="1660" spans="2:18">
      <c r="C1660" s="2" t="s">
        <v>5</v>
      </c>
      <c r="D1660" s="2" t="s">
        <v>891</v>
      </c>
      <c r="E1660" s="3">
        <v>14</v>
      </c>
      <c r="F1660" s="3">
        <v>2</v>
      </c>
      <c r="G1660" s="4">
        <v>44131</v>
      </c>
    </row>
    <row r="1661" spans="2:18">
      <c r="C1661" s="2" t="s">
        <v>7</v>
      </c>
      <c r="D1661" s="2" t="s">
        <v>907</v>
      </c>
      <c r="E1661" s="3">
        <v>97.4</v>
      </c>
      <c r="F1661" s="3">
        <f>47/6</f>
        <v>7.833333333333333</v>
      </c>
      <c r="G1661" s="4">
        <v>45041</v>
      </c>
    </row>
    <row r="1662" spans="2:18">
      <c r="C1662" s="2" t="s">
        <v>5</v>
      </c>
      <c r="D1662" s="2" t="s">
        <v>907</v>
      </c>
      <c r="E1662" s="3">
        <v>80</v>
      </c>
      <c r="F1662" s="3">
        <f>40/6</f>
        <v>6.666666666666667</v>
      </c>
      <c r="G1662" s="4">
        <v>44539</v>
      </c>
    </row>
    <row r="1663" spans="2:18">
      <c r="C1663" s="2" t="s">
        <v>4</v>
      </c>
      <c r="D1663" s="2" t="s">
        <v>652</v>
      </c>
      <c r="E1663" s="3">
        <v>12</v>
      </c>
      <c r="F1663" s="3">
        <v>2</v>
      </c>
      <c r="G1663" s="4">
        <v>44971</v>
      </c>
    </row>
    <row r="1664" spans="2:18">
      <c r="C1664" s="2" t="s">
        <v>4</v>
      </c>
      <c r="D1664" s="2" t="s">
        <v>652</v>
      </c>
      <c r="E1664" s="3">
        <v>5</v>
      </c>
      <c r="F1664" s="3">
        <v>1</v>
      </c>
      <c r="G1664" s="4">
        <v>44769</v>
      </c>
    </row>
    <row r="1665" spans="2:10">
      <c r="C1665" s="2" t="s">
        <v>7</v>
      </c>
      <c r="D1665" s="2" t="s">
        <v>525</v>
      </c>
      <c r="E1665" s="3">
        <v>32</v>
      </c>
      <c r="F1665" s="3">
        <v>3</v>
      </c>
      <c r="G1665" s="4">
        <v>44364</v>
      </c>
    </row>
    <row r="1666" spans="2:10">
      <c r="C1666" s="2" t="s">
        <v>5</v>
      </c>
      <c r="D1666" s="2" t="s">
        <v>525</v>
      </c>
      <c r="E1666" s="3">
        <v>10.199999999999999</v>
      </c>
      <c r="F1666" s="3">
        <v>2</v>
      </c>
      <c r="G1666" s="4">
        <v>43732</v>
      </c>
    </row>
    <row r="1667" spans="2:10">
      <c r="C1667" s="2" t="s">
        <v>4</v>
      </c>
      <c r="D1667" s="2" t="s">
        <v>525</v>
      </c>
      <c r="E1667" s="3">
        <v>3</v>
      </c>
      <c r="F1667" s="3">
        <v>0.75</v>
      </c>
      <c r="G1667" s="4">
        <v>43374</v>
      </c>
    </row>
    <row r="1668" spans="2:10">
      <c r="C1668" s="2" t="s">
        <v>7</v>
      </c>
      <c r="D1668" s="2" t="s">
        <v>310</v>
      </c>
      <c r="E1668" s="3">
        <v>40</v>
      </c>
      <c r="F1668" s="3">
        <v>4</v>
      </c>
      <c r="G1668" s="4">
        <v>43419</v>
      </c>
    </row>
    <row r="1669" spans="2:10">
      <c r="C1669" s="2" t="s">
        <v>5</v>
      </c>
      <c r="D1669" s="2" t="s">
        <v>3</v>
      </c>
      <c r="E1669" s="3">
        <v>10.5</v>
      </c>
      <c r="F1669" s="3">
        <v>2</v>
      </c>
      <c r="G1669" s="4">
        <v>42828</v>
      </c>
    </row>
    <row r="1670" spans="2:10">
      <c r="C1670" s="2" t="s">
        <v>4</v>
      </c>
      <c r="D1670" s="2" t="s">
        <v>3</v>
      </c>
      <c r="E1670" s="3">
        <v>2</v>
      </c>
      <c r="F1670" s="3">
        <f>+E1670/3</f>
        <v>0.66666666666666663</v>
      </c>
      <c r="G1670" s="4">
        <v>42521</v>
      </c>
    </row>
    <row r="1671" spans="2:10">
      <c r="C1671" s="55" t="s">
        <v>18</v>
      </c>
      <c r="D1671" s="55" t="s">
        <v>4995</v>
      </c>
      <c r="E1671" s="3">
        <v>27</v>
      </c>
      <c r="F1671" s="3">
        <f>17/3</f>
        <v>5.666666666666667</v>
      </c>
      <c r="G1671" s="4">
        <v>42851</v>
      </c>
      <c r="J1671" s="1">
        <v>210</v>
      </c>
    </row>
    <row r="1672" spans="2:10">
      <c r="C1672" s="55" t="s">
        <v>5</v>
      </c>
      <c r="D1672" s="55" t="s">
        <v>4995</v>
      </c>
      <c r="E1672" s="3">
        <v>3</v>
      </c>
      <c r="F1672" s="3">
        <f>2/3</f>
        <v>0.66666666666666663</v>
      </c>
      <c r="G1672" s="4">
        <v>42220</v>
      </c>
    </row>
    <row r="1673" spans="2:10">
      <c r="C1673" s="153" t="s">
        <v>5</v>
      </c>
      <c r="D1673" s="153" t="s">
        <v>6395</v>
      </c>
      <c r="E1673" s="3">
        <v>8</v>
      </c>
      <c r="F1673" s="3">
        <v>1</v>
      </c>
      <c r="G1673" s="4">
        <v>44179</v>
      </c>
    </row>
    <row r="1674" spans="2:10">
      <c r="C1674" s="153" t="s">
        <v>4</v>
      </c>
      <c r="D1674" s="153" t="s">
        <v>6395</v>
      </c>
      <c r="E1674" s="3">
        <v>2</v>
      </c>
      <c r="F1674" s="3">
        <f>E1674/4</f>
        <v>0.5</v>
      </c>
      <c r="G1674" s="4">
        <v>43430</v>
      </c>
    </row>
    <row r="1675" spans="2:10">
      <c r="C1675" s="265" t="s">
        <v>1040</v>
      </c>
      <c r="D1675" s="265" t="s">
        <v>962</v>
      </c>
      <c r="E1675" s="3">
        <v>50</v>
      </c>
      <c r="F1675" s="3">
        <v>5</v>
      </c>
      <c r="G1675" s="4">
        <v>45147</v>
      </c>
      <c r="I1675" s="1">
        <v>1200</v>
      </c>
      <c r="J1675" s="1">
        <v>1200</v>
      </c>
    </row>
    <row r="1676" spans="2:10">
      <c r="G1676" s="4"/>
    </row>
    <row r="1677" spans="2:10">
      <c r="B1677" s="12" t="s">
        <v>1066</v>
      </c>
      <c r="C1677" s="13" t="s">
        <v>969</v>
      </c>
      <c r="D1677" s="13" t="s">
        <v>968</v>
      </c>
      <c r="F1677" s="15">
        <f>SUM(F1678:F1682)</f>
        <v>56.133333333333333</v>
      </c>
      <c r="G1677" s="14">
        <f>G1679</f>
        <v>45070</v>
      </c>
    </row>
    <row r="1678" spans="2:10">
      <c r="C1678" s="2" t="s">
        <v>18</v>
      </c>
      <c r="D1678" s="2" t="s">
        <v>952</v>
      </c>
      <c r="E1678" s="3">
        <v>270</v>
      </c>
      <c r="F1678" s="3">
        <v>50</v>
      </c>
      <c r="G1678" s="4">
        <v>45048</v>
      </c>
    </row>
    <row r="1679" spans="2:10">
      <c r="C1679" s="2" t="s">
        <v>5</v>
      </c>
      <c r="D1679" s="2" t="s">
        <v>783</v>
      </c>
      <c r="E1679" s="3">
        <v>10.9</v>
      </c>
      <c r="F1679" s="3">
        <f>8/6</f>
        <v>1.3333333333333333</v>
      </c>
      <c r="G1679" s="4">
        <v>45070</v>
      </c>
    </row>
    <row r="1680" spans="2:10">
      <c r="C1680" s="2" t="s">
        <v>5</v>
      </c>
      <c r="D1680" s="2" t="s">
        <v>703</v>
      </c>
      <c r="E1680" s="3">
        <v>6</v>
      </c>
      <c r="F1680" s="3">
        <v>1</v>
      </c>
      <c r="G1680" s="4">
        <v>44917</v>
      </c>
    </row>
    <row r="1681" spans="2:18">
      <c r="C1681" s="2" t="s">
        <v>4</v>
      </c>
      <c r="D1681" s="2" t="s">
        <v>703</v>
      </c>
      <c r="E1681" s="3">
        <v>3.6</v>
      </c>
      <c r="F1681" s="3">
        <v>1.8</v>
      </c>
      <c r="G1681" s="4">
        <v>43361</v>
      </c>
    </row>
    <row r="1682" spans="2:18">
      <c r="C1682" s="2" t="s">
        <v>5</v>
      </c>
      <c r="D1682" s="2" t="s">
        <v>298</v>
      </c>
      <c r="E1682" s="3">
        <v>15</v>
      </c>
      <c r="F1682" s="3">
        <v>2</v>
      </c>
      <c r="G1682" s="4">
        <v>44314</v>
      </c>
    </row>
    <row r="1683" spans="2:18">
      <c r="G1683" s="4"/>
    </row>
    <row r="1684" spans="2:18" s="12" customFormat="1">
      <c r="B1684" s="12" t="s">
        <v>157</v>
      </c>
      <c r="C1684" s="13" t="s">
        <v>969</v>
      </c>
      <c r="D1684" s="13" t="s">
        <v>968</v>
      </c>
      <c r="E1684" s="15"/>
      <c r="F1684" s="15">
        <f>SUM(F1685:F1686)</f>
        <v>55</v>
      </c>
      <c r="G1684" s="14">
        <f>G1686</f>
        <v>44557</v>
      </c>
      <c r="M1684" s="13"/>
      <c r="N1684" s="13"/>
      <c r="O1684" s="13"/>
      <c r="P1684" s="13"/>
      <c r="Q1684" s="13"/>
      <c r="R1684" s="13"/>
    </row>
    <row r="1685" spans="2:18">
      <c r="C1685" s="2" t="s">
        <v>8</v>
      </c>
      <c r="D1685" s="2" t="s">
        <v>154</v>
      </c>
      <c r="E1685" s="3">
        <v>100</v>
      </c>
      <c r="F1685" s="3">
        <v>25</v>
      </c>
      <c r="G1685" s="4">
        <v>44067</v>
      </c>
    </row>
    <row r="1686" spans="2:18">
      <c r="C1686" s="2" t="s">
        <v>18</v>
      </c>
      <c r="D1686" s="2" t="s">
        <v>2127</v>
      </c>
      <c r="E1686" s="3">
        <v>200</v>
      </c>
      <c r="F1686" s="3">
        <v>30</v>
      </c>
      <c r="G1686" s="4">
        <v>44557</v>
      </c>
      <c r="I1686" s="1">
        <v>1300</v>
      </c>
      <c r="J1686" s="1">
        <v>1300</v>
      </c>
    </row>
    <row r="1687" spans="2:18">
      <c r="G1687" s="4"/>
    </row>
    <row r="1688" spans="2:18" s="12" customFormat="1">
      <c r="B1688" s="12" t="s">
        <v>667</v>
      </c>
      <c r="C1688" s="13" t="s">
        <v>969</v>
      </c>
      <c r="D1688" s="13" t="s">
        <v>968</v>
      </c>
      <c r="E1688" s="15"/>
      <c r="F1688" s="15">
        <f>SUM(F1689:F1690)</f>
        <v>52.5</v>
      </c>
      <c r="G1688" s="14">
        <f>G1690</f>
        <v>44663</v>
      </c>
    </row>
    <row r="1689" spans="2:18">
      <c r="C1689" s="2" t="s">
        <v>4</v>
      </c>
      <c r="D1689" s="2" t="s">
        <v>666</v>
      </c>
      <c r="E1689" s="3">
        <v>5</v>
      </c>
      <c r="F1689" s="3">
        <v>2.5</v>
      </c>
      <c r="G1689" s="4">
        <v>44277</v>
      </c>
      <c r="M1689" s="1"/>
      <c r="N1689" s="1"/>
      <c r="O1689" s="1"/>
      <c r="P1689" s="1"/>
      <c r="Q1689" s="1"/>
      <c r="R1689" s="1"/>
    </row>
    <row r="1690" spans="2:18">
      <c r="C1690" s="2" t="s">
        <v>4</v>
      </c>
      <c r="D1690" s="2" t="s">
        <v>665</v>
      </c>
      <c r="E1690" s="3">
        <v>100</v>
      </c>
      <c r="F1690" s="3">
        <v>50</v>
      </c>
      <c r="G1690" s="4">
        <v>44663</v>
      </c>
      <c r="M1690" s="1"/>
      <c r="N1690" s="1"/>
      <c r="O1690" s="1"/>
      <c r="P1690" s="1"/>
      <c r="Q1690" s="1"/>
      <c r="R1690" s="1"/>
    </row>
    <row r="1691" spans="2:18">
      <c r="G1691" s="4"/>
      <c r="M1691" s="1"/>
      <c r="N1691" s="1"/>
      <c r="O1691" s="1"/>
      <c r="P1691" s="1"/>
      <c r="Q1691" s="1"/>
      <c r="R1691" s="1"/>
    </row>
    <row r="1692" spans="2:18" s="12" customFormat="1">
      <c r="B1692" s="12" t="s">
        <v>61</v>
      </c>
      <c r="C1692" s="13" t="s">
        <v>969</v>
      </c>
      <c r="D1692" s="13" t="s">
        <v>968</v>
      </c>
      <c r="E1692" s="15"/>
      <c r="F1692" s="15">
        <f>SUM(F1693:F1694)</f>
        <v>52.5</v>
      </c>
      <c r="G1692" s="14">
        <f>G1693</f>
        <v>45069</v>
      </c>
      <c r="M1692" s="13"/>
      <c r="N1692" s="13"/>
      <c r="O1692" s="13"/>
      <c r="P1692" s="13"/>
      <c r="Q1692" s="13"/>
      <c r="R1692" s="13"/>
    </row>
    <row r="1693" spans="2:18">
      <c r="C1693" s="2" t="s">
        <v>8</v>
      </c>
      <c r="D1693" s="2" t="s">
        <v>57</v>
      </c>
      <c r="E1693" s="3">
        <v>250</v>
      </c>
      <c r="F1693" s="3">
        <f>150/4</f>
        <v>37.5</v>
      </c>
      <c r="G1693" s="4">
        <v>45069</v>
      </c>
    </row>
    <row r="1694" spans="2:18">
      <c r="C1694" s="2" t="s">
        <v>18</v>
      </c>
      <c r="D1694" s="2" t="s">
        <v>57</v>
      </c>
      <c r="E1694" s="3">
        <v>100</v>
      </c>
      <c r="F1694" s="3">
        <f>75/5</f>
        <v>15</v>
      </c>
      <c r="G1694" s="4">
        <v>44650</v>
      </c>
    </row>
    <row r="1695" spans="2:18">
      <c r="G1695" s="4"/>
    </row>
    <row r="1696" spans="2:18" s="12" customFormat="1">
      <c r="B1696" s="12" t="s">
        <v>939</v>
      </c>
      <c r="C1696" s="13" t="s">
        <v>969</v>
      </c>
      <c r="D1696" s="13" t="s">
        <v>968</v>
      </c>
      <c r="E1696" s="15"/>
      <c r="F1696" s="15">
        <f>SUM(F1697:F1698)</f>
        <v>52.583333333333336</v>
      </c>
      <c r="G1696" s="14">
        <f>G1697</f>
        <v>44860</v>
      </c>
      <c r="M1696" s="13"/>
      <c r="N1696" s="13"/>
      <c r="O1696" s="13"/>
      <c r="P1696" s="13"/>
      <c r="Q1696" s="13"/>
      <c r="R1696" s="13"/>
    </row>
    <row r="1697" spans="2:18">
      <c r="C1697" s="2" t="s">
        <v>7</v>
      </c>
      <c r="D1697" s="2" t="s">
        <v>398</v>
      </c>
      <c r="E1697" s="3">
        <v>37</v>
      </c>
      <c r="F1697" s="3">
        <v>13</v>
      </c>
      <c r="G1697" s="4">
        <v>44860</v>
      </c>
    </row>
    <row r="1698" spans="2:18">
      <c r="C1698" s="2" t="s">
        <v>53</v>
      </c>
      <c r="D1698" s="2" t="s">
        <v>176</v>
      </c>
      <c r="E1698" s="3">
        <v>475</v>
      </c>
      <c r="F1698" s="3">
        <f>E1698/12</f>
        <v>39.583333333333336</v>
      </c>
      <c r="G1698" s="4">
        <v>44278</v>
      </c>
    </row>
    <row r="1699" spans="2:18">
      <c r="G1699" s="4"/>
    </row>
    <row r="1700" spans="2:18" s="12" customFormat="1">
      <c r="B1700" s="12" t="s">
        <v>668</v>
      </c>
      <c r="C1700" s="13" t="s">
        <v>969</v>
      </c>
      <c r="D1700" s="13" t="s">
        <v>968</v>
      </c>
      <c r="E1700" s="15"/>
      <c r="F1700" s="15">
        <f>SUM(F1701:F1702)</f>
        <v>51.6</v>
      </c>
      <c r="G1700" s="14">
        <f>G1701</f>
        <v>44952</v>
      </c>
    </row>
    <row r="1701" spans="2:18">
      <c r="B1701" s="254" t="s">
        <v>7626</v>
      </c>
      <c r="C1701" s="2" t="s">
        <v>5</v>
      </c>
      <c r="D1701" s="2" t="s">
        <v>666</v>
      </c>
      <c r="E1701" s="3">
        <v>12.7</v>
      </c>
      <c r="F1701" s="3">
        <f>8/5</f>
        <v>1.6</v>
      </c>
      <c r="G1701" s="4">
        <v>44952</v>
      </c>
      <c r="M1701" s="1"/>
      <c r="N1701" s="1"/>
      <c r="O1701" s="1"/>
      <c r="P1701" s="1"/>
      <c r="Q1701" s="1"/>
      <c r="R1701" s="1"/>
    </row>
    <row r="1702" spans="2:18">
      <c r="C1702" s="2" t="s">
        <v>4</v>
      </c>
      <c r="D1702" s="2" t="s">
        <v>665</v>
      </c>
      <c r="E1702" s="3">
        <v>100</v>
      </c>
      <c r="F1702" s="3">
        <v>50</v>
      </c>
      <c r="G1702" s="4">
        <v>44663</v>
      </c>
      <c r="M1702" s="1"/>
      <c r="N1702" s="1"/>
      <c r="O1702" s="1"/>
      <c r="P1702" s="1"/>
      <c r="Q1702" s="1"/>
      <c r="R1702" s="1"/>
    </row>
    <row r="1703" spans="2:18">
      <c r="G1703" s="4"/>
      <c r="M1703" s="1"/>
      <c r="N1703" s="1"/>
      <c r="O1703" s="1"/>
      <c r="P1703" s="1"/>
      <c r="Q1703" s="1"/>
      <c r="R1703" s="1"/>
    </row>
    <row r="1704" spans="2:18" s="12" customFormat="1">
      <c r="B1704" s="12" t="s">
        <v>4457</v>
      </c>
      <c r="C1704" s="13" t="s">
        <v>969</v>
      </c>
      <c r="D1704" s="13" t="s">
        <v>968</v>
      </c>
      <c r="E1704" s="15"/>
      <c r="F1704" s="15">
        <f>SUM(F1705:F1706)</f>
        <v>52</v>
      </c>
      <c r="G1704" s="14">
        <f>G1705</f>
        <v>44557</v>
      </c>
      <c r="M1704" s="13"/>
      <c r="N1704" s="13"/>
      <c r="O1704" s="13"/>
      <c r="P1704" s="13"/>
      <c r="Q1704" s="13"/>
      <c r="R1704" s="13"/>
    </row>
    <row r="1705" spans="2:18">
      <c r="C1705" s="2" t="s">
        <v>18</v>
      </c>
      <c r="D1705" s="2" t="s">
        <v>2127</v>
      </c>
      <c r="E1705" s="3">
        <v>200</v>
      </c>
      <c r="F1705" s="3">
        <v>12</v>
      </c>
      <c r="G1705" s="4">
        <v>44557</v>
      </c>
      <c r="I1705" s="1">
        <v>1300</v>
      </c>
      <c r="J1705" s="1">
        <v>1300</v>
      </c>
    </row>
    <row r="1706" spans="2:18">
      <c r="C1706" s="2" t="s">
        <v>7</v>
      </c>
      <c r="D1706" s="2" t="s">
        <v>2127</v>
      </c>
      <c r="E1706" s="3">
        <v>40</v>
      </c>
      <c r="F1706" s="3">
        <v>40</v>
      </c>
      <c r="G1706" s="4">
        <v>43962</v>
      </c>
      <c r="J1706" s="1">
        <v>1300</v>
      </c>
    </row>
    <row r="1707" spans="2:18">
      <c r="G1707" s="4"/>
    </row>
    <row r="1708" spans="2:18" s="12" customFormat="1">
      <c r="B1708" s="12" t="s">
        <v>805</v>
      </c>
      <c r="C1708" s="13" t="s">
        <v>969</v>
      </c>
      <c r="D1708" s="13" t="s">
        <v>968</v>
      </c>
      <c r="E1708" s="15"/>
      <c r="F1708" s="15">
        <f>SUM(F1709:F1710)</f>
        <v>51.6</v>
      </c>
      <c r="G1708" s="14">
        <f>G1710</f>
        <v>45044</v>
      </c>
      <c r="M1708" s="13"/>
      <c r="N1708" s="13"/>
      <c r="O1708" s="13"/>
      <c r="P1708" s="13"/>
      <c r="Q1708" s="13"/>
      <c r="R1708" s="13"/>
    </row>
    <row r="1709" spans="2:18">
      <c r="C1709" s="2" t="s">
        <v>5</v>
      </c>
      <c r="D1709" s="2" t="s">
        <v>666</v>
      </c>
      <c r="E1709" s="3">
        <v>12.7</v>
      </c>
      <c r="F1709" s="3">
        <f>8/5</f>
        <v>1.6</v>
      </c>
      <c r="G1709" s="4">
        <v>44952</v>
      </c>
    </row>
    <row r="1710" spans="2:18">
      <c r="C1710" s="2" t="s">
        <v>1</v>
      </c>
      <c r="D1710" s="2" t="s">
        <v>0</v>
      </c>
      <c r="E1710" s="3">
        <v>300</v>
      </c>
      <c r="F1710" s="3">
        <f>E1710/6</f>
        <v>50</v>
      </c>
      <c r="G1710" s="4">
        <v>45044</v>
      </c>
      <c r="I1710" s="1">
        <v>2870</v>
      </c>
      <c r="J1710" s="1">
        <v>28700</v>
      </c>
    </row>
    <row r="1711" spans="2:18">
      <c r="G1711" s="4"/>
    </row>
    <row r="1712" spans="2:18" s="12" customFormat="1">
      <c r="B1712" s="12" t="s">
        <v>723</v>
      </c>
      <c r="C1712" s="13" t="s">
        <v>969</v>
      </c>
      <c r="D1712" s="13" t="s">
        <v>968</v>
      </c>
      <c r="E1712" s="15"/>
      <c r="F1712" s="15">
        <f>SUM(F1713:F1718)</f>
        <v>52.166666666666664</v>
      </c>
      <c r="G1712" s="14">
        <f>G1713</f>
        <v>44903</v>
      </c>
      <c r="M1712" s="13"/>
      <c r="N1712" s="13"/>
      <c r="O1712" s="13"/>
      <c r="P1712" s="13"/>
      <c r="Q1712" s="13"/>
      <c r="R1712" s="13"/>
    </row>
    <row r="1713" spans="2:18">
      <c r="C1713" s="2" t="s">
        <v>5</v>
      </c>
      <c r="D1713" s="2" t="s">
        <v>722</v>
      </c>
      <c r="E1713" s="3">
        <v>20</v>
      </c>
      <c r="F1713" s="3">
        <f>13/6</f>
        <v>2.1666666666666665</v>
      </c>
      <c r="G1713" s="4">
        <v>44903</v>
      </c>
    </row>
    <row r="1714" spans="2:18">
      <c r="C1714" s="2" t="s">
        <v>5</v>
      </c>
      <c r="D1714" s="2" t="s">
        <v>722</v>
      </c>
      <c r="E1714" s="3">
        <v>11</v>
      </c>
      <c r="F1714" s="3">
        <v>5</v>
      </c>
      <c r="G1714" s="4">
        <v>44313</v>
      </c>
    </row>
    <row r="1715" spans="2:18">
      <c r="C1715" s="2" t="s">
        <v>9</v>
      </c>
      <c r="D1715" s="2" t="s">
        <v>22</v>
      </c>
      <c r="E1715" s="3">
        <v>222</v>
      </c>
      <c r="F1715" s="3">
        <v>10</v>
      </c>
      <c r="G1715" s="4">
        <v>44194</v>
      </c>
      <c r="I1715" s="1">
        <v>2500</v>
      </c>
      <c r="J1715" s="1">
        <v>2500</v>
      </c>
    </row>
    <row r="1716" spans="2:18">
      <c r="C1716" s="2" t="s">
        <v>8</v>
      </c>
      <c r="D1716" s="2" t="s">
        <v>22</v>
      </c>
      <c r="E1716" s="3">
        <v>200</v>
      </c>
      <c r="F1716" s="3">
        <v>13</v>
      </c>
      <c r="G1716" s="4">
        <v>43452</v>
      </c>
      <c r="I1716" s="1">
        <v>1500</v>
      </c>
      <c r="J1716" s="1">
        <v>2500</v>
      </c>
    </row>
    <row r="1717" spans="2:18">
      <c r="C1717" s="2" t="s">
        <v>7</v>
      </c>
      <c r="D1717" s="2" t="s">
        <v>22</v>
      </c>
      <c r="E1717" s="3">
        <v>30</v>
      </c>
      <c r="F1717" s="3">
        <v>8</v>
      </c>
      <c r="G1717" s="4">
        <v>42936</v>
      </c>
    </row>
    <row r="1718" spans="2:18">
      <c r="C1718" s="92" t="s">
        <v>7</v>
      </c>
      <c r="D1718" s="92" t="s">
        <v>2076</v>
      </c>
      <c r="E1718" s="3">
        <v>100</v>
      </c>
      <c r="F1718" s="3">
        <f>70/5</f>
        <v>14</v>
      </c>
      <c r="G1718" s="4">
        <v>44937</v>
      </c>
      <c r="I1718" s="1">
        <v>900</v>
      </c>
      <c r="J1718" s="1">
        <v>900</v>
      </c>
    </row>
    <row r="1719" spans="2:18">
      <c r="G1719" s="4"/>
    </row>
    <row r="1720" spans="2:18" s="12" customFormat="1">
      <c r="B1720" s="12" t="s">
        <v>10</v>
      </c>
      <c r="C1720" s="13" t="s">
        <v>969</v>
      </c>
      <c r="D1720" s="13" t="s">
        <v>968</v>
      </c>
      <c r="E1720" s="15"/>
      <c r="F1720" s="15">
        <f>SUM(F1721:F1724)</f>
        <v>52.083333333333336</v>
      </c>
      <c r="G1720" s="14">
        <f>G1721</f>
        <v>44721</v>
      </c>
      <c r="M1720" s="13"/>
      <c r="N1720" s="13"/>
      <c r="O1720" s="13"/>
      <c r="P1720" s="13"/>
      <c r="Q1720" s="13"/>
      <c r="R1720" s="13"/>
    </row>
    <row r="1721" spans="2:18">
      <c r="C1721" s="2" t="s">
        <v>9</v>
      </c>
      <c r="D1721" s="2" t="s">
        <v>3</v>
      </c>
      <c r="E1721" s="3">
        <v>90</v>
      </c>
      <c r="F1721" s="3">
        <v>10</v>
      </c>
      <c r="G1721" s="4">
        <v>44721</v>
      </c>
      <c r="I1721" s="1">
        <v>2200</v>
      </c>
      <c r="J1721" s="1">
        <v>2200</v>
      </c>
    </row>
    <row r="1722" spans="2:18">
      <c r="C1722" s="2" t="s">
        <v>8</v>
      </c>
      <c r="D1722" s="2" t="s">
        <v>3</v>
      </c>
      <c r="E1722" s="3">
        <v>210</v>
      </c>
      <c r="F1722" s="3">
        <v>33.333333333333336</v>
      </c>
      <c r="G1722" s="4">
        <v>44432</v>
      </c>
      <c r="I1722" s="1">
        <v>1000</v>
      </c>
      <c r="J1722" s="1">
        <v>2200</v>
      </c>
    </row>
    <row r="1723" spans="2:18">
      <c r="C1723" s="2" t="s">
        <v>7</v>
      </c>
      <c r="D1723" s="2" t="s">
        <v>3</v>
      </c>
      <c r="E1723" s="3">
        <v>25</v>
      </c>
      <c r="F1723" s="3">
        <v>3.75</v>
      </c>
      <c r="G1723" s="4">
        <v>43697</v>
      </c>
      <c r="J1723" s="1">
        <v>2200</v>
      </c>
    </row>
    <row r="1724" spans="2:18">
      <c r="C1724" s="2" t="s">
        <v>5</v>
      </c>
      <c r="D1724" s="2" t="s">
        <v>3</v>
      </c>
      <c r="E1724" s="3">
        <v>10</v>
      </c>
      <c r="F1724" s="3">
        <v>5</v>
      </c>
      <c r="G1724" s="4">
        <v>43456</v>
      </c>
      <c r="J1724" s="1">
        <v>2200</v>
      </c>
    </row>
    <row r="1725" spans="2:18">
      <c r="G1725" s="4"/>
    </row>
    <row r="1726" spans="2:18" s="12" customFormat="1">
      <c r="B1726" s="12" t="s">
        <v>453</v>
      </c>
      <c r="C1726" s="13" t="s">
        <v>969</v>
      </c>
      <c r="D1726" s="13" t="s">
        <v>968</v>
      </c>
      <c r="E1726" s="15"/>
      <c r="F1726" s="15">
        <f>SUM(F1727:F1728)</f>
        <v>50</v>
      </c>
      <c r="G1726" s="14">
        <f>G1727</f>
        <v>44776</v>
      </c>
    </row>
    <row r="1727" spans="2:18">
      <c r="C1727" s="2" t="s">
        <v>8</v>
      </c>
      <c r="D1727" s="2" t="s">
        <v>448</v>
      </c>
      <c r="E1727" s="3">
        <v>90</v>
      </c>
      <c r="F1727" s="3">
        <v>20</v>
      </c>
      <c r="G1727" s="4">
        <v>44776</v>
      </c>
      <c r="M1727" s="1"/>
      <c r="N1727" s="1"/>
      <c r="O1727" s="1"/>
      <c r="P1727" s="1"/>
      <c r="Q1727" s="1"/>
      <c r="R1727" s="1"/>
    </row>
    <row r="1728" spans="2:18">
      <c r="C1728" s="2" t="s">
        <v>18</v>
      </c>
      <c r="D1728" s="2" t="s">
        <v>2127</v>
      </c>
      <c r="E1728" s="3">
        <v>200</v>
      </c>
      <c r="F1728" s="3">
        <v>30</v>
      </c>
      <c r="G1728" s="4">
        <v>44557</v>
      </c>
      <c r="I1728" s="1">
        <v>1300</v>
      </c>
      <c r="J1728" s="1">
        <v>1300</v>
      </c>
      <c r="M1728" s="1"/>
      <c r="N1728" s="1"/>
      <c r="O1728" s="1"/>
      <c r="P1728" s="1"/>
      <c r="Q1728" s="1"/>
      <c r="R1728" s="1"/>
    </row>
    <row r="1729" spans="2:18">
      <c r="G1729" s="4"/>
      <c r="M1729" s="1"/>
      <c r="N1729" s="1"/>
      <c r="O1729" s="1"/>
      <c r="P1729" s="1"/>
      <c r="Q1729" s="1"/>
      <c r="R1729" s="1"/>
    </row>
    <row r="1730" spans="2:18">
      <c r="B1730" s="12" t="s">
        <v>1037</v>
      </c>
      <c r="C1730" s="13" t="s">
        <v>969</v>
      </c>
      <c r="D1730" s="13" t="s">
        <v>968</v>
      </c>
      <c r="E1730" s="15"/>
      <c r="F1730" s="15">
        <f>SUM(F1731:F1739)</f>
        <v>49.333333333333336</v>
      </c>
      <c r="G1730" s="14">
        <f>G1735</f>
        <v>45007</v>
      </c>
    </row>
    <row r="1731" spans="2:18">
      <c r="C1731" s="2" t="s">
        <v>7</v>
      </c>
      <c r="D1731" s="2" t="s">
        <v>693</v>
      </c>
      <c r="E1731" s="3">
        <v>50</v>
      </c>
      <c r="F1731" s="3">
        <f>25/3</f>
        <v>8.3333333333333339</v>
      </c>
      <c r="G1731" s="4">
        <v>44643</v>
      </c>
    </row>
    <row r="1732" spans="2:18">
      <c r="C1732" s="2" t="s">
        <v>5</v>
      </c>
      <c r="D1732" s="2" t="s">
        <v>693</v>
      </c>
      <c r="E1732" s="3">
        <v>18.5</v>
      </c>
      <c r="F1732" s="3">
        <f>10/4</f>
        <v>2.5</v>
      </c>
      <c r="G1732" s="4">
        <v>44242</v>
      </c>
    </row>
    <row r="1733" spans="2:18">
      <c r="C1733" s="2" t="s">
        <v>4</v>
      </c>
      <c r="D1733" s="2" t="s">
        <v>693</v>
      </c>
      <c r="E1733" s="3">
        <v>3.5</v>
      </c>
      <c r="F1733" s="3">
        <v>1.5</v>
      </c>
      <c r="G1733" s="4">
        <v>43631</v>
      </c>
    </row>
    <row r="1734" spans="2:18">
      <c r="C1734" s="2" t="s">
        <v>5</v>
      </c>
      <c r="D1734" s="2" t="s">
        <v>986</v>
      </c>
      <c r="E1734" s="3">
        <v>25</v>
      </c>
      <c r="F1734" s="3">
        <v>4</v>
      </c>
      <c r="G1734" s="4">
        <v>44615</v>
      </c>
    </row>
    <row r="1735" spans="2:18">
      <c r="C1735" s="2" t="s">
        <v>4</v>
      </c>
      <c r="D1735" s="2" t="s">
        <v>635</v>
      </c>
      <c r="E1735" s="3">
        <v>10.6</v>
      </c>
      <c r="F1735" s="3">
        <v>5</v>
      </c>
      <c r="G1735" s="4">
        <v>45007</v>
      </c>
    </row>
    <row r="1736" spans="2:18">
      <c r="C1736" s="92" t="s">
        <v>18</v>
      </c>
      <c r="D1736" s="92" t="s">
        <v>5647</v>
      </c>
      <c r="E1736" s="3">
        <v>75</v>
      </c>
      <c r="F1736" s="3">
        <v>12.5</v>
      </c>
      <c r="G1736" s="4">
        <v>44627</v>
      </c>
    </row>
    <row r="1737" spans="2:18">
      <c r="C1737" s="92" t="s">
        <v>7</v>
      </c>
      <c r="D1737" s="92" t="s">
        <v>5647</v>
      </c>
      <c r="E1737" s="3">
        <v>30</v>
      </c>
      <c r="F1737" s="3">
        <v>7.5</v>
      </c>
      <c r="G1737" s="4">
        <v>44222</v>
      </c>
    </row>
    <row r="1738" spans="2:18">
      <c r="C1738" s="92" t="s">
        <v>5</v>
      </c>
      <c r="D1738" s="92" t="s">
        <v>5647</v>
      </c>
      <c r="E1738" s="3">
        <v>10</v>
      </c>
      <c r="F1738" s="3">
        <v>5</v>
      </c>
      <c r="G1738" s="4">
        <v>43559</v>
      </c>
    </row>
    <row r="1739" spans="2:18">
      <c r="C1739" s="92" t="s">
        <v>4</v>
      </c>
      <c r="D1739" s="92" t="s">
        <v>5647</v>
      </c>
      <c r="E1739" s="3">
        <v>3</v>
      </c>
      <c r="F1739" s="3">
        <v>3</v>
      </c>
      <c r="G1739" s="4">
        <v>43558</v>
      </c>
    </row>
    <row r="1740" spans="2:18">
      <c r="G1740" s="4"/>
    </row>
    <row r="1741" spans="2:18" s="12" customFormat="1">
      <c r="B1741" s="12" t="s">
        <v>923</v>
      </c>
      <c r="C1741" s="13" t="s">
        <v>969</v>
      </c>
      <c r="D1741" s="13" t="s">
        <v>968</v>
      </c>
      <c r="E1741" s="15"/>
      <c r="F1741" s="15">
        <f>SUM(F1742:F1745)</f>
        <v>46.917748917748916</v>
      </c>
      <c r="G1741" s="14">
        <f>G1742</f>
        <v>45090</v>
      </c>
      <c r="M1741" s="13"/>
      <c r="N1741" s="13"/>
      <c r="O1741" s="13"/>
      <c r="P1741" s="13"/>
      <c r="Q1741" s="13"/>
      <c r="R1741" s="13"/>
    </row>
    <row r="1742" spans="2:18">
      <c r="C1742" s="2" t="s">
        <v>4</v>
      </c>
      <c r="D1742" s="2" t="s">
        <v>705</v>
      </c>
      <c r="E1742" s="3">
        <v>113</v>
      </c>
      <c r="F1742" s="3">
        <v>8</v>
      </c>
      <c r="G1742" s="4">
        <v>45090</v>
      </c>
    </row>
    <row r="1743" spans="2:18">
      <c r="C1743" s="2" t="s">
        <v>9</v>
      </c>
      <c r="D1743" s="2" t="s">
        <v>22</v>
      </c>
      <c r="E1743" s="3">
        <v>222</v>
      </c>
      <c r="F1743" s="3">
        <f>200/21</f>
        <v>9.5238095238095237</v>
      </c>
      <c r="G1743" s="4">
        <v>44194</v>
      </c>
      <c r="I1743" s="1">
        <v>2500</v>
      </c>
      <c r="J1743" s="1">
        <v>2500</v>
      </c>
    </row>
    <row r="1744" spans="2:18">
      <c r="C1744" s="2" t="s">
        <v>8</v>
      </c>
      <c r="D1744" s="2" t="s">
        <v>22</v>
      </c>
      <c r="E1744" s="3">
        <v>150</v>
      </c>
      <c r="F1744" s="3">
        <f>100/6</f>
        <v>16.666666666666668</v>
      </c>
      <c r="G1744" s="4">
        <v>43885</v>
      </c>
      <c r="I1744" s="1">
        <v>1800</v>
      </c>
      <c r="J1744" s="1">
        <v>2500</v>
      </c>
    </row>
    <row r="1745" spans="2:18">
      <c r="C1745" s="2" t="s">
        <v>8</v>
      </c>
      <c r="D1745" s="2" t="s">
        <v>22</v>
      </c>
      <c r="E1745" s="3">
        <v>200</v>
      </c>
      <c r="F1745" s="3">
        <v>12.727272727272727</v>
      </c>
      <c r="G1745" s="4">
        <v>43452</v>
      </c>
      <c r="I1745" s="1">
        <v>1500</v>
      </c>
      <c r="J1745" s="1">
        <v>2500</v>
      </c>
    </row>
    <row r="1746" spans="2:18">
      <c r="G1746" s="4"/>
    </row>
    <row r="1747" spans="2:18" s="12" customFormat="1">
      <c r="B1747" s="12" t="s">
        <v>1027</v>
      </c>
      <c r="C1747" s="13" t="s">
        <v>969</v>
      </c>
      <c r="D1747" s="13" t="s">
        <v>968</v>
      </c>
      <c r="E1747" s="15"/>
      <c r="F1747" s="15">
        <f>SUM(F1748:F1752)</f>
        <v>47.238095238095241</v>
      </c>
      <c r="G1747" s="14">
        <f>G1749</f>
        <v>44851</v>
      </c>
      <c r="M1747" s="13"/>
      <c r="N1747" s="13"/>
      <c r="O1747" s="13"/>
      <c r="P1747" s="13"/>
      <c r="Q1747" s="13"/>
      <c r="R1747" s="13"/>
    </row>
    <row r="1748" spans="2:18">
      <c r="C1748" s="2" t="s">
        <v>5</v>
      </c>
      <c r="D1748" s="2" t="s">
        <v>730</v>
      </c>
      <c r="E1748" s="3">
        <v>25</v>
      </c>
      <c r="F1748" s="3">
        <f>18/7</f>
        <v>2.5714285714285716</v>
      </c>
      <c r="G1748" s="4">
        <v>44757</v>
      </c>
    </row>
    <row r="1749" spans="2:18">
      <c r="C1749" s="2" t="s">
        <v>5</v>
      </c>
      <c r="D1749" s="2" t="s">
        <v>281</v>
      </c>
      <c r="E1749" s="3">
        <v>32</v>
      </c>
      <c r="F1749" s="3">
        <v>5</v>
      </c>
      <c r="G1749" s="4">
        <v>44851</v>
      </c>
    </row>
    <row r="1750" spans="2:18">
      <c r="C1750" s="2" t="s">
        <v>9</v>
      </c>
      <c r="D1750" s="2" t="s">
        <v>22</v>
      </c>
      <c r="E1750" s="3">
        <v>222</v>
      </c>
      <c r="F1750" s="3">
        <v>10</v>
      </c>
      <c r="G1750" s="4">
        <v>44194</v>
      </c>
      <c r="I1750" s="1">
        <v>2500</v>
      </c>
      <c r="J1750" s="1">
        <v>2500</v>
      </c>
    </row>
    <row r="1751" spans="2:18">
      <c r="C1751" s="2" t="s">
        <v>8</v>
      </c>
      <c r="D1751" s="2" t="s">
        <v>22</v>
      </c>
      <c r="E1751" s="3">
        <v>150</v>
      </c>
      <c r="F1751" s="3">
        <v>16.666666666666668</v>
      </c>
      <c r="G1751" s="4">
        <v>43885</v>
      </c>
      <c r="I1751" s="1">
        <v>1800</v>
      </c>
      <c r="J1751" s="1">
        <v>2500</v>
      </c>
    </row>
    <row r="1752" spans="2:18">
      <c r="C1752" s="2" t="s">
        <v>8</v>
      </c>
      <c r="D1752" s="2" t="s">
        <v>22</v>
      </c>
      <c r="E1752" s="3">
        <v>200</v>
      </c>
      <c r="F1752" s="3">
        <v>13</v>
      </c>
      <c r="G1752" s="4">
        <v>43452</v>
      </c>
      <c r="I1752" s="1">
        <v>1500</v>
      </c>
      <c r="J1752" s="1">
        <v>2500</v>
      </c>
    </row>
    <row r="1753" spans="2:18">
      <c r="G1753" s="4"/>
    </row>
    <row r="1754" spans="2:18" s="12" customFormat="1">
      <c r="B1754" s="12" t="s">
        <v>1061</v>
      </c>
      <c r="C1754" s="13" t="s">
        <v>969</v>
      </c>
      <c r="D1754" s="13" t="s">
        <v>968</v>
      </c>
      <c r="E1754" s="15"/>
      <c r="F1754" s="15">
        <f>SUM(F1755:F1758)</f>
        <v>46.5</v>
      </c>
      <c r="G1754" s="14">
        <f>G1757</f>
        <v>44599</v>
      </c>
    </row>
    <row r="1755" spans="2:18">
      <c r="C1755" s="2" t="s">
        <v>7</v>
      </c>
      <c r="D1755" s="2" t="s">
        <v>454</v>
      </c>
      <c r="E1755" s="3">
        <v>25</v>
      </c>
      <c r="F1755" s="3">
        <v>10</v>
      </c>
      <c r="G1755" s="4">
        <v>43972</v>
      </c>
      <c r="M1755" s="1"/>
      <c r="N1755" s="1"/>
      <c r="O1755" s="1"/>
      <c r="P1755" s="1"/>
      <c r="Q1755" s="1"/>
      <c r="R1755" s="1"/>
    </row>
    <row r="1756" spans="2:18">
      <c r="C1756" s="2" t="s">
        <v>5</v>
      </c>
      <c r="D1756" s="2" t="s">
        <v>454</v>
      </c>
      <c r="E1756" s="3">
        <v>11.5</v>
      </c>
      <c r="F1756" s="3">
        <v>11.5</v>
      </c>
      <c r="G1756" s="4">
        <v>43104</v>
      </c>
      <c r="M1756" s="1"/>
      <c r="N1756" s="1"/>
      <c r="O1756" s="1"/>
      <c r="P1756" s="1"/>
      <c r="Q1756" s="1"/>
      <c r="R1756" s="1"/>
    </row>
    <row r="1757" spans="2:18">
      <c r="C1757" s="2" t="s">
        <v>18</v>
      </c>
      <c r="D1757" s="2" t="s">
        <v>1056</v>
      </c>
      <c r="E1757" s="3">
        <v>40</v>
      </c>
      <c r="F1757" s="3">
        <v>7</v>
      </c>
      <c r="G1757" s="4">
        <v>44599</v>
      </c>
      <c r="M1757" s="1"/>
      <c r="N1757" s="1"/>
      <c r="O1757" s="1"/>
      <c r="P1757" s="1"/>
      <c r="Q1757" s="1"/>
      <c r="R1757" s="1"/>
    </row>
    <row r="1758" spans="2:18">
      <c r="C1758" s="2" t="s">
        <v>7</v>
      </c>
      <c r="D1758" s="2" t="s">
        <v>1056</v>
      </c>
      <c r="E1758" s="3">
        <v>28</v>
      </c>
      <c r="F1758" s="3">
        <v>18</v>
      </c>
      <c r="G1758" s="4">
        <v>44377</v>
      </c>
      <c r="M1758" s="1"/>
      <c r="N1758" s="1"/>
      <c r="O1758" s="1"/>
      <c r="P1758" s="1"/>
      <c r="Q1758" s="1"/>
      <c r="R1758" s="1"/>
    </row>
    <row r="1759" spans="2:18">
      <c r="G1759" s="4"/>
      <c r="M1759" s="1"/>
      <c r="N1759" s="1"/>
      <c r="O1759" s="1"/>
      <c r="P1759" s="1"/>
      <c r="Q1759" s="1"/>
      <c r="R1759" s="1"/>
    </row>
    <row r="1760" spans="2:18" s="12" customFormat="1">
      <c r="B1760" s="12" t="s">
        <v>202</v>
      </c>
      <c r="C1760" s="13" t="s">
        <v>969</v>
      </c>
      <c r="D1760" s="13" t="s">
        <v>968</v>
      </c>
      <c r="E1760" s="15"/>
      <c r="F1760" s="15">
        <f>SUM(F1761:F1762)</f>
        <v>46</v>
      </c>
      <c r="G1760" s="14">
        <f>G1761</f>
        <v>43391</v>
      </c>
      <c r="M1760" s="13"/>
      <c r="N1760" s="13"/>
      <c r="O1760" s="13"/>
      <c r="P1760" s="13"/>
      <c r="Q1760" s="13"/>
      <c r="R1760" s="13"/>
    </row>
    <row r="1761" spans="2:18">
      <c r="C1761" s="2" t="s">
        <v>7</v>
      </c>
      <c r="D1761" s="2" t="s">
        <v>197</v>
      </c>
      <c r="E1761" s="3">
        <v>120</v>
      </c>
      <c r="F1761" s="3">
        <v>30</v>
      </c>
      <c r="G1761" s="4">
        <v>43391</v>
      </c>
    </row>
    <row r="1762" spans="2:18">
      <c r="C1762" s="2" t="s">
        <v>7</v>
      </c>
      <c r="D1762" s="2" t="s">
        <v>197</v>
      </c>
      <c r="E1762" s="3">
        <v>46</v>
      </c>
      <c r="F1762" s="3">
        <v>16</v>
      </c>
      <c r="G1762" s="4">
        <v>42941</v>
      </c>
    </row>
    <row r="1764" spans="2:18" s="12" customFormat="1">
      <c r="B1764" s="12" t="s">
        <v>296</v>
      </c>
      <c r="C1764" s="13" t="s">
        <v>969</v>
      </c>
      <c r="D1764" s="13" t="s">
        <v>968</v>
      </c>
      <c r="E1764" s="15"/>
      <c r="F1764" s="15">
        <f>SUM(F1765:F1766)</f>
        <v>46</v>
      </c>
      <c r="G1764" s="14">
        <f>G1766</f>
        <v>43634</v>
      </c>
      <c r="M1764" s="13"/>
      <c r="N1764" s="13"/>
      <c r="O1764" s="13"/>
      <c r="P1764" s="13"/>
      <c r="Q1764" s="13"/>
      <c r="R1764" s="13"/>
    </row>
    <row r="1765" spans="2:18">
      <c r="C1765" s="2" t="s">
        <v>18</v>
      </c>
      <c r="D1765" s="2" t="s">
        <v>292</v>
      </c>
      <c r="E1765" s="3">
        <v>38</v>
      </c>
      <c r="F1765" s="3">
        <v>6</v>
      </c>
      <c r="G1765" s="4">
        <v>43104</v>
      </c>
    </row>
    <row r="1766" spans="2:18">
      <c r="C1766" s="2" t="s">
        <v>18</v>
      </c>
      <c r="D1766" s="2" t="s">
        <v>32</v>
      </c>
      <c r="E1766" s="3">
        <v>230</v>
      </c>
      <c r="F1766" s="3">
        <v>40</v>
      </c>
      <c r="G1766" s="4">
        <v>43634</v>
      </c>
      <c r="I1766" s="1">
        <v>770</v>
      </c>
      <c r="J1766" s="1">
        <v>770</v>
      </c>
    </row>
    <row r="1767" spans="2:18">
      <c r="G1767" s="4"/>
    </row>
    <row r="1768" spans="2:18" s="12" customFormat="1">
      <c r="B1768" s="12" t="s">
        <v>4993</v>
      </c>
      <c r="C1768" s="13" t="s">
        <v>969</v>
      </c>
      <c r="D1768" s="13" t="s">
        <v>968</v>
      </c>
      <c r="E1768" s="15"/>
      <c r="F1768" s="15">
        <f>SUM(F1769:F1772)</f>
        <v>45.5</v>
      </c>
      <c r="G1768" s="14">
        <f>G1770</f>
        <v>44984</v>
      </c>
      <c r="M1768" s="13"/>
      <c r="N1768" s="13"/>
      <c r="O1768" s="13"/>
      <c r="P1768" s="13"/>
      <c r="Q1768" s="13"/>
      <c r="R1768" s="13"/>
    </row>
    <row r="1769" spans="2:18">
      <c r="C1769" s="2" t="s">
        <v>5</v>
      </c>
      <c r="D1769" s="2" t="s">
        <v>701</v>
      </c>
      <c r="E1769" s="3">
        <v>50</v>
      </c>
      <c r="F1769" s="3">
        <f>30/12</f>
        <v>2.5</v>
      </c>
      <c r="G1769" s="4">
        <v>44796</v>
      </c>
    </row>
    <row r="1770" spans="2:18">
      <c r="C1770" s="2" t="s">
        <v>9</v>
      </c>
      <c r="D1770" s="2" t="s">
        <v>39</v>
      </c>
      <c r="E1770" s="3">
        <v>230</v>
      </c>
      <c r="F1770" s="3">
        <v>24</v>
      </c>
      <c r="G1770" s="4">
        <v>44984</v>
      </c>
      <c r="I1770" s="1">
        <v>2000</v>
      </c>
      <c r="J1770" s="1">
        <v>2000</v>
      </c>
    </row>
    <row r="1771" spans="2:18">
      <c r="C1771" s="2" t="s">
        <v>18</v>
      </c>
      <c r="D1771" s="2" t="s">
        <v>39</v>
      </c>
      <c r="E1771" s="3">
        <v>100</v>
      </c>
      <c r="F1771" s="3">
        <v>15</v>
      </c>
      <c r="G1771" s="4">
        <v>44025</v>
      </c>
      <c r="J1771" s="1">
        <v>2000</v>
      </c>
    </row>
    <row r="1772" spans="2:18">
      <c r="C1772" s="153" t="s">
        <v>7</v>
      </c>
      <c r="D1772" s="153" t="s">
        <v>2046</v>
      </c>
      <c r="E1772" s="3">
        <v>50</v>
      </c>
      <c r="F1772" s="3">
        <v>4</v>
      </c>
      <c r="G1772" s="4">
        <v>44252</v>
      </c>
    </row>
    <row r="1773" spans="2:18">
      <c r="G1773" s="4"/>
    </row>
    <row r="1774" spans="2:18" s="12" customFormat="1">
      <c r="B1774" s="12" t="s">
        <v>45</v>
      </c>
      <c r="C1774" s="13" t="s">
        <v>969</v>
      </c>
      <c r="D1774" s="13" t="s">
        <v>968</v>
      </c>
      <c r="E1774" s="15"/>
      <c r="F1774" s="15">
        <f>SUM(F1775:F1776)</f>
        <v>46.285714285714285</v>
      </c>
      <c r="G1774" s="14">
        <f>G1775</f>
        <v>44984</v>
      </c>
      <c r="M1774" s="13"/>
      <c r="N1774" s="13"/>
      <c r="O1774" s="13"/>
      <c r="P1774" s="13"/>
      <c r="Q1774" s="13"/>
      <c r="R1774" s="13"/>
    </row>
    <row r="1775" spans="2:18">
      <c r="C1775" s="2" t="s">
        <v>9</v>
      </c>
      <c r="D1775" s="2" t="s">
        <v>39</v>
      </c>
      <c r="E1775" s="3">
        <v>230</v>
      </c>
      <c r="F1775" s="3">
        <f>170/7</f>
        <v>24.285714285714285</v>
      </c>
      <c r="G1775" s="4">
        <v>44984</v>
      </c>
      <c r="I1775" s="1">
        <v>2000</v>
      </c>
      <c r="J1775" s="1">
        <v>2000</v>
      </c>
    </row>
    <row r="1776" spans="2:18">
      <c r="C1776" s="2" t="s">
        <v>8</v>
      </c>
      <c r="D1776" s="2" t="s">
        <v>39</v>
      </c>
      <c r="E1776" s="3">
        <v>170</v>
      </c>
      <c r="F1776" s="3">
        <v>22</v>
      </c>
      <c r="G1776" s="4">
        <v>44255</v>
      </c>
      <c r="I1776" s="1">
        <v>830</v>
      </c>
      <c r="J1776" s="1">
        <v>2000</v>
      </c>
    </row>
    <row r="1777" spans="2:18">
      <c r="G1777" s="4"/>
    </row>
    <row r="1778" spans="2:18" s="12" customFormat="1">
      <c r="B1778" s="12" t="s">
        <v>696</v>
      </c>
      <c r="C1778" s="13" t="s">
        <v>969</v>
      </c>
      <c r="D1778" s="13" t="s">
        <v>968</v>
      </c>
      <c r="E1778" s="15"/>
      <c r="F1778" s="15">
        <f>SUM(F1779:F1788)</f>
        <v>44.391666666666673</v>
      </c>
      <c r="G1778" s="14">
        <f>G1780</f>
        <v>44663</v>
      </c>
      <c r="M1778" s="13"/>
      <c r="N1778" s="13"/>
      <c r="O1778" s="13"/>
      <c r="P1778" s="13"/>
      <c r="Q1778" s="13"/>
      <c r="R1778" s="13"/>
    </row>
    <row r="1779" spans="2:18">
      <c r="C1779" s="2" t="s">
        <v>5</v>
      </c>
      <c r="D1779" s="2" t="s">
        <v>695</v>
      </c>
      <c r="E1779" s="3">
        <v>20</v>
      </c>
      <c r="F1779" s="3">
        <v>2.5</v>
      </c>
      <c r="G1779" s="4">
        <v>44392</v>
      </c>
    </row>
    <row r="1780" spans="2:18">
      <c r="C1780" s="2" t="s">
        <v>18</v>
      </c>
      <c r="D1780" s="2" t="s">
        <v>599</v>
      </c>
      <c r="E1780" s="3">
        <v>125</v>
      </c>
      <c r="F1780" s="3">
        <f>75/8</f>
        <v>9.375</v>
      </c>
      <c r="G1780" s="4">
        <v>44663</v>
      </c>
    </row>
    <row r="1781" spans="2:18">
      <c r="C1781" s="2" t="s">
        <v>5</v>
      </c>
      <c r="D1781" s="2" t="s">
        <v>599</v>
      </c>
      <c r="E1781" s="3">
        <v>26</v>
      </c>
      <c r="F1781" s="3">
        <f>16/4</f>
        <v>4</v>
      </c>
      <c r="G1781" s="4">
        <v>43809</v>
      </c>
    </row>
    <row r="1782" spans="2:18">
      <c r="C1782" s="2" t="s">
        <v>5</v>
      </c>
      <c r="D1782" s="2" t="s">
        <v>599</v>
      </c>
      <c r="E1782" s="3">
        <v>8</v>
      </c>
      <c r="F1782" s="3">
        <v>2</v>
      </c>
      <c r="G1782" s="4">
        <v>43249</v>
      </c>
    </row>
    <row r="1783" spans="2:18">
      <c r="C1783" s="55" t="s">
        <v>8</v>
      </c>
      <c r="D1783" s="55" t="s">
        <v>2112</v>
      </c>
      <c r="E1783" s="3">
        <v>72.5</v>
      </c>
      <c r="F1783" s="3">
        <v>11</v>
      </c>
      <c r="G1783" s="4">
        <v>43697</v>
      </c>
      <c r="J1783" s="1">
        <v>1600</v>
      </c>
    </row>
    <row r="1784" spans="2:18">
      <c r="C1784" s="55" t="s">
        <v>18</v>
      </c>
      <c r="D1784" s="55" t="s">
        <v>2112</v>
      </c>
      <c r="E1784" s="3">
        <v>40</v>
      </c>
      <c r="F1784" s="3">
        <v>5</v>
      </c>
      <c r="G1784" s="4">
        <v>43069</v>
      </c>
      <c r="J1784" s="1">
        <v>1600</v>
      </c>
    </row>
    <row r="1785" spans="2:18">
      <c r="C1785" s="55" t="s">
        <v>7</v>
      </c>
      <c r="D1785" s="55" t="s">
        <v>2112</v>
      </c>
      <c r="E1785" s="3">
        <v>20</v>
      </c>
      <c r="F1785" s="3">
        <f>13/3</f>
        <v>4.333333333333333</v>
      </c>
      <c r="G1785" s="4">
        <v>42317</v>
      </c>
      <c r="J1785" s="1">
        <v>1600</v>
      </c>
    </row>
    <row r="1786" spans="2:18">
      <c r="C1786" s="55" t="s">
        <v>5</v>
      </c>
      <c r="D1786" s="55" t="s">
        <v>2112</v>
      </c>
      <c r="E1786" s="3">
        <v>8.9</v>
      </c>
      <c r="F1786" s="3">
        <f>E1786/6</f>
        <v>1.4833333333333334</v>
      </c>
      <c r="G1786" s="4">
        <v>41839</v>
      </c>
      <c r="J1786" s="1">
        <v>1600</v>
      </c>
    </row>
    <row r="1787" spans="2:18">
      <c r="C1787" s="55" t="s">
        <v>4</v>
      </c>
      <c r="D1787" s="55" t="s">
        <v>2112</v>
      </c>
      <c r="E1787" s="3">
        <v>3</v>
      </c>
      <c r="F1787" s="3">
        <v>3</v>
      </c>
      <c r="G1787" s="4">
        <v>41416</v>
      </c>
      <c r="J1787" s="1">
        <v>1600</v>
      </c>
    </row>
    <row r="1788" spans="2:18">
      <c r="C1788" s="55" t="s">
        <v>4</v>
      </c>
      <c r="D1788" s="55" t="s">
        <v>2112</v>
      </c>
      <c r="E1788" s="3">
        <v>1.7</v>
      </c>
      <c r="F1788" s="3">
        <v>1.7</v>
      </c>
      <c r="G1788" s="4">
        <v>41277</v>
      </c>
      <c r="J1788" s="1">
        <v>1600</v>
      </c>
    </row>
    <row r="1789" spans="2:18">
      <c r="G1789" s="4"/>
    </row>
    <row r="1790" spans="2:18" s="12" customFormat="1">
      <c r="B1790" s="12" t="s">
        <v>19</v>
      </c>
      <c r="C1790" s="13" t="s">
        <v>969</v>
      </c>
      <c r="D1790" s="13" t="s">
        <v>968</v>
      </c>
      <c r="E1790" s="15"/>
      <c r="F1790" s="15">
        <f>SUM(F1791:F1795)</f>
        <v>43.666666666666671</v>
      </c>
      <c r="G1790" s="14">
        <f>G1791</f>
        <v>44322</v>
      </c>
      <c r="M1790" s="13"/>
      <c r="N1790" s="13"/>
      <c r="O1790" s="13"/>
      <c r="P1790" s="13"/>
      <c r="Q1790" s="13"/>
      <c r="R1790" s="13"/>
    </row>
    <row r="1791" spans="2:18">
      <c r="C1791" s="2" t="s">
        <v>8</v>
      </c>
      <c r="D1791" s="2" t="s">
        <v>15</v>
      </c>
      <c r="E1791" s="3">
        <v>220</v>
      </c>
      <c r="F1791" s="3">
        <v>26.666666666666668</v>
      </c>
      <c r="G1791" s="4">
        <v>44322</v>
      </c>
      <c r="I1791" s="1">
        <v>780</v>
      </c>
      <c r="J1791" s="1">
        <v>780</v>
      </c>
    </row>
    <row r="1792" spans="2:18">
      <c r="C1792" s="2" t="s">
        <v>18</v>
      </c>
      <c r="D1792" s="2" t="s">
        <v>15</v>
      </c>
      <c r="E1792" s="3">
        <v>60</v>
      </c>
      <c r="F1792" s="3">
        <v>10</v>
      </c>
      <c r="G1792" s="4">
        <v>43528</v>
      </c>
    </row>
    <row r="1793" spans="2:18">
      <c r="C1793" s="2" t="s">
        <v>7</v>
      </c>
      <c r="D1793" s="2" t="s">
        <v>15</v>
      </c>
      <c r="E1793" s="3">
        <v>28</v>
      </c>
      <c r="F1793" s="3">
        <v>4</v>
      </c>
      <c r="G1793" s="4">
        <v>43031</v>
      </c>
    </row>
    <row r="1794" spans="2:18">
      <c r="C1794" s="2" t="s">
        <v>5</v>
      </c>
      <c r="D1794" s="2" t="s">
        <v>15</v>
      </c>
      <c r="E1794" s="3">
        <v>10</v>
      </c>
      <c r="F1794" s="3">
        <v>2</v>
      </c>
      <c r="G1794" s="4">
        <v>42508</v>
      </c>
    </row>
    <row r="1795" spans="2:18">
      <c r="C1795" s="2" t="s">
        <v>4</v>
      </c>
      <c r="D1795" s="2" t="s">
        <v>15</v>
      </c>
      <c r="E1795" s="3">
        <v>1.8</v>
      </c>
      <c r="F1795" s="3">
        <v>1</v>
      </c>
      <c r="G1795" s="4">
        <v>41976</v>
      </c>
    </row>
    <row r="1796" spans="2:18">
      <c r="G1796" s="4"/>
    </row>
    <row r="1797" spans="2:18" s="12" customFormat="1">
      <c r="B1797" s="12" t="s">
        <v>1053</v>
      </c>
      <c r="C1797" s="13" t="s">
        <v>969</v>
      </c>
      <c r="D1797" s="13" t="s">
        <v>968</v>
      </c>
      <c r="E1797" s="15"/>
      <c r="F1797" s="15">
        <f>SUM(F1798:F1808)</f>
        <v>43.916666666666664</v>
      </c>
      <c r="G1797" s="14">
        <f>G1798</f>
        <v>45048</v>
      </c>
      <c r="M1797" s="13"/>
      <c r="N1797" s="13"/>
      <c r="O1797" s="13"/>
      <c r="P1797" s="13"/>
      <c r="Q1797" s="13"/>
      <c r="R1797" s="13"/>
    </row>
    <row r="1798" spans="2:18">
      <c r="B1798" s="253" t="s">
        <v>7627</v>
      </c>
      <c r="C1798" s="2" t="s">
        <v>4</v>
      </c>
      <c r="D1798" s="2" t="s">
        <v>562</v>
      </c>
      <c r="E1798" s="3">
        <v>5.6</v>
      </c>
      <c r="F1798" s="3">
        <f>E1798/3</f>
        <v>1.8666666666666665</v>
      </c>
      <c r="G1798" s="4">
        <v>45048</v>
      </c>
    </row>
    <row r="1799" spans="2:18">
      <c r="C1799" s="2" t="s">
        <v>4</v>
      </c>
      <c r="D1799" s="2" t="s">
        <v>516</v>
      </c>
      <c r="E1799" s="3">
        <v>4</v>
      </c>
      <c r="F1799" s="3">
        <f>4/3</f>
        <v>1.3333333333333333</v>
      </c>
      <c r="G1799" s="4">
        <v>42647</v>
      </c>
    </row>
    <row r="1800" spans="2:18">
      <c r="C1800" s="2" t="s">
        <v>18</v>
      </c>
      <c r="D1800" s="2" t="s">
        <v>310</v>
      </c>
      <c r="E1800" s="3">
        <v>110</v>
      </c>
      <c r="F1800" s="3">
        <v>14</v>
      </c>
      <c r="G1800" s="4">
        <v>44369</v>
      </c>
    </row>
    <row r="1801" spans="2:18">
      <c r="C1801" s="2" t="s">
        <v>7</v>
      </c>
      <c r="D1801" s="2" t="s">
        <v>310</v>
      </c>
      <c r="E1801" s="3">
        <v>40</v>
      </c>
      <c r="F1801" s="3">
        <v>4</v>
      </c>
      <c r="G1801" s="4">
        <v>43419</v>
      </c>
    </row>
    <row r="1802" spans="2:18">
      <c r="C1802" s="2" t="s">
        <v>5</v>
      </c>
      <c r="D1802" s="2" t="s">
        <v>310</v>
      </c>
      <c r="E1802" s="3">
        <v>14.7</v>
      </c>
      <c r="F1802" s="3">
        <v>5.7</v>
      </c>
      <c r="G1802" s="4">
        <v>43032</v>
      </c>
    </row>
    <row r="1803" spans="2:18">
      <c r="C1803" s="2" t="s">
        <v>5</v>
      </c>
      <c r="D1803" s="2" t="s">
        <v>95</v>
      </c>
      <c r="E1803" s="3">
        <v>10</v>
      </c>
      <c r="F1803" s="3">
        <v>2.5</v>
      </c>
      <c r="G1803" s="4">
        <v>42304</v>
      </c>
    </row>
    <row r="1804" spans="2:18">
      <c r="C1804" s="2" t="s">
        <v>4</v>
      </c>
      <c r="D1804" s="2" t="s">
        <v>95</v>
      </c>
      <c r="E1804" s="3">
        <v>5</v>
      </c>
      <c r="F1804" s="3">
        <f>E1804/3</f>
        <v>1.6666666666666667</v>
      </c>
      <c r="G1804" s="4">
        <v>41940</v>
      </c>
    </row>
    <row r="1805" spans="2:18">
      <c r="C1805" s="92" t="s">
        <v>7</v>
      </c>
      <c r="D1805" s="92" t="s">
        <v>5988</v>
      </c>
      <c r="E1805" s="3">
        <v>50</v>
      </c>
      <c r="F1805" s="3">
        <v>7</v>
      </c>
      <c r="G1805" s="4">
        <v>44670</v>
      </c>
      <c r="J1805" s="1">
        <v>250</v>
      </c>
    </row>
    <row r="1806" spans="2:18">
      <c r="C1806" s="92" t="s">
        <v>5</v>
      </c>
      <c r="D1806" s="92" t="s">
        <v>5988</v>
      </c>
      <c r="E1806" s="3">
        <v>12</v>
      </c>
      <c r="F1806" s="3">
        <v>2</v>
      </c>
      <c r="G1806" s="4">
        <v>43941</v>
      </c>
      <c r="J1806" s="1">
        <v>250</v>
      </c>
    </row>
    <row r="1807" spans="2:18">
      <c r="C1807" s="92" t="s">
        <v>4</v>
      </c>
      <c r="D1807" s="92" t="s">
        <v>5988</v>
      </c>
      <c r="E1807" s="3">
        <v>4.2</v>
      </c>
      <c r="F1807" s="3">
        <v>3.2</v>
      </c>
      <c r="G1807" s="4">
        <v>43525</v>
      </c>
      <c r="J1807" s="1">
        <v>250</v>
      </c>
    </row>
    <row r="1808" spans="2:18">
      <c r="C1808" s="92" t="s">
        <v>278</v>
      </c>
      <c r="D1808" s="92" t="s">
        <v>5988</v>
      </c>
      <c r="E1808" s="3">
        <v>0.65</v>
      </c>
      <c r="F1808" s="94">
        <v>0.65</v>
      </c>
      <c r="G1808" s="4">
        <v>42978</v>
      </c>
      <c r="J1808" s="1">
        <v>250</v>
      </c>
    </row>
    <row r="1809" spans="2:18">
      <c r="G1809" s="4"/>
    </row>
    <row r="1810" spans="2:18" s="12" customFormat="1">
      <c r="B1810" s="12" t="s">
        <v>876</v>
      </c>
      <c r="C1810" s="13" t="s">
        <v>969</v>
      </c>
      <c r="D1810" s="13" t="s">
        <v>968</v>
      </c>
      <c r="E1810" s="15"/>
      <c r="F1810" s="15">
        <f>SUM(F1811:F1814)</f>
        <v>42.333333333333336</v>
      </c>
      <c r="G1810" s="14">
        <f>G1811</f>
        <v>44825</v>
      </c>
      <c r="M1810" s="13"/>
      <c r="N1810" s="13"/>
      <c r="O1810" s="13"/>
      <c r="P1810" s="13"/>
      <c r="Q1810" s="13"/>
      <c r="R1810" s="13"/>
    </row>
    <row r="1811" spans="2:18">
      <c r="C1811" s="2" t="s">
        <v>5</v>
      </c>
      <c r="D1811" s="2" t="s">
        <v>644</v>
      </c>
      <c r="E1811" s="3">
        <v>12.5</v>
      </c>
      <c r="F1811" s="3">
        <f>E1811/3</f>
        <v>4.166666666666667</v>
      </c>
      <c r="G1811" s="4">
        <v>44825</v>
      </c>
    </row>
    <row r="1812" spans="2:18">
      <c r="C1812" s="92" t="s">
        <v>7</v>
      </c>
      <c r="D1812" s="92" t="s">
        <v>2101</v>
      </c>
      <c r="E1812" s="3">
        <v>56</v>
      </c>
      <c r="F1812" s="3">
        <v>8</v>
      </c>
      <c r="G1812" s="4">
        <v>44319</v>
      </c>
    </row>
    <row r="1813" spans="2:18">
      <c r="C1813" s="92" t="s">
        <v>5</v>
      </c>
      <c r="D1813" s="92" t="s">
        <v>2101</v>
      </c>
      <c r="E1813" s="3">
        <v>12.5</v>
      </c>
      <c r="F1813" s="3">
        <v>7.5</v>
      </c>
      <c r="G1813" s="4">
        <v>43453</v>
      </c>
    </row>
    <row r="1814" spans="2:18">
      <c r="C1814" s="265" t="s">
        <v>9</v>
      </c>
      <c r="D1814" s="265" t="s">
        <v>4881</v>
      </c>
      <c r="E1814" s="3">
        <v>118</v>
      </c>
      <c r="F1814" s="3">
        <f>68/3</f>
        <v>22.666666666666668</v>
      </c>
      <c r="G1814" s="4">
        <v>45265</v>
      </c>
    </row>
    <row r="1815" spans="2:18">
      <c r="G1815" s="4"/>
    </row>
    <row r="1816" spans="2:18" s="12" customFormat="1">
      <c r="B1816" s="12" t="s">
        <v>1059</v>
      </c>
      <c r="C1816" s="13" t="s">
        <v>969</v>
      </c>
      <c r="D1816" s="13" t="s">
        <v>968</v>
      </c>
      <c r="E1816" s="15"/>
      <c r="F1816" s="15">
        <f>SUM(F1817:F1827)</f>
        <v>42.360606060606067</v>
      </c>
      <c r="G1816" s="14">
        <f>G1817</f>
        <v>44642</v>
      </c>
      <c r="M1816" s="13"/>
      <c r="N1816" s="13"/>
      <c r="O1816" s="13"/>
      <c r="P1816" s="13"/>
      <c r="Q1816" s="13"/>
      <c r="R1816" s="13"/>
    </row>
    <row r="1817" spans="2:18">
      <c r="B1817" s="253" t="s">
        <v>7627</v>
      </c>
      <c r="C1817" s="2" t="s">
        <v>7</v>
      </c>
      <c r="D1817" s="2" t="s">
        <v>87</v>
      </c>
      <c r="E1817" s="3">
        <v>25</v>
      </c>
      <c r="F1817" s="3">
        <f>15/6</f>
        <v>2.5</v>
      </c>
      <c r="G1817" s="4">
        <v>44642</v>
      </c>
    </row>
    <row r="1818" spans="2:18">
      <c r="C1818" s="2" t="s">
        <v>5</v>
      </c>
      <c r="D1818" s="2" t="s">
        <v>87</v>
      </c>
      <c r="E1818" s="3">
        <v>13.5</v>
      </c>
      <c r="F1818" s="3">
        <f>10/6</f>
        <v>1.6666666666666667</v>
      </c>
      <c r="G1818" s="4">
        <v>43978</v>
      </c>
    </row>
    <row r="1819" spans="2:18">
      <c r="C1819" s="2" t="s">
        <v>4</v>
      </c>
      <c r="D1819" s="2" t="s">
        <v>87</v>
      </c>
      <c r="E1819" s="3">
        <v>5.3</v>
      </c>
      <c r="F1819" s="3">
        <v>1.3</v>
      </c>
      <c r="G1819" s="4">
        <v>43398</v>
      </c>
    </row>
    <row r="1820" spans="2:18">
      <c r="C1820" s="2" t="s">
        <v>4</v>
      </c>
      <c r="D1820" s="2" t="s">
        <v>87</v>
      </c>
      <c r="E1820" s="3">
        <v>4</v>
      </c>
      <c r="F1820" s="3">
        <v>1.5</v>
      </c>
      <c r="G1820" s="4">
        <v>43122</v>
      </c>
    </row>
    <row r="1821" spans="2:18">
      <c r="C1821" s="2" t="s">
        <v>9</v>
      </c>
      <c r="D1821" s="2" t="s">
        <v>22</v>
      </c>
      <c r="E1821" s="3">
        <v>222</v>
      </c>
      <c r="F1821" s="3">
        <f>200/21</f>
        <v>9.5238095238095237</v>
      </c>
      <c r="G1821" s="4">
        <v>44194</v>
      </c>
      <c r="I1821" s="1">
        <v>2500</v>
      </c>
      <c r="J1821" s="1">
        <v>2500</v>
      </c>
    </row>
    <row r="1822" spans="2:18">
      <c r="C1822" s="2" t="s">
        <v>8</v>
      </c>
      <c r="D1822" s="2" t="s">
        <v>22</v>
      </c>
      <c r="E1822" s="3">
        <v>200</v>
      </c>
      <c r="F1822" s="3">
        <v>12.727272727272727</v>
      </c>
      <c r="G1822" s="4">
        <v>43452</v>
      </c>
      <c r="I1822" s="1">
        <v>1500</v>
      </c>
      <c r="J1822" s="1">
        <v>2500</v>
      </c>
    </row>
    <row r="1823" spans="2:18">
      <c r="C1823" s="2" t="s">
        <v>18</v>
      </c>
      <c r="D1823" s="2" t="s">
        <v>22</v>
      </c>
      <c r="E1823" s="3">
        <v>50</v>
      </c>
      <c r="F1823" s="3">
        <v>5</v>
      </c>
      <c r="G1823" s="4">
        <v>43051</v>
      </c>
      <c r="J1823" s="1">
        <v>2500</v>
      </c>
    </row>
    <row r="1824" spans="2:18">
      <c r="C1824" s="2" t="s">
        <v>7</v>
      </c>
      <c r="D1824" s="2" t="s">
        <v>22</v>
      </c>
      <c r="E1824" s="3">
        <v>30</v>
      </c>
      <c r="F1824" s="3">
        <v>3.1428571428571428</v>
      </c>
      <c r="G1824" s="4">
        <v>42936</v>
      </c>
      <c r="J1824" s="1">
        <v>2500</v>
      </c>
    </row>
    <row r="1825" spans="2:18">
      <c r="C1825" s="2" t="s">
        <v>5</v>
      </c>
      <c r="D1825" s="2" t="s">
        <v>22</v>
      </c>
      <c r="E1825" s="3">
        <v>30</v>
      </c>
      <c r="F1825" s="3">
        <v>3</v>
      </c>
      <c r="G1825" s="4">
        <v>42674</v>
      </c>
      <c r="J1825" s="1">
        <v>2500</v>
      </c>
    </row>
    <row r="1826" spans="2:18">
      <c r="C1826" s="2" t="s">
        <v>5</v>
      </c>
      <c r="D1826" s="2" t="s">
        <v>7290</v>
      </c>
      <c r="E1826" s="3">
        <v>3</v>
      </c>
      <c r="F1826" s="3">
        <v>1</v>
      </c>
      <c r="G1826" s="4">
        <v>43858</v>
      </c>
    </row>
    <row r="1827" spans="2:18">
      <c r="C1827" s="2" t="s">
        <v>4</v>
      </c>
      <c r="D1827" s="2" t="s">
        <v>7290</v>
      </c>
      <c r="E1827" s="3">
        <v>3</v>
      </c>
      <c r="F1827" s="3">
        <v>1</v>
      </c>
      <c r="G1827" s="4">
        <v>43361</v>
      </c>
    </row>
    <row r="1828" spans="2:18">
      <c r="G1828" s="4"/>
    </row>
    <row r="1829" spans="2:18" s="12" customFormat="1">
      <c r="B1829" s="12" t="s">
        <v>27</v>
      </c>
      <c r="C1829" s="13" t="s">
        <v>969</v>
      </c>
      <c r="D1829" s="13" t="s">
        <v>968</v>
      </c>
      <c r="E1829" s="15"/>
      <c r="F1829" s="15">
        <f>SUM(F1830:F1834)</f>
        <v>40.523809523809526</v>
      </c>
      <c r="G1829" s="14">
        <f>G1834</f>
        <v>44572</v>
      </c>
      <c r="M1829" s="13"/>
      <c r="N1829" s="13"/>
      <c r="O1829" s="13"/>
      <c r="P1829" s="13"/>
      <c r="Q1829" s="13"/>
      <c r="R1829" s="13"/>
    </row>
    <row r="1830" spans="2:18">
      <c r="C1830" s="2" t="s">
        <v>9</v>
      </c>
      <c r="D1830" s="2" t="s">
        <v>22</v>
      </c>
      <c r="E1830" s="3">
        <v>222</v>
      </c>
      <c r="F1830" s="3">
        <f>200/21</f>
        <v>9.5238095238095237</v>
      </c>
      <c r="G1830" s="4">
        <v>44194</v>
      </c>
      <c r="I1830" s="1">
        <v>2500</v>
      </c>
      <c r="J1830" s="1">
        <v>2500</v>
      </c>
    </row>
    <row r="1831" spans="2:18">
      <c r="C1831" s="2" t="s">
        <v>8</v>
      </c>
      <c r="D1831" s="2" t="s">
        <v>22</v>
      </c>
      <c r="E1831" s="3">
        <v>200</v>
      </c>
      <c r="F1831" s="3">
        <v>13</v>
      </c>
      <c r="G1831" s="4">
        <v>43452</v>
      </c>
      <c r="I1831" s="1">
        <v>1500</v>
      </c>
      <c r="J1831" s="1">
        <v>2500</v>
      </c>
    </row>
    <row r="1832" spans="2:18">
      <c r="C1832" s="2" t="s">
        <v>18</v>
      </c>
      <c r="D1832" s="2" t="s">
        <v>22</v>
      </c>
      <c r="E1832" s="3">
        <v>50</v>
      </c>
      <c r="F1832" s="3">
        <v>5</v>
      </c>
      <c r="G1832" s="4">
        <v>43051</v>
      </c>
      <c r="J1832" s="1">
        <v>2500</v>
      </c>
    </row>
    <row r="1833" spans="2:18">
      <c r="C1833" s="2" t="s">
        <v>7</v>
      </c>
      <c r="D1833" s="2" t="s">
        <v>22</v>
      </c>
      <c r="E1833" s="3">
        <v>30</v>
      </c>
      <c r="F1833" s="3">
        <v>3</v>
      </c>
      <c r="G1833" s="4">
        <v>42936</v>
      </c>
      <c r="J1833" s="1">
        <v>2500</v>
      </c>
    </row>
    <row r="1834" spans="2:18">
      <c r="C1834" s="153" t="s">
        <v>7</v>
      </c>
      <c r="D1834" s="153" t="s">
        <v>2034</v>
      </c>
      <c r="E1834" s="3">
        <v>25</v>
      </c>
      <c r="F1834" s="3">
        <v>10</v>
      </c>
      <c r="G1834" s="4">
        <v>44572</v>
      </c>
    </row>
    <row r="1835" spans="2:18">
      <c r="G1835" s="4"/>
    </row>
    <row r="1836" spans="2:18" s="12" customFormat="1">
      <c r="B1836" s="12" t="s">
        <v>4885</v>
      </c>
      <c r="C1836" s="13" t="s">
        <v>969</v>
      </c>
      <c r="D1836" s="13" t="s">
        <v>968</v>
      </c>
      <c r="E1836" s="15"/>
      <c r="F1836" s="15">
        <f>SUM(F1837:F1841)</f>
        <v>40.549999999999997</v>
      </c>
      <c r="G1836" s="14">
        <f>G1837</f>
        <v>44320</v>
      </c>
      <c r="M1836" s="13"/>
      <c r="N1836" s="13"/>
      <c r="O1836" s="13"/>
      <c r="P1836" s="13"/>
      <c r="Q1836" s="13"/>
      <c r="R1836" s="13"/>
    </row>
    <row r="1837" spans="2:18">
      <c r="B1837" s="51"/>
      <c r="C1837" s="52" t="s">
        <v>8</v>
      </c>
      <c r="D1837" s="52" t="s">
        <v>4881</v>
      </c>
      <c r="E1837" s="3">
        <v>83</v>
      </c>
      <c r="F1837" s="3">
        <f>68/10</f>
        <v>6.8</v>
      </c>
      <c r="G1837" s="4">
        <v>44320</v>
      </c>
      <c r="I1837" s="1">
        <v>3600</v>
      </c>
      <c r="J1837" s="1">
        <v>9000</v>
      </c>
    </row>
    <row r="1838" spans="2:18">
      <c r="C1838" s="52" t="s">
        <v>18</v>
      </c>
      <c r="D1838" s="52" t="s">
        <v>4881</v>
      </c>
      <c r="E1838" s="3">
        <v>100</v>
      </c>
      <c r="F1838" s="3">
        <f>80/8</f>
        <v>10</v>
      </c>
      <c r="G1838" s="4">
        <v>43937</v>
      </c>
      <c r="I1838" s="1">
        <v>1100</v>
      </c>
      <c r="J1838" s="1">
        <v>9000</v>
      </c>
    </row>
    <row r="1839" spans="2:18">
      <c r="C1839" s="52" t="s">
        <v>7</v>
      </c>
      <c r="D1839" s="52" t="s">
        <v>4881</v>
      </c>
      <c r="E1839" s="3">
        <v>40</v>
      </c>
      <c r="F1839" s="3">
        <v>10</v>
      </c>
      <c r="G1839" s="4">
        <v>43522</v>
      </c>
      <c r="J1839" s="1">
        <v>9000</v>
      </c>
    </row>
    <row r="1840" spans="2:18">
      <c r="C1840" s="52" t="s">
        <v>5</v>
      </c>
      <c r="D1840" s="52" t="s">
        <v>4881</v>
      </c>
      <c r="E1840" s="3">
        <v>25</v>
      </c>
      <c r="F1840" s="3">
        <f>E1840/4</f>
        <v>6.25</v>
      </c>
      <c r="G1840" s="4">
        <v>43172</v>
      </c>
      <c r="J1840" s="1">
        <v>9000</v>
      </c>
    </row>
    <row r="1841" spans="2:18">
      <c r="C1841" s="52" t="s">
        <v>5</v>
      </c>
      <c r="D1841" s="52" t="s">
        <v>4881</v>
      </c>
      <c r="E1841" s="3">
        <v>15</v>
      </c>
      <c r="F1841" s="3">
        <f>E1841/2</f>
        <v>7.5</v>
      </c>
      <c r="G1841" s="4">
        <v>42371</v>
      </c>
      <c r="J1841" s="1">
        <v>9000</v>
      </c>
    </row>
    <row r="1843" spans="2:18" s="12" customFormat="1">
      <c r="B1843" s="12" t="s">
        <v>1060</v>
      </c>
      <c r="C1843" s="13" t="s">
        <v>969</v>
      </c>
      <c r="D1843" s="13" t="s">
        <v>968</v>
      </c>
      <c r="E1843" s="15"/>
      <c r="F1843" s="15">
        <f>SUM(F1844:F1846)</f>
        <v>39.625</v>
      </c>
      <c r="G1843" s="14">
        <f>G1844</f>
        <v>44999</v>
      </c>
      <c r="M1843" s="13"/>
      <c r="N1843" s="13"/>
      <c r="O1843" s="13"/>
      <c r="P1843" s="13"/>
      <c r="Q1843" s="13"/>
      <c r="R1843" s="13"/>
    </row>
    <row r="1844" spans="2:18">
      <c r="C1844" s="2" t="s">
        <v>7</v>
      </c>
      <c r="D1844" s="2" t="s">
        <v>949</v>
      </c>
      <c r="E1844" s="3">
        <v>350</v>
      </c>
      <c r="F1844" s="3">
        <v>20</v>
      </c>
      <c r="G1844" s="4">
        <v>44999</v>
      </c>
    </row>
    <row r="1845" spans="2:18">
      <c r="C1845" s="2" t="s">
        <v>8</v>
      </c>
      <c r="D1845" s="2" t="s">
        <v>258</v>
      </c>
      <c r="E1845" s="3">
        <v>111</v>
      </c>
      <c r="F1845" s="3">
        <v>14</v>
      </c>
      <c r="G1845" s="4">
        <v>44622</v>
      </c>
    </row>
    <row r="1846" spans="2:18">
      <c r="C1846" s="2" t="s">
        <v>18</v>
      </c>
      <c r="D1846" s="2" t="s">
        <v>258</v>
      </c>
      <c r="E1846" s="3">
        <v>55</v>
      </c>
      <c r="F1846" s="3">
        <v>5.625</v>
      </c>
      <c r="G1846" s="4">
        <v>44314</v>
      </c>
    </row>
    <row r="1847" spans="2:18">
      <c r="G1847" s="4"/>
    </row>
    <row r="1848" spans="2:18" s="12" customFormat="1">
      <c r="B1848" s="12" t="s">
        <v>6691</v>
      </c>
      <c r="C1848" s="13" t="s">
        <v>969</v>
      </c>
      <c r="D1848" s="13" t="s">
        <v>968</v>
      </c>
      <c r="E1848" s="15"/>
      <c r="F1848" s="15">
        <f>SUM(F1849:F1850)</f>
        <v>39.523809523809526</v>
      </c>
      <c r="G1848" s="14">
        <f>G1849</f>
        <v>44194</v>
      </c>
      <c r="M1848" s="13"/>
      <c r="N1848" s="13"/>
      <c r="O1848" s="13"/>
      <c r="P1848" s="13"/>
      <c r="Q1848" s="13"/>
      <c r="R1848" s="13"/>
    </row>
    <row r="1849" spans="2:18">
      <c r="B1849" s="176"/>
      <c r="C1849" s="2" t="s">
        <v>9</v>
      </c>
      <c r="D1849" s="2" t="s">
        <v>22</v>
      </c>
      <c r="E1849" s="3">
        <v>222</v>
      </c>
      <c r="F1849" s="3">
        <f>200/21</f>
        <v>9.5238095238095237</v>
      </c>
      <c r="G1849" s="4">
        <v>44194</v>
      </c>
      <c r="I1849" s="1">
        <v>2500</v>
      </c>
      <c r="J1849" s="1">
        <v>2500</v>
      </c>
    </row>
    <row r="1850" spans="2:18">
      <c r="C1850" s="2" t="s">
        <v>8</v>
      </c>
      <c r="D1850" s="2" t="s">
        <v>22</v>
      </c>
      <c r="E1850" s="3">
        <v>200</v>
      </c>
      <c r="F1850" s="3">
        <v>30</v>
      </c>
      <c r="G1850" s="4">
        <v>43452</v>
      </c>
      <c r="I1850" s="1">
        <v>1500</v>
      </c>
      <c r="J1850" s="1">
        <v>2500</v>
      </c>
    </row>
    <row r="1852" spans="2:18" s="12" customFormat="1">
      <c r="B1852" s="12" t="s">
        <v>866</v>
      </c>
      <c r="C1852" s="13" t="s">
        <v>969</v>
      </c>
      <c r="D1852" s="13" t="s">
        <v>968</v>
      </c>
      <c r="E1852" s="15"/>
      <c r="F1852" s="15">
        <f>SUM(F1853:F1859)</f>
        <v>39.952380952380956</v>
      </c>
      <c r="G1852" s="14">
        <f>G1853</f>
        <v>44378</v>
      </c>
      <c r="M1852" s="13"/>
      <c r="N1852" s="13"/>
      <c r="O1852" s="13"/>
      <c r="P1852" s="13"/>
      <c r="Q1852" s="13"/>
      <c r="R1852" s="13"/>
    </row>
    <row r="1853" spans="2:18">
      <c r="C1853" s="2" t="s">
        <v>5</v>
      </c>
      <c r="D1853" s="2" t="s">
        <v>864</v>
      </c>
      <c r="E1853" s="3">
        <v>10</v>
      </c>
      <c r="F1853" s="3">
        <v>3</v>
      </c>
      <c r="G1853" s="4">
        <v>44378</v>
      </c>
    </row>
    <row r="1854" spans="2:18">
      <c r="C1854" s="2" t="s">
        <v>5</v>
      </c>
      <c r="D1854" s="2" t="s">
        <v>197</v>
      </c>
      <c r="E1854" s="3">
        <v>5</v>
      </c>
      <c r="F1854" s="3">
        <f>E1854/3</f>
        <v>1.6666666666666667</v>
      </c>
      <c r="G1854" s="4">
        <v>42688</v>
      </c>
    </row>
    <row r="1855" spans="2:18">
      <c r="C1855" s="2" t="s">
        <v>7</v>
      </c>
      <c r="D1855" s="2" t="s">
        <v>80</v>
      </c>
      <c r="E1855" s="3">
        <v>100</v>
      </c>
      <c r="F1855" s="3">
        <v>20</v>
      </c>
      <c r="G1855" s="4">
        <v>43958</v>
      </c>
    </row>
    <row r="1856" spans="2:18">
      <c r="C1856" s="2" t="s">
        <v>4</v>
      </c>
      <c r="D1856" s="2" t="s">
        <v>80</v>
      </c>
      <c r="E1856" s="3">
        <v>49</v>
      </c>
      <c r="F1856" s="3">
        <v>7.5</v>
      </c>
      <c r="G1856" s="4">
        <v>43319</v>
      </c>
    </row>
    <row r="1857" spans="2:19">
      <c r="C1857" s="2" t="s">
        <v>278</v>
      </c>
      <c r="D1857" s="2" t="s">
        <v>80</v>
      </c>
      <c r="E1857" s="3">
        <f>9.5/7</f>
        <v>1.3571428571428572</v>
      </c>
      <c r="F1857" s="3">
        <f>+E1857</f>
        <v>1.3571428571428572</v>
      </c>
      <c r="G1857" s="4">
        <v>43185</v>
      </c>
    </row>
    <row r="1858" spans="2:19">
      <c r="C1858" s="2" t="s">
        <v>5</v>
      </c>
      <c r="D1858" s="2" t="s">
        <v>64</v>
      </c>
      <c r="E1858" s="3">
        <v>50</v>
      </c>
      <c r="F1858" s="3">
        <f>20/4</f>
        <v>5</v>
      </c>
      <c r="G1858" s="4">
        <v>44165</v>
      </c>
    </row>
    <row r="1859" spans="2:19">
      <c r="C1859" s="153" t="s">
        <v>5</v>
      </c>
      <c r="D1859" s="153" t="s">
        <v>2039</v>
      </c>
      <c r="E1859" s="3">
        <v>18</v>
      </c>
      <c r="F1859" s="3">
        <f>10/7</f>
        <v>1.4285714285714286</v>
      </c>
      <c r="G1859" s="4">
        <v>43445</v>
      </c>
    </row>
    <row r="1860" spans="2:19">
      <c r="G1860" s="4"/>
    </row>
    <row r="1861" spans="2:19" s="12" customFormat="1">
      <c r="B1861" s="12" t="s">
        <v>4851</v>
      </c>
      <c r="C1861" s="13" t="s">
        <v>969</v>
      </c>
      <c r="D1861" s="13" t="s">
        <v>968</v>
      </c>
      <c r="E1861" s="15"/>
      <c r="F1861" s="15">
        <f>SUM(F1862:F1863)</f>
        <v>39</v>
      </c>
      <c r="G1861" s="14">
        <f>G1862</f>
        <v>43348</v>
      </c>
      <c r="M1861" s="13"/>
      <c r="N1861" s="13"/>
      <c r="O1861" s="13"/>
      <c r="P1861" s="13"/>
      <c r="Q1861" s="13"/>
      <c r="R1861" s="13"/>
      <c r="S1861" s="12" t="s">
        <v>4867</v>
      </c>
    </row>
    <row r="1862" spans="2:19">
      <c r="B1862" s="51"/>
      <c r="C1862" s="52" t="s">
        <v>5</v>
      </c>
      <c r="D1862" s="52" t="s">
        <v>2118</v>
      </c>
      <c r="E1862" s="3">
        <v>52.3</v>
      </c>
      <c r="F1862" s="3">
        <v>30</v>
      </c>
      <c r="G1862" s="4">
        <v>43348</v>
      </c>
      <c r="J1862" s="1">
        <v>700</v>
      </c>
    </row>
    <row r="1863" spans="2:19">
      <c r="B1863" s="51"/>
      <c r="C1863" s="52" t="s">
        <v>4</v>
      </c>
      <c r="D1863" s="52" t="s">
        <v>2118</v>
      </c>
      <c r="E1863" s="3">
        <v>10.3</v>
      </c>
      <c r="F1863" s="3">
        <v>9</v>
      </c>
      <c r="G1863" s="4">
        <v>42846</v>
      </c>
      <c r="J1863" s="1">
        <v>700</v>
      </c>
    </row>
    <row r="1864" spans="2:19">
      <c r="B1864" s="51"/>
      <c r="C1864" s="52"/>
      <c r="D1864" s="52"/>
      <c r="G1864" s="4"/>
    </row>
    <row r="1865" spans="2:19" s="12" customFormat="1">
      <c r="B1865" s="12" t="s">
        <v>1058</v>
      </c>
      <c r="C1865" s="13" t="s">
        <v>969</v>
      </c>
      <c r="D1865" s="13" t="s">
        <v>968</v>
      </c>
      <c r="E1865" s="15"/>
      <c r="F1865" s="15">
        <f>SUM(F1866:F1870)</f>
        <v>38.4</v>
      </c>
      <c r="G1865" s="14">
        <f>G1866</f>
        <v>44698</v>
      </c>
      <c r="M1865" s="13"/>
      <c r="N1865" s="13"/>
      <c r="O1865" s="13"/>
      <c r="P1865" s="13"/>
      <c r="Q1865" s="13"/>
      <c r="R1865" s="13"/>
    </row>
    <row r="1866" spans="2:19">
      <c r="C1866" s="2" t="s">
        <v>5</v>
      </c>
      <c r="D1866" s="2" t="s">
        <v>773</v>
      </c>
      <c r="E1866" s="3">
        <v>12.8</v>
      </c>
      <c r="F1866" s="3">
        <v>6.8</v>
      </c>
      <c r="G1866" s="4">
        <v>44698</v>
      </c>
    </row>
    <row r="1867" spans="2:19">
      <c r="C1867" s="2" t="s">
        <v>5</v>
      </c>
      <c r="D1867" s="2" t="s">
        <v>542</v>
      </c>
      <c r="E1867" s="3">
        <v>14</v>
      </c>
      <c r="F1867" s="3">
        <f>8/5</f>
        <v>1.6</v>
      </c>
      <c r="G1867" s="4">
        <v>44447</v>
      </c>
    </row>
    <row r="1868" spans="2:19">
      <c r="C1868" s="2" t="s">
        <v>5</v>
      </c>
      <c r="D1868" s="2" t="s">
        <v>542</v>
      </c>
      <c r="E1868" s="3">
        <v>12</v>
      </c>
      <c r="F1868" s="3">
        <f>8/4</f>
        <v>2</v>
      </c>
      <c r="G1868" s="4">
        <v>43532</v>
      </c>
    </row>
    <row r="1869" spans="2:19">
      <c r="C1869" s="2" t="s">
        <v>9</v>
      </c>
      <c r="D1869" s="2" t="s">
        <v>489</v>
      </c>
      <c r="E1869" s="3">
        <v>206</v>
      </c>
      <c r="F1869" s="3">
        <v>14</v>
      </c>
      <c r="G1869" s="4">
        <v>43725</v>
      </c>
    </row>
    <row r="1870" spans="2:19">
      <c r="C1870" s="2" t="s">
        <v>18</v>
      </c>
      <c r="D1870" s="2" t="s">
        <v>310</v>
      </c>
      <c r="E1870" s="3">
        <v>110</v>
      </c>
      <c r="F1870" s="3">
        <v>14</v>
      </c>
      <c r="G1870" s="4">
        <v>44369</v>
      </c>
    </row>
    <row r="1871" spans="2:19">
      <c r="G1871" s="4"/>
    </row>
    <row r="1872" spans="2:19" s="12" customFormat="1">
      <c r="B1872" s="12" t="s">
        <v>1057</v>
      </c>
      <c r="C1872" s="13" t="s">
        <v>969</v>
      </c>
      <c r="D1872" s="13" t="s">
        <v>968</v>
      </c>
      <c r="E1872" s="15"/>
      <c r="F1872" s="15">
        <f>SUM(F1873:F1874)</f>
        <v>38</v>
      </c>
      <c r="G1872" s="14">
        <f>G1873</f>
        <v>44812</v>
      </c>
      <c r="M1872" s="13"/>
      <c r="N1872" s="13"/>
      <c r="O1872" s="13"/>
      <c r="P1872" s="13"/>
      <c r="Q1872" s="13"/>
      <c r="R1872" s="13"/>
    </row>
    <row r="1873" spans="2:18">
      <c r="C1873" s="2" t="s">
        <v>7</v>
      </c>
      <c r="D1873" s="2" t="s">
        <v>984</v>
      </c>
      <c r="E1873" s="3">
        <v>38</v>
      </c>
      <c r="F1873" s="3">
        <v>18</v>
      </c>
      <c r="G1873" s="4">
        <v>44812</v>
      </c>
    </row>
    <row r="1874" spans="2:18">
      <c r="C1874" s="2" t="s">
        <v>18</v>
      </c>
      <c r="D1874" s="2" t="s">
        <v>1056</v>
      </c>
      <c r="E1874" s="3">
        <v>40</v>
      </c>
      <c r="F1874" s="3">
        <v>20</v>
      </c>
      <c r="G1874" s="4">
        <v>44599</v>
      </c>
    </row>
    <row r="1875" spans="2:18">
      <c r="G1875" s="4"/>
    </row>
    <row r="1876" spans="2:18" s="12" customFormat="1">
      <c r="B1876" s="12" t="s">
        <v>200</v>
      </c>
      <c r="C1876" s="13" t="s">
        <v>969</v>
      </c>
      <c r="D1876" s="13" t="s">
        <v>968</v>
      </c>
      <c r="E1876" s="15"/>
      <c r="F1876" s="15">
        <f>SUM(F1877:F1878)</f>
        <v>38</v>
      </c>
      <c r="G1876" s="14">
        <f>G1877</f>
        <v>43391</v>
      </c>
      <c r="M1876" s="13"/>
      <c r="N1876" s="13"/>
      <c r="O1876" s="13"/>
      <c r="P1876" s="13"/>
      <c r="Q1876" s="13"/>
      <c r="R1876" s="13"/>
    </row>
    <row r="1877" spans="2:18">
      <c r="C1877" s="2" t="s">
        <v>7</v>
      </c>
      <c r="D1877" s="2" t="s">
        <v>197</v>
      </c>
      <c r="E1877" s="3">
        <v>120</v>
      </c>
      <c r="F1877" s="3">
        <v>30</v>
      </c>
      <c r="G1877" s="4">
        <v>43391</v>
      </c>
    </row>
    <row r="1878" spans="2:18">
      <c r="C1878" s="2" t="s">
        <v>5</v>
      </c>
      <c r="D1878" s="2" t="s">
        <v>161</v>
      </c>
      <c r="E1878" s="3">
        <v>102</v>
      </c>
      <c r="F1878" s="3">
        <v>8</v>
      </c>
      <c r="G1878" s="4">
        <v>43292</v>
      </c>
      <c r="J1878" s="1">
        <v>8400</v>
      </c>
    </row>
    <row r="1879" spans="2:18">
      <c r="G1879" s="4"/>
    </row>
    <row r="1880" spans="2:18" s="12" customFormat="1">
      <c r="B1880" s="12" t="s">
        <v>7887</v>
      </c>
      <c r="C1880" s="13" t="s">
        <v>969</v>
      </c>
      <c r="D1880" s="13" t="s">
        <v>968</v>
      </c>
      <c r="E1880" s="15"/>
      <c r="F1880" s="15">
        <f>SUM(F1881:F1882)</f>
        <v>37.838095238095235</v>
      </c>
      <c r="G1880" s="14">
        <f>G1882</f>
        <v>45183</v>
      </c>
      <c r="M1880" s="13"/>
      <c r="N1880" s="13"/>
      <c r="O1880" s="13"/>
      <c r="P1880" s="13"/>
      <c r="Q1880" s="13"/>
      <c r="R1880" s="13"/>
    </row>
    <row r="1881" spans="2:18">
      <c r="C1881" s="2" t="s">
        <v>8</v>
      </c>
      <c r="D1881" s="2" t="s">
        <v>386</v>
      </c>
      <c r="E1881" s="3">
        <v>140</v>
      </c>
      <c r="F1881" s="3">
        <v>10</v>
      </c>
      <c r="G1881" s="4">
        <v>44286</v>
      </c>
      <c r="M1881" s="1"/>
      <c r="N1881" s="1"/>
      <c r="O1881" s="1"/>
      <c r="P1881" s="1"/>
      <c r="Q1881" s="1"/>
      <c r="R1881" s="1"/>
    </row>
    <row r="1882" spans="2:18">
      <c r="C1882" s="265" t="s">
        <v>7885</v>
      </c>
      <c r="D1882" s="265" t="s">
        <v>1006</v>
      </c>
      <c r="E1882" s="3">
        <v>684.6</v>
      </c>
      <c r="F1882" s="3">
        <f>584.6/21</f>
        <v>27.838095238095239</v>
      </c>
      <c r="G1882" s="4">
        <v>45183</v>
      </c>
      <c r="M1882" s="1"/>
      <c r="N1882" s="1"/>
      <c r="O1882" s="1"/>
      <c r="P1882" s="1"/>
      <c r="Q1882" s="1"/>
      <c r="R1882" s="1"/>
    </row>
    <row r="1883" spans="2:18">
      <c r="C1883" s="265"/>
      <c r="D1883" s="265"/>
      <c r="G1883" s="4"/>
      <c r="M1883" s="1"/>
      <c r="N1883" s="1"/>
      <c r="O1883" s="1"/>
      <c r="P1883" s="1"/>
      <c r="Q1883" s="1"/>
      <c r="R1883" s="1"/>
    </row>
    <row r="1884" spans="2:18" s="12" customFormat="1">
      <c r="B1884" s="12" t="s">
        <v>1055</v>
      </c>
      <c r="C1884" s="13" t="s">
        <v>969</v>
      </c>
      <c r="D1884" s="13" t="s">
        <v>968</v>
      </c>
      <c r="E1884" s="15"/>
      <c r="F1884" s="15">
        <f>SUM(F1885:F1894)</f>
        <v>38.314285714285717</v>
      </c>
      <c r="G1884" s="14">
        <f>G1888</f>
        <v>44860</v>
      </c>
    </row>
    <row r="1885" spans="2:18">
      <c r="C1885" s="2" t="s">
        <v>5</v>
      </c>
      <c r="D1885" s="2" t="s">
        <v>656</v>
      </c>
      <c r="E1885" s="3">
        <v>12.6</v>
      </c>
      <c r="F1885" s="3">
        <f>6.6/3</f>
        <v>2.1999999999999997</v>
      </c>
      <c r="G1885" s="4">
        <v>44579</v>
      </c>
      <c r="M1885" s="1"/>
      <c r="N1885" s="1"/>
      <c r="O1885" s="1"/>
      <c r="P1885" s="1"/>
      <c r="Q1885" s="1"/>
      <c r="R1885" s="1"/>
    </row>
    <row r="1886" spans="2:18">
      <c r="C1886" s="2" t="s">
        <v>4</v>
      </c>
      <c r="D1886" s="2" t="s">
        <v>656</v>
      </c>
      <c r="E1886" s="3">
        <v>3</v>
      </c>
      <c r="F1886" s="3">
        <v>1</v>
      </c>
      <c r="G1886" s="4">
        <v>43999</v>
      </c>
      <c r="M1886" s="1"/>
      <c r="N1886" s="1"/>
      <c r="O1886" s="1"/>
      <c r="P1886" s="1"/>
      <c r="Q1886" s="1"/>
      <c r="R1886" s="1"/>
    </row>
    <row r="1887" spans="2:18">
      <c r="C1887" s="2" t="s">
        <v>4</v>
      </c>
      <c r="D1887" s="2" t="s">
        <v>651</v>
      </c>
      <c r="E1887" s="3">
        <v>12.3</v>
      </c>
      <c r="F1887" s="3">
        <v>3</v>
      </c>
      <c r="G1887" s="4">
        <v>44622</v>
      </c>
      <c r="M1887" s="1"/>
      <c r="N1887" s="1"/>
      <c r="O1887" s="1"/>
      <c r="P1887" s="1"/>
      <c r="Q1887" s="1"/>
      <c r="R1887" s="1"/>
    </row>
    <row r="1888" spans="2:18">
      <c r="C1888" s="2" t="s">
        <v>5</v>
      </c>
      <c r="D1888" s="2" t="s">
        <v>642</v>
      </c>
      <c r="E1888" s="3">
        <v>12</v>
      </c>
      <c r="F1888" s="3">
        <v>2</v>
      </c>
      <c r="G1888" s="4">
        <v>44860</v>
      </c>
      <c r="M1888" s="1"/>
      <c r="N1888" s="1"/>
      <c r="O1888" s="1"/>
      <c r="P1888" s="1"/>
      <c r="Q1888" s="1"/>
      <c r="R1888" s="1"/>
    </row>
    <row r="1889" spans="2:18">
      <c r="C1889" s="2" t="s">
        <v>4</v>
      </c>
      <c r="D1889" s="2" t="s">
        <v>642</v>
      </c>
      <c r="E1889" s="3">
        <v>2.8</v>
      </c>
      <c r="F1889" s="3">
        <v>1.4</v>
      </c>
      <c r="G1889" s="4">
        <v>44215</v>
      </c>
      <c r="M1889" s="1"/>
      <c r="N1889" s="1"/>
      <c r="O1889" s="1"/>
      <c r="P1889" s="1"/>
      <c r="Q1889" s="1"/>
      <c r="R1889" s="1"/>
    </row>
    <row r="1890" spans="2:18">
      <c r="C1890" s="2" t="s">
        <v>278</v>
      </c>
      <c r="D1890" s="2" t="s">
        <v>582</v>
      </c>
      <c r="E1890" s="3">
        <v>2</v>
      </c>
      <c r="F1890" s="3">
        <v>1</v>
      </c>
      <c r="G1890" s="4">
        <v>44223</v>
      </c>
      <c r="M1890" s="1"/>
      <c r="N1890" s="1"/>
      <c r="O1890" s="1"/>
      <c r="P1890" s="1"/>
      <c r="Q1890" s="1"/>
      <c r="R1890" s="1"/>
    </row>
    <row r="1891" spans="2:18">
      <c r="C1891" s="2" t="s">
        <v>18</v>
      </c>
      <c r="D1891" s="2" t="s">
        <v>32</v>
      </c>
      <c r="E1891" s="3">
        <v>230</v>
      </c>
      <c r="F1891" s="3">
        <f>110/7</f>
        <v>15.714285714285714</v>
      </c>
      <c r="G1891" s="4">
        <v>43634</v>
      </c>
      <c r="M1891" s="1"/>
      <c r="N1891" s="1"/>
      <c r="O1891" s="1"/>
      <c r="P1891" s="1"/>
      <c r="Q1891" s="1"/>
      <c r="R1891" s="1"/>
    </row>
    <row r="1892" spans="2:18">
      <c r="C1892" s="2" t="s">
        <v>7</v>
      </c>
      <c r="D1892" s="2" t="s">
        <v>32</v>
      </c>
      <c r="E1892" s="3">
        <v>45</v>
      </c>
      <c r="F1892" s="3">
        <v>6</v>
      </c>
      <c r="G1892" s="4">
        <v>43293</v>
      </c>
      <c r="M1892" s="1"/>
      <c r="N1892" s="1"/>
      <c r="O1892" s="1"/>
      <c r="P1892" s="1"/>
      <c r="Q1892" s="1"/>
      <c r="R1892" s="1"/>
    </row>
    <row r="1893" spans="2:18">
      <c r="C1893" s="2" t="s">
        <v>5</v>
      </c>
      <c r="D1893" s="2" t="s">
        <v>32</v>
      </c>
      <c r="E1893" s="3">
        <v>18</v>
      </c>
      <c r="F1893" s="3">
        <v>5</v>
      </c>
      <c r="G1893" s="4">
        <v>42983</v>
      </c>
      <c r="M1893" s="1"/>
      <c r="N1893" s="1"/>
      <c r="O1893" s="1"/>
      <c r="P1893" s="1"/>
      <c r="Q1893" s="1"/>
      <c r="R1893" s="1"/>
    </row>
    <row r="1894" spans="2:18">
      <c r="B1894" s="392"/>
      <c r="C1894" s="394" t="s">
        <v>278</v>
      </c>
      <c r="D1894" s="394" t="s">
        <v>9775</v>
      </c>
      <c r="E1894" s="3">
        <v>6</v>
      </c>
      <c r="F1894" s="3">
        <v>1</v>
      </c>
      <c r="G1894" s="4">
        <v>44348</v>
      </c>
      <c r="M1894" s="1"/>
      <c r="N1894" s="1"/>
      <c r="O1894" s="1"/>
      <c r="P1894" s="1"/>
      <c r="Q1894" s="1"/>
      <c r="R1894" s="1"/>
    </row>
    <row r="1895" spans="2:18">
      <c r="B1895" s="392"/>
      <c r="C1895" s="394"/>
      <c r="D1895" s="394"/>
      <c r="G1895" s="4"/>
      <c r="M1895" s="1"/>
      <c r="N1895" s="1"/>
      <c r="O1895" s="1"/>
      <c r="P1895" s="1"/>
      <c r="Q1895" s="1"/>
      <c r="R1895" s="1"/>
    </row>
    <row r="1896" spans="2:18" s="12" customFormat="1">
      <c r="B1896" s="12" t="s">
        <v>14</v>
      </c>
      <c r="C1896" s="13" t="s">
        <v>969</v>
      </c>
      <c r="D1896" s="13" t="s">
        <v>968</v>
      </c>
      <c r="E1896" s="15"/>
      <c r="F1896" s="15">
        <f>SUM(F1897:F1898)</f>
        <v>37.5</v>
      </c>
      <c r="G1896" s="14">
        <f>G1897</f>
        <v>44721</v>
      </c>
      <c r="M1896" s="13"/>
      <c r="N1896" s="13"/>
      <c r="O1896" s="13"/>
      <c r="P1896" s="13"/>
      <c r="Q1896" s="13"/>
      <c r="R1896" s="13"/>
    </row>
    <row r="1897" spans="2:18">
      <c r="C1897" s="2" t="s">
        <v>9</v>
      </c>
      <c r="D1897" s="2" t="s">
        <v>3</v>
      </c>
      <c r="E1897" s="3">
        <v>90</v>
      </c>
      <c r="F1897" s="3">
        <v>20</v>
      </c>
      <c r="G1897" s="4">
        <v>44721</v>
      </c>
      <c r="I1897" s="1">
        <v>2200</v>
      </c>
      <c r="J1897" s="1">
        <v>2500</v>
      </c>
    </row>
    <row r="1898" spans="2:18">
      <c r="C1898" s="55" t="s">
        <v>8</v>
      </c>
      <c r="D1898" s="55" t="s">
        <v>2109</v>
      </c>
      <c r="E1898" s="3">
        <v>110</v>
      </c>
      <c r="F1898" s="3">
        <f>70/4</f>
        <v>17.5</v>
      </c>
      <c r="G1898" s="4">
        <v>44567</v>
      </c>
      <c r="I1898" s="1">
        <v>790</v>
      </c>
      <c r="J1898" s="1">
        <v>790</v>
      </c>
    </row>
    <row r="1899" spans="2:18">
      <c r="C1899" s="265" t="s">
        <v>53</v>
      </c>
      <c r="D1899" s="265" t="s">
        <v>3</v>
      </c>
      <c r="E1899" s="3">
        <v>200</v>
      </c>
      <c r="F1899" s="3">
        <v>33</v>
      </c>
      <c r="G1899" s="4">
        <v>45230</v>
      </c>
      <c r="I1899" s="1">
        <v>2500</v>
      </c>
      <c r="J1899" s="1">
        <v>2500</v>
      </c>
    </row>
    <row r="1900" spans="2:18">
      <c r="G1900" s="4"/>
    </row>
    <row r="1901" spans="2:18" s="12" customFormat="1">
      <c r="B1901" s="12" t="s">
        <v>0</v>
      </c>
      <c r="C1901" s="13" t="s">
        <v>969</v>
      </c>
      <c r="D1901" s="13" t="s">
        <v>968</v>
      </c>
      <c r="E1901" s="15"/>
      <c r="F1901" s="15">
        <f>SUM(F1902:F1905)</f>
        <v>36.666666666666664</v>
      </c>
      <c r="G1901" s="14">
        <f>G1902</f>
        <v>45027</v>
      </c>
      <c r="M1901" s="13"/>
      <c r="N1901" s="13"/>
      <c r="O1901" s="13"/>
      <c r="P1901" s="13"/>
      <c r="Q1901" s="13"/>
      <c r="R1901" s="13"/>
    </row>
    <row r="1902" spans="2:18">
      <c r="C1902" s="2" t="s">
        <v>5</v>
      </c>
      <c r="D1902" s="2" t="s">
        <v>684</v>
      </c>
      <c r="E1902" s="3">
        <v>21</v>
      </c>
      <c r="F1902" s="3">
        <f>11/3</f>
        <v>3.6666666666666665</v>
      </c>
      <c r="G1902" s="4">
        <v>45027</v>
      </c>
    </row>
    <row r="1903" spans="2:18">
      <c r="C1903" s="2" t="s">
        <v>4</v>
      </c>
      <c r="D1903" s="2" t="s">
        <v>684</v>
      </c>
      <c r="E1903" s="3">
        <v>5</v>
      </c>
      <c r="F1903" s="3">
        <v>3</v>
      </c>
      <c r="G1903" s="4">
        <v>44888</v>
      </c>
    </row>
    <row r="1904" spans="2:18">
      <c r="C1904" s="2" t="s">
        <v>5</v>
      </c>
      <c r="D1904" s="2" t="s">
        <v>697</v>
      </c>
      <c r="E1904" s="3">
        <v>23.5</v>
      </c>
      <c r="F1904" s="3">
        <v>15</v>
      </c>
      <c r="G1904" s="4">
        <v>44875</v>
      </c>
    </row>
    <row r="1905" spans="2:18">
      <c r="C1905" s="2" t="s">
        <v>7</v>
      </c>
      <c r="D1905" s="2" t="s">
        <v>810</v>
      </c>
      <c r="E1905" s="3">
        <v>27</v>
      </c>
      <c r="F1905" s="3">
        <v>15</v>
      </c>
      <c r="G1905" s="4">
        <v>44882</v>
      </c>
    </row>
    <row r="1906" spans="2:18">
      <c r="G1906" s="4"/>
    </row>
    <row r="1907" spans="2:18" s="12" customFormat="1">
      <c r="B1907" s="12" t="s">
        <v>1039</v>
      </c>
      <c r="C1907" s="13" t="s">
        <v>969</v>
      </c>
      <c r="D1907" s="13" t="s">
        <v>968</v>
      </c>
      <c r="E1907" s="15"/>
      <c r="F1907" s="15">
        <f>SUM(F1908:F1915)</f>
        <v>36.83</v>
      </c>
      <c r="G1907" s="14">
        <f>+G1915</f>
        <v>45209</v>
      </c>
      <c r="M1907" s="13"/>
      <c r="N1907" s="13"/>
      <c r="O1907" s="13"/>
      <c r="P1907" s="13"/>
      <c r="Q1907" s="13"/>
      <c r="R1907" s="13"/>
    </row>
    <row r="1908" spans="2:18">
      <c r="C1908" s="2" t="s">
        <v>5</v>
      </c>
      <c r="D1908" s="2" t="s">
        <v>962</v>
      </c>
      <c r="E1908" s="3">
        <v>5</v>
      </c>
      <c r="F1908" s="3">
        <v>1</v>
      </c>
      <c r="G1908" s="4">
        <v>43251</v>
      </c>
    </row>
    <row r="1909" spans="2:18">
      <c r="C1909" s="2" t="s">
        <v>8</v>
      </c>
      <c r="D1909" s="2" t="s">
        <v>520</v>
      </c>
      <c r="E1909" s="3">
        <v>100</v>
      </c>
      <c r="F1909" s="3">
        <f>50/4</f>
        <v>12.5</v>
      </c>
      <c r="G1909" s="4">
        <v>44419</v>
      </c>
    </row>
    <row r="1910" spans="2:18">
      <c r="C1910" s="2" t="s">
        <v>7</v>
      </c>
      <c r="D1910" s="2" t="s">
        <v>475</v>
      </c>
      <c r="E1910" s="3">
        <v>90</v>
      </c>
      <c r="F1910" s="3">
        <v>6</v>
      </c>
      <c r="G1910" s="4">
        <v>44398</v>
      </c>
    </row>
    <row r="1911" spans="2:18">
      <c r="C1911" s="2" t="s">
        <v>5</v>
      </c>
      <c r="D1911" s="2" t="s">
        <v>475</v>
      </c>
      <c r="E1911" s="3">
        <v>22.8</v>
      </c>
      <c r="F1911" s="3">
        <v>3.33</v>
      </c>
      <c r="G1911" s="4">
        <v>43160</v>
      </c>
    </row>
    <row r="1912" spans="2:18">
      <c r="C1912" s="140" t="s">
        <v>5</v>
      </c>
      <c r="D1912" s="140" t="s">
        <v>6291</v>
      </c>
      <c r="E1912" s="3">
        <v>25</v>
      </c>
      <c r="F1912" s="3">
        <v>3</v>
      </c>
      <c r="G1912" s="4">
        <v>44594</v>
      </c>
    </row>
    <row r="1913" spans="2:18">
      <c r="C1913" s="265" t="s">
        <v>7885</v>
      </c>
      <c r="D1913" s="265" t="s">
        <v>1006</v>
      </c>
      <c r="E1913" s="3">
        <v>684.6</v>
      </c>
      <c r="F1913" s="3">
        <v>5</v>
      </c>
      <c r="G1913" s="4">
        <v>45183</v>
      </c>
      <c r="I1913" s="1">
        <v>42500</v>
      </c>
      <c r="J1913" s="1">
        <v>42500</v>
      </c>
    </row>
    <row r="1914" spans="2:18">
      <c r="C1914" s="265" t="s">
        <v>2486</v>
      </c>
      <c r="D1914" s="265" t="s">
        <v>1006</v>
      </c>
      <c r="E1914" s="3">
        <v>1600</v>
      </c>
      <c r="F1914" s="3">
        <v>5</v>
      </c>
      <c r="G1914" s="4">
        <v>44439</v>
      </c>
      <c r="I1914" s="1">
        <v>36400</v>
      </c>
      <c r="J1914" s="1">
        <v>42500</v>
      </c>
    </row>
    <row r="1915" spans="2:18">
      <c r="C1915" s="394" t="s">
        <v>5</v>
      </c>
      <c r="D1915" s="394" t="s">
        <v>9711</v>
      </c>
      <c r="E1915" s="3">
        <v>16</v>
      </c>
      <c r="F1915" s="3">
        <v>1</v>
      </c>
      <c r="G1915" s="4">
        <v>45209</v>
      </c>
    </row>
    <row r="1916" spans="2:18">
      <c r="G1916" s="4"/>
    </row>
    <row r="1917" spans="2:18" s="12" customFormat="1">
      <c r="B1917" s="12" t="s">
        <v>961</v>
      </c>
      <c r="C1917" s="13" t="s">
        <v>969</v>
      </c>
      <c r="D1917" s="13" t="s">
        <v>968</v>
      </c>
      <c r="E1917" s="15"/>
      <c r="F1917" s="15">
        <f>SUM(F1918:F1919)</f>
        <v>37</v>
      </c>
      <c r="G1917" s="14">
        <f>G1918</f>
        <v>45035</v>
      </c>
      <c r="M1917" s="13"/>
      <c r="N1917" s="13"/>
      <c r="O1917" s="13"/>
      <c r="P1917" s="13"/>
      <c r="Q1917" s="13"/>
      <c r="R1917" s="13"/>
    </row>
    <row r="1918" spans="2:18">
      <c r="C1918" s="2" t="s">
        <v>5</v>
      </c>
      <c r="D1918" s="2" t="s">
        <v>901</v>
      </c>
      <c r="E1918" s="3">
        <v>70</v>
      </c>
      <c r="F1918" s="3">
        <v>30</v>
      </c>
      <c r="G1918" s="4">
        <v>45035</v>
      </c>
    </row>
    <row r="1919" spans="2:18">
      <c r="C1919" s="92" t="s">
        <v>7</v>
      </c>
      <c r="D1919" s="92" t="s">
        <v>5988</v>
      </c>
      <c r="E1919" s="3">
        <v>50</v>
      </c>
      <c r="F1919" s="3">
        <f>35/5</f>
        <v>7</v>
      </c>
      <c r="G1919" s="4">
        <v>44670</v>
      </c>
    </row>
    <row r="1920" spans="2:18">
      <c r="G1920" s="4"/>
    </row>
    <row r="1921" spans="2:18" s="12" customFormat="1">
      <c r="B1921" s="12" t="s">
        <v>657</v>
      </c>
      <c r="C1921" s="13" t="s">
        <v>969</v>
      </c>
      <c r="D1921" s="13" t="s">
        <v>968</v>
      </c>
      <c r="E1921" s="15"/>
      <c r="F1921" s="15">
        <f>SUM(F1922:F1926)</f>
        <v>36.74545454545455</v>
      </c>
      <c r="G1921" s="14">
        <f>G1923</f>
        <v>44776</v>
      </c>
      <c r="M1921" s="13"/>
      <c r="N1921" s="13"/>
      <c r="O1921" s="13"/>
      <c r="P1921" s="13"/>
      <c r="Q1921" s="13"/>
      <c r="R1921" s="13"/>
    </row>
    <row r="1922" spans="2:18">
      <c r="B1922" s="238" t="s">
        <v>7632</v>
      </c>
      <c r="C1922" s="2" t="s">
        <v>5</v>
      </c>
      <c r="D1922" s="2" t="s">
        <v>656</v>
      </c>
      <c r="E1922" s="3">
        <v>12.6</v>
      </c>
      <c r="F1922" s="3">
        <f>6.6/3</f>
        <v>2.1999999999999997</v>
      </c>
      <c r="G1922" s="4">
        <v>44579</v>
      </c>
      <c r="M1922" s="1"/>
      <c r="N1922" s="1"/>
      <c r="O1922" s="1"/>
      <c r="P1922" s="1"/>
      <c r="Q1922" s="1"/>
      <c r="R1922" s="1"/>
    </row>
    <row r="1923" spans="2:18">
      <c r="B1923" s="254" t="s">
        <v>7626</v>
      </c>
      <c r="C1923" s="2" t="s">
        <v>8</v>
      </c>
      <c r="D1923" s="2" t="s">
        <v>448</v>
      </c>
      <c r="E1923" s="3">
        <v>90</v>
      </c>
      <c r="F1923" s="3">
        <f>50/11</f>
        <v>4.5454545454545459</v>
      </c>
      <c r="G1923" s="4">
        <v>44776</v>
      </c>
      <c r="M1923" s="1"/>
      <c r="N1923" s="1"/>
      <c r="O1923" s="1"/>
      <c r="P1923" s="1"/>
      <c r="Q1923" s="1"/>
      <c r="R1923" s="1"/>
    </row>
    <row r="1924" spans="2:18">
      <c r="C1924" s="2" t="s">
        <v>9</v>
      </c>
      <c r="D1924" s="2" t="s">
        <v>3</v>
      </c>
      <c r="E1924" s="3">
        <v>90</v>
      </c>
      <c r="F1924" s="3">
        <v>10</v>
      </c>
      <c r="G1924" s="4">
        <v>44721</v>
      </c>
      <c r="I1924" s="1">
        <v>2200</v>
      </c>
      <c r="J1924" s="1">
        <v>2500</v>
      </c>
      <c r="M1924" s="1"/>
      <c r="N1924" s="1"/>
      <c r="O1924" s="1"/>
      <c r="P1924" s="1"/>
      <c r="Q1924" s="1"/>
      <c r="R1924" s="1"/>
    </row>
    <row r="1925" spans="2:18">
      <c r="C1925" s="2" t="s">
        <v>7</v>
      </c>
      <c r="D1925" s="2" t="s">
        <v>3</v>
      </c>
      <c r="E1925" s="3">
        <v>25</v>
      </c>
      <c r="F1925" s="3">
        <v>10</v>
      </c>
      <c r="G1925" s="4">
        <v>43697</v>
      </c>
      <c r="J1925" s="1">
        <v>2500</v>
      </c>
      <c r="M1925" s="1"/>
      <c r="N1925" s="1"/>
      <c r="O1925" s="1"/>
      <c r="P1925" s="1"/>
      <c r="Q1925" s="1"/>
      <c r="R1925" s="1"/>
    </row>
    <row r="1926" spans="2:18">
      <c r="C1926" s="92" t="s">
        <v>18</v>
      </c>
      <c r="D1926" s="92" t="s">
        <v>2101</v>
      </c>
      <c r="E1926" s="3">
        <v>100</v>
      </c>
      <c r="F1926" s="3">
        <v>10</v>
      </c>
      <c r="G1926" s="4">
        <v>44397</v>
      </c>
      <c r="M1926" s="1"/>
      <c r="N1926" s="1"/>
      <c r="O1926" s="1"/>
      <c r="P1926" s="1"/>
      <c r="Q1926" s="1"/>
      <c r="R1926" s="1"/>
    </row>
    <row r="1927" spans="2:18">
      <c r="G1927" s="4"/>
      <c r="M1927" s="1"/>
      <c r="N1927" s="1"/>
      <c r="O1927" s="1"/>
      <c r="P1927" s="1"/>
      <c r="Q1927" s="1"/>
      <c r="R1927" s="1"/>
    </row>
    <row r="1928" spans="2:18" s="12" customFormat="1">
      <c r="B1928" s="12" t="s">
        <v>234</v>
      </c>
      <c r="C1928" s="13" t="s">
        <v>969</v>
      </c>
      <c r="D1928" s="13" t="s">
        <v>968</v>
      </c>
      <c r="E1928" s="15"/>
      <c r="F1928" s="15">
        <f>SUM(F1929:F1932)</f>
        <v>35.666666666666664</v>
      </c>
      <c r="G1928" s="14">
        <f>G1931</f>
        <v>42941</v>
      </c>
      <c r="M1928" s="13"/>
      <c r="N1928" s="13"/>
      <c r="O1928" s="13"/>
      <c r="P1928" s="13"/>
      <c r="Q1928" s="13"/>
      <c r="R1928" s="13"/>
    </row>
    <row r="1929" spans="2:18">
      <c r="C1929" s="2" t="s">
        <v>18</v>
      </c>
      <c r="D1929" s="2" t="s">
        <v>232</v>
      </c>
      <c r="E1929" s="3">
        <v>100</v>
      </c>
      <c r="F1929" s="3">
        <v>20</v>
      </c>
      <c r="G1929" s="4">
        <v>42735</v>
      </c>
    </row>
    <row r="1930" spans="2:18">
      <c r="C1930" s="2" t="s">
        <v>7</v>
      </c>
      <c r="D1930" s="2" t="s">
        <v>232</v>
      </c>
      <c r="E1930" s="3">
        <v>22</v>
      </c>
      <c r="F1930" s="3">
        <v>8</v>
      </c>
      <c r="G1930" s="4">
        <v>41821</v>
      </c>
    </row>
    <row r="1931" spans="2:18">
      <c r="C1931" s="2" t="s">
        <v>7</v>
      </c>
      <c r="D1931" s="2" t="s">
        <v>197</v>
      </c>
      <c r="E1931" s="3">
        <v>46</v>
      </c>
      <c r="F1931" s="3">
        <v>6</v>
      </c>
      <c r="G1931" s="4">
        <v>42941</v>
      </c>
    </row>
    <row r="1932" spans="2:18">
      <c r="C1932" s="2" t="s">
        <v>5</v>
      </c>
      <c r="D1932" s="2" t="s">
        <v>197</v>
      </c>
      <c r="E1932" s="3">
        <v>5</v>
      </c>
      <c r="F1932" s="3">
        <f>E1932/3</f>
        <v>1.6666666666666667</v>
      </c>
      <c r="G1932" s="4">
        <v>42688</v>
      </c>
    </row>
    <row r="1933" spans="2:18">
      <c r="G1933" s="4"/>
    </row>
    <row r="1934" spans="2:18" s="12" customFormat="1">
      <c r="B1934" s="12" t="s">
        <v>503</v>
      </c>
      <c r="C1934" s="13" t="s">
        <v>969</v>
      </c>
      <c r="D1934" s="13" t="s">
        <v>968</v>
      </c>
      <c r="E1934" s="15"/>
      <c r="F1934" s="15">
        <f>SUM(F1935:F1936)</f>
        <v>36</v>
      </c>
      <c r="G1934" s="14">
        <f>G1935</f>
        <v>44152</v>
      </c>
    </row>
    <row r="1935" spans="2:18">
      <c r="C1935" s="2" t="s">
        <v>53</v>
      </c>
      <c r="D1935" s="2" t="s">
        <v>489</v>
      </c>
      <c r="E1935" s="3">
        <v>270</v>
      </c>
      <c r="F1935" s="3">
        <v>22</v>
      </c>
      <c r="G1935" s="4">
        <v>44152</v>
      </c>
      <c r="M1935" s="1"/>
      <c r="N1935" s="1"/>
      <c r="O1935" s="1"/>
      <c r="P1935" s="1"/>
      <c r="Q1935" s="1"/>
      <c r="R1935" s="1"/>
    </row>
    <row r="1936" spans="2:18">
      <c r="C1936" s="2" t="s">
        <v>9</v>
      </c>
      <c r="D1936" s="2" t="s">
        <v>489</v>
      </c>
      <c r="E1936" s="3">
        <v>206</v>
      </c>
      <c r="F1936" s="3">
        <v>14</v>
      </c>
      <c r="G1936" s="4">
        <v>43725</v>
      </c>
      <c r="M1936" s="1"/>
      <c r="N1936" s="1"/>
      <c r="O1936" s="1"/>
      <c r="P1936" s="1"/>
      <c r="Q1936" s="1"/>
      <c r="R1936" s="1"/>
    </row>
    <row r="1937" spans="2:18">
      <c r="G1937" s="4"/>
      <c r="M1937" s="1"/>
      <c r="N1937" s="1"/>
      <c r="O1937" s="1"/>
      <c r="P1937" s="1"/>
      <c r="Q1937" s="1"/>
      <c r="R1937" s="1"/>
    </row>
    <row r="1938" spans="2:18" s="12" customFormat="1">
      <c r="B1938" s="12" t="s">
        <v>369</v>
      </c>
      <c r="C1938" s="13" t="s">
        <v>969</v>
      </c>
      <c r="D1938" s="13" t="s">
        <v>968</v>
      </c>
      <c r="E1938" s="15"/>
      <c r="F1938" s="15">
        <f>SUM(F1939:F1940)</f>
        <v>36.25</v>
      </c>
      <c r="G1938" s="14">
        <f>G1939</f>
        <v>44602</v>
      </c>
    </row>
    <row r="1939" spans="2:18">
      <c r="C1939" s="2" t="s">
        <v>7</v>
      </c>
      <c r="D1939" s="2" t="s">
        <v>363</v>
      </c>
      <c r="E1939" s="3">
        <v>120</v>
      </c>
      <c r="F1939" s="3">
        <f>90/8</f>
        <v>11.25</v>
      </c>
      <c r="G1939" s="4">
        <v>44602</v>
      </c>
      <c r="M1939" s="1"/>
      <c r="N1939" s="1"/>
      <c r="O1939" s="1"/>
      <c r="P1939" s="1"/>
      <c r="Q1939" s="1"/>
      <c r="R1939" s="1"/>
    </row>
    <row r="1940" spans="2:18">
      <c r="C1940" s="2" t="s">
        <v>5</v>
      </c>
      <c r="D1940" s="2" t="s">
        <v>363</v>
      </c>
      <c r="E1940" s="3">
        <v>50</v>
      </c>
      <c r="F1940" s="3">
        <v>25</v>
      </c>
      <c r="G1940" s="4">
        <v>43039</v>
      </c>
      <c r="M1940" s="1"/>
      <c r="N1940" s="1"/>
      <c r="O1940" s="1"/>
      <c r="P1940" s="1"/>
      <c r="Q1940" s="1"/>
      <c r="R1940" s="1"/>
    </row>
    <row r="1941" spans="2:18">
      <c r="G1941" s="4"/>
      <c r="M1941" s="1"/>
      <c r="N1941" s="1"/>
      <c r="O1941" s="1"/>
      <c r="P1941" s="1"/>
      <c r="Q1941" s="1"/>
      <c r="R1941" s="1"/>
    </row>
    <row r="1942" spans="2:18" s="12" customFormat="1">
      <c r="B1942" s="12" t="s">
        <v>498</v>
      </c>
      <c r="C1942" s="13" t="s">
        <v>969</v>
      </c>
      <c r="D1942" s="13" t="s">
        <v>968</v>
      </c>
      <c r="E1942" s="15"/>
      <c r="F1942" s="15">
        <f>SUM(F1943:F1946)</f>
        <v>36.295454545454547</v>
      </c>
      <c r="G1942" s="14">
        <f>G1944</f>
        <v>44776</v>
      </c>
    </row>
    <row r="1943" spans="2:18">
      <c r="C1943" s="2" t="s">
        <v>9</v>
      </c>
      <c r="D1943" s="2" t="s">
        <v>489</v>
      </c>
      <c r="E1943" s="3">
        <v>206</v>
      </c>
      <c r="F1943" s="3">
        <v>14</v>
      </c>
      <c r="G1943" s="4">
        <v>43725</v>
      </c>
      <c r="M1943" s="1"/>
      <c r="N1943" s="1"/>
      <c r="O1943" s="1"/>
      <c r="P1943" s="1"/>
      <c r="Q1943" s="1"/>
      <c r="R1943" s="1"/>
    </row>
    <row r="1944" spans="2:18">
      <c r="C1944" s="2" t="s">
        <v>8</v>
      </c>
      <c r="D1944" s="2" t="s">
        <v>448</v>
      </c>
      <c r="E1944" s="3">
        <v>90</v>
      </c>
      <c r="F1944" s="3">
        <f>50/11</f>
        <v>4.5454545454545459</v>
      </c>
      <c r="G1944" s="4">
        <v>44776</v>
      </c>
      <c r="M1944" s="1"/>
      <c r="N1944" s="1"/>
      <c r="O1944" s="1"/>
      <c r="P1944" s="1"/>
      <c r="Q1944" s="1"/>
      <c r="R1944" s="1"/>
    </row>
    <row r="1945" spans="2:18">
      <c r="C1945" s="2" t="s">
        <v>18</v>
      </c>
      <c r="D1945" s="2" t="s">
        <v>448</v>
      </c>
      <c r="E1945" s="3">
        <v>40</v>
      </c>
      <c r="F1945" s="3">
        <v>3.75</v>
      </c>
      <c r="G1945" s="4">
        <v>44176</v>
      </c>
      <c r="M1945" s="1"/>
      <c r="N1945" s="1"/>
      <c r="O1945" s="1"/>
      <c r="P1945" s="1"/>
      <c r="Q1945" s="1"/>
      <c r="R1945" s="1"/>
    </row>
    <row r="1946" spans="2:18">
      <c r="C1946" s="92" t="s">
        <v>7</v>
      </c>
      <c r="D1946" s="92" t="s">
        <v>2076</v>
      </c>
      <c r="E1946" s="3">
        <v>100</v>
      </c>
      <c r="F1946" s="3">
        <f>70/5</f>
        <v>14</v>
      </c>
      <c r="G1946" s="4">
        <v>44937</v>
      </c>
      <c r="I1946" s="1">
        <v>900</v>
      </c>
      <c r="J1946" s="1">
        <v>900</v>
      </c>
      <c r="M1946" s="1"/>
      <c r="N1946" s="1"/>
      <c r="O1946" s="1"/>
      <c r="P1946" s="1"/>
      <c r="Q1946" s="1"/>
      <c r="R1946" s="1"/>
    </row>
    <row r="1947" spans="2:18">
      <c r="G1947" s="4"/>
      <c r="M1947" s="1"/>
      <c r="N1947" s="1"/>
      <c r="O1947" s="1"/>
      <c r="P1947" s="1"/>
      <c r="Q1947" s="1"/>
      <c r="R1947" s="1"/>
    </row>
    <row r="1948" spans="2:18">
      <c r="B1948" s="12" t="s">
        <v>5905</v>
      </c>
      <c r="C1948" s="13" t="s">
        <v>969</v>
      </c>
      <c r="D1948" s="13" t="s">
        <v>968</v>
      </c>
      <c r="E1948" s="15"/>
      <c r="F1948" s="15">
        <f>SUM(F1949:F1958)</f>
        <v>36.308333333333337</v>
      </c>
      <c r="G1948" s="14">
        <f>G1952</f>
        <v>44881</v>
      </c>
      <c r="I1948" s="176" t="s">
        <v>6707</v>
      </c>
    </row>
    <row r="1949" spans="2:18">
      <c r="B1949" s="91"/>
      <c r="C1949" s="92" t="s">
        <v>7</v>
      </c>
      <c r="D1949" s="92" t="s">
        <v>2069</v>
      </c>
      <c r="E1949" s="3">
        <v>60</v>
      </c>
      <c r="F1949" s="3">
        <v>10</v>
      </c>
      <c r="G1949" s="4">
        <v>44278</v>
      </c>
    </row>
    <row r="1950" spans="2:18">
      <c r="C1950" s="92" t="s">
        <v>5</v>
      </c>
      <c r="D1950" s="92" t="s">
        <v>2069</v>
      </c>
      <c r="E1950" s="3">
        <v>20</v>
      </c>
      <c r="F1950" s="3">
        <v>5</v>
      </c>
      <c r="G1950" s="4">
        <v>43992</v>
      </c>
    </row>
    <row r="1951" spans="2:18">
      <c r="C1951" s="92" t="s">
        <v>4</v>
      </c>
      <c r="D1951" s="92" t="s">
        <v>2069</v>
      </c>
      <c r="E1951" s="3">
        <v>5</v>
      </c>
      <c r="F1951" s="3">
        <v>1</v>
      </c>
      <c r="G1951" s="4">
        <v>43466</v>
      </c>
    </row>
    <row r="1952" spans="2:18">
      <c r="C1952" s="153" t="s">
        <v>7</v>
      </c>
      <c r="D1952" s="153" t="s">
        <v>2037</v>
      </c>
      <c r="E1952" s="3">
        <v>30</v>
      </c>
      <c r="F1952" s="3">
        <v>5</v>
      </c>
      <c r="G1952" s="4">
        <v>44881</v>
      </c>
    </row>
    <row r="1953" spans="2:18">
      <c r="C1953" s="153" t="s">
        <v>5</v>
      </c>
      <c r="D1953" s="153" t="s">
        <v>2037</v>
      </c>
      <c r="E1953" s="3">
        <v>11</v>
      </c>
      <c r="F1953" s="3">
        <f>7/4</f>
        <v>1.75</v>
      </c>
      <c r="G1953" s="4">
        <v>44174</v>
      </c>
    </row>
    <row r="1954" spans="2:18">
      <c r="C1954" s="153" t="s">
        <v>4</v>
      </c>
      <c r="D1954" s="153" t="s">
        <v>2037</v>
      </c>
      <c r="E1954" s="3">
        <v>2.9</v>
      </c>
      <c r="F1954" s="3">
        <v>1</v>
      </c>
      <c r="G1954" s="4">
        <v>43221</v>
      </c>
    </row>
    <row r="1955" spans="2:18">
      <c r="C1955" s="177" t="s">
        <v>5</v>
      </c>
      <c r="D1955" s="177" t="s">
        <v>2028</v>
      </c>
      <c r="E1955" s="3">
        <v>18.5</v>
      </c>
      <c r="F1955" s="3">
        <f>E1955/4</f>
        <v>4.625</v>
      </c>
      <c r="G1955" s="4">
        <v>44561</v>
      </c>
    </row>
    <row r="1956" spans="2:18">
      <c r="C1956" s="177" t="s">
        <v>4</v>
      </c>
      <c r="D1956" s="177" t="s">
        <v>2028</v>
      </c>
      <c r="E1956" s="3">
        <v>5.8</v>
      </c>
      <c r="F1956" s="3">
        <f>E1956/3</f>
        <v>1.9333333333333333</v>
      </c>
      <c r="G1956" s="4">
        <v>44348</v>
      </c>
    </row>
    <row r="1957" spans="2:18">
      <c r="C1957" s="177" t="s">
        <v>5</v>
      </c>
      <c r="D1957" s="177" t="s">
        <v>2027</v>
      </c>
      <c r="E1957" s="3">
        <v>21</v>
      </c>
      <c r="F1957" s="3">
        <v>3</v>
      </c>
      <c r="G1957" s="4">
        <v>44334</v>
      </c>
    </row>
    <row r="1958" spans="2:18">
      <c r="C1958" s="177" t="s">
        <v>4</v>
      </c>
      <c r="D1958" s="177" t="s">
        <v>2027</v>
      </c>
      <c r="E1958" s="3">
        <v>5</v>
      </c>
      <c r="F1958" s="3">
        <v>3</v>
      </c>
      <c r="G1958" s="4">
        <v>44105</v>
      </c>
    </row>
    <row r="1959" spans="2:18">
      <c r="C1959" s="92"/>
      <c r="D1959" s="92"/>
      <c r="G1959" s="4"/>
    </row>
    <row r="1960" spans="2:18" s="12" customFormat="1">
      <c r="B1960" s="12" t="s">
        <v>858</v>
      </c>
      <c r="C1960" s="13" t="s">
        <v>969</v>
      </c>
      <c r="D1960" s="13" t="s">
        <v>968</v>
      </c>
      <c r="E1960" s="15"/>
      <c r="F1960" s="15">
        <f>SUM(F1961:F1963)</f>
        <v>36</v>
      </c>
      <c r="G1960" s="14">
        <f>G1961</f>
        <v>44860</v>
      </c>
      <c r="M1960" s="13"/>
      <c r="N1960" s="13"/>
      <c r="O1960" s="13"/>
      <c r="P1960" s="13"/>
      <c r="Q1960" s="13"/>
      <c r="R1960" s="13"/>
    </row>
    <row r="1961" spans="2:18">
      <c r="C1961" s="2" t="s">
        <v>5</v>
      </c>
      <c r="D1961" s="2" t="s">
        <v>642</v>
      </c>
      <c r="E1961" s="3">
        <v>12</v>
      </c>
      <c r="F1961" s="3">
        <v>3</v>
      </c>
      <c r="G1961" s="4">
        <v>44860</v>
      </c>
    </row>
    <row r="1962" spans="2:18">
      <c r="C1962" s="2" t="s">
        <v>7</v>
      </c>
      <c r="D1962" s="2" t="s">
        <v>208</v>
      </c>
      <c r="E1962" s="3">
        <v>150</v>
      </c>
      <c r="F1962" s="3">
        <v>20</v>
      </c>
      <c r="G1962" s="4">
        <v>43556</v>
      </c>
    </row>
    <row r="1963" spans="2:18">
      <c r="C1963" s="2" t="s">
        <v>5</v>
      </c>
      <c r="D1963" s="2" t="s">
        <v>208</v>
      </c>
      <c r="E1963" s="3">
        <v>56</v>
      </c>
      <c r="F1963" s="3">
        <v>13</v>
      </c>
      <c r="G1963" s="4">
        <v>43174</v>
      </c>
    </row>
    <row r="1964" spans="2:18">
      <c r="G1964" s="4"/>
    </row>
    <row r="1965" spans="2:18" s="12" customFormat="1">
      <c r="B1965" s="12" t="s">
        <v>611</v>
      </c>
      <c r="C1965" s="13" t="s">
        <v>969</v>
      </c>
      <c r="D1965" s="13" t="s">
        <v>968</v>
      </c>
      <c r="E1965" s="15"/>
      <c r="F1965" s="15">
        <f>SUM(F1966:F1972)</f>
        <v>36.244444444444447</v>
      </c>
      <c r="G1965" s="14">
        <f>+G1969</f>
        <v>45124</v>
      </c>
    </row>
    <row r="1966" spans="2:18">
      <c r="C1966" s="2" t="s">
        <v>9</v>
      </c>
      <c r="D1966" s="2" t="s">
        <v>606</v>
      </c>
      <c r="E1966" s="3">
        <v>132</v>
      </c>
      <c r="F1966" s="3">
        <f>72/10</f>
        <v>7.2</v>
      </c>
      <c r="G1966" s="4">
        <v>44215</v>
      </c>
      <c r="I1966" s="1">
        <v>1400</v>
      </c>
      <c r="J1966" s="1">
        <v>1200</v>
      </c>
      <c r="M1966" s="1"/>
      <c r="N1966" s="1"/>
      <c r="O1966" s="1"/>
      <c r="P1966" s="1"/>
      <c r="Q1966" s="1"/>
      <c r="R1966" s="1"/>
    </row>
    <row r="1967" spans="2:18">
      <c r="C1967" s="2" t="s">
        <v>18</v>
      </c>
      <c r="D1967" s="2" t="s">
        <v>606</v>
      </c>
      <c r="E1967" s="3">
        <v>48</v>
      </c>
      <c r="F1967" s="3">
        <v>4</v>
      </c>
      <c r="G1967" s="4">
        <v>43888</v>
      </c>
      <c r="J1967" s="1">
        <v>1200</v>
      </c>
      <c r="M1967" s="1"/>
      <c r="N1967" s="1"/>
      <c r="O1967" s="1"/>
      <c r="P1967" s="1"/>
      <c r="Q1967" s="1"/>
      <c r="R1967" s="1"/>
    </row>
    <row r="1968" spans="2:18">
      <c r="C1968" s="2" t="s">
        <v>7</v>
      </c>
      <c r="D1968" s="2" t="s">
        <v>606</v>
      </c>
      <c r="E1968" s="3">
        <v>25</v>
      </c>
      <c r="F1968" s="3">
        <v>5</v>
      </c>
      <c r="G1968" s="4">
        <v>43440</v>
      </c>
      <c r="J1968" s="1">
        <v>1200</v>
      </c>
      <c r="M1968" s="1"/>
      <c r="N1968" s="1"/>
      <c r="O1968" s="1"/>
      <c r="P1968" s="1"/>
      <c r="Q1968" s="1"/>
      <c r="R1968" s="1"/>
    </row>
    <row r="1969" spans="2:18">
      <c r="C1969" s="265" t="s">
        <v>7929</v>
      </c>
      <c r="D1969" s="2" t="s">
        <v>606</v>
      </c>
      <c r="E1969" s="3">
        <v>59</v>
      </c>
      <c r="F1969" s="3">
        <f>59/9</f>
        <v>6.5555555555555554</v>
      </c>
      <c r="G1969" s="4">
        <v>45124</v>
      </c>
      <c r="I1969" s="1">
        <v>1200</v>
      </c>
      <c r="J1969" s="1">
        <v>1200</v>
      </c>
      <c r="M1969" s="1"/>
      <c r="N1969" s="1"/>
      <c r="O1969" s="1"/>
      <c r="P1969" s="1"/>
      <c r="Q1969" s="1"/>
      <c r="R1969" s="1"/>
    </row>
    <row r="1970" spans="2:18">
      <c r="C1970" s="2" t="s">
        <v>5</v>
      </c>
      <c r="D1970" s="2" t="s">
        <v>258</v>
      </c>
      <c r="E1970" s="3">
        <v>3.5</v>
      </c>
      <c r="F1970" s="3">
        <f>+E1970/9</f>
        <v>0.3888888888888889</v>
      </c>
      <c r="G1970" s="4">
        <v>42979</v>
      </c>
      <c r="M1970" s="1"/>
      <c r="N1970" s="1"/>
      <c r="O1970" s="1"/>
      <c r="P1970" s="1"/>
      <c r="Q1970" s="1"/>
      <c r="R1970" s="1"/>
    </row>
    <row r="1971" spans="2:18">
      <c r="C1971" s="2" t="s">
        <v>8</v>
      </c>
      <c r="D1971" s="2" t="s">
        <v>176</v>
      </c>
      <c r="E1971" s="3">
        <v>130</v>
      </c>
      <c r="F1971" s="3">
        <v>12</v>
      </c>
      <c r="G1971" s="4">
        <v>42080</v>
      </c>
      <c r="M1971" s="1"/>
      <c r="N1971" s="1"/>
      <c r="O1971" s="1"/>
      <c r="P1971" s="1"/>
      <c r="Q1971" s="1"/>
      <c r="R1971" s="1"/>
    </row>
    <row r="1972" spans="2:18">
      <c r="C1972" s="2" t="s">
        <v>5</v>
      </c>
      <c r="D1972" s="2" t="s">
        <v>176</v>
      </c>
      <c r="E1972" s="3">
        <v>1.1000000000000001</v>
      </c>
      <c r="F1972" s="3">
        <v>1.1000000000000001</v>
      </c>
      <c r="G1972" s="4">
        <v>40750</v>
      </c>
      <c r="M1972" s="1"/>
      <c r="N1972" s="1"/>
      <c r="O1972" s="1"/>
      <c r="P1972" s="1"/>
      <c r="Q1972" s="1"/>
      <c r="R1972" s="1"/>
    </row>
    <row r="1973" spans="2:18">
      <c r="G1973" s="4"/>
      <c r="M1973" s="1"/>
      <c r="N1973" s="1"/>
      <c r="O1973" s="1"/>
      <c r="P1973" s="1"/>
      <c r="Q1973" s="1"/>
      <c r="R1973" s="1"/>
    </row>
    <row r="1974" spans="2:18" s="12" customFormat="1">
      <c r="B1974" s="12" t="s">
        <v>934</v>
      </c>
      <c r="C1974" s="13" t="s">
        <v>969</v>
      </c>
      <c r="D1974" s="13" t="s">
        <v>968</v>
      </c>
      <c r="E1974" s="15"/>
      <c r="F1974" s="15">
        <f>SUM(F1975:F1977)</f>
        <v>35</v>
      </c>
      <c r="G1974" s="14">
        <f>G1975</f>
        <v>44671</v>
      </c>
      <c r="M1974" s="13"/>
      <c r="N1974" s="13"/>
      <c r="O1974" s="13"/>
      <c r="P1974" s="13"/>
      <c r="Q1974" s="13"/>
      <c r="R1974" s="13"/>
    </row>
    <row r="1975" spans="2:18">
      <c r="C1975" s="2" t="s">
        <v>5</v>
      </c>
      <c r="D1975" s="2" t="s">
        <v>843</v>
      </c>
      <c r="E1975" s="3">
        <v>44</v>
      </c>
      <c r="F1975" s="3">
        <v>10</v>
      </c>
      <c r="G1975" s="4">
        <v>44671</v>
      </c>
    </row>
    <row r="1976" spans="2:18">
      <c r="C1976" s="2" t="s">
        <v>18</v>
      </c>
      <c r="D1976" s="2" t="s">
        <v>39</v>
      </c>
      <c r="E1976" s="3">
        <v>100</v>
      </c>
      <c r="F1976" s="3">
        <f>60/4</f>
        <v>15</v>
      </c>
      <c r="G1976" s="4">
        <v>44025</v>
      </c>
    </row>
    <row r="1977" spans="2:18">
      <c r="C1977" s="2" t="s">
        <v>7</v>
      </c>
      <c r="D1977" s="2" t="s">
        <v>39</v>
      </c>
      <c r="E1977" s="3">
        <f>42</f>
        <v>42</v>
      </c>
      <c r="F1977" s="3">
        <v>10</v>
      </c>
      <c r="G1977" s="4">
        <v>43144</v>
      </c>
    </row>
    <row r="1979" spans="2:18">
      <c r="B1979" s="12" t="s">
        <v>5005</v>
      </c>
      <c r="C1979" s="13" t="s">
        <v>969</v>
      </c>
      <c r="D1979" s="13" t="s">
        <v>968</v>
      </c>
      <c r="F1979" s="15">
        <f>SUM(F1980:F1988)</f>
        <v>35.43333333333333</v>
      </c>
      <c r="G1979" s="14">
        <f>G1983</f>
        <v>45062</v>
      </c>
      <c r="M1979" s="92" t="s">
        <v>5411</v>
      </c>
    </row>
    <row r="1980" spans="2:18">
      <c r="C1980" s="2" t="s">
        <v>7</v>
      </c>
      <c r="D1980" s="2" t="s">
        <v>1011</v>
      </c>
      <c r="E1980" s="3">
        <v>43</v>
      </c>
      <c r="F1980" s="3">
        <v>6</v>
      </c>
      <c r="G1980" s="4">
        <v>44978</v>
      </c>
    </row>
    <row r="1981" spans="2:18">
      <c r="C1981" s="2" t="s">
        <v>4</v>
      </c>
      <c r="D1981" s="2" t="s">
        <v>771</v>
      </c>
      <c r="E1981" s="3">
        <v>10</v>
      </c>
      <c r="F1981" s="3">
        <v>1</v>
      </c>
      <c r="G1981" s="4">
        <v>44858</v>
      </c>
      <c r="I1981" s="91" t="s">
        <v>5986</v>
      </c>
    </row>
    <row r="1982" spans="2:18">
      <c r="C1982" s="2" t="s">
        <v>4</v>
      </c>
      <c r="D1982" s="2" t="s">
        <v>771</v>
      </c>
      <c r="E1982" s="3">
        <v>4.5999999999999996</v>
      </c>
      <c r="F1982" s="3">
        <v>2</v>
      </c>
      <c r="G1982" s="4">
        <v>44530</v>
      </c>
    </row>
    <row r="1983" spans="2:18">
      <c r="C1983" s="2" t="s">
        <v>4</v>
      </c>
      <c r="D1983" s="2" t="s">
        <v>807</v>
      </c>
      <c r="E1983" s="3">
        <v>5</v>
      </c>
      <c r="F1983" s="3">
        <f>5/3</f>
        <v>1.6666666666666667</v>
      </c>
      <c r="G1983" s="4">
        <v>45062</v>
      </c>
    </row>
    <row r="1984" spans="2:18">
      <c r="C1984" s="2" t="s">
        <v>5</v>
      </c>
      <c r="D1984" s="2" t="s">
        <v>1017</v>
      </c>
      <c r="E1984" s="3">
        <v>10.6</v>
      </c>
      <c r="F1984" s="3">
        <v>3</v>
      </c>
      <c r="G1984" s="4">
        <v>44819</v>
      </c>
    </row>
    <row r="1985" spans="2:18">
      <c r="C1985" s="92" t="s">
        <v>7</v>
      </c>
      <c r="D1985" s="92" t="s">
        <v>5405</v>
      </c>
      <c r="E1985" s="3">
        <v>13.5</v>
      </c>
      <c r="F1985" s="3">
        <f>8/3</f>
        <v>2.6666666666666665</v>
      </c>
      <c r="G1985" s="4">
        <v>43320</v>
      </c>
      <c r="J1985" s="1">
        <v>2000</v>
      </c>
    </row>
    <row r="1986" spans="2:18">
      <c r="C1986" s="92" t="s">
        <v>5</v>
      </c>
      <c r="D1986" s="92" t="s">
        <v>5405</v>
      </c>
      <c r="E1986" s="3">
        <v>18.100000000000001</v>
      </c>
      <c r="F1986" s="3">
        <v>8.1</v>
      </c>
      <c r="G1986" s="4">
        <v>42719</v>
      </c>
      <c r="J1986" s="1">
        <v>2000</v>
      </c>
    </row>
    <row r="1987" spans="2:18">
      <c r="C1987" s="92" t="s">
        <v>7</v>
      </c>
      <c r="D1987" s="92" t="s">
        <v>5988</v>
      </c>
      <c r="E1987" s="3">
        <v>50</v>
      </c>
      <c r="F1987" s="3">
        <v>7</v>
      </c>
      <c r="G1987" s="4">
        <v>44670</v>
      </c>
      <c r="J1987" s="1">
        <v>250</v>
      </c>
    </row>
    <row r="1988" spans="2:18">
      <c r="C1988" s="92" t="s">
        <v>5</v>
      </c>
      <c r="D1988" s="92" t="s">
        <v>5988</v>
      </c>
      <c r="E1988" s="3">
        <v>12</v>
      </c>
      <c r="F1988" s="3">
        <v>4</v>
      </c>
      <c r="G1988" s="4">
        <v>43941</v>
      </c>
      <c r="J1988" s="1">
        <v>250</v>
      </c>
    </row>
    <row r="1989" spans="2:18">
      <c r="G1989" s="4"/>
    </row>
    <row r="1990" spans="2:18" s="12" customFormat="1">
      <c r="B1990" s="12" t="s">
        <v>69</v>
      </c>
      <c r="C1990" s="13" t="s">
        <v>969</v>
      </c>
      <c r="D1990" s="13" t="s">
        <v>968</v>
      </c>
      <c r="E1990" s="15"/>
      <c r="F1990" s="15">
        <f>SUM(F1991:F1992)</f>
        <v>35</v>
      </c>
      <c r="G1990" s="14">
        <f>G1991</f>
        <v>44550</v>
      </c>
      <c r="M1990" s="13"/>
      <c r="N1990" s="13"/>
      <c r="O1990" s="13"/>
      <c r="P1990" s="13"/>
      <c r="Q1990" s="13"/>
      <c r="R1990" s="13"/>
    </row>
    <row r="1991" spans="2:18">
      <c r="C1991" s="2" t="s">
        <v>7</v>
      </c>
      <c r="D1991" s="2" t="s">
        <v>64</v>
      </c>
      <c r="E1991" s="3">
        <f>1600/7</f>
        <v>228.57142857142858</v>
      </c>
      <c r="F1991" s="3">
        <v>30</v>
      </c>
      <c r="G1991" s="4">
        <v>44550</v>
      </c>
    </row>
    <row r="1992" spans="2:18">
      <c r="D1992" s="2" t="s">
        <v>64</v>
      </c>
      <c r="E1992" s="3">
        <v>50</v>
      </c>
      <c r="F1992" s="3">
        <f>20/4</f>
        <v>5</v>
      </c>
      <c r="G1992" s="4">
        <v>44165</v>
      </c>
    </row>
    <row r="1993" spans="2:18">
      <c r="G1993" s="4"/>
    </row>
    <row r="1994" spans="2:18" s="12" customFormat="1">
      <c r="B1994" s="12" t="s">
        <v>129</v>
      </c>
      <c r="C1994" s="13" t="s">
        <v>969</v>
      </c>
      <c r="D1994" s="13" t="s">
        <v>968</v>
      </c>
      <c r="E1994" s="15"/>
      <c r="F1994" s="15">
        <f>SUM(F1995:F1997)</f>
        <v>34.5</v>
      </c>
      <c r="G1994" s="14">
        <f>G1995</f>
        <v>45008</v>
      </c>
      <c r="M1994" s="13"/>
      <c r="N1994" s="13"/>
      <c r="O1994" s="13"/>
      <c r="P1994" s="13"/>
      <c r="Q1994" s="13"/>
      <c r="R1994" s="13"/>
    </row>
    <row r="1995" spans="2:18">
      <c r="C1995" s="2" t="s">
        <v>7</v>
      </c>
      <c r="D1995" s="2" t="s">
        <v>128</v>
      </c>
      <c r="E1995" s="3">
        <v>23.5</v>
      </c>
      <c r="F1995" s="3">
        <f>14/4</f>
        <v>3.5</v>
      </c>
      <c r="G1995" s="4">
        <v>45008</v>
      </c>
    </row>
    <row r="1996" spans="2:18">
      <c r="C1996" s="2" t="s">
        <v>504</v>
      </c>
      <c r="D1996" s="2" t="s">
        <v>3934</v>
      </c>
      <c r="E1996" s="3">
        <v>56</v>
      </c>
      <c r="F1996" s="3">
        <f>E1996/2</f>
        <v>28</v>
      </c>
      <c r="G1996" s="4">
        <v>41183</v>
      </c>
    </row>
    <row r="1997" spans="2:18">
      <c r="C1997" s="52" t="s">
        <v>7</v>
      </c>
      <c r="D1997" s="52" t="s">
        <v>2116</v>
      </c>
      <c r="E1997" s="3">
        <v>40</v>
      </c>
      <c r="F1997" s="3">
        <v>3</v>
      </c>
      <c r="G1997" s="4">
        <v>43720</v>
      </c>
      <c r="J1997" s="1">
        <v>3400</v>
      </c>
    </row>
    <row r="1998" spans="2:18">
      <c r="G1998" s="4"/>
    </row>
    <row r="1999" spans="2:18" s="12" customFormat="1">
      <c r="B1999" s="12" t="s">
        <v>497</v>
      </c>
      <c r="C1999" s="13" t="s">
        <v>969</v>
      </c>
      <c r="D1999" s="13" t="s">
        <v>968</v>
      </c>
      <c r="E1999" s="15"/>
      <c r="F1999" s="15">
        <f>SUM(F2000:F2001)</f>
        <v>34</v>
      </c>
      <c r="G1999" s="14">
        <f>G2000</f>
        <v>43725</v>
      </c>
    </row>
    <row r="2000" spans="2:18">
      <c r="C2000" s="2" t="s">
        <v>9</v>
      </c>
      <c r="D2000" s="2" t="s">
        <v>489</v>
      </c>
      <c r="E2000" s="3">
        <v>206</v>
      </c>
      <c r="F2000" s="3">
        <v>14</v>
      </c>
      <c r="G2000" s="4">
        <v>43725</v>
      </c>
      <c r="M2000" s="1"/>
      <c r="N2000" s="1"/>
      <c r="O2000" s="1"/>
      <c r="P2000" s="1"/>
      <c r="Q2000" s="1"/>
      <c r="R2000" s="1"/>
    </row>
    <row r="2001" spans="2:18">
      <c r="C2001" s="2" t="s">
        <v>8</v>
      </c>
      <c r="D2001" s="2" t="s">
        <v>489</v>
      </c>
      <c r="E2001" s="3">
        <v>100</v>
      </c>
      <c r="F2001" s="3">
        <v>20</v>
      </c>
      <c r="G2001" s="4">
        <v>43397</v>
      </c>
      <c r="M2001" s="1"/>
      <c r="N2001" s="1"/>
      <c r="O2001" s="1"/>
      <c r="P2001" s="1"/>
      <c r="Q2001" s="1"/>
      <c r="R2001" s="1"/>
    </row>
    <row r="2002" spans="2:18">
      <c r="G2002" s="4"/>
      <c r="M2002" s="1"/>
      <c r="N2002" s="1"/>
      <c r="O2002" s="1"/>
      <c r="P2002" s="1"/>
      <c r="Q2002" s="1"/>
      <c r="R2002" s="1"/>
    </row>
    <row r="2003" spans="2:18" s="12" customFormat="1">
      <c r="B2003" s="12" t="s">
        <v>5000</v>
      </c>
      <c r="C2003" s="13" t="s">
        <v>969</v>
      </c>
      <c r="D2003" s="13" t="s">
        <v>968</v>
      </c>
      <c r="E2003" s="15"/>
      <c r="F2003" s="15">
        <f>SUM(F2004:F2005)</f>
        <v>34</v>
      </c>
      <c r="G2003" s="14">
        <f>G2004</f>
        <v>44474</v>
      </c>
      <c r="M2003" s="13"/>
      <c r="N2003" s="13"/>
      <c r="O2003" s="13"/>
      <c r="P2003" s="13"/>
      <c r="Q2003" s="13"/>
      <c r="R2003" s="13"/>
    </row>
    <row r="2004" spans="2:18">
      <c r="B2004" s="54"/>
      <c r="C2004" s="55" t="s">
        <v>53</v>
      </c>
      <c r="D2004" s="55" t="s">
        <v>4995</v>
      </c>
      <c r="E2004" s="3">
        <v>100</v>
      </c>
      <c r="F2004" s="3">
        <v>14</v>
      </c>
      <c r="G2004" s="4">
        <v>44474</v>
      </c>
    </row>
    <row r="2005" spans="2:18">
      <c r="C2005" s="55" t="s">
        <v>9</v>
      </c>
      <c r="D2005" s="55" t="s">
        <v>4995</v>
      </c>
      <c r="E2005" s="3">
        <v>43</v>
      </c>
      <c r="F2005" s="3">
        <v>20</v>
      </c>
      <c r="G2005" s="4">
        <v>43992</v>
      </c>
    </row>
    <row r="2006" spans="2:18">
      <c r="C2006" s="55"/>
      <c r="D2006" s="55"/>
      <c r="G2006" s="4"/>
    </row>
    <row r="2007" spans="2:18" s="12" customFormat="1">
      <c r="B2007" s="12" t="s">
        <v>322</v>
      </c>
      <c r="C2007" s="13" t="s">
        <v>969</v>
      </c>
      <c r="D2007" s="13" t="s">
        <v>968</v>
      </c>
      <c r="E2007" s="15"/>
      <c r="F2007" s="15">
        <f>SUM(F2008:F2009)</f>
        <v>33.75</v>
      </c>
      <c r="G2007" s="14">
        <f>G2009</f>
        <v>44867</v>
      </c>
    </row>
    <row r="2008" spans="2:18">
      <c r="C2008" s="2" t="s">
        <v>7</v>
      </c>
      <c r="D2008" s="2" t="s">
        <v>318</v>
      </c>
      <c r="E2008" s="3">
        <v>55</v>
      </c>
      <c r="F2008" s="3">
        <v>25</v>
      </c>
      <c r="G2008" s="4">
        <v>44200</v>
      </c>
      <c r="L2008" s="1">
        <f>+F2008*5</f>
        <v>125</v>
      </c>
      <c r="M2008" s="1"/>
      <c r="N2008" s="1"/>
      <c r="O2008" s="1"/>
      <c r="P2008" s="1"/>
      <c r="Q2008" s="1"/>
      <c r="R2008" s="1"/>
    </row>
    <row r="2009" spans="2:18">
      <c r="C2009" s="2" t="s">
        <v>18</v>
      </c>
      <c r="D2009" s="2" t="s">
        <v>318</v>
      </c>
      <c r="E2009" s="3">
        <v>91</v>
      </c>
      <c r="F2009" s="3">
        <f>70/8</f>
        <v>8.75</v>
      </c>
      <c r="G2009" s="4">
        <v>44867</v>
      </c>
      <c r="M2009" s="1"/>
      <c r="N2009" s="1"/>
      <c r="O2009" s="1"/>
      <c r="P2009" s="1"/>
      <c r="Q2009" s="1"/>
      <c r="R2009" s="1"/>
    </row>
    <row r="2010" spans="2:18">
      <c r="C2010" s="52" t="s">
        <v>18</v>
      </c>
      <c r="D2010" s="52" t="s">
        <v>2118</v>
      </c>
      <c r="E2010" s="3">
        <v>300</v>
      </c>
      <c r="F2010" s="3">
        <f>200/14</f>
        <v>14.285714285714286</v>
      </c>
      <c r="G2010" s="4">
        <v>44300</v>
      </c>
      <c r="M2010" s="1"/>
      <c r="N2010" s="1"/>
      <c r="O2010" s="1"/>
      <c r="P2010" s="1"/>
      <c r="Q2010" s="1"/>
      <c r="R2010" s="1"/>
    </row>
    <row r="2011" spans="2:18">
      <c r="G2011" s="4"/>
      <c r="M2011" s="1"/>
      <c r="N2011" s="1"/>
      <c r="O2011" s="1"/>
      <c r="P2011" s="1"/>
      <c r="Q2011" s="1"/>
      <c r="R2011" s="1"/>
    </row>
    <row r="2012" spans="2:18" s="12" customFormat="1">
      <c r="B2012" s="12" t="s">
        <v>955</v>
      </c>
      <c r="C2012" s="13" t="s">
        <v>969</v>
      </c>
      <c r="D2012" s="13" t="s">
        <v>968</v>
      </c>
      <c r="E2012" s="15"/>
      <c r="F2012" s="15">
        <f>SUM(F2013:F2014)</f>
        <v>33.523809523809526</v>
      </c>
      <c r="G2012" s="14">
        <f>G2013</f>
        <v>45048</v>
      </c>
      <c r="M2012" s="13"/>
      <c r="N2012" s="13"/>
      <c r="O2012" s="13"/>
      <c r="P2012" s="13"/>
      <c r="Q2012" s="13"/>
      <c r="R2012" s="13"/>
    </row>
    <row r="2013" spans="2:18">
      <c r="C2013" s="2" t="s">
        <v>18</v>
      </c>
      <c r="D2013" s="2" t="s">
        <v>952</v>
      </c>
      <c r="E2013" s="3">
        <v>270</v>
      </c>
      <c r="F2013" s="3">
        <v>24</v>
      </c>
      <c r="G2013" s="4">
        <v>45048</v>
      </c>
    </row>
    <row r="2014" spans="2:18">
      <c r="C2014" s="2" t="s">
        <v>9</v>
      </c>
      <c r="D2014" s="2" t="s">
        <v>22</v>
      </c>
      <c r="E2014" s="3">
        <v>222</v>
      </c>
      <c r="F2014" s="3">
        <f>200/21</f>
        <v>9.5238095238095237</v>
      </c>
      <c r="G2014" s="4">
        <v>44194</v>
      </c>
      <c r="I2014" s="1">
        <v>2500</v>
      </c>
      <c r="J2014" s="1">
        <v>2500</v>
      </c>
    </row>
    <row r="2015" spans="2:18">
      <c r="G2015" s="4"/>
    </row>
    <row r="2016" spans="2:18" s="12" customFormat="1">
      <c r="B2016" s="12" t="s">
        <v>56</v>
      </c>
      <c r="C2016" s="13" t="s">
        <v>969</v>
      </c>
      <c r="D2016" s="13" t="s">
        <v>968</v>
      </c>
      <c r="E2016" s="15"/>
      <c r="F2016" s="15">
        <f>SUM(F2017:F2020)</f>
        <v>33.75</v>
      </c>
      <c r="G2016" s="14">
        <f>G2017</f>
        <v>44055</v>
      </c>
      <c r="M2016" s="13"/>
      <c r="N2016" s="13"/>
      <c r="O2016" s="13"/>
      <c r="P2016" s="13"/>
      <c r="Q2016" s="13"/>
      <c r="R2016" s="13"/>
    </row>
    <row r="2017" spans="2:18">
      <c r="C2017" s="2" t="s">
        <v>8</v>
      </c>
      <c r="D2017" s="2" t="s">
        <v>55</v>
      </c>
      <c r="E2017" s="3">
        <v>200</v>
      </c>
      <c r="F2017" s="3">
        <v>18.75</v>
      </c>
      <c r="G2017" s="4">
        <v>44055</v>
      </c>
      <c r="I2017" s="1">
        <v>2000</v>
      </c>
      <c r="J2017" s="1">
        <v>7000</v>
      </c>
    </row>
    <row r="2018" spans="2:18">
      <c r="C2018" s="2" t="s">
        <v>18</v>
      </c>
      <c r="D2018" s="2" t="s">
        <v>55</v>
      </c>
      <c r="E2018" s="3">
        <v>65</v>
      </c>
      <c r="F2018" s="3">
        <v>8</v>
      </c>
      <c r="G2018" s="4">
        <v>43802</v>
      </c>
      <c r="I2018" s="1">
        <v>685</v>
      </c>
      <c r="J2018" s="1">
        <v>7000</v>
      </c>
    </row>
    <row r="2019" spans="2:18">
      <c r="C2019" s="2" t="s">
        <v>7</v>
      </c>
      <c r="D2019" s="2" t="s">
        <v>55</v>
      </c>
      <c r="E2019" s="3">
        <v>20</v>
      </c>
      <c r="F2019" s="3">
        <v>5</v>
      </c>
      <c r="G2019" s="4">
        <v>42898</v>
      </c>
      <c r="J2019" s="1">
        <v>7000</v>
      </c>
    </row>
    <row r="2020" spans="2:18">
      <c r="C2020" s="241" t="s">
        <v>4</v>
      </c>
      <c r="D2020" s="241" t="s">
        <v>2014</v>
      </c>
      <c r="E2020" s="3">
        <v>12</v>
      </c>
      <c r="F2020" s="3">
        <v>2</v>
      </c>
      <c r="G2020" s="4">
        <v>43872</v>
      </c>
    </row>
    <row r="2021" spans="2:18">
      <c r="G2021" s="4"/>
    </row>
    <row r="2022" spans="2:18" s="12" customFormat="1">
      <c r="B2022" s="12" t="s">
        <v>931</v>
      </c>
      <c r="C2022" s="13" t="s">
        <v>969</v>
      </c>
      <c r="D2022" s="13" t="s">
        <v>968</v>
      </c>
      <c r="E2022" s="15"/>
      <c r="F2022" s="15">
        <f>SUM(F2023:F2025)</f>
        <v>34</v>
      </c>
      <c r="G2022" s="14">
        <f>G2023</f>
        <v>44392</v>
      </c>
      <c r="M2022" s="13"/>
      <c r="N2022" s="13"/>
      <c r="O2022" s="13"/>
      <c r="P2022" s="13"/>
      <c r="Q2022" s="13"/>
      <c r="R2022" s="13"/>
    </row>
    <row r="2023" spans="2:18">
      <c r="C2023" s="2" t="s">
        <v>5</v>
      </c>
      <c r="D2023" s="2" t="s">
        <v>695</v>
      </c>
      <c r="E2023" s="3">
        <v>20</v>
      </c>
      <c r="F2023" s="3">
        <v>10</v>
      </c>
      <c r="G2023" s="4">
        <v>44392</v>
      </c>
    </row>
    <row r="2024" spans="2:18">
      <c r="C2024" s="2" t="s">
        <v>8</v>
      </c>
      <c r="D2024" s="2" t="s">
        <v>176</v>
      </c>
      <c r="E2024" s="3">
        <v>130</v>
      </c>
      <c r="F2024" s="3">
        <v>12</v>
      </c>
      <c r="G2024" s="4">
        <v>42080</v>
      </c>
    </row>
    <row r="2025" spans="2:18">
      <c r="C2025" s="2" t="s">
        <v>18</v>
      </c>
      <c r="D2025" s="2" t="s">
        <v>102</v>
      </c>
      <c r="E2025" s="3">
        <v>24</v>
      </c>
      <c r="F2025" s="3">
        <v>12</v>
      </c>
      <c r="G2025" s="4">
        <v>41921</v>
      </c>
    </row>
    <row r="2026" spans="2:18">
      <c r="G2026" s="4"/>
    </row>
    <row r="2027" spans="2:18" s="12" customFormat="1">
      <c r="B2027" s="12" t="s">
        <v>618</v>
      </c>
      <c r="C2027" s="13" t="s">
        <v>969</v>
      </c>
      <c r="D2027" s="13" t="s">
        <v>968</v>
      </c>
      <c r="E2027" s="15"/>
      <c r="F2027" s="15">
        <f>SUM(F2028:F2030)</f>
        <v>32.555555555555557</v>
      </c>
      <c r="G2027" s="14">
        <f>G2029</f>
        <v>45124</v>
      </c>
    </row>
    <row r="2028" spans="2:18">
      <c r="C2028" s="2" t="s">
        <v>9</v>
      </c>
      <c r="D2028" s="2" t="s">
        <v>606</v>
      </c>
      <c r="E2028" s="3">
        <v>132</v>
      </c>
      <c r="F2028" s="3">
        <v>20</v>
      </c>
      <c r="G2028" s="4">
        <v>44215</v>
      </c>
      <c r="I2028" s="1">
        <v>1400</v>
      </c>
      <c r="J2028" s="1">
        <v>1200</v>
      </c>
      <c r="M2028" s="1"/>
      <c r="N2028" s="1"/>
      <c r="O2028" s="1"/>
      <c r="P2028" s="1"/>
      <c r="Q2028" s="1"/>
      <c r="R2028" s="1"/>
    </row>
    <row r="2029" spans="2:18">
      <c r="C2029" s="265" t="s">
        <v>7929</v>
      </c>
      <c r="D2029" s="2" t="s">
        <v>606</v>
      </c>
      <c r="E2029" s="3">
        <v>59</v>
      </c>
      <c r="F2029" s="3">
        <f>59/9</f>
        <v>6.5555555555555554</v>
      </c>
      <c r="G2029" s="4">
        <v>45124</v>
      </c>
      <c r="I2029" s="1">
        <v>1200</v>
      </c>
      <c r="J2029" s="1">
        <v>1200</v>
      </c>
      <c r="M2029" s="1"/>
      <c r="N2029" s="1"/>
      <c r="O2029" s="1"/>
      <c r="P2029" s="1"/>
      <c r="Q2029" s="1"/>
      <c r="R2029" s="1"/>
    </row>
    <row r="2030" spans="2:18">
      <c r="C2030" s="2" t="s">
        <v>8</v>
      </c>
      <c r="D2030" s="2" t="s">
        <v>606</v>
      </c>
      <c r="E2030" s="3">
        <v>42</v>
      </c>
      <c r="F2030" s="3">
        <f>30/5</f>
        <v>6</v>
      </c>
      <c r="G2030" s="4">
        <v>44153</v>
      </c>
      <c r="J2030" s="1">
        <v>1200</v>
      </c>
      <c r="M2030" s="1"/>
      <c r="N2030" s="1"/>
      <c r="O2030" s="1"/>
      <c r="P2030" s="1"/>
      <c r="Q2030" s="1"/>
      <c r="R2030" s="1"/>
    </row>
    <row r="2031" spans="2:18">
      <c r="G2031" s="4"/>
      <c r="M2031" s="1"/>
      <c r="N2031" s="1"/>
      <c r="O2031" s="1"/>
      <c r="P2031" s="1"/>
      <c r="Q2031" s="1"/>
      <c r="R2031" s="1"/>
    </row>
    <row r="2032" spans="2:18">
      <c r="B2032" s="12" t="s">
        <v>1020</v>
      </c>
      <c r="C2032" s="13" t="s">
        <v>969</v>
      </c>
      <c r="D2032" s="13" t="s">
        <v>968</v>
      </c>
      <c r="F2032" s="15">
        <f>SUM(F2033:F2037)</f>
        <v>33.142857142857139</v>
      </c>
      <c r="G2032" s="14">
        <f>G2034</f>
        <v>44650</v>
      </c>
    </row>
    <row r="2033" spans="2:18">
      <c r="C2033" s="2" t="s">
        <v>7</v>
      </c>
      <c r="D2033" s="2" t="s">
        <v>864</v>
      </c>
      <c r="E2033" s="3">
        <v>50</v>
      </c>
      <c r="F2033" s="3">
        <f>E2033/7</f>
        <v>7.1428571428571432</v>
      </c>
      <c r="G2033" s="4">
        <v>44628</v>
      </c>
    </row>
    <row r="2034" spans="2:18">
      <c r="C2034" s="2" t="s">
        <v>7</v>
      </c>
      <c r="D2034" s="2" t="s">
        <v>891</v>
      </c>
      <c r="E2034" s="3">
        <v>40</v>
      </c>
      <c r="F2034" s="3">
        <v>5</v>
      </c>
      <c r="G2034" s="4">
        <v>44650</v>
      </c>
    </row>
    <row r="2035" spans="2:18">
      <c r="C2035" s="2" t="s">
        <v>5</v>
      </c>
      <c r="D2035" s="2" t="s">
        <v>891</v>
      </c>
      <c r="E2035" s="3">
        <v>14</v>
      </c>
      <c r="F2035" s="3">
        <v>5</v>
      </c>
      <c r="G2035" s="4">
        <v>44131</v>
      </c>
    </row>
    <row r="2036" spans="2:18">
      <c r="C2036" s="2" t="s">
        <v>7</v>
      </c>
      <c r="D2036" s="2" t="s">
        <v>286</v>
      </c>
      <c r="E2036" s="3">
        <v>35</v>
      </c>
      <c r="F2036" s="3">
        <v>10</v>
      </c>
      <c r="G2036" s="4">
        <v>44309</v>
      </c>
    </row>
    <row r="2037" spans="2:18">
      <c r="C2037" s="2" t="s">
        <v>7</v>
      </c>
      <c r="D2037" s="2" t="s">
        <v>197</v>
      </c>
      <c r="E2037" s="3">
        <v>46</v>
      </c>
      <c r="F2037" s="3">
        <v>6</v>
      </c>
      <c r="G2037" s="4">
        <v>42941</v>
      </c>
    </row>
    <row r="2039" spans="2:18" s="12" customFormat="1">
      <c r="B2039" s="12" t="s">
        <v>1050</v>
      </c>
      <c r="C2039" s="13" t="s">
        <v>969</v>
      </c>
      <c r="D2039" s="13" t="s">
        <v>968</v>
      </c>
      <c r="E2039" s="15"/>
      <c r="F2039" s="15">
        <f>SUM(F2040:F2048)</f>
        <v>31.774999999999999</v>
      </c>
      <c r="G2039" s="14">
        <f>+G2046</f>
        <v>45008</v>
      </c>
      <c r="M2039" s="13"/>
      <c r="N2039" s="13"/>
      <c r="O2039" s="13"/>
      <c r="P2039" s="13"/>
      <c r="Q2039" s="13"/>
      <c r="R2039" s="13"/>
    </row>
    <row r="2040" spans="2:18">
      <c r="C2040" s="2" t="s">
        <v>5</v>
      </c>
      <c r="D2040" s="2" t="s">
        <v>773</v>
      </c>
      <c r="E2040" s="3">
        <v>12.8</v>
      </c>
      <c r="F2040" s="3">
        <v>3</v>
      </c>
      <c r="G2040" s="4">
        <v>44698</v>
      </c>
    </row>
    <row r="2041" spans="2:18">
      <c r="C2041" s="2" t="s">
        <v>4</v>
      </c>
      <c r="D2041" s="2" t="s">
        <v>773</v>
      </c>
      <c r="E2041" s="3">
        <v>5.5</v>
      </c>
      <c r="F2041" s="3">
        <v>1</v>
      </c>
      <c r="G2041" s="4">
        <v>44488</v>
      </c>
    </row>
    <row r="2042" spans="2:18">
      <c r="C2042" s="2" t="s">
        <v>4</v>
      </c>
      <c r="D2042" s="2" t="s">
        <v>649</v>
      </c>
      <c r="E2042" s="3">
        <v>8</v>
      </c>
      <c r="F2042" s="3">
        <v>1</v>
      </c>
      <c r="G2042" s="4">
        <v>44677</v>
      </c>
    </row>
    <row r="2043" spans="2:18">
      <c r="C2043" s="2" t="s">
        <v>7</v>
      </c>
      <c r="D2043" s="2" t="s">
        <v>475</v>
      </c>
      <c r="E2043" s="3">
        <v>90</v>
      </c>
      <c r="F2043" s="3">
        <v>6</v>
      </c>
      <c r="G2043" s="4">
        <v>44398</v>
      </c>
    </row>
    <row r="2044" spans="2:18">
      <c r="C2044" s="2" t="s">
        <v>5</v>
      </c>
      <c r="D2044" s="2" t="s">
        <v>475</v>
      </c>
      <c r="E2044" s="3">
        <v>22.8</v>
      </c>
      <c r="F2044" s="3">
        <v>6.4</v>
      </c>
      <c r="G2044" s="4">
        <v>43160</v>
      </c>
    </row>
    <row r="2045" spans="2:18">
      <c r="C2045" s="2" t="s">
        <v>5</v>
      </c>
      <c r="D2045" s="2" t="s">
        <v>313</v>
      </c>
      <c r="E2045" s="3">
        <v>57</v>
      </c>
      <c r="F2045" s="3">
        <v>6</v>
      </c>
      <c r="G2045" s="4">
        <v>44508</v>
      </c>
    </row>
    <row r="2046" spans="2:18">
      <c r="C2046" s="2" t="s">
        <v>7</v>
      </c>
      <c r="D2046" s="2" t="s">
        <v>128</v>
      </c>
      <c r="E2046" s="3">
        <v>23.5</v>
      </c>
      <c r="F2046" s="3">
        <f>13.5/4</f>
        <v>3.375</v>
      </c>
      <c r="G2046" s="4">
        <v>45008</v>
      </c>
    </row>
    <row r="2047" spans="2:18">
      <c r="C2047" s="2" t="s">
        <v>4</v>
      </c>
      <c r="D2047" s="2" t="s">
        <v>128</v>
      </c>
      <c r="E2047" s="3">
        <v>5</v>
      </c>
      <c r="F2047" s="3">
        <v>2</v>
      </c>
      <c r="G2047" s="4">
        <v>44176</v>
      </c>
    </row>
    <row r="2048" spans="2:18">
      <c r="C2048" s="2" t="s">
        <v>5</v>
      </c>
      <c r="D2048" s="2" t="s">
        <v>2017</v>
      </c>
      <c r="E2048" s="3">
        <v>10</v>
      </c>
      <c r="F2048" s="3">
        <v>3</v>
      </c>
      <c r="G2048" s="4">
        <v>44504</v>
      </c>
    </row>
    <row r="2049" spans="2:18">
      <c r="G2049" s="4"/>
    </row>
    <row r="2050" spans="2:18" s="12" customFormat="1">
      <c r="B2050" s="12" t="s">
        <v>4989</v>
      </c>
      <c r="C2050" s="13" t="s">
        <v>969</v>
      </c>
      <c r="D2050" s="13" t="s">
        <v>968</v>
      </c>
      <c r="E2050" s="15"/>
      <c r="F2050" s="15">
        <f>SUM(F2051:F2053)</f>
        <v>31.964285714285715</v>
      </c>
      <c r="G2050" s="14">
        <f>G2051</f>
        <v>44507</v>
      </c>
      <c r="M2050" s="13"/>
      <c r="N2050" s="13"/>
      <c r="O2050" s="13"/>
      <c r="P2050" s="13"/>
      <c r="Q2050" s="13"/>
      <c r="R2050" s="13"/>
    </row>
    <row r="2051" spans="2:18" s="54" customFormat="1">
      <c r="B2051" s="254" t="s">
        <v>7626</v>
      </c>
      <c r="C2051" s="55" t="s">
        <v>9</v>
      </c>
      <c r="D2051" s="55" t="s">
        <v>2112</v>
      </c>
      <c r="E2051" s="57">
        <v>100</v>
      </c>
      <c r="F2051" s="57">
        <v>10.714285714285714</v>
      </c>
      <c r="G2051" s="56">
        <v>44507</v>
      </c>
      <c r="I2051" s="54">
        <v>1600</v>
      </c>
      <c r="J2051" s="54">
        <v>1600</v>
      </c>
      <c r="M2051" s="55"/>
      <c r="N2051" s="55"/>
      <c r="O2051" s="55"/>
      <c r="P2051" s="55"/>
      <c r="Q2051" s="55"/>
      <c r="R2051" s="55"/>
    </row>
    <row r="2052" spans="2:18">
      <c r="C2052" s="55" t="s">
        <v>8</v>
      </c>
      <c r="D2052" s="55" t="s">
        <v>2112</v>
      </c>
      <c r="E2052" s="3">
        <v>72.5</v>
      </c>
      <c r="F2052" s="3">
        <f>22.5/2</f>
        <v>11.25</v>
      </c>
      <c r="G2052" s="4">
        <v>43697</v>
      </c>
      <c r="J2052" s="1">
        <v>1600</v>
      </c>
    </row>
    <row r="2053" spans="2:18">
      <c r="C2053" s="55" t="s">
        <v>18</v>
      </c>
      <c r="D2053" s="55" t="s">
        <v>2112</v>
      </c>
      <c r="E2053" s="3">
        <v>40</v>
      </c>
      <c r="F2053" s="3">
        <v>10</v>
      </c>
      <c r="G2053" s="4">
        <v>43069</v>
      </c>
      <c r="J2053" s="1">
        <v>1600</v>
      </c>
    </row>
    <row r="2054" spans="2:18">
      <c r="C2054" s="55"/>
      <c r="D2054" s="55"/>
      <c r="G2054" s="4"/>
    </row>
    <row r="2055" spans="2:18" s="12" customFormat="1">
      <c r="B2055" s="12" t="s">
        <v>1010</v>
      </c>
      <c r="C2055" s="13" t="s">
        <v>969</v>
      </c>
      <c r="D2055" s="13" t="s">
        <v>968</v>
      </c>
      <c r="E2055" s="15"/>
      <c r="F2055" s="15">
        <f>SUM(F2056:F2065)</f>
        <v>32.299999999999997</v>
      </c>
      <c r="G2055" s="14">
        <f>G2057</f>
        <v>44705</v>
      </c>
      <c r="M2055" s="13"/>
      <c r="N2055" s="13"/>
      <c r="O2055" s="13"/>
      <c r="P2055" s="13"/>
      <c r="Q2055" s="13"/>
      <c r="R2055" s="13"/>
    </row>
    <row r="2056" spans="2:18">
      <c r="C2056" s="2" t="s">
        <v>5</v>
      </c>
      <c r="D2056" s="2" t="s">
        <v>871</v>
      </c>
      <c r="E2056" s="3">
        <v>21.4</v>
      </c>
      <c r="F2056" s="3">
        <f>11.4/3</f>
        <v>3.8000000000000003</v>
      </c>
      <c r="G2056" s="4">
        <v>44232</v>
      </c>
    </row>
    <row r="2057" spans="2:18">
      <c r="C2057" s="2" t="s">
        <v>5</v>
      </c>
      <c r="D2057" s="2" t="s">
        <v>669</v>
      </c>
      <c r="E2057" s="3">
        <v>14</v>
      </c>
      <c r="F2057" s="3">
        <v>3</v>
      </c>
      <c r="G2057" s="4">
        <v>44705</v>
      </c>
    </row>
    <row r="2058" spans="2:18">
      <c r="C2058" s="2" t="s">
        <v>4</v>
      </c>
      <c r="D2058" s="2" t="s">
        <v>669</v>
      </c>
      <c r="E2058" s="3">
        <v>5</v>
      </c>
      <c r="F2058" s="3">
        <v>2</v>
      </c>
      <c r="G2058" s="4">
        <v>44578</v>
      </c>
    </row>
    <row r="2059" spans="2:18">
      <c r="C2059" s="2" t="s">
        <v>5</v>
      </c>
      <c r="D2059" s="2" t="s">
        <v>110</v>
      </c>
      <c r="E2059" s="3">
        <v>25</v>
      </c>
      <c r="F2059" s="3">
        <v>3</v>
      </c>
      <c r="G2059" s="4">
        <v>44510</v>
      </c>
    </row>
    <row r="2060" spans="2:18">
      <c r="C2060" s="2" t="s">
        <v>4</v>
      </c>
      <c r="D2060" s="2" t="s">
        <v>110</v>
      </c>
      <c r="E2060" s="3">
        <v>8</v>
      </c>
      <c r="F2060" s="3">
        <v>1.5</v>
      </c>
      <c r="G2060" s="4">
        <v>44063</v>
      </c>
    </row>
    <row r="2061" spans="2:18">
      <c r="C2061" s="55" t="s">
        <v>18</v>
      </c>
      <c r="D2061" s="55" t="s">
        <v>2109</v>
      </c>
      <c r="E2061" s="3">
        <v>40</v>
      </c>
      <c r="F2061" s="3">
        <v>5</v>
      </c>
      <c r="G2061" s="4">
        <v>44238</v>
      </c>
      <c r="J2061" s="1">
        <v>790</v>
      </c>
    </row>
    <row r="2062" spans="2:18">
      <c r="C2062" s="55" t="s">
        <v>7</v>
      </c>
      <c r="D2062" s="55" t="s">
        <v>2109</v>
      </c>
      <c r="E2062" s="3">
        <v>25</v>
      </c>
      <c r="F2062" s="3">
        <v>5</v>
      </c>
      <c r="G2062" s="4">
        <v>43865</v>
      </c>
      <c r="J2062" s="1">
        <v>790</v>
      </c>
    </row>
    <row r="2063" spans="2:18">
      <c r="C2063" s="55" t="s">
        <v>5</v>
      </c>
      <c r="D2063" s="55" t="s">
        <v>2109</v>
      </c>
      <c r="E2063" s="3">
        <v>10</v>
      </c>
      <c r="F2063" s="3">
        <v>5</v>
      </c>
      <c r="G2063" s="4">
        <v>43564</v>
      </c>
      <c r="J2063" s="1">
        <v>790</v>
      </c>
    </row>
    <row r="2064" spans="2:18">
      <c r="C2064" s="55" t="s">
        <v>4</v>
      </c>
      <c r="D2064" s="55" t="s">
        <v>2109</v>
      </c>
      <c r="E2064" s="3">
        <v>3.9</v>
      </c>
      <c r="F2064" s="3">
        <v>1</v>
      </c>
      <c r="G2064" s="4">
        <v>43311</v>
      </c>
      <c r="J2064" s="1">
        <v>790</v>
      </c>
    </row>
    <row r="2065" spans="2:7">
      <c r="C2065" s="177" t="s">
        <v>5</v>
      </c>
      <c r="D2065" s="177" t="s">
        <v>6679</v>
      </c>
      <c r="E2065" s="3">
        <v>21</v>
      </c>
      <c r="F2065" s="3">
        <v>3</v>
      </c>
      <c r="G2065" s="4">
        <v>44515</v>
      </c>
    </row>
    <row r="2066" spans="2:7">
      <c r="G2066" s="4"/>
    </row>
    <row r="2067" spans="2:7">
      <c r="B2067" s="12" t="s">
        <v>1032</v>
      </c>
      <c r="C2067" s="13" t="s">
        <v>969</v>
      </c>
      <c r="D2067" s="13" t="s">
        <v>968</v>
      </c>
      <c r="F2067" s="15">
        <f>SUM(F2068:F2080)</f>
        <v>32.216666666666669</v>
      </c>
      <c r="G2067" s="14">
        <f>G2073</f>
        <v>45092</v>
      </c>
    </row>
    <row r="2068" spans="2:7">
      <c r="C2068" s="2" t="s">
        <v>7</v>
      </c>
      <c r="D2068" s="2" t="s">
        <v>796</v>
      </c>
      <c r="E2068" s="3">
        <v>50</v>
      </c>
      <c r="F2068" s="3">
        <v>6</v>
      </c>
      <c r="G2068" s="4">
        <v>45036</v>
      </c>
    </row>
    <row r="2069" spans="2:7">
      <c r="C2069" s="2" t="s">
        <v>5</v>
      </c>
      <c r="D2069" s="2" t="s">
        <v>796</v>
      </c>
      <c r="E2069" s="3">
        <v>16.5</v>
      </c>
      <c r="F2069" s="3">
        <v>1</v>
      </c>
      <c r="G2069" s="4">
        <v>44614</v>
      </c>
    </row>
    <row r="2070" spans="2:7">
      <c r="C2070" s="2" t="s">
        <v>4</v>
      </c>
      <c r="D2070" s="2" t="s">
        <v>796</v>
      </c>
      <c r="E2070" s="3">
        <v>1.2</v>
      </c>
      <c r="F2070" s="3">
        <v>0.5</v>
      </c>
      <c r="G2070" s="4">
        <v>44044</v>
      </c>
    </row>
    <row r="2071" spans="2:7">
      <c r="C2071" s="2" t="s">
        <v>7</v>
      </c>
      <c r="D2071" s="2" t="s">
        <v>891</v>
      </c>
      <c r="E2071" s="3">
        <v>40</v>
      </c>
      <c r="F2071" s="3">
        <f>30/6</f>
        <v>5</v>
      </c>
      <c r="G2071" s="4">
        <v>44650</v>
      </c>
    </row>
    <row r="2072" spans="2:7">
      <c r="C2072" s="2" t="s">
        <v>5</v>
      </c>
      <c r="D2072" s="2" t="s">
        <v>891</v>
      </c>
      <c r="E2072" s="3">
        <v>14</v>
      </c>
      <c r="F2072" s="3">
        <f>9/5</f>
        <v>1.8</v>
      </c>
      <c r="G2072" s="4">
        <v>44131</v>
      </c>
    </row>
    <row r="2073" spans="2:7">
      <c r="C2073" s="2" t="s">
        <v>4</v>
      </c>
      <c r="D2073" s="2" t="s">
        <v>709</v>
      </c>
      <c r="E2073" s="3">
        <v>5.5</v>
      </c>
      <c r="F2073" s="3">
        <v>1</v>
      </c>
      <c r="G2073" s="4">
        <v>45092</v>
      </c>
    </row>
    <row r="2074" spans="2:7">
      <c r="C2074" s="2" t="s">
        <v>4</v>
      </c>
      <c r="D2074" s="2" t="s">
        <v>652</v>
      </c>
      <c r="E2074" s="3">
        <v>12</v>
      </c>
      <c r="F2074" s="3">
        <v>2</v>
      </c>
      <c r="G2074" s="4">
        <v>44971</v>
      </c>
    </row>
    <row r="2075" spans="2:7">
      <c r="C2075" s="2" t="s">
        <v>4</v>
      </c>
      <c r="D2075" s="2" t="s">
        <v>652</v>
      </c>
      <c r="E2075" s="3">
        <v>5</v>
      </c>
      <c r="F2075" s="3">
        <v>2</v>
      </c>
      <c r="G2075" s="4">
        <v>44769</v>
      </c>
    </row>
    <row r="2076" spans="2:7">
      <c r="C2076" s="55" t="s">
        <v>18</v>
      </c>
      <c r="D2076" s="55" t="s">
        <v>4995</v>
      </c>
      <c r="E2076" s="3">
        <v>27</v>
      </c>
      <c r="F2076" s="3">
        <f>17/3</f>
        <v>5.666666666666667</v>
      </c>
      <c r="G2076" s="4">
        <v>42851</v>
      </c>
    </row>
    <row r="2077" spans="2:7">
      <c r="C2077" s="55" t="s">
        <v>5</v>
      </c>
      <c r="D2077" s="55" t="s">
        <v>4995</v>
      </c>
      <c r="E2077" s="3">
        <v>3</v>
      </c>
      <c r="F2077" s="3">
        <v>1</v>
      </c>
      <c r="G2077" s="4">
        <v>42220</v>
      </c>
    </row>
    <row r="2078" spans="2:7">
      <c r="C2078" s="331" t="s">
        <v>7</v>
      </c>
      <c r="D2078" s="331" t="s">
        <v>8304</v>
      </c>
      <c r="E2078" s="3">
        <v>25</v>
      </c>
      <c r="F2078" s="3">
        <v>4</v>
      </c>
      <c r="G2078" s="4">
        <v>43287</v>
      </c>
    </row>
    <row r="2079" spans="2:7">
      <c r="C2079" s="331" t="s">
        <v>5</v>
      </c>
      <c r="D2079" s="331" t="s">
        <v>8304</v>
      </c>
      <c r="E2079" s="3">
        <v>8</v>
      </c>
      <c r="F2079" s="3">
        <f>5/4</f>
        <v>1.25</v>
      </c>
      <c r="G2079" s="4">
        <v>42747</v>
      </c>
    </row>
    <row r="2080" spans="2:7">
      <c r="C2080" s="331" t="s">
        <v>4</v>
      </c>
      <c r="D2080" s="331" t="s">
        <v>8304</v>
      </c>
      <c r="E2080" s="3">
        <v>1.9</v>
      </c>
      <c r="F2080" s="3">
        <v>1</v>
      </c>
      <c r="G2080" s="4">
        <v>42185</v>
      </c>
    </row>
    <row r="2081" spans="2:18">
      <c r="G2081" s="4"/>
    </row>
    <row r="2082" spans="2:18" s="12" customFormat="1">
      <c r="B2082" s="12" t="s">
        <v>4990</v>
      </c>
      <c r="C2082" s="13" t="s">
        <v>969</v>
      </c>
      <c r="D2082" s="13" t="s">
        <v>968</v>
      </c>
      <c r="E2082" s="15"/>
      <c r="F2082" s="15">
        <f>SUM(F2083:F2084)</f>
        <v>32.222222222222221</v>
      </c>
      <c r="G2082" s="14">
        <f>G2083</f>
        <v>44999</v>
      </c>
      <c r="M2082" s="13"/>
      <c r="N2082" s="13"/>
      <c r="O2082" s="13"/>
      <c r="P2082" s="13"/>
      <c r="Q2082" s="13"/>
      <c r="R2082" s="13"/>
    </row>
    <row r="2083" spans="2:18">
      <c r="C2083" s="2" t="s">
        <v>7</v>
      </c>
      <c r="D2083" s="2" t="s">
        <v>949</v>
      </c>
      <c r="E2083" s="3">
        <v>350</v>
      </c>
      <c r="F2083" s="3">
        <v>20</v>
      </c>
      <c r="G2083" s="4">
        <v>44999</v>
      </c>
    </row>
    <row r="2084" spans="2:18">
      <c r="C2084" s="2" t="s">
        <v>18</v>
      </c>
      <c r="D2084" s="2" t="s">
        <v>2127</v>
      </c>
      <c r="E2084" s="3">
        <v>200</v>
      </c>
      <c r="F2084" s="3">
        <f>110/9</f>
        <v>12.222222222222221</v>
      </c>
      <c r="G2084" s="4">
        <v>44557</v>
      </c>
      <c r="I2084" s="1">
        <v>1300</v>
      </c>
      <c r="J2084" s="1">
        <v>1300</v>
      </c>
    </row>
    <row r="2085" spans="2:18">
      <c r="G2085" s="4"/>
    </row>
    <row r="2086" spans="2:18" s="12" customFormat="1">
      <c r="B2086" s="12" t="s">
        <v>6415</v>
      </c>
      <c r="C2086" s="13" t="s">
        <v>969</v>
      </c>
      <c r="D2086" s="13" t="s">
        <v>968</v>
      </c>
      <c r="E2086" s="15"/>
      <c r="F2086" s="15">
        <f>SUM(F2087:F2089)</f>
        <v>31.166666666666664</v>
      </c>
      <c r="G2086" s="14">
        <f>G2087</f>
        <v>43682</v>
      </c>
      <c r="M2086" s="13"/>
      <c r="N2086" s="13"/>
      <c r="O2086" s="13"/>
      <c r="P2086" s="13"/>
      <c r="Q2086" s="13"/>
      <c r="R2086" s="13"/>
    </row>
    <row r="2087" spans="2:18">
      <c r="C2087" s="2" t="s">
        <v>18</v>
      </c>
      <c r="D2087" s="2" t="s">
        <v>803</v>
      </c>
      <c r="E2087" s="3">
        <v>100</v>
      </c>
      <c r="F2087" s="3">
        <v>13</v>
      </c>
      <c r="G2087" s="4">
        <v>43682</v>
      </c>
    </row>
    <row r="2088" spans="2:18">
      <c r="C2088" s="2" t="s">
        <v>8</v>
      </c>
      <c r="D2088" s="2" t="s">
        <v>47</v>
      </c>
      <c r="E2088" s="3">
        <v>145</v>
      </c>
      <c r="F2088" s="3">
        <f>85/6</f>
        <v>14.166666666666666</v>
      </c>
      <c r="G2088" s="4">
        <v>43228</v>
      </c>
      <c r="I2088" s="1">
        <v>855</v>
      </c>
      <c r="J2088" s="1">
        <v>4100</v>
      </c>
    </row>
    <row r="2089" spans="2:18">
      <c r="C2089" s="153" t="s">
        <v>7</v>
      </c>
      <c r="D2089" s="153" t="s">
        <v>2036</v>
      </c>
      <c r="E2089" s="3">
        <v>25</v>
      </c>
      <c r="F2089" s="3">
        <v>4</v>
      </c>
      <c r="G2089" s="4">
        <v>43528</v>
      </c>
    </row>
    <row r="2090" spans="2:18">
      <c r="G2090" s="4"/>
    </row>
    <row r="2091" spans="2:18" s="12" customFormat="1">
      <c r="B2091" s="12" t="s">
        <v>23</v>
      </c>
      <c r="C2091" s="13" t="s">
        <v>969</v>
      </c>
      <c r="D2091" s="13" t="s">
        <v>968</v>
      </c>
      <c r="E2091" s="15"/>
      <c r="F2091" s="15">
        <f>SUM(F2092:F2095)</f>
        <v>30.523809523809526</v>
      </c>
      <c r="G2091" s="14">
        <f>G2092</f>
        <v>44194</v>
      </c>
      <c r="M2091" s="13"/>
      <c r="N2091" s="13"/>
      <c r="O2091" s="13"/>
      <c r="P2091" s="13"/>
      <c r="Q2091" s="13"/>
      <c r="R2091" s="13"/>
    </row>
    <row r="2092" spans="2:18">
      <c r="C2092" s="2" t="s">
        <v>9</v>
      </c>
      <c r="D2092" s="2" t="s">
        <v>22</v>
      </c>
      <c r="E2092" s="3">
        <v>222</v>
      </c>
      <c r="F2092" s="3">
        <f>200/21</f>
        <v>9.5238095238095237</v>
      </c>
      <c r="G2092" s="4">
        <v>44194</v>
      </c>
      <c r="I2092" s="1">
        <v>2500</v>
      </c>
      <c r="J2092" s="1">
        <v>2500</v>
      </c>
    </row>
    <row r="2093" spans="2:18">
      <c r="C2093" s="2" t="s">
        <v>8</v>
      </c>
      <c r="D2093" s="2" t="s">
        <v>22</v>
      </c>
      <c r="E2093" s="3">
        <v>200</v>
      </c>
      <c r="F2093" s="3">
        <v>13</v>
      </c>
      <c r="G2093" s="4">
        <v>43452</v>
      </c>
      <c r="I2093" s="1">
        <v>1500</v>
      </c>
      <c r="J2093" s="1">
        <v>2500</v>
      </c>
    </row>
    <row r="2094" spans="2:18">
      <c r="C2094" s="2" t="s">
        <v>18</v>
      </c>
      <c r="D2094" s="2" t="s">
        <v>22</v>
      </c>
      <c r="E2094" s="3">
        <v>50</v>
      </c>
      <c r="F2094" s="3">
        <v>5</v>
      </c>
      <c r="G2094" s="4">
        <v>43051</v>
      </c>
      <c r="J2094" s="1">
        <v>2500</v>
      </c>
    </row>
    <row r="2095" spans="2:18">
      <c r="C2095" s="2" t="s">
        <v>7</v>
      </c>
      <c r="D2095" s="2" t="s">
        <v>22</v>
      </c>
      <c r="E2095" s="3">
        <v>30</v>
      </c>
      <c r="F2095" s="3">
        <v>3</v>
      </c>
      <c r="G2095" s="4">
        <v>42936</v>
      </c>
      <c r="J2095" s="1">
        <v>2500</v>
      </c>
    </row>
    <row r="2096" spans="2:18">
      <c r="G2096" s="4"/>
    </row>
    <row r="2097" spans="2:18" s="12" customFormat="1">
      <c r="B2097" s="12" t="s">
        <v>4991</v>
      </c>
      <c r="C2097" s="13" t="s">
        <v>969</v>
      </c>
      <c r="D2097" s="13" t="s">
        <v>968</v>
      </c>
      <c r="E2097" s="15"/>
      <c r="F2097" s="15">
        <f>SUM(F2098:F2105)</f>
        <v>30.549999999999997</v>
      </c>
      <c r="G2097" s="14">
        <f>G2098</f>
        <v>44952</v>
      </c>
    </row>
    <row r="2098" spans="2:18">
      <c r="C2098" s="2" t="s">
        <v>5</v>
      </c>
      <c r="D2098" s="2" t="s">
        <v>666</v>
      </c>
      <c r="E2098" s="3">
        <v>12.7</v>
      </c>
      <c r="F2098" s="3">
        <f>8/5</f>
        <v>1.6</v>
      </c>
      <c r="G2098" s="4">
        <v>44952</v>
      </c>
      <c r="M2098" s="1"/>
      <c r="N2098" s="1"/>
      <c r="O2098" s="1"/>
      <c r="P2098" s="1"/>
      <c r="Q2098" s="1"/>
      <c r="R2098" s="1"/>
    </row>
    <row r="2099" spans="2:18">
      <c r="C2099" s="2" t="s">
        <v>18</v>
      </c>
      <c r="D2099" s="2" t="s">
        <v>606</v>
      </c>
      <c r="E2099" s="3">
        <v>48</v>
      </c>
      <c r="F2099" s="3">
        <v>4</v>
      </c>
      <c r="G2099" s="4">
        <v>43888</v>
      </c>
      <c r="J2099" s="1">
        <v>1200</v>
      </c>
      <c r="M2099" s="1"/>
      <c r="N2099" s="1"/>
      <c r="O2099" s="1"/>
      <c r="P2099" s="1"/>
      <c r="Q2099" s="1"/>
      <c r="R2099" s="1"/>
    </row>
    <row r="2100" spans="2:18">
      <c r="C2100" s="2" t="s">
        <v>7</v>
      </c>
      <c r="D2100" s="2" t="s">
        <v>606</v>
      </c>
      <c r="E2100" s="3">
        <v>25</v>
      </c>
      <c r="F2100" s="3">
        <v>5</v>
      </c>
      <c r="G2100" s="4">
        <v>43440</v>
      </c>
      <c r="J2100" s="1">
        <v>1200</v>
      </c>
      <c r="M2100" s="1"/>
      <c r="N2100" s="1"/>
      <c r="O2100" s="1"/>
      <c r="P2100" s="1"/>
      <c r="Q2100" s="1"/>
      <c r="R2100" s="1"/>
    </row>
    <row r="2101" spans="2:18">
      <c r="C2101" s="2" t="s">
        <v>5</v>
      </c>
      <c r="D2101" s="2" t="s">
        <v>606</v>
      </c>
      <c r="E2101" s="3">
        <v>5.8</v>
      </c>
      <c r="F2101" s="3">
        <f>E2101/4</f>
        <v>1.45</v>
      </c>
      <c r="G2101" s="4">
        <v>43117</v>
      </c>
      <c r="J2101" s="1">
        <v>1200</v>
      </c>
      <c r="M2101" s="1"/>
      <c r="N2101" s="1"/>
      <c r="O2101" s="1"/>
      <c r="P2101" s="1"/>
      <c r="Q2101" s="1"/>
      <c r="R2101" s="1"/>
    </row>
    <row r="2102" spans="2:18">
      <c r="C2102" s="2" t="s">
        <v>4</v>
      </c>
      <c r="D2102" s="2" t="s">
        <v>606</v>
      </c>
      <c r="E2102" s="3">
        <v>3.3</v>
      </c>
      <c r="F2102" s="3">
        <v>0.5</v>
      </c>
      <c r="G2102" s="4">
        <v>42678</v>
      </c>
      <c r="J2102" s="1">
        <v>1200</v>
      </c>
      <c r="M2102" s="1"/>
      <c r="N2102" s="1"/>
      <c r="O2102" s="1"/>
      <c r="P2102" s="1"/>
      <c r="Q2102" s="1"/>
      <c r="R2102" s="1"/>
    </row>
    <row r="2103" spans="2:18">
      <c r="C2103" s="2" t="s">
        <v>5</v>
      </c>
      <c r="D2103" s="2" t="s">
        <v>289</v>
      </c>
      <c r="E2103" s="3">
        <v>30</v>
      </c>
      <c r="F2103" s="3">
        <f>20/5</f>
        <v>4</v>
      </c>
      <c r="G2103" s="4">
        <v>44474</v>
      </c>
      <c r="M2103" s="1"/>
      <c r="N2103" s="1"/>
      <c r="O2103" s="1"/>
      <c r="P2103" s="1"/>
      <c r="Q2103" s="1"/>
      <c r="R2103" s="1"/>
    </row>
    <row r="2104" spans="2:18">
      <c r="C2104" s="2" t="s">
        <v>4</v>
      </c>
      <c r="D2104" s="2" t="s">
        <v>289</v>
      </c>
      <c r="E2104" s="3">
        <v>15</v>
      </c>
      <c r="F2104" s="3">
        <v>5</v>
      </c>
      <c r="G2104" s="4">
        <v>43775</v>
      </c>
      <c r="M2104" s="1"/>
      <c r="N2104" s="1"/>
      <c r="O2104" s="1"/>
      <c r="P2104" s="1"/>
      <c r="Q2104" s="1"/>
      <c r="R2104" s="1"/>
    </row>
    <row r="2105" spans="2:18">
      <c r="C2105" s="2" t="s">
        <v>5</v>
      </c>
      <c r="D2105" s="2" t="s">
        <v>161</v>
      </c>
      <c r="E2105" s="3">
        <v>112</v>
      </c>
      <c r="F2105" s="3">
        <v>9</v>
      </c>
      <c r="G2105" s="4">
        <v>43115</v>
      </c>
      <c r="J2105" s="1">
        <v>8400</v>
      </c>
      <c r="M2105" s="1"/>
      <c r="N2105" s="1"/>
      <c r="O2105" s="1"/>
      <c r="P2105" s="1"/>
      <c r="Q2105" s="1"/>
      <c r="R2105" s="1"/>
    </row>
    <row r="2106" spans="2:18">
      <c r="G2106" s="4"/>
      <c r="M2106" s="1"/>
      <c r="N2106" s="1"/>
      <c r="O2106" s="1"/>
      <c r="P2106" s="1"/>
      <c r="Q2106" s="1"/>
      <c r="R2106" s="1"/>
    </row>
    <row r="2107" spans="2:18" s="12" customFormat="1">
      <c r="B2107" s="12" t="s">
        <v>449</v>
      </c>
      <c r="C2107" s="13" t="s">
        <v>969</v>
      </c>
      <c r="D2107" s="13" t="s">
        <v>968</v>
      </c>
      <c r="E2107" s="15"/>
      <c r="F2107" s="15">
        <f>SUM(F2108:F2117)</f>
        <v>30.655454545454546</v>
      </c>
      <c r="G2107" s="14">
        <f>G2117</f>
        <v>44866</v>
      </c>
    </row>
    <row r="2108" spans="2:18">
      <c r="C2108" s="2" t="s">
        <v>8</v>
      </c>
      <c r="D2108" s="2" t="s">
        <v>448</v>
      </c>
      <c r="E2108" s="3">
        <v>90</v>
      </c>
      <c r="F2108" s="3">
        <f>50/11</f>
        <v>4.5454545454545459</v>
      </c>
      <c r="G2108" s="4">
        <v>44776</v>
      </c>
      <c r="M2108" s="1"/>
      <c r="N2108" s="1"/>
      <c r="O2108" s="1"/>
      <c r="P2108" s="1"/>
      <c r="Q2108" s="1"/>
      <c r="R2108" s="1"/>
    </row>
    <row r="2109" spans="2:18">
      <c r="C2109" s="2" t="s">
        <v>18</v>
      </c>
      <c r="D2109" s="2" t="s">
        <v>448</v>
      </c>
      <c r="E2109" s="3">
        <v>40</v>
      </c>
      <c r="F2109" s="3">
        <v>3.75</v>
      </c>
      <c r="G2109" s="4">
        <v>44176</v>
      </c>
      <c r="M2109" s="1"/>
      <c r="N2109" s="1"/>
      <c r="O2109" s="1"/>
      <c r="P2109" s="1"/>
      <c r="Q2109" s="1"/>
      <c r="R2109" s="1"/>
    </row>
    <row r="2110" spans="2:18">
      <c r="C2110" s="2" t="s">
        <v>7</v>
      </c>
      <c r="D2110" s="2" t="s">
        <v>448</v>
      </c>
      <c r="E2110" s="3">
        <v>20</v>
      </c>
      <c r="F2110" s="3">
        <v>3</v>
      </c>
      <c r="G2110" s="4">
        <v>43879</v>
      </c>
      <c r="M2110" s="1"/>
      <c r="N2110" s="1"/>
      <c r="O2110" s="1"/>
      <c r="P2110" s="1"/>
      <c r="Q2110" s="1"/>
      <c r="R2110" s="1"/>
    </row>
    <row r="2111" spans="2:18">
      <c r="C2111" s="55" t="s">
        <v>18</v>
      </c>
      <c r="D2111" s="55" t="s">
        <v>2109</v>
      </c>
      <c r="E2111" s="3">
        <v>40</v>
      </c>
      <c r="F2111" s="3">
        <v>5</v>
      </c>
      <c r="G2111" s="4">
        <v>44238</v>
      </c>
      <c r="J2111" s="1">
        <v>790</v>
      </c>
      <c r="M2111" s="1"/>
      <c r="N2111" s="1"/>
      <c r="O2111" s="1"/>
      <c r="P2111" s="1"/>
      <c r="Q2111" s="1"/>
      <c r="R2111" s="1"/>
    </row>
    <row r="2112" spans="2:18">
      <c r="C2112" s="55" t="s">
        <v>7</v>
      </c>
      <c r="D2112" s="55" t="s">
        <v>2109</v>
      </c>
      <c r="E2112" s="3">
        <v>25</v>
      </c>
      <c r="F2112" s="3">
        <v>5</v>
      </c>
      <c r="G2112" s="4">
        <v>43865</v>
      </c>
      <c r="J2112" s="1">
        <v>790</v>
      </c>
      <c r="M2112" s="1"/>
      <c r="N2112" s="1"/>
      <c r="O2112" s="1"/>
      <c r="P2112" s="1"/>
      <c r="Q2112" s="1"/>
      <c r="R2112" s="1"/>
    </row>
    <row r="2113" spans="2:18">
      <c r="C2113" s="55" t="s">
        <v>5</v>
      </c>
      <c r="D2113" s="55" t="s">
        <v>2109</v>
      </c>
      <c r="E2113" s="3">
        <v>10</v>
      </c>
      <c r="F2113" s="3">
        <v>2.5</v>
      </c>
      <c r="G2113" s="4">
        <v>43564</v>
      </c>
      <c r="J2113" s="1">
        <v>790</v>
      </c>
      <c r="M2113" s="1"/>
      <c r="N2113" s="1"/>
      <c r="O2113" s="1"/>
      <c r="P2113" s="1"/>
      <c r="Q2113" s="1"/>
      <c r="R2113" s="1"/>
    </row>
    <row r="2114" spans="2:18">
      <c r="C2114" s="55" t="s">
        <v>4</v>
      </c>
      <c r="D2114" s="55" t="s">
        <v>2109</v>
      </c>
      <c r="E2114" s="3">
        <v>3.9</v>
      </c>
      <c r="F2114" s="3">
        <v>1</v>
      </c>
      <c r="G2114" s="4">
        <v>43220</v>
      </c>
      <c r="M2114" s="1"/>
      <c r="N2114" s="1"/>
      <c r="O2114" s="1"/>
      <c r="P2114" s="1"/>
      <c r="Q2114" s="1"/>
      <c r="R2114" s="1"/>
    </row>
    <row r="2115" spans="2:18">
      <c r="C2115" s="153" t="s">
        <v>5</v>
      </c>
      <c r="D2115" s="153" t="s">
        <v>2039</v>
      </c>
      <c r="E2115" s="3">
        <v>18</v>
      </c>
      <c r="F2115" s="3">
        <v>4</v>
      </c>
      <c r="G2115" s="4">
        <v>43445</v>
      </c>
      <c r="M2115" s="1"/>
      <c r="N2115" s="1"/>
      <c r="O2115" s="1"/>
      <c r="P2115" s="1"/>
      <c r="Q2115" s="1"/>
      <c r="R2115" s="1"/>
    </row>
    <row r="2116" spans="2:18">
      <c r="C2116" s="153" t="s">
        <v>4</v>
      </c>
      <c r="D2116" s="153" t="s">
        <v>2039</v>
      </c>
      <c r="E2116" s="3">
        <v>4.3</v>
      </c>
      <c r="F2116" s="3">
        <f>E2116/5</f>
        <v>0.86</v>
      </c>
      <c r="G2116" s="4">
        <v>43157</v>
      </c>
      <c r="M2116" s="1"/>
      <c r="N2116" s="1"/>
      <c r="O2116" s="1"/>
      <c r="P2116" s="1"/>
      <c r="Q2116" s="1"/>
      <c r="R2116" s="1"/>
    </row>
    <row r="2117" spans="2:18">
      <c r="C2117" s="177" t="s">
        <v>4</v>
      </c>
      <c r="D2117" s="177" t="s">
        <v>6754</v>
      </c>
      <c r="E2117" s="3">
        <v>10</v>
      </c>
      <c r="F2117" s="3">
        <v>1</v>
      </c>
      <c r="G2117" s="4">
        <v>44866</v>
      </c>
      <c r="I2117" s="1">
        <v>65</v>
      </c>
      <c r="J2117" s="1">
        <v>350</v>
      </c>
      <c r="M2117" s="1"/>
      <c r="N2117" s="1"/>
      <c r="O2117" s="1"/>
      <c r="P2117" s="1"/>
      <c r="Q2117" s="1"/>
      <c r="R2117" s="1"/>
    </row>
    <row r="2118" spans="2:18">
      <c r="G2118" s="4"/>
      <c r="M2118" s="1"/>
      <c r="N2118" s="1"/>
      <c r="O2118" s="1"/>
      <c r="P2118" s="1"/>
      <c r="Q2118" s="1"/>
      <c r="R2118" s="1"/>
    </row>
    <row r="2119" spans="2:18" s="12" customFormat="1">
      <c r="B2119" s="12" t="s">
        <v>1038</v>
      </c>
      <c r="C2119" s="13" t="s">
        <v>969</v>
      </c>
      <c r="D2119" s="13" t="s">
        <v>968</v>
      </c>
      <c r="E2119" s="15"/>
      <c r="F2119" s="15">
        <f>SUM(F2120:F2126)</f>
        <v>30.633333333333333</v>
      </c>
      <c r="G2119" s="14">
        <f>G2121</f>
        <v>44882</v>
      </c>
      <c r="M2119" s="13"/>
      <c r="N2119" s="13"/>
      <c r="O2119" s="13"/>
      <c r="P2119" s="13"/>
      <c r="Q2119" s="13"/>
      <c r="R2119" s="13"/>
    </row>
    <row r="2120" spans="2:18">
      <c r="C2120" s="2" t="s">
        <v>5</v>
      </c>
      <c r="D2120" s="2" t="s">
        <v>891</v>
      </c>
      <c r="E2120" s="3">
        <v>14</v>
      </c>
      <c r="F2120" s="3">
        <f>9/5</f>
        <v>1.8</v>
      </c>
      <c r="G2120" s="4">
        <v>44131</v>
      </c>
    </row>
    <row r="2121" spans="2:18">
      <c r="C2121" s="2" t="s">
        <v>4</v>
      </c>
      <c r="D2121" s="2" t="s">
        <v>912</v>
      </c>
      <c r="E2121" s="3">
        <v>42</v>
      </c>
      <c r="F2121" s="3">
        <f>22/3</f>
        <v>7.333333333333333</v>
      </c>
      <c r="G2121" s="4">
        <v>44882</v>
      </c>
    </row>
    <row r="2122" spans="2:18">
      <c r="C2122" s="2" t="s">
        <v>5</v>
      </c>
      <c r="D2122" s="2" t="s">
        <v>672</v>
      </c>
      <c r="E2122" s="3">
        <v>14.5</v>
      </c>
      <c r="F2122" s="3">
        <v>2.5</v>
      </c>
      <c r="G2122" s="4">
        <v>44389</v>
      </c>
    </row>
    <row r="2123" spans="2:18">
      <c r="C2123" s="2" t="s">
        <v>18</v>
      </c>
      <c r="D2123" s="2" t="s">
        <v>489</v>
      </c>
      <c r="E2123" s="3">
        <v>67.2</v>
      </c>
      <c r="F2123" s="3">
        <v>10</v>
      </c>
      <c r="G2123" s="4">
        <v>42943</v>
      </c>
    </row>
    <row r="2124" spans="2:18">
      <c r="C2124" s="2" t="s">
        <v>4</v>
      </c>
      <c r="D2124" s="2" t="s">
        <v>128</v>
      </c>
      <c r="E2124" s="3">
        <v>5</v>
      </c>
      <c r="F2124" s="3">
        <v>1</v>
      </c>
      <c r="G2124" s="4">
        <v>44176</v>
      </c>
    </row>
    <row r="2125" spans="2:18">
      <c r="C2125" s="331" t="s">
        <v>18</v>
      </c>
      <c r="D2125" s="331" t="s">
        <v>8304</v>
      </c>
      <c r="E2125" s="3">
        <v>25</v>
      </c>
      <c r="F2125" s="3">
        <v>4</v>
      </c>
      <c r="G2125" s="4">
        <v>43888</v>
      </c>
    </row>
    <row r="2126" spans="2:18">
      <c r="C2126" s="331" t="s">
        <v>7</v>
      </c>
      <c r="D2126" s="331" t="s">
        <v>8304</v>
      </c>
      <c r="E2126" s="3">
        <v>25</v>
      </c>
      <c r="F2126" s="3">
        <v>4</v>
      </c>
      <c r="G2126" s="4">
        <v>43287</v>
      </c>
    </row>
    <row r="2127" spans="2:18">
      <c r="G2127" s="4"/>
    </row>
    <row r="2128" spans="2:18" s="12" customFormat="1">
      <c r="B2128" s="12" t="s">
        <v>37</v>
      </c>
      <c r="C2128" s="13" t="s">
        <v>969</v>
      </c>
      <c r="D2128" s="13" t="s">
        <v>968</v>
      </c>
      <c r="E2128" s="15"/>
      <c r="F2128" s="15">
        <f>SUM(F2129:F2131)</f>
        <v>29.714285714285715</v>
      </c>
      <c r="G2128" s="14">
        <f>G2129</f>
        <v>43634</v>
      </c>
      <c r="M2128" s="13"/>
      <c r="N2128" s="13"/>
      <c r="O2128" s="13"/>
      <c r="P2128" s="13"/>
      <c r="Q2128" s="13"/>
      <c r="R2128" s="13"/>
    </row>
    <row r="2129" spans="2:18">
      <c r="C2129" s="2" t="s">
        <v>18</v>
      </c>
      <c r="D2129" s="2" t="s">
        <v>32</v>
      </c>
      <c r="E2129" s="3">
        <v>230</v>
      </c>
      <c r="F2129" s="3">
        <f>110/7</f>
        <v>15.714285714285714</v>
      </c>
      <c r="G2129" s="4">
        <v>43634</v>
      </c>
      <c r="I2129" s="1">
        <v>770</v>
      </c>
      <c r="J2129" s="1">
        <v>770</v>
      </c>
    </row>
    <row r="2130" spans="2:18">
      <c r="C2130" s="2" t="s">
        <v>7</v>
      </c>
      <c r="D2130" s="2" t="s">
        <v>32</v>
      </c>
      <c r="E2130" s="3">
        <v>45</v>
      </c>
      <c r="F2130" s="3">
        <v>11</v>
      </c>
      <c r="G2130" s="4">
        <v>43293</v>
      </c>
      <c r="J2130" s="1">
        <v>770</v>
      </c>
    </row>
    <row r="2131" spans="2:18">
      <c r="C2131" s="2" t="s">
        <v>5</v>
      </c>
      <c r="D2131" s="2" t="s">
        <v>32</v>
      </c>
      <c r="E2131" s="3">
        <v>18</v>
      </c>
      <c r="F2131" s="3">
        <v>3</v>
      </c>
      <c r="G2131" s="4">
        <v>42983</v>
      </c>
      <c r="J2131" s="1">
        <v>770</v>
      </c>
    </row>
    <row r="2132" spans="2:18">
      <c r="G2132" s="4"/>
    </row>
    <row r="2133" spans="2:18" s="12" customFormat="1">
      <c r="B2133" s="12" t="s">
        <v>395</v>
      </c>
      <c r="C2133" s="13" t="s">
        <v>969</v>
      </c>
      <c r="D2133" s="13" t="s">
        <v>968</v>
      </c>
      <c r="E2133" s="15"/>
      <c r="F2133" s="15">
        <f>SUM(F2134:F2135)</f>
        <v>30</v>
      </c>
      <c r="G2133" s="14">
        <f>G2134</f>
        <v>44286</v>
      </c>
    </row>
    <row r="2134" spans="2:18">
      <c r="C2134" s="2" t="s">
        <v>8</v>
      </c>
      <c r="D2134" s="2" t="s">
        <v>386</v>
      </c>
      <c r="E2134" s="3">
        <v>140</v>
      </c>
      <c r="F2134" s="3">
        <v>10</v>
      </c>
      <c r="G2134" s="4">
        <v>44286</v>
      </c>
      <c r="M2134" s="1"/>
      <c r="N2134" s="1"/>
      <c r="O2134" s="1"/>
      <c r="P2134" s="1"/>
      <c r="Q2134" s="1"/>
      <c r="R2134" s="1"/>
    </row>
    <row r="2135" spans="2:18">
      <c r="C2135" s="2" t="s">
        <v>18</v>
      </c>
      <c r="D2135" s="2" t="s">
        <v>386</v>
      </c>
      <c r="E2135" s="3">
        <v>110</v>
      </c>
      <c r="F2135" s="3">
        <v>20</v>
      </c>
      <c r="G2135" s="4">
        <v>43690</v>
      </c>
      <c r="M2135" s="1"/>
      <c r="N2135" s="1"/>
      <c r="O2135" s="1"/>
      <c r="P2135" s="1"/>
      <c r="Q2135" s="1"/>
      <c r="R2135" s="1"/>
    </row>
    <row r="2136" spans="2:18">
      <c r="G2136" s="4"/>
      <c r="M2136" s="1"/>
      <c r="N2136" s="1"/>
      <c r="O2136" s="1"/>
      <c r="P2136" s="1"/>
      <c r="Q2136" s="1"/>
      <c r="R2136" s="1"/>
    </row>
    <row r="2137" spans="2:18" s="12" customFormat="1">
      <c r="B2137" s="12" t="s">
        <v>394</v>
      </c>
      <c r="C2137" s="13" t="s">
        <v>969</v>
      </c>
      <c r="D2137" s="13" t="s">
        <v>968</v>
      </c>
      <c r="E2137" s="15"/>
      <c r="F2137" s="15">
        <f>SUM(F2138:F2139)</f>
        <v>30</v>
      </c>
      <c r="G2137" s="14">
        <f>G2138</f>
        <v>44286</v>
      </c>
    </row>
    <row r="2138" spans="2:18">
      <c r="C2138" s="2" t="s">
        <v>8</v>
      </c>
      <c r="D2138" s="2" t="s">
        <v>386</v>
      </c>
      <c r="E2138" s="3">
        <v>140</v>
      </c>
      <c r="F2138" s="3">
        <v>10</v>
      </c>
      <c r="G2138" s="4">
        <v>44286</v>
      </c>
      <c r="M2138" s="1"/>
      <c r="N2138" s="1"/>
      <c r="O2138" s="1"/>
      <c r="P2138" s="1"/>
      <c r="Q2138" s="1"/>
      <c r="R2138" s="1"/>
    </row>
    <row r="2139" spans="2:18">
      <c r="C2139" s="2" t="s">
        <v>18</v>
      </c>
      <c r="D2139" s="2" t="s">
        <v>386</v>
      </c>
      <c r="E2139" s="3">
        <v>110</v>
      </c>
      <c r="F2139" s="3">
        <v>20</v>
      </c>
      <c r="G2139" s="4">
        <v>43690</v>
      </c>
      <c r="M2139" s="1"/>
      <c r="N2139" s="1"/>
      <c r="O2139" s="1"/>
      <c r="P2139" s="1"/>
      <c r="Q2139" s="1"/>
      <c r="R2139" s="1"/>
    </row>
    <row r="2140" spans="2:18">
      <c r="G2140" s="4"/>
      <c r="M2140" s="1"/>
      <c r="N2140" s="1"/>
      <c r="O2140" s="1"/>
      <c r="P2140" s="1"/>
      <c r="Q2140" s="1"/>
      <c r="R2140" s="1"/>
    </row>
    <row r="2141" spans="2:18">
      <c r="B2141" s="12" t="s">
        <v>7291</v>
      </c>
      <c r="C2141" s="13" t="s">
        <v>969</v>
      </c>
      <c r="D2141" s="13" t="s">
        <v>968</v>
      </c>
      <c r="F2141" s="15">
        <f>SUM(F2142:F2144)</f>
        <v>29.5</v>
      </c>
      <c r="G2141" s="14">
        <f>+G2143</f>
        <v>45013</v>
      </c>
    </row>
    <row r="2142" spans="2:18">
      <c r="C2142" s="2" t="s">
        <v>18</v>
      </c>
      <c r="D2142" s="2" t="s">
        <v>1005</v>
      </c>
      <c r="E2142" s="3">
        <v>100</v>
      </c>
      <c r="F2142" s="3">
        <v>10</v>
      </c>
      <c r="G2142" s="4">
        <v>44754</v>
      </c>
    </row>
    <row r="2143" spans="2:18">
      <c r="C2143" s="2" t="s">
        <v>5</v>
      </c>
      <c r="D2143" s="2" t="s">
        <v>1004</v>
      </c>
      <c r="E2143" s="3">
        <v>25.6</v>
      </c>
      <c r="F2143" s="3">
        <v>2</v>
      </c>
      <c r="G2143" s="4">
        <v>45013</v>
      </c>
    </row>
    <row r="2144" spans="2:18">
      <c r="C2144" s="55" t="s">
        <v>8</v>
      </c>
      <c r="D2144" s="55" t="s">
        <v>2109</v>
      </c>
      <c r="E2144" s="3">
        <v>110</v>
      </c>
      <c r="F2144" s="3">
        <f>70/4</f>
        <v>17.5</v>
      </c>
      <c r="G2144" s="4">
        <v>44567</v>
      </c>
      <c r="I2144" s="1">
        <v>790</v>
      </c>
      <c r="J2144" s="1">
        <v>790</v>
      </c>
    </row>
    <row r="2145" spans="2:18">
      <c r="G2145" s="4"/>
    </row>
    <row r="2146" spans="2:18" s="12" customFormat="1">
      <c r="B2146" s="12" t="s">
        <v>925</v>
      </c>
      <c r="C2146" s="13" t="s">
        <v>969</v>
      </c>
      <c r="D2146" s="13" t="s">
        <v>968</v>
      </c>
      <c r="E2146" s="15"/>
      <c r="F2146" s="15">
        <f>SUM(F2147:F2149)</f>
        <v>29.75</v>
      </c>
      <c r="G2146" s="14">
        <f>G2147</f>
        <v>45090</v>
      </c>
      <c r="M2146" s="13"/>
      <c r="N2146" s="13"/>
      <c r="O2146" s="13"/>
      <c r="P2146" s="13"/>
      <c r="Q2146" s="13"/>
      <c r="R2146" s="13"/>
    </row>
    <row r="2147" spans="2:18">
      <c r="C2147" s="2" t="s">
        <v>4</v>
      </c>
      <c r="D2147" s="2" t="s">
        <v>705</v>
      </c>
      <c r="E2147" s="3">
        <v>113</v>
      </c>
      <c r="F2147" s="3">
        <v>8</v>
      </c>
      <c r="G2147" s="4">
        <v>45090</v>
      </c>
    </row>
    <row r="2148" spans="2:18">
      <c r="C2148" s="52" t="s">
        <v>8</v>
      </c>
      <c r="D2148" s="52" t="s">
        <v>2116</v>
      </c>
      <c r="E2148" s="3">
        <v>175</v>
      </c>
      <c r="F2148" s="3">
        <f>75/4</f>
        <v>18.75</v>
      </c>
      <c r="G2148" s="4">
        <v>44511</v>
      </c>
      <c r="I2148" s="1">
        <v>3400</v>
      </c>
      <c r="J2148" s="1">
        <v>3400</v>
      </c>
    </row>
    <row r="2149" spans="2:18">
      <c r="C2149" s="52" t="s">
        <v>7</v>
      </c>
      <c r="D2149" s="52" t="s">
        <v>2116</v>
      </c>
      <c r="E2149" s="3">
        <v>40</v>
      </c>
      <c r="F2149" s="3">
        <v>3</v>
      </c>
      <c r="G2149" s="4">
        <v>43720</v>
      </c>
      <c r="J2149" s="1">
        <v>3400</v>
      </c>
    </row>
    <row r="2150" spans="2:18">
      <c r="G2150" s="4"/>
    </row>
    <row r="2151" spans="2:18" s="12" customFormat="1">
      <c r="B2151" s="12" t="s">
        <v>233</v>
      </c>
      <c r="C2151" s="13" t="s">
        <v>969</v>
      </c>
      <c r="D2151" s="13" t="s">
        <v>968</v>
      </c>
      <c r="E2151" s="15"/>
      <c r="F2151" s="15">
        <f>SUM(F2152:F2153)</f>
        <v>30</v>
      </c>
      <c r="G2151" s="14">
        <f>G2153</f>
        <v>43391</v>
      </c>
      <c r="M2151" s="13"/>
      <c r="N2151" s="13"/>
      <c r="O2151" s="13"/>
      <c r="P2151" s="13"/>
      <c r="Q2151" s="13"/>
      <c r="R2151" s="13"/>
    </row>
    <row r="2152" spans="2:18">
      <c r="C2152" s="2" t="s">
        <v>18</v>
      </c>
      <c r="D2152" s="2" t="s">
        <v>232</v>
      </c>
      <c r="E2152" s="3">
        <v>100</v>
      </c>
      <c r="F2152" s="3">
        <v>20</v>
      </c>
      <c r="G2152" s="4">
        <v>42735</v>
      </c>
    </row>
    <row r="2153" spans="2:18">
      <c r="C2153" s="2" t="s">
        <v>7</v>
      </c>
      <c r="D2153" s="2" t="s">
        <v>197</v>
      </c>
      <c r="E2153" s="3">
        <v>120</v>
      </c>
      <c r="F2153" s="3">
        <v>10</v>
      </c>
      <c r="G2153" s="4">
        <v>43391</v>
      </c>
    </row>
    <row r="2154" spans="2:18">
      <c r="G2154" s="4"/>
    </row>
    <row r="2155" spans="2:18" s="12" customFormat="1">
      <c r="B2155" s="12" t="s">
        <v>499</v>
      </c>
      <c r="C2155" s="13" t="s">
        <v>969</v>
      </c>
      <c r="D2155" s="13" t="s">
        <v>968</v>
      </c>
      <c r="E2155" s="15"/>
      <c r="F2155" s="15">
        <f>SUM(F2156:F2159)</f>
        <v>30.071428571428569</v>
      </c>
      <c r="G2155" s="14">
        <f>G2157</f>
        <v>44880</v>
      </c>
    </row>
    <row r="2156" spans="2:18">
      <c r="C2156" s="2" t="s">
        <v>53</v>
      </c>
      <c r="D2156" s="2" t="s">
        <v>489</v>
      </c>
      <c r="E2156" s="3">
        <v>50</v>
      </c>
      <c r="F2156" s="3">
        <v>10</v>
      </c>
      <c r="G2156" s="4">
        <v>44174</v>
      </c>
      <c r="M2156" s="1"/>
      <c r="N2156" s="1"/>
      <c r="O2156" s="1"/>
      <c r="P2156" s="1"/>
      <c r="Q2156" s="1"/>
      <c r="R2156" s="1"/>
    </row>
    <row r="2157" spans="2:18">
      <c r="C2157" s="2" t="s">
        <v>8</v>
      </c>
      <c r="D2157" s="2" t="s">
        <v>131</v>
      </c>
      <c r="E2157" s="3">
        <v>135</v>
      </c>
      <c r="F2157" s="3">
        <v>8</v>
      </c>
      <c r="G2157" s="4">
        <v>44880</v>
      </c>
      <c r="M2157" s="1"/>
      <c r="N2157" s="1"/>
      <c r="O2157" s="1"/>
      <c r="P2157" s="1"/>
      <c r="Q2157" s="1"/>
      <c r="R2157" s="1"/>
    </row>
    <row r="2158" spans="2:18">
      <c r="C2158" s="2" t="s">
        <v>18</v>
      </c>
      <c r="D2158" s="2" t="s">
        <v>131</v>
      </c>
      <c r="E2158" s="3">
        <v>73</v>
      </c>
      <c r="F2158" s="3">
        <f>53/7</f>
        <v>7.5714285714285712</v>
      </c>
      <c r="G2158" s="4">
        <v>44565</v>
      </c>
      <c r="M2158" s="1"/>
      <c r="N2158" s="1"/>
      <c r="O2158" s="1"/>
      <c r="P2158" s="1"/>
      <c r="Q2158" s="1"/>
      <c r="R2158" s="1"/>
    </row>
    <row r="2159" spans="2:18">
      <c r="C2159" s="2" t="s">
        <v>18</v>
      </c>
      <c r="D2159" s="2" t="s">
        <v>131</v>
      </c>
      <c r="E2159" s="3">
        <v>31.7</v>
      </c>
      <c r="F2159" s="3">
        <f>18/4</f>
        <v>4.5</v>
      </c>
      <c r="G2159" s="4">
        <v>43599</v>
      </c>
      <c r="M2159" s="1"/>
      <c r="N2159" s="1"/>
      <c r="O2159" s="1"/>
      <c r="P2159" s="1"/>
      <c r="Q2159" s="1"/>
      <c r="R2159" s="1"/>
    </row>
    <row r="2160" spans="2:18">
      <c r="G2160" s="4"/>
      <c r="M2160" s="1"/>
      <c r="N2160" s="1"/>
      <c r="O2160" s="1"/>
      <c r="P2160" s="1"/>
      <c r="Q2160" s="1"/>
      <c r="R2160" s="1"/>
    </row>
    <row r="2161" spans="2:9">
      <c r="B2161" s="12" t="s">
        <v>1052</v>
      </c>
      <c r="C2161" s="13" t="s">
        <v>969</v>
      </c>
      <c r="D2161" s="13" t="s">
        <v>968</v>
      </c>
      <c r="E2161" s="15"/>
      <c r="F2161" s="15">
        <f>SUM(F2162:F2170)</f>
        <v>28.683333333333334</v>
      </c>
      <c r="G2161" s="14">
        <f>G2165</f>
        <v>44861</v>
      </c>
    </row>
    <row r="2162" spans="2:9">
      <c r="C2162" s="2" t="s">
        <v>5</v>
      </c>
      <c r="D2162" s="2" t="s">
        <v>986</v>
      </c>
      <c r="E2162" s="3">
        <v>25</v>
      </c>
      <c r="F2162" s="3">
        <f>15/4</f>
        <v>3.75</v>
      </c>
      <c r="G2162" s="4">
        <v>44615</v>
      </c>
    </row>
    <row r="2163" spans="2:9">
      <c r="C2163" s="2" t="s">
        <v>4</v>
      </c>
      <c r="D2163" s="2" t="s">
        <v>986</v>
      </c>
      <c r="E2163" s="3">
        <v>5</v>
      </c>
      <c r="F2163" s="3">
        <v>2</v>
      </c>
      <c r="G2163" s="4">
        <v>44292</v>
      </c>
    </row>
    <row r="2164" spans="2:9">
      <c r="C2164" s="2" t="s">
        <v>4</v>
      </c>
      <c r="D2164" s="2" t="s">
        <v>565</v>
      </c>
      <c r="E2164" s="3">
        <v>9</v>
      </c>
      <c r="F2164" s="3">
        <v>2</v>
      </c>
      <c r="G2164" s="4">
        <v>44859</v>
      </c>
    </row>
    <row r="2165" spans="2:9">
      <c r="C2165" s="2" t="s">
        <v>7</v>
      </c>
      <c r="D2165" s="2" t="s">
        <v>351</v>
      </c>
      <c r="E2165" s="3">
        <v>22</v>
      </c>
      <c r="F2165" s="3">
        <v>5</v>
      </c>
      <c r="G2165" s="4">
        <v>44861</v>
      </c>
    </row>
    <row r="2166" spans="2:9">
      <c r="C2166" s="2" t="s">
        <v>5</v>
      </c>
      <c r="D2166" s="2" t="s">
        <v>351</v>
      </c>
      <c r="E2166" s="3">
        <v>15</v>
      </c>
      <c r="F2166" s="3">
        <v>9</v>
      </c>
      <c r="G2166" s="4">
        <v>44487</v>
      </c>
    </row>
    <row r="2167" spans="2:9">
      <c r="C2167" s="2" t="s">
        <v>5</v>
      </c>
      <c r="D2167" s="2" t="s">
        <v>281</v>
      </c>
      <c r="E2167" s="3">
        <v>13</v>
      </c>
      <c r="F2167" s="3">
        <f>+E2167/3</f>
        <v>4.333333333333333</v>
      </c>
      <c r="G2167" s="4">
        <v>44453</v>
      </c>
    </row>
    <row r="2168" spans="2:9">
      <c r="C2168" s="2" t="s">
        <v>4</v>
      </c>
      <c r="D2168" s="2" t="s">
        <v>281</v>
      </c>
      <c r="E2168" s="3">
        <v>6.2</v>
      </c>
      <c r="F2168" s="3">
        <v>2.6</v>
      </c>
      <c r="G2168" s="4">
        <v>44201</v>
      </c>
    </row>
    <row r="2169" spans="2:9">
      <c r="C2169" s="2" t="s">
        <v>9</v>
      </c>
      <c r="D2169" s="2" t="s">
        <v>148</v>
      </c>
      <c r="E2169" s="3">
        <v>300</v>
      </c>
      <c r="F2169" s="6" t="s">
        <v>1047</v>
      </c>
      <c r="G2169" s="4">
        <v>44271</v>
      </c>
    </row>
    <row r="2170" spans="2:9">
      <c r="C2170" s="2" t="s">
        <v>5</v>
      </c>
      <c r="D2170" s="2" t="s">
        <v>148</v>
      </c>
      <c r="E2170" s="3">
        <v>3</v>
      </c>
      <c r="F2170" s="6" t="s">
        <v>1051</v>
      </c>
      <c r="G2170" s="4">
        <v>41879</v>
      </c>
      <c r="I2170" s="1">
        <v>11</v>
      </c>
    </row>
    <row r="2171" spans="2:9">
      <c r="G2171" s="4"/>
    </row>
    <row r="2172" spans="2:9" s="12" customFormat="1">
      <c r="B2172" s="12" t="s">
        <v>736</v>
      </c>
      <c r="C2172" s="13" t="s">
        <v>969</v>
      </c>
      <c r="D2172" s="13" t="s">
        <v>968</v>
      </c>
      <c r="E2172" s="15"/>
      <c r="F2172" s="15">
        <f>SUM(F2173:F2177)</f>
        <v>29</v>
      </c>
      <c r="G2172" s="14">
        <f>G2174</f>
        <v>44776</v>
      </c>
    </row>
    <row r="2173" spans="2:9">
      <c r="C2173" s="2" t="s">
        <v>7</v>
      </c>
      <c r="D2173" s="2" t="s">
        <v>735</v>
      </c>
      <c r="E2173" s="3">
        <v>25</v>
      </c>
      <c r="F2173" s="3">
        <f>15/5</f>
        <v>3</v>
      </c>
      <c r="G2173" s="4">
        <v>44755</v>
      </c>
    </row>
    <row r="2174" spans="2:9">
      <c r="C2174" s="2" t="s">
        <v>8</v>
      </c>
      <c r="D2174" s="2" t="s">
        <v>448</v>
      </c>
      <c r="E2174" s="3">
        <v>90</v>
      </c>
      <c r="F2174" s="3">
        <v>5</v>
      </c>
      <c r="G2174" s="4">
        <v>44776</v>
      </c>
    </row>
    <row r="2175" spans="2:9">
      <c r="C2175" s="2" t="s">
        <v>18</v>
      </c>
      <c r="D2175" s="2" t="s">
        <v>448</v>
      </c>
      <c r="E2175" s="3">
        <v>40</v>
      </c>
      <c r="F2175" s="3">
        <v>10</v>
      </c>
      <c r="G2175" s="4">
        <v>44176</v>
      </c>
    </row>
    <row r="2176" spans="2:9">
      <c r="C2176" s="2" t="s">
        <v>18</v>
      </c>
      <c r="D2176" s="2" t="s">
        <v>416</v>
      </c>
      <c r="E2176" s="3">
        <v>23</v>
      </c>
      <c r="F2176" s="3">
        <v>3</v>
      </c>
      <c r="G2176" s="4">
        <v>44328</v>
      </c>
    </row>
    <row r="2177" spans="2:10">
      <c r="C2177" s="2" t="s">
        <v>7</v>
      </c>
      <c r="D2177" s="2" t="s">
        <v>416</v>
      </c>
      <c r="E2177" s="3">
        <v>16</v>
      </c>
      <c r="F2177" s="3">
        <v>8</v>
      </c>
      <c r="G2177" s="4">
        <v>42995</v>
      </c>
    </row>
    <row r="2178" spans="2:10">
      <c r="G2178" s="4"/>
    </row>
    <row r="2179" spans="2:10">
      <c r="B2179" s="12" t="s">
        <v>1049</v>
      </c>
      <c r="C2179" s="13" t="s">
        <v>969</v>
      </c>
      <c r="D2179" s="13" t="s">
        <v>968</v>
      </c>
      <c r="E2179" s="15"/>
      <c r="F2179" s="15">
        <f>SUM(F2180:F2186)</f>
        <v>28.566666666666666</v>
      </c>
      <c r="G2179" s="14">
        <f>G2180</f>
        <v>45069</v>
      </c>
    </row>
    <row r="2180" spans="2:10">
      <c r="C2180" s="2" t="s">
        <v>4</v>
      </c>
      <c r="D2180" s="2" t="s">
        <v>680</v>
      </c>
      <c r="E2180" s="3">
        <v>5.3</v>
      </c>
      <c r="F2180" s="3">
        <v>2</v>
      </c>
      <c r="G2180" s="4">
        <v>45069</v>
      </c>
    </row>
    <row r="2181" spans="2:10">
      <c r="C2181" s="2" t="s">
        <v>18</v>
      </c>
      <c r="D2181" s="2" t="s">
        <v>692</v>
      </c>
      <c r="E2181" s="3">
        <v>125</v>
      </c>
      <c r="F2181" s="3">
        <v>9</v>
      </c>
      <c r="G2181" s="4">
        <v>44663</v>
      </c>
    </row>
    <row r="2182" spans="2:10">
      <c r="C2182" s="2" t="s">
        <v>7</v>
      </c>
      <c r="D2182" s="2" t="s">
        <v>692</v>
      </c>
      <c r="E2182" s="3">
        <v>54</v>
      </c>
      <c r="F2182" s="3">
        <f>40/6</f>
        <v>6.666666666666667</v>
      </c>
      <c r="G2182" s="4">
        <v>44089</v>
      </c>
    </row>
    <row r="2183" spans="2:10">
      <c r="C2183" s="2" t="s">
        <v>5</v>
      </c>
      <c r="D2183" s="2" t="s">
        <v>692</v>
      </c>
      <c r="E2183" s="3">
        <v>26</v>
      </c>
      <c r="F2183" s="3">
        <v>4</v>
      </c>
      <c r="G2183" s="4">
        <v>43809</v>
      </c>
    </row>
    <row r="2184" spans="2:10">
      <c r="C2184" s="2" t="s">
        <v>5</v>
      </c>
      <c r="D2184" s="2" t="s">
        <v>692</v>
      </c>
      <c r="E2184" s="3">
        <v>8</v>
      </c>
      <c r="F2184" s="3">
        <v>1</v>
      </c>
      <c r="G2184" s="4">
        <v>43249</v>
      </c>
    </row>
    <row r="2185" spans="2:10">
      <c r="C2185" s="2" t="s">
        <v>5</v>
      </c>
      <c r="D2185" s="2" t="s">
        <v>692</v>
      </c>
      <c r="E2185" s="3">
        <v>0.9</v>
      </c>
      <c r="F2185" s="3">
        <v>0.9</v>
      </c>
      <c r="G2185" s="4">
        <v>42951</v>
      </c>
    </row>
    <row r="2186" spans="2:10">
      <c r="C2186" s="2" t="s">
        <v>5</v>
      </c>
      <c r="D2186" s="2" t="s">
        <v>559</v>
      </c>
      <c r="E2186" s="3">
        <v>20</v>
      </c>
      <c r="F2186" s="3">
        <v>5</v>
      </c>
      <c r="G2186" s="4">
        <v>44671</v>
      </c>
    </row>
    <row r="2187" spans="2:10">
      <c r="G2187" s="4"/>
    </row>
    <row r="2188" spans="2:10">
      <c r="B2188" s="12" t="s">
        <v>1003</v>
      </c>
      <c r="C2188" s="13" t="s">
        <v>969</v>
      </c>
      <c r="D2188" s="13" t="s">
        <v>968</v>
      </c>
      <c r="E2188" s="15"/>
      <c r="F2188" s="15">
        <f>SUM(F2189:F2194)</f>
        <v>29</v>
      </c>
      <c r="G2188" s="14">
        <f>+G2189</f>
        <v>44900</v>
      </c>
    </row>
    <row r="2189" spans="2:10">
      <c r="C2189" s="2" t="s">
        <v>18</v>
      </c>
      <c r="D2189" s="2" t="s">
        <v>957</v>
      </c>
      <c r="E2189" s="3">
        <v>50</v>
      </c>
      <c r="F2189" s="3">
        <v>6</v>
      </c>
      <c r="G2189" s="4">
        <v>44900</v>
      </c>
      <c r="I2189" s="1">
        <v>450</v>
      </c>
      <c r="J2189" s="1">
        <v>1400</v>
      </c>
    </row>
    <row r="2190" spans="2:10">
      <c r="C2190" s="2" t="s">
        <v>7</v>
      </c>
      <c r="D2190" s="2" t="s">
        <v>957</v>
      </c>
      <c r="E2190" s="3">
        <v>35</v>
      </c>
      <c r="F2190" s="3">
        <v>5</v>
      </c>
      <c r="G2190" s="4">
        <v>44543</v>
      </c>
      <c r="J2190" s="1">
        <v>1400</v>
      </c>
    </row>
    <row r="2191" spans="2:10">
      <c r="C2191" s="2" t="s">
        <v>5</v>
      </c>
      <c r="D2191" s="2" t="s">
        <v>957</v>
      </c>
      <c r="E2191" s="3">
        <v>8.5</v>
      </c>
      <c r="F2191" s="3">
        <v>1</v>
      </c>
      <c r="G2191" s="4">
        <v>44181</v>
      </c>
      <c r="J2191" s="1">
        <v>1400</v>
      </c>
    </row>
    <row r="2192" spans="2:10">
      <c r="C2192" s="2" t="s">
        <v>7</v>
      </c>
      <c r="D2192" s="2" t="s">
        <v>2129</v>
      </c>
      <c r="E2192" s="3">
        <v>176</v>
      </c>
      <c r="F2192" s="3">
        <v>13</v>
      </c>
      <c r="G2192" s="4">
        <v>44578</v>
      </c>
    </row>
    <row r="2193" spans="2:18">
      <c r="C2193" s="2" t="s">
        <v>5</v>
      </c>
      <c r="D2193" s="2" t="s">
        <v>2129</v>
      </c>
      <c r="E2193" s="3">
        <v>20</v>
      </c>
      <c r="F2193" s="3">
        <v>3</v>
      </c>
      <c r="G2193" s="4">
        <v>44044</v>
      </c>
    </row>
    <row r="2194" spans="2:18">
      <c r="C2194" s="2" t="s">
        <v>4</v>
      </c>
      <c r="D2194" s="2" t="s">
        <v>2129</v>
      </c>
      <c r="E2194" s="3">
        <v>3</v>
      </c>
      <c r="F2194" s="3">
        <v>1</v>
      </c>
      <c r="G2194" s="4">
        <v>42979</v>
      </c>
    </row>
    <row r="2195" spans="2:18">
      <c r="G2195" s="4"/>
    </row>
    <row r="2196" spans="2:18" s="12" customFormat="1">
      <c r="B2196" s="12" t="s">
        <v>1000</v>
      </c>
      <c r="C2196" s="13" t="s">
        <v>969</v>
      </c>
      <c r="D2196" s="13" t="s">
        <v>968</v>
      </c>
      <c r="E2196" s="15"/>
      <c r="F2196" s="15">
        <f>SUM(F2197:F2200)</f>
        <v>28.5</v>
      </c>
      <c r="G2196" s="14">
        <f>G2197</f>
        <v>44699</v>
      </c>
      <c r="M2196" s="13"/>
      <c r="N2196" s="13"/>
      <c r="O2196" s="13"/>
      <c r="P2196" s="13"/>
      <c r="Q2196" s="13"/>
      <c r="R2196" s="13"/>
    </row>
    <row r="2197" spans="2:18">
      <c r="C2197" s="2" t="s">
        <v>5</v>
      </c>
      <c r="D2197" s="2" t="s">
        <v>999</v>
      </c>
      <c r="E2197" s="3">
        <v>25</v>
      </c>
      <c r="F2197" s="3">
        <v>10</v>
      </c>
      <c r="G2197" s="4">
        <v>44699</v>
      </c>
    </row>
    <row r="2198" spans="2:18">
      <c r="C2198" s="2" t="s">
        <v>5</v>
      </c>
      <c r="D2198" s="2" t="s">
        <v>697</v>
      </c>
      <c r="E2198" s="3">
        <v>5.6</v>
      </c>
      <c r="F2198" s="3">
        <v>1</v>
      </c>
      <c r="G2198" s="4">
        <v>44292</v>
      </c>
    </row>
    <row r="2199" spans="2:18">
      <c r="C2199" s="168" t="s">
        <v>5</v>
      </c>
      <c r="D2199" s="168" t="s">
        <v>2033</v>
      </c>
      <c r="E2199" s="3">
        <v>25</v>
      </c>
      <c r="F2199" s="3">
        <v>12.5</v>
      </c>
      <c r="G2199" s="4">
        <v>44454</v>
      </c>
    </row>
    <row r="2200" spans="2:18">
      <c r="C2200" s="168" t="s">
        <v>4</v>
      </c>
      <c r="D2200" s="168" t="s">
        <v>2033</v>
      </c>
      <c r="E2200" s="3">
        <v>5</v>
      </c>
      <c r="F2200" s="3">
        <v>5</v>
      </c>
      <c r="G2200" s="4">
        <v>44454</v>
      </c>
    </row>
    <row r="2201" spans="2:18">
      <c r="G2201" s="4"/>
    </row>
    <row r="2202" spans="2:18" s="12" customFormat="1">
      <c r="B2202" s="12" t="s">
        <v>4357</v>
      </c>
      <c r="C2202" s="13" t="s">
        <v>969</v>
      </c>
      <c r="D2202" s="13" t="s">
        <v>968</v>
      </c>
      <c r="E2202" s="15"/>
      <c r="F2202" s="15">
        <f>SUM(F2203:F2204)</f>
        <v>28.9</v>
      </c>
      <c r="G2202" s="14">
        <f>G2204</f>
        <v>39506</v>
      </c>
      <c r="M2202" s="13"/>
      <c r="N2202" s="13"/>
      <c r="O2202" s="13"/>
      <c r="P2202" s="13"/>
      <c r="Q2202" s="13"/>
      <c r="R2202" s="13"/>
    </row>
    <row r="2203" spans="2:18">
      <c r="C2203" s="2" t="s">
        <v>7</v>
      </c>
      <c r="D2203" s="2" t="s">
        <v>3934</v>
      </c>
      <c r="E2203" s="3">
        <v>10.5</v>
      </c>
      <c r="F2203" s="3">
        <v>10.5</v>
      </c>
      <c r="G2203" s="4">
        <v>39044</v>
      </c>
    </row>
    <row r="2204" spans="2:18">
      <c r="C2204" s="2" t="s">
        <v>18</v>
      </c>
      <c r="D2204" s="2" t="s">
        <v>3934</v>
      </c>
      <c r="E2204" s="3">
        <v>36.799999999999997</v>
      </c>
      <c r="F2204" s="3">
        <f>E2204/2</f>
        <v>18.399999999999999</v>
      </c>
      <c r="G2204" s="4">
        <v>39506</v>
      </c>
    </row>
    <row r="2205" spans="2:18">
      <c r="G2205" s="4"/>
    </row>
    <row r="2206" spans="2:18" s="12" customFormat="1">
      <c r="B2206" s="12" t="s">
        <v>84</v>
      </c>
      <c r="C2206" s="13" t="s">
        <v>969</v>
      </c>
      <c r="D2206" s="13" t="s">
        <v>968</v>
      </c>
      <c r="E2206" s="15"/>
      <c r="F2206" s="15">
        <f>SUM(F2207:F2208)</f>
        <v>27.5</v>
      </c>
      <c r="G2206" s="14">
        <f>G2207</f>
        <v>43958</v>
      </c>
      <c r="M2206" s="13"/>
      <c r="N2206" s="13"/>
      <c r="O2206" s="13"/>
      <c r="P2206" s="13"/>
      <c r="Q2206" s="13"/>
      <c r="R2206" s="13"/>
    </row>
    <row r="2207" spans="2:18">
      <c r="C2207" s="2" t="s">
        <v>7</v>
      </c>
      <c r="D2207" s="2" t="s">
        <v>80</v>
      </c>
      <c r="E2207" s="3">
        <v>100</v>
      </c>
      <c r="F2207" s="3">
        <v>20</v>
      </c>
      <c r="G2207" s="4">
        <v>43958</v>
      </c>
      <c r="I2207" s="5">
        <f>4500/7</f>
        <v>642.85714285714289</v>
      </c>
    </row>
    <row r="2208" spans="2:18">
      <c r="C2208" s="2" t="s">
        <v>4</v>
      </c>
      <c r="D2208" s="2" t="s">
        <v>80</v>
      </c>
      <c r="E2208" s="3">
        <v>49</v>
      </c>
      <c r="F2208" s="3">
        <v>7.5</v>
      </c>
      <c r="G2208" s="4">
        <v>43319</v>
      </c>
      <c r="I2208" s="5"/>
    </row>
    <row r="2209" spans="2:18">
      <c r="G2209" s="4"/>
      <c r="I2209" s="5"/>
    </row>
    <row r="2210" spans="2:18" s="12" customFormat="1">
      <c r="B2210" s="12" t="s">
        <v>1048</v>
      </c>
      <c r="C2210" s="13" t="s">
        <v>969</v>
      </c>
      <c r="D2210" s="13" t="s">
        <v>968</v>
      </c>
      <c r="E2210" s="15"/>
      <c r="F2210" s="15">
        <f>SUM(F2211:F2214)</f>
        <v>28.222222222222221</v>
      </c>
      <c r="G2210" s="14">
        <f>G2211</f>
        <v>44274</v>
      </c>
      <c r="M2210" s="13"/>
      <c r="N2210" s="13"/>
      <c r="O2210" s="13"/>
      <c r="P2210" s="13"/>
      <c r="Q2210" s="13"/>
      <c r="R2210" s="13"/>
    </row>
    <row r="2211" spans="2:18">
      <c r="C2211" s="2" t="s">
        <v>18</v>
      </c>
      <c r="D2211" s="2" t="s">
        <v>197</v>
      </c>
      <c r="E2211" s="3">
        <v>500</v>
      </c>
      <c r="F2211" s="3">
        <f>200/9</f>
        <v>22.222222222222221</v>
      </c>
      <c r="G2211" s="4">
        <v>44274</v>
      </c>
    </row>
    <row r="2212" spans="2:18">
      <c r="C2212" s="2" t="s">
        <v>7</v>
      </c>
      <c r="D2212" s="2" t="s">
        <v>197</v>
      </c>
      <c r="E2212" s="3">
        <v>46</v>
      </c>
      <c r="F2212" s="3">
        <v>6</v>
      </c>
      <c r="G2212" s="4">
        <v>42941</v>
      </c>
    </row>
    <row r="2213" spans="2:18">
      <c r="C2213" s="2" t="s">
        <v>9</v>
      </c>
      <c r="D2213" s="2" t="s">
        <v>148</v>
      </c>
      <c r="E2213" s="3">
        <v>300</v>
      </c>
      <c r="F2213" s="6" t="s">
        <v>1047</v>
      </c>
      <c r="G2213" s="4">
        <v>44271</v>
      </c>
    </row>
    <row r="2214" spans="2:18">
      <c r="C2214" s="2" t="s">
        <v>8</v>
      </c>
      <c r="D2214" s="2" t="s">
        <v>148</v>
      </c>
      <c r="E2214" s="3">
        <v>38</v>
      </c>
      <c r="F2214" s="6" t="s">
        <v>1046</v>
      </c>
      <c r="G2214" s="4">
        <v>43266</v>
      </c>
    </row>
    <row r="2215" spans="2:18">
      <c r="G2215" s="4"/>
    </row>
    <row r="2216" spans="2:18" s="12" customFormat="1">
      <c r="B2216" s="12" t="s">
        <v>140</v>
      </c>
      <c r="C2216" s="13" t="s">
        <v>969</v>
      </c>
      <c r="D2216" s="13" t="s">
        <v>968</v>
      </c>
      <c r="E2216" s="15"/>
      <c r="F2216" s="15">
        <f>SUM(F2217:F2218)</f>
        <v>28</v>
      </c>
      <c r="G2216" s="14">
        <f>G2217</f>
        <v>44880</v>
      </c>
      <c r="M2216" s="13"/>
      <c r="N2216" s="13"/>
      <c r="O2216" s="13"/>
      <c r="P2216" s="13"/>
      <c r="Q2216" s="13"/>
      <c r="R2216" s="13"/>
    </row>
    <row r="2217" spans="2:18">
      <c r="C2217" s="2" t="s">
        <v>8</v>
      </c>
      <c r="D2217" s="2" t="s">
        <v>131</v>
      </c>
      <c r="E2217" s="3">
        <v>135</v>
      </c>
      <c r="F2217" s="3">
        <v>8</v>
      </c>
      <c r="G2217" s="4">
        <v>44880</v>
      </c>
    </row>
    <row r="2218" spans="2:18">
      <c r="C2218" s="2" t="s">
        <v>18</v>
      </c>
      <c r="D2218" s="2" t="s">
        <v>131</v>
      </c>
      <c r="E2218" s="3">
        <v>73</v>
      </c>
      <c r="F2218" s="3">
        <v>20</v>
      </c>
      <c r="G2218" s="4">
        <v>44565</v>
      </c>
    </row>
    <row r="2219" spans="2:18">
      <c r="G2219" s="4"/>
    </row>
    <row r="2220" spans="2:18" s="12" customFormat="1">
      <c r="B2220" s="12" t="s">
        <v>609</v>
      </c>
      <c r="C2220" s="13" t="s">
        <v>969</v>
      </c>
      <c r="D2220" s="13" t="s">
        <v>968</v>
      </c>
      <c r="E2220" s="15"/>
      <c r="F2220" s="15">
        <f>SUM(F2221:F2224)</f>
        <v>28.2</v>
      </c>
      <c r="G2220" s="14">
        <f>G2221</f>
        <v>44215</v>
      </c>
    </row>
    <row r="2221" spans="2:18">
      <c r="C2221" s="2" t="s">
        <v>9</v>
      </c>
      <c r="D2221" s="2" t="s">
        <v>606</v>
      </c>
      <c r="E2221" s="3">
        <v>132</v>
      </c>
      <c r="F2221" s="3">
        <f>72/10</f>
        <v>7.2</v>
      </c>
      <c r="G2221" s="4">
        <v>44215</v>
      </c>
      <c r="J2221" s="1">
        <v>1200</v>
      </c>
      <c r="M2221" s="1"/>
      <c r="N2221" s="1"/>
      <c r="O2221" s="1"/>
      <c r="P2221" s="1"/>
      <c r="Q2221" s="1"/>
      <c r="R2221" s="1"/>
    </row>
    <row r="2222" spans="2:18">
      <c r="C2222" s="2" t="s">
        <v>8</v>
      </c>
      <c r="D2222" s="2" t="s">
        <v>606</v>
      </c>
      <c r="E2222" s="3">
        <v>42</v>
      </c>
      <c r="F2222" s="3">
        <f>30/5</f>
        <v>6</v>
      </c>
      <c r="G2222" s="4">
        <v>44153</v>
      </c>
      <c r="J2222" s="1">
        <v>1200</v>
      </c>
      <c r="M2222" s="1"/>
      <c r="N2222" s="1"/>
      <c r="O2222" s="1"/>
      <c r="P2222" s="1"/>
      <c r="Q2222" s="1"/>
      <c r="R2222" s="1"/>
    </row>
    <row r="2223" spans="2:18">
      <c r="C2223" s="2" t="s">
        <v>18</v>
      </c>
      <c r="D2223" s="2" t="s">
        <v>606</v>
      </c>
      <c r="E2223" s="3">
        <v>48</v>
      </c>
      <c r="F2223" s="3">
        <v>10</v>
      </c>
      <c r="G2223" s="4">
        <v>43888</v>
      </c>
      <c r="J2223" s="1">
        <v>1200</v>
      </c>
      <c r="M2223" s="1"/>
      <c r="N2223" s="1"/>
      <c r="O2223" s="1"/>
      <c r="P2223" s="1"/>
      <c r="Q2223" s="1"/>
      <c r="R2223" s="1"/>
    </row>
    <row r="2224" spans="2:18">
      <c r="C2224" s="2" t="s">
        <v>7</v>
      </c>
      <c r="D2224" s="2" t="s">
        <v>606</v>
      </c>
      <c r="E2224" s="3">
        <v>25</v>
      </c>
      <c r="F2224" s="3">
        <v>5</v>
      </c>
      <c r="G2224" s="4">
        <v>43440</v>
      </c>
      <c r="J2224" s="1">
        <v>1200</v>
      </c>
      <c r="M2224" s="1"/>
      <c r="N2224" s="1"/>
      <c r="O2224" s="1"/>
      <c r="P2224" s="1"/>
      <c r="Q2224" s="1"/>
      <c r="R2224" s="1"/>
    </row>
    <row r="2225" spans="2:18">
      <c r="G2225" s="4"/>
      <c r="M2225" s="1"/>
      <c r="N2225" s="1"/>
      <c r="O2225" s="1"/>
      <c r="P2225" s="1"/>
      <c r="Q2225" s="1"/>
      <c r="R2225" s="1"/>
    </row>
    <row r="2226" spans="2:18" s="12" customFormat="1">
      <c r="B2226" s="12" t="s">
        <v>205</v>
      </c>
      <c r="C2226" s="13" t="s">
        <v>969</v>
      </c>
      <c r="D2226" s="13" t="s">
        <v>968</v>
      </c>
      <c r="E2226" s="15"/>
      <c r="F2226" s="15">
        <f>SUM(F2227:F2228)</f>
        <v>28.222222222222221</v>
      </c>
      <c r="G2226" s="14">
        <f>G2227</f>
        <v>44274</v>
      </c>
      <c r="M2226" s="13"/>
      <c r="N2226" s="13"/>
      <c r="O2226" s="13"/>
      <c r="P2226" s="13"/>
      <c r="Q2226" s="13"/>
      <c r="R2226" s="13"/>
    </row>
    <row r="2227" spans="2:18">
      <c r="C2227" s="2" t="s">
        <v>18</v>
      </c>
      <c r="D2227" s="2" t="s">
        <v>197</v>
      </c>
      <c r="E2227" s="3">
        <v>500</v>
      </c>
      <c r="F2227" s="3">
        <f>200/9</f>
        <v>22.222222222222221</v>
      </c>
      <c r="G2227" s="4">
        <v>44274</v>
      </c>
    </row>
    <row r="2228" spans="2:18">
      <c r="C2228" s="2" t="s">
        <v>7</v>
      </c>
      <c r="D2228" s="2" t="s">
        <v>197</v>
      </c>
      <c r="E2228" s="3">
        <v>46</v>
      </c>
      <c r="F2228" s="3">
        <v>6</v>
      </c>
      <c r="G2228" s="4">
        <v>42941</v>
      </c>
    </row>
    <row r="2229" spans="2:18">
      <c r="G2229" s="4"/>
    </row>
    <row r="2230" spans="2:18" s="12" customFormat="1">
      <c r="B2230" s="12" t="s">
        <v>4882</v>
      </c>
      <c r="C2230" s="13" t="s">
        <v>969</v>
      </c>
      <c r="D2230" s="13" t="s">
        <v>968</v>
      </c>
      <c r="E2230" s="15"/>
      <c r="F2230" s="15">
        <f>SUM(F2231:F2233)</f>
        <v>26.8</v>
      </c>
      <c r="G2230" s="14">
        <f>G2231</f>
        <v>44320</v>
      </c>
      <c r="M2230" s="13"/>
      <c r="N2230" s="13"/>
      <c r="O2230" s="13"/>
      <c r="P2230" s="13"/>
      <c r="Q2230" s="13"/>
      <c r="R2230" s="13"/>
    </row>
    <row r="2231" spans="2:18">
      <c r="B2231" s="51"/>
      <c r="C2231" s="52" t="s">
        <v>8</v>
      </c>
      <c r="D2231" s="52" t="s">
        <v>4881</v>
      </c>
      <c r="E2231" s="3">
        <v>83</v>
      </c>
      <c r="F2231" s="3">
        <f>68/10</f>
        <v>6.8</v>
      </c>
      <c r="G2231" s="4">
        <v>44320</v>
      </c>
      <c r="I2231" s="1">
        <v>3600</v>
      </c>
      <c r="J2231" s="1">
        <v>3600</v>
      </c>
    </row>
    <row r="2232" spans="2:18">
      <c r="B2232" s="51"/>
      <c r="C2232" s="52" t="s">
        <v>18</v>
      </c>
      <c r="D2232" s="52" t="s">
        <v>4881</v>
      </c>
      <c r="E2232" s="3">
        <v>100</v>
      </c>
      <c r="F2232" s="3">
        <f>80/8</f>
        <v>10</v>
      </c>
      <c r="G2232" s="4">
        <v>43937</v>
      </c>
      <c r="I2232" s="1">
        <v>1100</v>
      </c>
      <c r="J2232" s="1">
        <v>3600</v>
      </c>
    </row>
    <row r="2233" spans="2:18">
      <c r="B2233" s="51"/>
      <c r="C2233" s="52" t="s">
        <v>7</v>
      </c>
      <c r="D2233" s="52" t="s">
        <v>4881</v>
      </c>
      <c r="E2233" s="3">
        <v>40</v>
      </c>
      <c r="F2233" s="3">
        <v>10</v>
      </c>
      <c r="G2233" s="4">
        <v>43522</v>
      </c>
      <c r="J2233" s="1">
        <v>3600</v>
      </c>
    </row>
    <row r="2234" spans="2:18">
      <c r="B2234" s="51"/>
      <c r="C2234" s="52"/>
      <c r="D2234" s="52"/>
      <c r="G2234" s="4"/>
    </row>
    <row r="2235" spans="2:18" s="12" customFormat="1">
      <c r="B2235" s="12" t="s">
        <v>36</v>
      </c>
      <c r="C2235" s="13" t="s">
        <v>969</v>
      </c>
      <c r="D2235" s="13" t="s">
        <v>968</v>
      </c>
      <c r="E2235" s="15"/>
      <c r="F2235" s="15">
        <f>SUM(F2236:F2237)</f>
        <v>26.714285714285715</v>
      </c>
      <c r="G2235" s="14">
        <f>G2236</f>
        <v>43634</v>
      </c>
      <c r="M2235" s="13"/>
      <c r="N2235" s="13"/>
      <c r="O2235" s="13"/>
      <c r="P2235" s="13"/>
      <c r="Q2235" s="13"/>
      <c r="R2235" s="13"/>
    </row>
    <row r="2236" spans="2:18">
      <c r="C2236" s="2" t="s">
        <v>18</v>
      </c>
      <c r="D2236" s="2" t="s">
        <v>32</v>
      </c>
      <c r="E2236" s="3">
        <v>230</v>
      </c>
      <c r="F2236" s="3">
        <f>110/7</f>
        <v>15.714285714285714</v>
      </c>
      <c r="G2236" s="4">
        <v>43634</v>
      </c>
      <c r="I2236" s="1">
        <v>770</v>
      </c>
      <c r="J2236" s="1">
        <v>770</v>
      </c>
    </row>
    <row r="2237" spans="2:18">
      <c r="C2237" s="2" t="s">
        <v>7</v>
      </c>
      <c r="D2237" s="2" t="s">
        <v>32</v>
      </c>
      <c r="E2237" s="3">
        <v>45</v>
      </c>
      <c r="F2237" s="3">
        <v>11</v>
      </c>
      <c r="G2237" s="4">
        <v>43293</v>
      </c>
      <c r="J2237" s="1">
        <v>770</v>
      </c>
    </row>
    <row r="2238" spans="2:18">
      <c r="G2238" s="4"/>
    </row>
    <row r="2239" spans="2:18" s="12" customFormat="1">
      <c r="B2239" s="12" t="s">
        <v>33</v>
      </c>
      <c r="C2239" s="13" t="s">
        <v>969</v>
      </c>
      <c r="D2239" s="13" t="s">
        <v>968</v>
      </c>
      <c r="E2239" s="15"/>
      <c r="F2239" s="15">
        <f>SUM(F2240:F2242)</f>
        <v>26.714285714285715</v>
      </c>
      <c r="G2239" s="14">
        <f>G2240</f>
        <v>43634</v>
      </c>
      <c r="M2239" s="13"/>
      <c r="N2239" s="13"/>
      <c r="O2239" s="13"/>
      <c r="P2239" s="13"/>
      <c r="Q2239" s="13"/>
      <c r="R2239" s="13"/>
    </row>
    <row r="2240" spans="2:18">
      <c r="C2240" s="2" t="s">
        <v>18</v>
      </c>
      <c r="D2240" s="2" t="s">
        <v>32</v>
      </c>
      <c r="E2240" s="3">
        <v>230</v>
      </c>
      <c r="F2240" s="3">
        <f>110/7</f>
        <v>15.714285714285714</v>
      </c>
      <c r="G2240" s="4">
        <v>43634</v>
      </c>
      <c r="I2240" s="1">
        <v>770</v>
      </c>
      <c r="J2240" s="1">
        <v>770</v>
      </c>
    </row>
    <row r="2241" spans="2:18">
      <c r="C2241" s="2" t="s">
        <v>7</v>
      </c>
      <c r="D2241" s="2" t="s">
        <v>32</v>
      </c>
      <c r="E2241" s="3">
        <v>45</v>
      </c>
      <c r="F2241" s="3">
        <v>6</v>
      </c>
      <c r="G2241" s="4">
        <v>43293</v>
      </c>
      <c r="J2241" s="1">
        <v>770</v>
      </c>
    </row>
    <row r="2242" spans="2:18">
      <c r="C2242" s="2" t="s">
        <v>5</v>
      </c>
      <c r="D2242" s="2" t="s">
        <v>32</v>
      </c>
      <c r="E2242" s="3">
        <v>18</v>
      </c>
      <c r="F2242" s="3">
        <v>5</v>
      </c>
      <c r="G2242" s="4">
        <v>42983</v>
      </c>
      <c r="J2242" s="1">
        <v>770</v>
      </c>
    </row>
    <row r="2243" spans="2:18">
      <c r="G2243" s="4"/>
    </row>
    <row r="2244" spans="2:18" s="12" customFormat="1">
      <c r="B2244" s="12" t="s">
        <v>5406</v>
      </c>
      <c r="C2244" s="13" t="s">
        <v>969</v>
      </c>
      <c r="D2244" s="13" t="s">
        <v>968</v>
      </c>
      <c r="E2244" s="15"/>
      <c r="F2244" s="15">
        <f>SUM(F2245:F2247)</f>
        <v>27</v>
      </c>
      <c r="G2244" s="14">
        <f>G2245</f>
        <v>44307</v>
      </c>
      <c r="M2244" s="13"/>
      <c r="N2244" s="13"/>
      <c r="O2244" s="13"/>
      <c r="P2244" s="13"/>
      <c r="Q2244" s="13"/>
      <c r="R2244" s="13"/>
    </row>
    <row r="2245" spans="2:18">
      <c r="B2245" s="91"/>
      <c r="C2245" s="92" t="s">
        <v>8</v>
      </c>
      <c r="D2245" s="92" t="s">
        <v>5405</v>
      </c>
      <c r="E2245" s="3">
        <v>50</v>
      </c>
      <c r="F2245" s="3">
        <f>30/4</f>
        <v>7.5</v>
      </c>
      <c r="G2245" s="4">
        <v>44307</v>
      </c>
      <c r="I2245" s="1">
        <v>2000</v>
      </c>
      <c r="J2245" s="1">
        <v>2000</v>
      </c>
    </row>
    <row r="2246" spans="2:18">
      <c r="B2246" s="91"/>
      <c r="C2246" s="92" t="s">
        <v>18</v>
      </c>
      <c r="D2246" s="92" t="s">
        <v>5405</v>
      </c>
      <c r="E2246" s="3">
        <v>37</v>
      </c>
      <c r="F2246" s="3">
        <v>14</v>
      </c>
      <c r="G2246" s="4">
        <v>43831</v>
      </c>
      <c r="J2246" s="1">
        <v>2000</v>
      </c>
    </row>
    <row r="2247" spans="2:18">
      <c r="B2247" s="91"/>
      <c r="C2247" s="92" t="s">
        <v>7</v>
      </c>
      <c r="D2247" s="92" t="s">
        <v>5405</v>
      </c>
      <c r="E2247" s="3">
        <v>13.5</v>
      </c>
      <c r="F2247" s="3">
        <v>5.5</v>
      </c>
      <c r="G2247" s="4">
        <v>43320</v>
      </c>
      <c r="J2247" s="1">
        <v>2000</v>
      </c>
    </row>
    <row r="2248" spans="2:18">
      <c r="B2248" s="91"/>
      <c r="C2248" s="92"/>
      <c r="D2248" s="92"/>
      <c r="G2248" s="4"/>
    </row>
    <row r="2249" spans="2:18">
      <c r="B2249" s="12" t="s">
        <v>1045</v>
      </c>
      <c r="C2249" s="13" t="s">
        <v>969</v>
      </c>
      <c r="D2249" s="13" t="s">
        <v>968</v>
      </c>
      <c r="E2249" s="15"/>
      <c r="F2249" s="15">
        <f>SUM(F2250:F2258)</f>
        <v>26.5</v>
      </c>
      <c r="G2249" s="14">
        <f>+G2255</f>
        <v>44398</v>
      </c>
    </row>
    <row r="2250" spans="2:18">
      <c r="B2250" s="253" t="s">
        <v>7627</v>
      </c>
      <c r="C2250" s="2" t="s">
        <v>278</v>
      </c>
      <c r="D2250" s="2" t="s">
        <v>763</v>
      </c>
      <c r="E2250" s="3">
        <v>1</v>
      </c>
      <c r="F2250" s="3">
        <v>0.5</v>
      </c>
      <c r="G2250" s="4">
        <v>44287</v>
      </c>
    </row>
    <row r="2251" spans="2:18">
      <c r="C2251" s="2" t="s">
        <v>5</v>
      </c>
      <c r="D2251" s="2" t="s">
        <v>957</v>
      </c>
      <c r="E2251" s="3">
        <v>8.5</v>
      </c>
      <c r="F2251" s="3">
        <v>1</v>
      </c>
      <c r="G2251" s="4">
        <v>44181</v>
      </c>
      <c r="J2251" s="1">
        <v>1400</v>
      </c>
    </row>
    <row r="2252" spans="2:18">
      <c r="C2252" s="2" t="s">
        <v>5</v>
      </c>
      <c r="D2252" s="2" t="s">
        <v>695</v>
      </c>
      <c r="E2252" s="3">
        <v>20</v>
      </c>
      <c r="F2252" s="3">
        <f>10/4</f>
        <v>2.5</v>
      </c>
      <c r="G2252" s="4">
        <v>44392</v>
      </c>
    </row>
    <row r="2253" spans="2:18">
      <c r="C2253" s="2" t="s">
        <v>4</v>
      </c>
      <c r="D2253" s="2" t="s">
        <v>663</v>
      </c>
      <c r="E2253" s="3">
        <v>4.5</v>
      </c>
      <c r="F2253" s="3">
        <v>0.5</v>
      </c>
      <c r="G2253" s="4">
        <v>44293</v>
      </c>
    </row>
    <row r="2254" spans="2:18">
      <c r="C2254" s="2" t="s">
        <v>7</v>
      </c>
      <c r="D2254" s="2" t="s">
        <v>599</v>
      </c>
      <c r="E2254" s="3">
        <v>54</v>
      </c>
      <c r="F2254" s="3">
        <f>40/5</f>
        <v>8</v>
      </c>
      <c r="G2254" s="4">
        <v>44089</v>
      </c>
    </row>
    <row r="2255" spans="2:18">
      <c r="C2255" s="2" t="s">
        <v>7</v>
      </c>
      <c r="D2255" s="2" t="s">
        <v>475</v>
      </c>
      <c r="E2255" s="3">
        <v>90</v>
      </c>
      <c r="F2255" s="3">
        <v>6</v>
      </c>
      <c r="G2255" s="4">
        <v>44398</v>
      </c>
    </row>
    <row r="2256" spans="2:18">
      <c r="C2256" s="2" t="s">
        <v>7</v>
      </c>
      <c r="D2256" s="2" t="s">
        <v>525</v>
      </c>
      <c r="E2256" s="3">
        <v>32</v>
      </c>
      <c r="F2256" s="3">
        <v>3</v>
      </c>
      <c r="G2256" s="4">
        <v>44364</v>
      </c>
    </row>
    <row r="2257" spans="2:18">
      <c r="C2257" s="2" t="s">
        <v>5</v>
      </c>
      <c r="D2257" s="2" t="s">
        <v>298</v>
      </c>
      <c r="E2257" s="3">
        <v>15</v>
      </c>
      <c r="F2257" s="3">
        <v>2</v>
      </c>
      <c r="G2257" s="4">
        <v>44314</v>
      </c>
    </row>
    <row r="2258" spans="2:18">
      <c r="C2258" s="2" t="s">
        <v>5</v>
      </c>
      <c r="D2258" s="2" t="s">
        <v>2129</v>
      </c>
      <c r="E2258" s="3">
        <v>20</v>
      </c>
      <c r="F2258" s="3">
        <v>3</v>
      </c>
      <c r="G2258" s="4">
        <v>44044</v>
      </c>
    </row>
    <row r="2260" spans="2:18" s="12" customFormat="1">
      <c r="B2260" s="12" t="s">
        <v>616</v>
      </c>
      <c r="C2260" s="13" t="s">
        <v>969</v>
      </c>
      <c r="D2260" s="13" t="s">
        <v>968</v>
      </c>
      <c r="E2260" s="15"/>
      <c r="F2260" s="15">
        <f>SUM(F2261:F2265)</f>
        <v>25.755555555555556</v>
      </c>
      <c r="G2260" s="14">
        <f>+G2262</f>
        <v>45124</v>
      </c>
    </row>
    <row r="2261" spans="2:18">
      <c r="C2261" s="2" t="s">
        <v>9</v>
      </c>
      <c r="D2261" s="2" t="s">
        <v>606</v>
      </c>
      <c r="E2261" s="3">
        <v>132</v>
      </c>
      <c r="F2261" s="3">
        <f>72/10</f>
        <v>7.2</v>
      </c>
      <c r="G2261" s="4">
        <v>44215</v>
      </c>
      <c r="I2261" s="1">
        <v>1400</v>
      </c>
      <c r="J2261" s="1">
        <v>1200</v>
      </c>
      <c r="M2261" s="1"/>
      <c r="N2261" s="1"/>
      <c r="O2261" s="1"/>
      <c r="P2261" s="1"/>
      <c r="Q2261" s="1"/>
      <c r="R2261" s="1"/>
    </row>
    <row r="2262" spans="2:18">
      <c r="C2262" s="265" t="s">
        <v>7929</v>
      </c>
      <c r="D2262" s="2" t="s">
        <v>606</v>
      </c>
      <c r="E2262" s="3">
        <v>59</v>
      </c>
      <c r="F2262" s="3">
        <f>59/9</f>
        <v>6.5555555555555554</v>
      </c>
      <c r="G2262" s="4">
        <v>45124</v>
      </c>
      <c r="I2262" s="1">
        <v>1200</v>
      </c>
      <c r="J2262" s="1">
        <v>1200</v>
      </c>
      <c r="M2262" s="1"/>
      <c r="N2262" s="1"/>
      <c r="O2262" s="1"/>
      <c r="P2262" s="1"/>
      <c r="Q2262" s="1"/>
      <c r="R2262" s="1"/>
    </row>
    <row r="2263" spans="2:18">
      <c r="C2263" s="2" t="s">
        <v>8</v>
      </c>
      <c r="D2263" s="2" t="s">
        <v>606</v>
      </c>
      <c r="E2263" s="3">
        <v>42</v>
      </c>
      <c r="F2263" s="3">
        <f>30/5</f>
        <v>6</v>
      </c>
      <c r="G2263" s="4">
        <v>44153</v>
      </c>
      <c r="J2263" s="1">
        <v>1200</v>
      </c>
      <c r="M2263" s="1"/>
      <c r="N2263" s="1"/>
      <c r="O2263" s="1"/>
      <c r="P2263" s="1"/>
      <c r="Q2263" s="1"/>
      <c r="R2263" s="1"/>
    </row>
    <row r="2264" spans="2:18">
      <c r="C2264" s="2" t="s">
        <v>18</v>
      </c>
      <c r="D2264" s="2" t="s">
        <v>606</v>
      </c>
      <c r="E2264" s="3">
        <v>48</v>
      </c>
      <c r="F2264" s="3">
        <f>28/7</f>
        <v>4</v>
      </c>
      <c r="G2264" s="4">
        <v>43888</v>
      </c>
      <c r="J2264" s="1">
        <v>1200</v>
      </c>
      <c r="M2264" s="1"/>
      <c r="N2264" s="1"/>
      <c r="O2264" s="1"/>
      <c r="P2264" s="1"/>
      <c r="Q2264" s="1"/>
      <c r="R2264" s="1"/>
    </row>
    <row r="2265" spans="2:18">
      <c r="C2265" s="2" t="s">
        <v>7</v>
      </c>
      <c r="D2265" s="2" t="s">
        <v>606</v>
      </c>
      <c r="E2265" s="3">
        <v>25</v>
      </c>
      <c r="F2265" s="3">
        <f>10/5</f>
        <v>2</v>
      </c>
      <c r="G2265" s="4">
        <v>43440</v>
      </c>
      <c r="J2265" s="1">
        <v>1200</v>
      </c>
      <c r="M2265" s="1"/>
      <c r="N2265" s="1"/>
      <c r="O2265" s="1"/>
      <c r="P2265" s="1"/>
      <c r="Q2265" s="1"/>
      <c r="R2265" s="1"/>
    </row>
    <row r="2266" spans="2:18">
      <c r="G2266" s="4"/>
      <c r="M2266" s="1"/>
      <c r="N2266" s="1"/>
      <c r="O2266" s="1"/>
      <c r="P2266" s="1"/>
      <c r="Q2266" s="1"/>
      <c r="R2266" s="1"/>
    </row>
    <row r="2267" spans="2:18" s="12" customFormat="1">
      <c r="B2267" s="12" t="s">
        <v>4356</v>
      </c>
      <c r="C2267" s="13" t="s">
        <v>969</v>
      </c>
      <c r="D2267" s="13" t="s">
        <v>968</v>
      </c>
      <c r="E2267" s="15"/>
      <c r="F2267" s="15">
        <f>SUM(F2268:F2269)</f>
        <v>25.9</v>
      </c>
      <c r="G2267" s="14">
        <f>G2269</f>
        <v>39506</v>
      </c>
      <c r="M2267" s="13"/>
      <c r="N2267" s="13"/>
      <c r="O2267" s="13"/>
      <c r="P2267" s="13"/>
      <c r="Q2267" s="13"/>
      <c r="R2267" s="13"/>
    </row>
    <row r="2268" spans="2:18">
      <c r="C2268" s="2" t="s">
        <v>5</v>
      </c>
      <c r="D2268" s="2" t="s">
        <v>3934</v>
      </c>
      <c r="E2268" s="3">
        <v>7.5</v>
      </c>
      <c r="F2268" s="3">
        <v>7.5</v>
      </c>
      <c r="G2268" s="4">
        <v>38919</v>
      </c>
    </row>
    <row r="2269" spans="2:18">
      <c r="C2269" s="2" t="s">
        <v>18</v>
      </c>
      <c r="D2269" s="2" t="s">
        <v>3934</v>
      </c>
      <c r="E2269" s="3">
        <v>36.799999999999997</v>
      </c>
      <c r="F2269" s="3">
        <f>E2269/2</f>
        <v>18.399999999999999</v>
      </c>
      <c r="G2269" s="4">
        <v>39506</v>
      </c>
    </row>
    <row r="2270" spans="2:18">
      <c r="G2270" s="4"/>
    </row>
    <row r="2271" spans="2:18" s="12" customFormat="1">
      <c r="B2271" s="12" t="s">
        <v>5651</v>
      </c>
      <c r="C2271" s="13" t="s">
        <v>969</v>
      </c>
      <c r="D2271" s="13" t="s">
        <v>968</v>
      </c>
      <c r="E2271" s="15"/>
      <c r="F2271" s="15">
        <f>SUM(F2272:F2274)</f>
        <v>25</v>
      </c>
      <c r="G2271" s="14">
        <f>G2272</f>
        <v>44627</v>
      </c>
      <c r="M2271" s="13"/>
      <c r="N2271" s="13"/>
      <c r="O2271" s="13"/>
      <c r="P2271" s="13"/>
      <c r="Q2271" s="13"/>
      <c r="R2271" s="13"/>
    </row>
    <row r="2272" spans="2:18">
      <c r="B2272" s="91"/>
      <c r="C2272" s="92" t="s">
        <v>18</v>
      </c>
      <c r="D2272" s="92" t="s">
        <v>5647</v>
      </c>
      <c r="E2272" s="3">
        <v>75</v>
      </c>
      <c r="F2272" s="3">
        <f>25/2</f>
        <v>12.5</v>
      </c>
      <c r="G2272" s="4">
        <v>44627</v>
      </c>
    </row>
    <row r="2273" spans="2:18">
      <c r="C2273" s="92" t="s">
        <v>7</v>
      </c>
      <c r="D2273" s="92" t="s">
        <v>5647</v>
      </c>
      <c r="E2273" s="3">
        <v>30</v>
      </c>
      <c r="F2273" s="3">
        <v>7.5</v>
      </c>
      <c r="G2273" s="4">
        <v>44222</v>
      </c>
    </row>
    <row r="2274" spans="2:18">
      <c r="C2274" s="92" t="s">
        <v>5</v>
      </c>
      <c r="D2274" s="92" t="s">
        <v>5647</v>
      </c>
      <c r="E2274" s="3">
        <v>10</v>
      </c>
      <c r="F2274" s="3">
        <v>5</v>
      </c>
      <c r="G2274" s="4">
        <v>43559</v>
      </c>
    </row>
    <row r="2275" spans="2:18">
      <c r="C2275" s="92"/>
      <c r="D2275" s="92"/>
      <c r="G2275" s="4"/>
    </row>
    <row r="2276" spans="2:18" s="12" customFormat="1">
      <c r="B2276" s="12" t="s">
        <v>628</v>
      </c>
      <c r="C2276" s="13" t="s">
        <v>969</v>
      </c>
      <c r="D2276" s="13" t="s">
        <v>968</v>
      </c>
      <c r="E2276" s="15"/>
      <c r="F2276" s="15">
        <f>SUM(F2277:F2280)</f>
        <v>25</v>
      </c>
      <c r="G2276" s="14">
        <f>G2277</f>
        <v>44930</v>
      </c>
    </row>
    <row r="2277" spans="2:18">
      <c r="C2277" s="2" t="s">
        <v>5</v>
      </c>
      <c r="D2277" s="2" t="s">
        <v>624</v>
      </c>
      <c r="E2277" s="3">
        <v>10</v>
      </c>
      <c r="F2277" s="3">
        <v>4</v>
      </c>
      <c r="G2277" s="4">
        <v>44930</v>
      </c>
      <c r="M2277" s="1"/>
      <c r="N2277" s="1"/>
      <c r="O2277" s="1"/>
      <c r="P2277" s="1"/>
      <c r="Q2277" s="1"/>
      <c r="R2277" s="1"/>
    </row>
    <row r="2278" spans="2:18">
      <c r="C2278" s="2" t="s">
        <v>7</v>
      </c>
      <c r="D2278" s="2" t="s">
        <v>2129</v>
      </c>
      <c r="E2278" s="3">
        <v>176</v>
      </c>
      <c r="F2278" s="3">
        <v>13</v>
      </c>
      <c r="G2278" s="4">
        <v>44578</v>
      </c>
      <c r="M2278" s="1"/>
      <c r="N2278" s="1"/>
      <c r="O2278" s="1"/>
      <c r="P2278" s="1"/>
      <c r="Q2278" s="1"/>
      <c r="R2278" s="1"/>
    </row>
    <row r="2279" spans="2:18">
      <c r="C2279" s="2" t="s">
        <v>5</v>
      </c>
      <c r="D2279" s="2" t="s">
        <v>2129</v>
      </c>
      <c r="E2279" s="3">
        <v>20</v>
      </c>
      <c r="F2279" s="3">
        <v>5</v>
      </c>
      <c r="G2279" s="4">
        <v>44044</v>
      </c>
      <c r="M2279" s="1"/>
      <c r="N2279" s="1"/>
      <c r="O2279" s="1"/>
      <c r="P2279" s="1"/>
      <c r="Q2279" s="1"/>
      <c r="R2279" s="1"/>
    </row>
    <row r="2280" spans="2:18">
      <c r="C2280" s="2" t="s">
        <v>5</v>
      </c>
      <c r="D2280" s="2" t="s">
        <v>2129</v>
      </c>
      <c r="E2280" s="3">
        <v>20</v>
      </c>
      <c r="F2280" s="3">
        <v>3</v>
      </c>
      <c r="G2280" s="4">
        <v>43647</v>
      </c>
      <c r="M2280" s="1"/>
      <c r="N2280" s="1"/>
      <c r="O2280" s="1"/>
      <c r="P2280" s="1"/>
      <c r="Q2280" s="1"/>
      <c r="R2280" s="1"/>
    </row>
    <row r="2281" spans="2:18">
      <c r="G2281" s="4"/>
      <c r="M2281" s="1"/>
      <c r="N2281" s="1"/>
      <c r="O2281" s="1"/>
      <c r="P2281" s="1"/>
      <c r="Q2281" s="1"/>
      <c r="R2281" s="1"/>
    </row>
    <row r="2282" spans="2:18" s="12" customFormat="1">
      <c r="B2282" s="12" t="s">
        <v>393</v>
      </c>
      <c r="C2282" s="13" t="s">
        <v>969</v>
      </c>
      <c r="D2282" s="13" t="s">
        <v>968</v>
      </c>
      <c r="E2282" s="15"/>
      <c r="F2282" s="15">
        <f>SUM(F2283:F2285)</f>
        <v>24.5</v>
      </c>
      <c r="G2282" s="14">
        <f>G2283</f>
        <v>44286</v>
      </c>
    </row>
    <row r="2283" spans="2:18">
      <c r="C2283" s="2" t="s">
        <v>8</v>
      </c>
      <c r="D2283" s="2" t="s">
        <v>386</v>
      </c>
      <c r="E2283" s="3">
        <v>140</v>
      </c>
      <c r="F2283" s="3">
        <v>10</v>
      </c>
      <c r="G2283" s="4">
        <v>44286</v>
      </c>
      <c r="M2283" s="1"/>
      <c r="N2283" s="1"/>
      <c r="O2283" s="1"/>
      <c r="P2283" s="1"/>
      <c r="Q2283" s="1"/>
      <c r="R2283" s="1"/>
    </row>
    <row r="2284" spans="2:18">
      <c r="C2284" s="2" t="s">
        <v>18</v>
      </c>
      <c r="D2284" s="2" t="s">
        <v>386</v>
      </c>
      <c r="E2284" s="3">
        <v>110</v>
      </c>
      <c r="F2284" s="3">
        <v>10</v>
      </c>
      <c r="G2284" s="4">
        <v>43690</v>
      </c>
      <c r="M2284" s="1"/>
      <c r="N2284" s="1"/>
      <c r="O2284" s="1"/>
      <c r="P2284" s="1"/>
      <c r="Q2284" s="1"/>
      <c r="R2284" s="1"/>
    </row>
    <row r="2285" spans="2:18">
      <c r="C2285" s="2" t="s">
        <v>5</v>
      </c>
      <c r="D2285" s="2" t="s">
        <v>386</v>
      </c>
      <c r="E2285" s="3">
        <v>5.5</v>
      </c>
      <c r="F2285" s="3">
        <v>4.5</v>
      </c>
      <c r="G2285" s="4">
        <v>42156</v>
      </c>
      <c r="M2285" s="1"/>
      <c r="N2285" s="1"/>
      <c r="O2285" s="1"/>
      <c r="P2285" s="1"/>
      <c r="Q2285" s="1"/>
      <c r="R2285" s="1"/>
    </row>
    <row r="2286" spans="2:18">
      <c r="G2286" s="4"/>
      <c r="M2286" s="1"/>
      <c r="N2286" s="1"/>
      <c r="O2286" s="1"/>
      <c r="P2286" s="1"/>
      <c r="Q2286" s="1"/>
      <c r="R2286" s="1"/>
    </row>
    <row r="2287" spans="2:18" s="12" customFormat="1">
      <c r="B2287" s="12" t="s">
        <v>892</v>
      </c>
      <c r="C2287" s="13" t="s">
        <v>969</v>
      </c>
      <c r="D2287" s="13" t="s">
        <v>968</v>
      </c>
      <c r="E2287" s="15"/>
      <c r="F2287" s="15">
        <f>SUM(F2288:F2289)</f>
        <v>25</v>
      </c>
      <c r="G2287" s="14">
        <f>G2288</f>
        <v>44650</v>
      </c>
      <c r="M2287" s="13"/>
      <c r="N2287" s="13"/>
      <c r="O2287" s="13"/>
      <c r="P2287" s="13"/>
      <c r="Q2287" s="13"/>
      <c r="R2287" s="13"/>
    </row>
    <row r="2288" spans="2:18">
      <c r="C2288" s="2" t="s">
        <v>7</v>
      </c>
      <c r="D2288" s="2" t="s">
        <v>891</v>
      </c>
      <c r="E2288" s="3">
        <v>40</v>
      </c>
      <c r="F2288" s="3">
        <v>5</v>
      </c>
      <c r="G2288" s="4">
        <v>44650</v>
      </c>
    </row>
    <row r="2289" spans="2:18">
      <c r="C2289" s="2" t="s">
        <v>8</v>
      </c>
      <c r="D2289" s="2" t="s">
        <v>2134</v>
      </c>
      <c r="E2289" s="3">
        <v>200</v>
      </c>
      <c r="F2289" s="3">
        <v>20</v>
      </c>
      <c r="G2289" s="4">
        <v>44237</v>
      </c>
    </row>
    <row r="2290" spans="2:18">
      <c r="G2290" s="4"/>
    </row>
    <row r="2291" spans="2:18" s="12" customFormat="1">
      <c r="B2291" s="12" t="s">
        <v>1002</v>
      </c>
      <c r="C2291" s="13" t="s">
        <v>969</v>
      </c>
      <c r="D2291" s="13" t="s">
        <v>968</v>
      </c>
      <c r="E2291" s="15"/>
      <c r="F2291" s="15">
        <f>SUM(F2292:F2295)</f>
        <v>24.885714285714286</v>
      </c>
      <c r="G2291" s="14">
        <f>G2292</f>
        <v>44650</v>
      </c>
      <c r="M2291" s="13"/>
      <c r="N2291" s="13"/>
      <c r="O2291" s="13"/>
      <c r="P2291" s="13"/>
      <c r="Q2291" s="13"/>
      <c r="R2291" s="13"/>
    </row>
    <row r="2292" spans="2:18">
      <c r="C2292" s="2" t="s">
        <v>7</v>
      </c>
      <c r="D2292" s="2" t="s">
        <v>891</v>
      </c>
      <c r="E2292" s="3">
        <v>40</v>
      </c>
      <c r="F2292" s="3">
        <v>5</v>
      </c>
      <c r="G2292" s="4">
        <v>44650</v>
      </c>
    </row>
    <row r="2293" spans="2:18">
      <c r="C2293" s="2" t="s">
        <v>5</v>
      </c>
      <c r="D2293" s="2" t="s">
        <v>891</v>
      </c>
      <c r="E2293" s="3">
        <v>14</v>
      </c>
      <c r="F2293" s="3">
        <f>9/5</f>
        <v>1.8</v>
      </c>
      <c r="G2293" s="4">
        <v>44131</v>
      </c>
    </row>
    <row r="2294" spans="2:18">
      <c r="C2294" s="2" t="s">
        <v>5</v>
      </c>
      <c r="D2294" s="2" t="s">
        <v>871</v>
      </c>
      <c r="E2294" s="3">
        <v>21.4</v>
      </c>
      <c r="F2294" s="3">
        <f>11.4/3</f>
        <v>3.8000000000000003</v>
      </c>
      <c r="G2294" s="4">
        <v>44232</v>
      </c>
    </row>
    <row r="2295" spans="2:18">
      <c r="C2295" s="52" t="s">
        <v>18</v>
      </c>
      <c r="D2295" s="52" t="s">
        <v>2118</v>
      </c>
      <c r="E2295" s="3">
        <v>300</v>
      </c>
      <c r="F2295" s="3">
        <f>200/14</f>
        <v>14.285714285714286</v>
      </c>
      <c r="G2295" s="4">
        <v>44300</v>
      </c>
    </row>
    <row r="2296" spans="2:18">
      <c r="G2296" s="4"/>
    </row>
    <row r="2297" spans="2:18" s="12" customFormat="1">
      <c r="B2297" s="12" t="s">
        <v>806</v>
      </c>
      <c r="C2297" s="13" t="s">
        <v>969</v>
      </c>
      <c r="D2297" s="13" t="s">
        <v>968</v>
      </c>
      <c r="E2297" s="15"/>
      <c r="F2297" s="15">
        <f>SUM(F2298:F2299)</f>
        <v>23.6</v>
      </c>
      <c r="G2297" s="14">
        <f>G2298</f>
        <v>44623</v>
      </c>
      <c r="M2297" s="13"/>
      <c r="N2297" s="13"/>
      <c r="O2297" s="13"/>
      <c r="P2297" s="13"/>
      <c r="Q2297" s="13"/>
      <c r="R2297" s="13"/>
    </row>
    <row r="2298" spans="2:18">
      <c r="C2298" s="2" t="s">
        <v>4</v>
      </c>
      <c r="D2298" s="2" t="s">
        <v>701</v>
      </c>
      <c r="E2298" s="3">
        <v>12.5</v>
      </c>
      <c r="F2298" s="3">
        <f>8/5</f>
        <v>1.6</v>
      </c>
      <c r="G2298" s="4">
        <v>44623</v>
      </c>
    </row>
    <row r="2299" spans="2:18">
      <c r="C2299" s="2" t="s">
        <v>8</v>
      </c>
      <c r="D2299" s="2" t="s">
        <v>39</v>
      </c>
      <c r="E2299" s="3">
        <v>170</v>
      </c>
      <c r="F2299" s="3">
        <f>110/5</f>
        <v>22</v>
      </c>
      <c r="G2299" s="4">
        <v>44255</v>
      </c>
      <c r="I2299" s="1">
        <v>830</v>
      </c>
      <c r="J2299" s="1">
        <v>2000</v>
      </c>
    </row>
    <row r="2300" spans="2:18">
      <c r="G2300" s="4"/>
    </row>
    <row r="2301" spans="2:18" s="12" customFormat="1">
      <c r="B2301" s="12" t="s">
        <v>662</v>
      </c>
      <c r="C2301" s="13" t="s">
        <v>969</v>
      </c>
      <c r="D2301" s="13" t="s">
        <v>968</v>
      </c>
      <c r="E2301" s="15"/>
      <c r="F2301" s="15">
        <f>SUM(F2302:F2308)</f>
        <v>30.705555555555556</v>
      </c>
      <c r="G2301" s="14">
        <f>G2302</f>
        <v>44896</v>
      </c>
    </row>
    <row r="2302" spans="2:18">
      <c r="C2302" s="2" t="s">
        <v>4</v>
      </c>
      <c r="D2302" s="2" t="s">
        <v>661</v>
      </c>
      <c r="E2302" s="3">
        <v>13</v>
      </c>
      <c r="F2302" s="3">
        <f>7/2</f>
        <v>3.5</v>
      </c>
      <c r="G2302" s="4">
        <v>44896</v>
      </c>
      <c r="M2302" s="1"/>
      <c r="N2302" s="1"/>
      <c r="O2302" s="1"/>
      <c r="P2302" s="1"/>
      <c r="Q2302" s="1"/>
      <c r="R2302" s="1"/>
    </row>
    <row r="2303" spans="2:18">
      <c r="C2303" s="265" t="s">
        <v>7929</v>
      </c>
      <c r="D2303" s="265" t="s">
        <v>606</v>
      </c>
      <c r="E2303" s="3">
        <v>59</v>
      </c>
      <c r="F2303" s="3">
        <f>E2303/9</f>
        <v>6.5555555555555554</v>
      </c>
      <c r="G2303" s="4">
        <v>45124</v>
      </c>
      <c r="I2303" s="1">
        <v>1200</v>
      </c>
      <c r="J2303" s="1">
        <v>1200</v>
      </c>
      <c r="M2303" s="1"/>
      <c r="N2303" s="1"/>
      <c r="O2303" s="1"/>
      <c r="P2303" s="1"/>
      <c r="Q2303" s="1"/>
      <c r="R2303" s="1"/>
    </row>
    <row r="2304" spans="2:18">
      <c r="C2304" s="2" t="s">
        <v>18</v>
      </c>
      <c r="D2304" s="2" t="s">
        <v>606</v>
      </c>
      <c r="E2304" s="3">
        <v>48</v>
      </c>
      <c r="F2304" s="3">
        <v>10</v>
      </c>
      <c r="G2304" s="4">
        <v>43888</v>
      </c>
      <c r="J2304" s="1">
        <v>1200</v>
      </c>
      <c r="M2304" s="1"/>
      <c r="N2304" s="1"/>
      <c r="O2304" s="1"/>
      <c r="P2304" s="1"/>
      <c r="Q2304" s="1"/>
      <c r="R2304" s="1"/>
    </row>
    <row r="2305" spans="2:18">
      <c r="C2305" s="2" t="s">
        <v>7</v>
      </c>
      <c r="D2305" s="2" t="s">
        <v>606</v>
      </c>
      <c r="E2305" s="3">
        <v>25</v>
      </c>
      <c r="F2305" s="3">
        <v>5</v>
      </c>
      <c r="G2305" s="4">
        <v>43440</v>
      </c>
      <c r="J2305" s="1">
        <v>1200</v>
      </c>
      <c r="M2305" s="1"/>
      <c r="N2305" s="1"/>
      <c r="O2305" s="1"/>
      <c r="P2305" s="1"/>
      <c r="Q2305" s="1"/>
      <c r="R2305" s="1"/>
    </row>
    <row r="2306" spans="2:18">
      <c r="C2306" s="2" t="s">
        <v>5</v>
      </c>
      <c r="D2306" s="2" t="s">
        <v>606</v>
      </c>
      <c r="E2306" s="3">
        <v>5.8</v>
      </c>
      <c r="F2306" s="3">
        <f>E2306/4</f>
        <v>1.45</v>
      </c>
      <c r="G2306" s="4">
        <v>43117</v>
      </c>
      <c r="J2306" s="1">
        <v>1200</v>
      </c>
      <c r="M2306" s="1"/>
      <c r="N2306" s="1"/>
      <c r="O2306" s="1"/>
      <c r="P2306" s="1"/>
      <c r="Q2306" s="1"/>
      <c r="R2306" s="1"/>
    </row>
    <row r="2307" spans="2:18">
      <c r="C2307" s="2" t="s">
        <v>4</v>
      </c>
      <c r="D2307" s="2" t="s">
        <v>606</v>
      </c>
      <c r="E2307" s="3">
        <v>3.2</v>
      </c>
      <c r="F2307" s="3">
        <v>3.2</v>
      </c>
      <c r="G2307" s="4">
        <v>42887</v>
      </c>
      <c r="J2307" s="1">
        <v>1200</v>
      </c>
      <c r="M2307" s="1"/>
      <c r="N2307" s="1"/>
      <c r="O2307" s="1"/>
      <c r="P2307" s="1"/>
      <c r="Q2307" s="1"/>
      <c r="R2307" s="1"/>
    </row>
    <row r="2308" spans="2:18">
      <c r="C2308" s="2" t="s">
        <v>4</v>
      </c>
      <c r="D2308" s="2" t="s">
        <v>606</v>
      </c>
      <c r="E2308" s="3">
        <v>3.3</v>
      </c>
      <c r="F2308" s="3">
        <v>1</v>
      </c>
      <c r="G2308" s="4">
        <v>42678</v>
      </c>
      <c r="J2308" s="1">
        <v>1200</v>
      </c>
      <c r="M2308" s="1"/>
      <c r="N2308" s="1"/>
      <c r="O2308" s="1"/>
      <c r="P2308" s="1"/>
      <c r="Q2308" s="1"/>
      <c r="R2308" s="1"/>
    </row>
    <row r="2309" spans="2:18">
      <c r="G2309" s="4"/>
      <c r="M2309" s="1"/>
      <c r="N2309" s="1"/>
      <c r="O2309" s="1"/>
      <c r="P2309" s="1"/>
      <c r="Q2309" s="1"/>
      <c r="R2309" s="1"/>
    </row>
    <row r="2310" spans="2:18" s="12" customFormat="1">
      <c r="B2310" s="12" t="s">
        <v>109</v>
      </c>
      <c r="C2310" s="13" t="s">
        <v>969</v>
      </c>
      <c r="D2310" s="13" t="s">
        <v>968</v>
      </c>
      <c r="E2310" s="15"/>
      <c r="F2310" s="15">
        <f>SUM(F2311:F2312)</f>
        <v>24</v>
      </c>
      <c r="G2310" s="14">
        <f>G2311</f>
        <v>43783</v>
      </c>
      <c r="M2310" s="13"/>
      <c r="N2310" s="13"/>
      <c r="O2310" s="13"/>
      <c r="P2310" s="13"/>
      <c r="Q2310" s="13"/>
      <c r="R2310" s="13"/>
    </row>
    <row r="2311" spans="2:18">
      <c r="C2311" s="2" t="s">
        <v>7</v>
      </c>
      <c r="D2311" s="2" t="s">
        <v>108</v>
      </c>
      <c r="E2311" s="3">
        <v>37</v>
      </c>
      <c r="F2311" s="3">
        <v>12</v>
      </c>
      <c r="G2311" s="4">
        <v>43783</v>
      </c>
      <c r="I2311" s="1">
        <v>113</v>
      </c>
    </row>
    <row r="2312" spans="2:18">
      <c r="C2312" s="2" t="s">
        <v>5</v>
      </c>
      <c r="D2312" s="2" t="s">
        <v>57</v>
      </c>
      <c r="E2312" s="3">
        <v>29.5</v>
      </c>
      <c r="F2312" s="3">
        <v>12</v>
      </c>
      <c r="G2312" s="4">
        <v>43410</v>
      </c>
    </row>
    <row r="2313" spans="2:18">
      <c r="G2313" s="4"/>
    </row>
    <row r="2314" spans="2:18">
      <c r="B2314" s="12" t="s">
        <v>1036</v>
      </c>
      <c r="C2314" s="13" t="s">
        <v>969</v>
      </c>
      <c r="D2314" s="13" t="s">
        <v>968</v>
      </c>
      <c r="E2314" s="15"/>
      <c r="F2314" s="15">
        <f>SUM(F2315:F2322)</f>
        <v>24.3</v>
      </c>
      <c r="G2314" s="14">
        <f>G2318</f>
        <v>45090</v>
      </c>
    </row>
    <row r="2315" spans="2:18">
      <c r="B2315" s="253" t="s">
        <v>7627</v>
      </c>
      <c r="C2315" s="2" t="s">
        <v>7</v>
      </c>
      <c r="D2315" s="2" t="s">
        <v>894</v>
      </c>
      <c r="E2315" s="3">
        <v>40</v>
      </c>
      <c r="F2315" s="3">
        <v>5</v>
      </c>
      <c r="G2315" s="4">
        <v>44728</v>
      </c>
    </row>
    <row r="2316" spans="2:18">
      <c r="C2316" s="2" t="s">
        <v>5</v>
      </c>
      <c r="D2316" s="2" t="s">
        <v>894</v>
      </c>
      <c r="E2316" s="3">
        <v>18.600000000000001</v>
      </c>
      <c r="F2316" s="3">
        <f>8.6/2</f>
        <v>4.3</v>
      </c>
      <c r="G2316" s="4">
        <v>44112</v>
      </c>
    </row>
    <row r="2317" spans="2:18">
      <c r="C2317" s="2" t="s">
        <v>4</v>
      </c>
      <c r="D2317" s="2" t="s">
        <v>730</v>
      </c>
      <c r="E2317" s="3">
        <v>1.5</v>
      </c>
      <c r="F2317" s="3">
        <v>0.5</v>
      </c>
      <c r="G2317" s="4">
        <v>43979</v>
      </c>
    </row>
    <row r="2318" spans="2:18">
      <c r="C2318" s="2" t="s">
        <v>4</v>
      </c>
      <c r="D2318" s="2" t="s">
        <v>705</v>
      </c>
      <c r="E2318" s="3">
        <v>113</v>
      </c>
      <c r="F2318" s="3">
        <v>8</v>
      </c>
      <c r="G2318" s="4">
        <v>45090</v>
      </c>
    </row>
    <row r="2319" spans="2:18">
      <c r="C2319" s="2" t="s">
        <v>5</v>
      </c>
      <c r="D2319" s="2" t="s">
        <v>584</v>
      </c>
      <c r="E2319" s="3">
        <v>20</v>
      </c>
      <c r="F2319" s="3">
        <f>15/6</f>
        <v>2.5</v>
      </c>
      <c r="G2319" s="4">
        <v>44801</v>
      </c>
    </row>
    <row r="2320" spans="2:18">
      <c r="C2320" s="2" t="s">
        <v>4</v>
      </c>
      <c r="D2320" s="2" t="s">
        <v>1035</v>
      </c>
      <c r="E2320" s="3">
        <v>2</v>
      </c>
      <c r="F2320" s="3">
        <v>0.5</v>
      </c>
      <c r="G2320" s="4">
        <v>43876</v>
      </c>
    </row>
    <row r="2321" spans="2:18">
      <c r="C2321" s="2" t="s">
        <v>5</v>
      </c>
      <c r="D2321" s="2" t="s">
        <v>2129</v>
      </c>
      <c r="E2321" s="3">
        <v>20</v>
      </c>
      <c r="F2321" s="3">
        <v>3</v>
      </c>
      <c r="G2321" s="4">
        <v>43647</v>
      </c>
    </row>
    <row r="2322" spans="2:18">
      <c r="C2322" s="2" t="s">
        <v>4</v>
      </c>
      <c r="D2322" s="2" t="s">
        <v>2129</v>
      </c>
      <c r="E2322" s="3">
        <v>3</v>
      </c>
      <c r="F2322" s="3">
        <v>0.5</v>
      </c>
      <c r="G2322" s="4">
        <v>42979</v>
      </c>
    </row>
    <row r="2323" spans="2:18">
      <c r="G2323" s="4"/>
    </row>
    <row r="2324" spans="2:18" s="12" customFormat="1">
      <c r="B2324" s="12" t="s">
        <v>653</v>
      </c>
      <c r="C2324" s="13" t="s">
        <v>969</v>
      </c>
      <c r="D2324" s="13" t="s">
        <v>968</v>
      </c>
      <c r="E2324" s="15"/>
      <c r="F2324" s="15">
        <f>SUM(F2325:F2329)</f>
        <v>24.3</v>
      </c>
      <c r="G2324" s="14">
        <f>G2325</f>
        <v>44971</v>
      </c>
    </row>
    <row r="2325" spans="2:18">
      <c r="B2325" s="254" t="s">
        <v>7626</v>
      </c>
      <c r="C2325" s="2" t="s">
        <v>4</v>
      </c>
      <c r="D2325" s="2" t="s">
        <v>652</v>
      </c>
      <c r="E2325" s="3">
        <v>12</v>
      </c>
      <c r="F2325" s="3">
        <v>2</v>
      </c>
      <c r="G2325" s="4">
        <v>44971</v>
      </c>
      <c r="M2325" s="1"/>
      <c r="N2325" s="1"/>
      <c r="O2325" s="1"/>
      <c r="P2325" s="1"/>
      <c r="Q2325" s="1"/>
      <c r="R2325" s="1"/>
    </row>
    <row r="2326" spans="2:18">
      <c r="C2326" s="2" t="s">
        <v>4</v>
      </c>
      <c r="D2326" s="2" t="s">
        <v>652</v>
      </c>
      <c r="E2326" s="3">
        <v>5</v>
      </c>
      <c r="F2326" s="3">
        <v>2</v>
      </c>
      <c r="G2326" s="4">
        <v>44769</v>
      </c>
      <c r="M2326" s="1"/>
      <c r="N2326" s="1"/>
      <c r="O2326" s="1"/>
      <c r="P2326" s="1"/>
      <c r="Q2326" s="1"/>
      <c r="R2326" s="1"/>
    </row>
    <row r="2327" spans="2:18">
      <c r="C2327" s="2" t="s">
        <v>4</v>
      </c>
      <c r="D2327" s="2" t="s">
        <v>651</v>
      </c>
      <c r="E2327" s="3">
        <v>12.3</v>
      </c>
      <c r="F2327" s="3">
        <v>6.3</v>
      </c>
      <c r="G2327" s="4">
        <v>44622</v>
      </c>
      <c r="M2327" s="1"/>
      <c r="N2327" s="1"/>
      <c r="O2327" s="1"/>
      <c r="P2327" s="1"/>
      <c r="Q2327" s="1"/>
      <c r="R2327" s="1"/>
    </row>
    <row r="2328" spans="2:18">
      <c r="C2328" s="2" t="s">
        <v>7</v>
      </c>
      <c r="D2328" s="2" t="s">
        <v>286</v>
      </c>
      <c r="E2328" s="3">
        <v>35</v>
      </c>
      <c r="F2328" s="3">
        <v>10</v>
      </c>
      <c r="G2328" s="4">
        <v>44309</v>
      </c>
      <c r="M2328" s="1"/>
      <c r="N2328" s="1"/>
      <c r="O2328" s="1"/>
      <c r="P2328" s="1"/>
      <c r="Q2328" s="1"/>
      <c r="R2328" s="1"/>
    </row>
    <row r="2329" spans="2:18">
      <c r="C2329" s="241" t="s">
        <v>4</v>
      </c>
      <c r="D2329" s="241" t="s">
        <v>2014</v>
      </c>
      <c r="E2329" s="3">
        <v>12</v>
      </c>
      <c r="F2329" s="3">
        <v>4</v>
      </c>
      <c r="G2329" s="4">
        <v>43872</v>
      </c>
      <c r="M2329" s="1"/>
      <c r="N2329" s="1"/>
      <c r="O2329" s="1"/>
      <c r="P2329" s="1"/>
      <c r="Q2329" s="1"/>
      <c r="R2329" s="1"/>
    </row>
    <row r="2330" spans="2:18">
      <c r="G2330" s="4"/>
      <c r="M2330" s="1"/>
      <c r="N2330" s="1"/>
      <c r="O2330" s="1"/>
      <c r="P2330" s="1"/>
      <c r="Q2330" s="1"/>
      <c r="R2330" s="1"/>
    </row>
    <row r="2331" spans="2:18">
      <c r="B2331" s="12" t="s">
        <v>1044</v>
      </c>
      <c r="C2331" s="13" t="s">
        <v>969</v>
      </c>
      <c r="D2331" s="13" t="s">
        <v>968</v>
      </c>
      <c r="F2331" s="15">
        <f>+F2332+F2333</f>
        <v>23.333333333333336</v>
      </c>
      <c r="G2331" s="14">
        <f>+G2332</f>
        <v>44699</v>
      </c>
      <c r="I2331" s="1" t="s">
        <v>1</v>
      </c>
      <c r="J2331" s="1" t="s">
        <v>1</v>
      </c>
      <c r="K2331" s="1" t="s">
        <v>1</v>
      </c>
    </row>
    <row r="2332" spans="2:18">
      <c r="C2332" s="2" t="s">
        <v>18</v>
      </c>
      <c r="D2332" s="2" t="s">
        <v>1043</v>
      </c>
      <c r="E2332" s="3">
        <v>100</v>
      </c>
      <c r="F2332" s="3">
        <v>15</v>
      </c>
      <c r="G2332" s="4">
        <v>44699</v>
      </c>
    </row>
    <row r="2333" spans="2:18">
      <c r="C2333" s="2" t="s">
        <v>7</v>
      </c>
      <c r="D2333" s="2" t="s">
        <v>1043</v>
      </c>
      <c r="E2333" s="3">
        <v>100</v>
      </c>
      <c r="F2333" s="3">
        <f>25/3</f>
        <v>8.3333333333333339</v>
      </c>
      <c r="G2333" s="4">
        <v>44286</v>
      </c>
    </row>
    <row r="2334" spans="2:18">
      <c r="G2334" s="4"/>
    </row>
    <row r="2335" spans="2:18">
      <c r="B2335" s="12" t="s">
        <v>1042</v>
      </c>
      <c r="C2335" s="13" t="s">
        <v>969</v>
      </c>
      <c r="D2335" s="13" t="s">
        <v>968</v>
      </c>
      <c r="F2335" s="15">
        <f>SUM(F2336:F2344)</f>
        <v>24.366666666666667</v>
      </c>
      <c r="G2335" s="14">
        <f>G2336</f>
        <v>44690</v>
      </c>
    </row>
    <row r="2336" spans="2:18">
      <c r="C2336" s="2" t="s">
        <v>18</v>
      </c>
      <c r="D2336" s="2" t="s">
        <v>926</v>
      </c>
      <c r="E2336" s="3">
        <v>100</v>
      </c>
      <c r="F2336" s="3">
        <v>9</v>
      </c>
      <c r="G2336" s="4">
        <v>44690</v>
      </c>
      <c r="J2336" s="1">
        <v>4300</v>
      </c>
    </row>
    <row r="2337" spans="2:18">
      <c r="C2337" s="2" t="s">
        <v>7</v>
      </c>
      <c r="D2337" s="2" t="s">
        <v>926</v>
      </c>
      <c r="E2337" s="3">
        <v>40</v>
      </c>
      <c r="F2337" s="3">
        <f>20/3</f>
        <v>6.666666666666667</v>
      </c>
      <c r="G2337" s="4">
        <v>44327</v>
      </c>
      <c r="J2337" s="1">
        <v>4300</v>
      </c>
    </row>
    <row r="2338" spans="2:18">
      <c r="C2338" s="2" t="s">
        <v>5</v>
      </c>
      <c r="D2338" s="2" t="s">
        <v>926</v>
      </c>
      <c r="E2338" s="3">
        <v>15</v>
      </c>
      <c r="F2338" s="3">
        <v>3</v>
      </c>
      <c r="G2338" s="4">
        <v>43816</v>
      </c>
      <c r="J2338" s="1">
        <v>4300</v>
      </c>
    </row>
    <row r="2339" spans="2:18">
      <c r="C2339" s="2" t="s">
        <v>4</v>
      </c>
      <c r="D2339" s="2" t="s">
        <v>926</v>
      </c>
      <c r="E2339" s="3">
        <v>4</v>
      </c>
      <c r="F2339" s="3">
        <v>1</v>
      </c>
      <c r="G2339" s="4">
        <v>43243</v>
      </c>
      <c r="J2339" s="1">
        <v>4300</v>
      </c>
    </row>
    <row r="2340" spans="2:18">
      <c r="C2340" s="2" t="s">
        <v>550</v>
      </c>
      <c r="D2340" s="2" t="s">
        <v>926</v>
      </c>
      <c r="E2340" s="3">
        <v>1.2</v>
      </c>
      <c r="F2340" s="3">
        <v>0.2</v>
      </c>
      <c r="G2340" s="4">
        <v>42799</v>
      </c>
      <c r="J2340" s="1">
        <v>4300</v>
      </c>
    </row>
    <row r="2341" spans="2:18">
      <c r="C2341" s="2" t="s">
        <v>5</v>
      </c>
      <c r="D2341" s="2" t="s">
        <v>646</v>
      </c>
      <c r="E2341" s="3">
        <v>13</v>
      </c>
      <c r="F2341" s="3">
        <v>2</v>
      </c>
      <c r="G2341" s="4">
        <v>44642</v>
      </c>
    </row>
    <row r="2342" spans="2:18">
      <c r="C2342" s="2" t="s">
        <v>4</v>
      </c>
      <c r="D2342" s="2" t="s">
        <v>646</v>
      </c>
      <c r="E2342" s="3">
        <v>3.5</v>
      </c>
      <c r="F2342" s="3">
        <v>1</v>
      </c>
      <c r="G2342" s="4">
        <v>44124</v>
      </c>
    </row>
    <row r="2343" spans="2:18">
      <c r="C2343" s="2" t="s">
        <v>4</v>
      </c>
      <c r="D2343" s="2" t="s">
        <v>481</v>
      </c>
      <c r="E2343" s="3">
        <v>2</v>
      </c>
      <c r="F2343" s="3">
        <v>0.5</v>
      </c>
      <c r="G2343" s="4">
        <v>43876</v>
      </c>
    </row>
    <row r="2344" spans="2:18">
      <c r="C2344" s="241" t="s">
        <v>4</v>
      </c>
      <c r="D2344" s="241" t="s">
        <v>2004</v>
      </c>
      <c r="E2344" s="3">
        <v>7</v>
      </c>
      <c r="F2344" s="3">
        <v>1</v>
      </c>
      <c r="G2344" s="4">
        <v>44763</v>
      </c>
    </row>
    <row r="2345" spans="2:18">
      <c r="G2345" s="4"/>
    </row>
    <row r="2346" spans="2:18">
      <c r="B2346" s="12" t="s">
        <v>1041</v>
      </c>
      <c r="C2346" s="13" t="s">
        <v>969</v>
      </c>
      <c r="D2346" s="13" t="s">
        <v>968</v>
      </c>
      <c r="E2346" s="15"/>
      <c r="F2346" s="15">
        <f>SUM(F2347:F2348)</f>
        <v>23</v>
      </c>
      <c r="G2346" s="14">
        <f>G2347</f>
        <v>44796</v>
      </c>
    </row>
    <row r="2347" spans="2:18">
      <c r="C2347" s="2" t="s">
        <v>1040</v>
      </c>
      <c r="D2347" s="2" t="s">
        <v>832</v>
      </c>
      <c r="E2347" s="3">
        <v>99</v>
      </c>
      <c r="F2347" s="3">
        <v>20</v>
      </c>
      <c r="G2347" s="4">
        <v>44796</v>
      </c>
    </row>
    <row r="2348" spans="2:18">
      <c r="C2348" s="2" t="s">
        <v>5</v>
      </c>
      <c r="D2348" s="2" t="s">
        <v>689</v>
      </c>
      <c r="E2348" s="3">
        <v>29</v>
      </c>
      <c r="F2348" s="3">
        <v>3</v>
      </c>
      <c r="G2348" s="4">
        <v>44783</v>
      </c>
    </row>
    <row r="2349" spans="2:18">
      <c r="G2349" s="4"/>
    </row>
    <row r="2350" spans="2:18" s="12" customFormat="1">
      <c r="B2350" s="12" t="s">
        <v>1033</v>
      </c>
      <c r="C2350" s="13" t="s">
        <v>969</v>
      </c>
      <c r="D2350" s="13" t="s">
        <v>968</v>
      </c>
      <c r="E2350" s="15"/>
      <c r="F2350" s="15">
        <f>SUM(F2351:F2354)</f>
        <v>22.933333333333334</v>
      </c>
      <c r="G2350" s="14">
        <f>G2352</f>
        <v>44851</v>
      </c>
      <c r="M2350" s="13"/>
      <c r="N2350" s="13"/>
      <c r="O2350" s="13"/>
      <c r="P2350" s="13"/>
      <c r="Q2350" s="13"/>
      <c r="R2350" s="13"/>
    </row>
    <row r="2351" spans="2:18">
      <c r="C2351" s="2" t="s">
        <v>5</v>
      </c>
      <c r="D2351" s="2" t="s">
        <v>999</v>
      </c>
      <c r="E2351" s="3">
        <v>25</v>
      </c>
      <c r="F2351" s="3">
        <v>5</v>
      </c>
      <c r="G2351" s="4">
        <v>44699</v>
      </c>
    </row>
    <row r="2352" spans="2:18">
      <c r="C2352" s="2" t="s">
        <v>5</v>
      </c>
      <c r="D2352" s="2" t="s">
        <v>281</v>
      </c>
      <c r="E2352" s="3">
        <v>32</v>
      </c>
      <c r="F2352" s="3">
        <v>11</v>
      </c>
      <c r="G2352" s="4">
        <v>44851</v>
      </c>
    </row>
    <row r="2353" spans="2:18">
      <c r="C2353" s="2" t="s">
        <v>5</v>
      </c>
      <c r="D2353" s="2" t="s">
        <v>281</v>
      </c>
      <c r="E2353" s="3">
        <v>26</v>
      </c>
      <c r="F2353" s="3">
        <v>4.333333333333333</v>
      </c>
      <c r="G2353" s="4">
        <v>44453</v>
      </c>
    </row>
    <row r="2354" spans="2:18">
      <c r="C2354" s="2" t="s">
        <v>4</v>
      </c>
      <c r="D2354" s="2" t="s">
        <v>281</v>
      </c>
      <c r="E2354" s="3">
        <v>6.2</v>
      </c>
      <c r="F2354" s="3">
        <v>2.6</v>
      </c>
      <c r="G2354" s="4">
        <v>44201</v>
      </c>
    </row>
    <row r="2355" spans="2:18">
      <c r="G2355" s="4"/>
    </row>
    <row r="2356" spans="2:18" s="12" customFormat="1">
      <c r="B2356" s="12" t="s">
        <v>380</v>
      </c>
      <c r="C2356" s="13" t="s">
        <v>969</v>
      </c>
      <c r="D2356" s="13" t="s">
        <v>968</v>
      </c>
      <c r="E2356" s="15"/>
      <c r="F2356" s="15">
        <f>SUM(F2357:F2360)</f>
        <v>22.785714285714285</v>
      </c>
      <c r="G2356" s="14">
        <f>G2357</f>
        <v>44323</v>
      </c>
    </row>
    <row r="2357" spans="2:18">
      <c r="C2357" s="2" t="s">
        <v>18</v>
      </c>
      <c r="D2357" s="2" t="s">
        <v>374</v>
      </c>
      <c r="E2357" s="3">
        <v>130</v>
      </c>
      <c r="F2357" s="3">
        <f>100/7</f>
        <v>14.285714285714286</v>
      </c>
      <c r="G2357" s="4">
        <v>44323</v>
      </c>
      <c r="M2357" s="1"/>
      <c r="N2357" s="1"/>
      <c r="O2357" s="1"/>
      <c r="P2357" s="1"/>
      <c r="Q2357" s="1"/>
      <c r="R2357" s="1"/>
    </row>
    <row r="2358" spans="2:18">
      <c r="C2358" s="2" t="s">
        <v>7</v>
      </c>
      <c r="D2358" s="2" t="s">
        <v>374</v>
      </c>
      <c r="E2358" s="3">
        <v>44</v>
      </c>
      <c r="F2358" s="3">
        <f>30/6</f>
        <v>5</v>
      </c>
      <c r="G2358" s="4">
        <v>43909</v>
      </c>
      <c r="M2358" s="1"/>
      <c r="N2358" s="1"/>
      <c r="O2358" s="1"/>
      <c r="P2358" s="1"/>
      <c r="Q2358" s="1"/>
      <c r="R2358" s="1"/>
    </row>
    <row r="2359" spans="2:18">
      <c r="C2359" s="2" t="s">
        <v>5</v>
      </c>
      <c r="D2359" s="2" t="s">
        <v>374</v>
      </c>
      <c r="E2359" s="3">
        <v>15</v>
      </c>
      <c r="F2359" s="3">
        <v>3</v>
      </c>
      <c r="G2359" s="4">
        <v>43452</v>
      </c>
      <c r="M2359" s="1"/>
      <c r="N2359" s="1"/>
      <c r="O2359" s="1"/>
      <c r="P2359" s="1"/>
      <c r="Q2359" s="1"/>
      <c r="R2359" s="1"/>
    </row>
    <row r="2360" spans="2:18">
      <c r="C2360" s="2" t="s">
        <v>4</v>
      </c>
      <c r="D2360" s="2" t="s">
        <v>374</v>
      </c>
      <c r="E2360" s="3">
        <v>2.5</v>
      </c>
      <c r="F2360" s="3">
        <v>0.5</v>
      </c>
      <c r="G2360" s="4">
        <v>42936</v>
      </c>
      <c r="M2360" s="1"/>
      <c r="N2360" s="1"/>
      <c r="O2360" s="1"/>
      <c r="P2360" s="1"/>
      <c r="Q2360" s="1"/>
      <c r="R2360" s="1"/>
    </row>
    <row r="2361" spans="2:18">
      <c r="G2361" s="4"/>
      <c r="M2361" s="1"/>
      <c r="N2361" s="1"/>
      <c r="O2361" s="1"/>
      <c r="P2361" s="1"/>
      <c r="Q2361" s="1"/>
      <c r="R2361" s="1"/>
    </row>
    <row r="2362" spans="2:18" s="12" customFormat="1">
      <c r="B2362" s="12" t="s">
        <v>362</v>
      </c>
      <c r="C2362" s="13" t="s">
        <v>969</v>
      </c>
      <c r="D2362" s="13" t="s">
        <v>968</v>
      </c>
      <c r="E2362" s="15"/>
      <c r="F2362" s="15">
        <f>SUM(F2363:F2364)</f>
        <v>21.75</v>
      </c>
      <c r="G2362" s="14">
        <f>G2363</f>
        <v>44181</v>
      </c>
    </row>
    <row r="2363" spans="2:18">
      <c r="C2363" s="2" t="s">
        <v>7</v>
      </c>
      <c r="D2363" s="2" t="s">
        <v>360</v>
      </c>
      <c r="E2363" s="3">
        <v>27.5</v>
      </c>
      <c r="F2363" s="3">
        <f>E2363/2</f>
        <v>13.75</v>
      </c>
      <c r="G2363" s="4">
        <v>44181</v>
      </c>
      <c r="M2363" s="1"/>
      <c r="N2363" s="1"/>
      <c r="O2363" s="1"/>
      <c r="P2363" s="1"/>
      <c r="Q2363" s="1"/>
      <c r="R2363" s="1"/>
    </row>
    <row r="2364" spans="2:18">
      <c r="C2364" s="2" t="s">
        <v>5</v>
      </c>
      <c r="D2364" s="2" t="s">
        <v>161</v>
      </c>
      <c r="E2364" s="3">
        <v>102</v>
      </c>
      <c r="F2364" s="3">
        <v>8</v>
      </c>
      <c r="G2364" s="4">
        <v>43292</v>
      </c>
      <c r="J2364" s="1">
        <v>8400</v>
      </c>
      <c r="M2364" s="1"/>
      <c r="N2364" s="1"/>
      <c r="O2364" s="1"/>
      <c r="P2364" s="1"/>
      <c r="Q2364" s="1"/>
      <c r="R2364" s="1"/>
    </row>
    <row r="2365" spans="2:18">
      <c r="G2365" s="4"/>
      <c r="M2365" s="1"/>
      <c r="N2365" s="1"/>
      <c r="O2365" s="1"/>
      <c r="P2365" s="1"/>
      <c r="Q2365" s="1"/>
      <c r="R2365" s="1"/>
    </row>
    <row r="2366" spans="2:18" s="12" customFormat="1">
      <c r="B2366" s="12" t="s">
        <v>947</v>
      </c>
      <c r="C2366" s="13" t="s">
        <v>969</v>
      </c>
      <c r="D2366" s="13" t="s">
        <v>968</v>
      </c>
      <c r="E2366" s="15"/>
      <c r="F2366" s="15">
        <f>SUM(F2367:F2368)</f>
        <v>21.5</v>
      </c>
      <c r="G2366" s="14">
        <f>G2367</f>
        <v>44299</v>
      </c>
      <c r="M2366" s="13"/>
      <c r="N2366" s="13"/>
      <c r="O2366" s="13"/>
      <c r="P2366" s="13"/>
      <c r="Q2366" s="13"/>
      <c r="R2366" s="13"/>
    </row>
    <row r="2367" spans="2:18">
      <c r="C2367" s="2" t="s">
        <v>9</v>
      </c>
      <c r="D2367" s="2" t="s">
        <v>803</v>
      </c>
      <c r="E2367" s="3">
        <v>325</v>
      </c>
      <c r="F2367" s="3">
        <v>18.5</v>
      </c>
      <c r="G2367" s="4">
        <v>44299</v>
      </c>
    </row>
    <row r="2368" spans="2:18">
      <c r="C2368" s="52" t="s">
        <v>7</v>
      </c>
      <c r="D2368" s="52" t="s">
        <v>2116</v>
      </c>
      <c r="E2368" s="3">
        <v>40</v>
      </c>
      <c r="F2368" s="3">
        <v>3</v>
      </c>
      <c r="G2368" s="4">
        <v>43720</v>
      </c>
      <c r="J2368" s="1">
        <v>3400</v>
      </c>
    </row>
    <row r="2369" spans="2:18">
      <c r="G2369" s="4"/>
    </row>
    <row r="2370" spans="2:18" s="12" customFormat="1">
      <c r="B2370" s="12" t="s">
        <v>378</v>
      </c>
      <c r="C2370" s="13" t="s">
        <v>969</v>
      </c>
      <c r="D2370" s="13" t="s">
        <v>968</v>
      </c>
      <c r="E2370" s="15"/>
      <c r="F2370" s="15">
        <f>SUM(F2371:F2373)</f>
        <v>22.285714285714285</v>
      </c>
      <c r="G2370" s="14">
        <f>G2371</f>
        <v>44323</v>
      </c>
    </row>
    <row r="2371" spans="2:18">
      <c r="C2371" s="2" t="s">
        <v>18</v>
      </c>
      <c r="D2371" s="2" t="s">
        <v>374</v>
      </c>
      <c r="E2371" s="3">
        <v>130</v>
      </c>
      <c r="F2371" s="3">
        <f>100/7</f>
        <v>14.285714285714286</v>
      </c>
      <c r="G2371" s="4">
        <v>44323</v>
      </c>
      <c r="M2371" s="1"/>
      <c r="N2371" s="1"/>
      <c r="O2371" s="1"/>
      <c r="P2371" s="1"/>
      <c r="Q2371" s="1"/>
      <c r="R2371" s="1"/>
    </row>
    <row r="2372" spans="2:18">
      <c r="C2372" s="2" t="s">
        <v>7</v>
      </c>
      <c r="D2372" s="2" t="s">
        <v>374</v>
      </c>
      <c r="E2372" s="3">
        <v>44</v>
      </c>
      <c r="F2372" s="3">
        <f>30/6</f>
        <v>5</v>
      </c>
      <c r="G2372" s="4">
        <v>43909</v>
      </c>
      <c r="M2372" s="1"/>
      <c r="N2372" s="1"/>
      <c r="O2372" s="1"/>
      <c r="P2372" s="1"/>
      <c r="Q2372" s="1"/>
      <c r="R2372" s="1"/>
    </row>
    <row r="2373" spans="2:18">
      <c r="C2373" s="2" t="s">
        <v>5</v>
      </c>
      <c r="D2373" s="2" t="s">
        <v>374</v>
      </c>
      <c r="E2373" s="3">
        <v>15</v>
      </c>
      <c r="F2373" s="3">
        <v>3</v>
      </c>
      <c r="G2373" s="4">
        <v>43452</v>
      </c>
      <c r="M2373" s="1"/>
      <c r="N2373" s="1"/>
      <c r="O2373" s="1"/>
      <c r="P2373" s="1"/>
      <c r="Q2373" s="1"/>
      <c r="R2373" s="1"/>
    </row>
    <row r="2374" spans="2:18">
      <c r="G2374" s="4"/>
      <c r="M2374" s="1"/>
      <c r="N2374" s="1"/>
      <c r="O2374" s="1"/>
      <c r="P2374" s="1"/>
      <c r="Q2374" s="1"/>
      <c r="R2374" s="1"/>
    </row>
    <row r="2375" spans="2:18" s="12" customFormat="1">
      <c r="B2375" s="12" t="s">
        <v>133</v>
      </c>
      <c r="C2375" s="13" t="s">
        <v>969</v>
      </c>
      <c r="D2375" s="13" t="s">
        <v>968</v>
      </c>
      <c r="E2375" s="15"/>
      <c r="F2375" s="15">
        <f>SUM(F2376:F2378)</f>
        <v>21.3</v>
      </c>
      <c r="G2375" s="14">
        <f>G2377</f>
        <v>44320</v>
      </c>
      <c r="M2375" s="13"/>
      <c r="N2375" s="13"/>
      <c r="O2375" s="13"/>
      <c r="P2375" s="13"/>
      <c r="Q2375" s="13"/>
      <c r="R2375" s="13"/>
    </row>
    <row r="2376" spans="2:18">
      <c r="C2376" s="2" t="s">
        <v>18</v>
      </c>
      <c r="D2376" s="2" t="s">
        <v>131</v>
      </c>
      <c r="E2376" s="3">
        <v>31.7</v>
      </c>
      <c r="F2376" s="3">
        <f>18/4</f>
        <v>4.5</v>
      </c>
      <c r="G2376" s="4">
        <v>43599</v>
      </c>
    </row>
    <row r="2377" spans="2:18">
      <c r="C2377" s="52" t="s">
        <v>8</v>
      </c>
      <c r="D2377" s="52" t="s">
        <v>4881</v>
      </c>
      <c r="E2377" s="3">
        <v>83</v>
      </c>
      <c r="F2377" s="3">
        <v>6.8</v>
      </c>
      <c r="G2377" s="4">
        <v>44320</v>
      </c>
      <c r="I2377" s="1">
        <v>3600</v>
      </c>
      <c r="J2377" s="1">
        <v>3600</v>
      </c>
    </row>
    <row r="2378" spans="2:18">
      <c r="C2378" s="52" t="s">
        <v>18</v>
      </c>
      <c r="D2378" s="52" t="s">
        <v>4881</v>
      </c>
      <c r="E2378" s="3">
        <v>100</v>
      </c>
      <c r="F2378" s="3">
        <v>10</v>
      </c>
      <c r="G2378" s="4">
        <v>43937</v>
      </c>
      <c r="I2378" s="1">
        <v>1100</v>
      </c>
      <c r="J2378" s="1">
        <v>3600</v>
      </c>
    </row>
    <row r="2379" spans="2:18">
      <c r="G2379" s="4"/>
    </row>
    <row r="2380" spans="2:18" s="12" customFormat="1">
      <c r="B2380" s="36" t="s">
        <v>402</v>
      </c>
      <c r="C2380" s="13" t="s">
        <v>969</v>
      </c>
      <c r="D2380" s="13" t="s">
        <v>968</v>
      </c>
      <c r="E2380" s="15"/>
      <c r="F2380" s="15">
        <f>SUM(F2381:F2383)</f>
        <v>20.666666666666668</v>
      </c>
      <c r="G2380" s="14">
        <f>G2381</f>
        <v>44860</v>
      </c>
      <c r="I2380" s="46"/>
    </row>
    <row r="2381" spans="2:18">
      <c r="B2381" s="7"/>
      <c r="C2381" s="2" t="s">
        <v>7</v>
      </c>
      <c r="D2381" s="2" t="s">
        <v>398</v>
      </c>
      <c r="E2381" s="3">
        <v>37</v>
      </c>
      <c r="F2381" s="3">
        <v>4</v>
      </c>
      <c r="G2381" s="4">
        <v>44860</v>
      </c>
      <c r="M2381" s="1"/>
      <c r="N2381" s="1"/>
      <c r="O2381" s="1"/>
      <c r="P2381" s="1"/>
      <c r="Q2381" s="1"/>
      <c r="R2381" s="1"/>
    </row>
    <row r="2382" spans="2:18">
      <c r="B2382" s="7"/>
      <c r="C2382" s="2" t="s">
        <v>7</v>
      </c>
      <c r="D2382" s="2" t="s">
        <v>398</v>
      </c>
      <c r="E2382" s="3">
        <v>80</v>
      </c>
      <c r="F2382" s="3">
        <v>10</v>
      </c>
      <c r="G2382" s="4">
        <v>44327</v>
      </c>
      <c r="M2382" s="1"/>
      <c r="N2382" s="1"/>
      <c r="O2382" s="1"/>
      <c r="P2382" s="1"/>
      <c r="Q2382" s="1"/>
      <c r="R2382" s="1"/>
    </row>
    <row r="2383" spans="2:18">
      <c r="B2383" s="7"/>
      <c r="C2383" s="2" t="s">
        <v>5</v>
      </c>
      <c r="D2383" s="2" t="s">
        <v>398</v>
      </c>
      <c r="E2383" s="3">
        <v>30</v>
      </c>
      <c r="F2383" s="3">
        <v>6.666666666666667</v>
      </c>
      <c r="G2383" s="4">
        <v>43963</v>
      </c>
      <c r="M2383" s="1"/>
      <c r="N2383" s="1"/>
      <c r="O2383" s="1"/>
      <c r="P2383" s="1"/>
      <c r="Q2383" s="1"/>
      <c r="R2383" s="1"/>
    </row>
    <row r="2384" spans="2:18">
      <c r="B2384" s="7"/>
      <c r="G2384" s="4"/>
      <c r="M2384" s="1"/>
      <c r="N2384" s="1"/>
      <c r="O2384" s="1"/>
      <c r="P2384" s="1"/>
      <c r="Q2384" s="1"/>
      <c r="R2384" s="1"/>
    </row>
    <row r="2385" spans="2:18" s="12" customFormat="1">
      <c r="B2385" s="12" t="s">
        <v>1034</v>
      </c>
      <c r="C2385" s="13" t="s">
        <v>969</v>
      </c>
      <c r="D2385" s="13" t="s">
        <v>968</v>
      </c>
      <c r="E2385" s="15"/>
      <c r="F2385" s="15">
        <f>SUM(F2386:F2388)</f>
        <v>21.2</v>
      </c>
      <c r="G2385" s="14">
        <f>G2388</f>
        <v>44880</v>
      </c>
    </row>
    <row r="2386" spans="2:18">
      <c r="C2386" s="2" t="s">
        <v>9</v>
      </c>
      <c r="D2386" s="2" t="s">
        <v>606</v>
      </c>
      <c r="E2386" s="3">
        <v>132</v>
      </c>
      <c r="F2386" s="3">
        <f>72/10</f>
        <v>7.2</v>
      </c>
      <c r="G2386" s="4">
        <v>44215</v>
      </c>
      <c r="M2386" s="1"/>
      <c r="N2386" s="1"/>
      <c r="O2386" s="1"/>
      <c r="P2386" s="1"/>
      <c r="Q2386" s="1"/>
      <c r="R2386" s="1"/>
    </row>
    <row r="2387" spans="2:18">
      <c r="C2387" s="2" t="s">
        <v>8</v>
      </c>
      <c r="D2387" s="2" t="s">
        <v>606</v>
      </c>
      <c r="E2387" s="3">
        <v>42</v>
      </c>
      <c r="F2387" s="3">
        <f>30/5</f>
        <v>6</v>
      </c>
      <c r="G2387" s="4">
        <v>44153</v>
      </c>
      <c r="M2387" s="1"/>
      <c r="N2387" s="1"/>
      <c r="O2387" s="1"/>
      <c r="P2387" s="1"/>
      <c r="Q2387" s="1"/>
      <c r="R2387" s="1"/>
    </row>
    <row r="2388" spans="2:18">
      <c r="C2388" s="2" t="s">
        <v>8</v>
      </c>
      <c r="D2388" s="2" t="s">
        <v>131</v>
      </c>
      <c r="E2388" s="3">
        <v>135</v>
      </c>
      <c r="F2388" s="3">
        <v>8</v>
      </c>
      <c r="G2388" s="4">
        <v>44880</v>
      </c>
      <c r="I2388" s="1">
        <v>615</v>
      </c>
      <c r="M2388" s="1"/>
      <c r="N2388" s="1"/>
      <c r="O2388" s="1"/>
      <c r="P2388" s="1"/>
      <c r="Q2388" s="1"/>
      <c r="R2388" s="1"/>
    </row>
    <row r="2389" spans="2:18">
      <c r="G2389" s="4"/>
      <c r="M2389" s="1"/>
      <c r="N2389" s="1"/>
      <c r="O2389" s="1"/>
      <c r="P2389" s="1"/>
      <c r="Q2389" s="1"/>
      <c r="R2389" s="1"/>
    </row>
    <row r="2390" spans="2:18" s="12" customFormat="1">
      <c r="B2390" s="12" t="s">
        <v>12</v>
      </c>
      <c r="C2390" s="13" t="s">
        <v>969</v>
      </c>
      <c r="D2390" s="13" t="s">
        <v>968</v>
      </c>
      <c r="E2390" s="15"/>
      <c r="F2390" s="15">
        <f>SUM(F2391:F2397)</f>
        <v>21.166666666666668</v>
      </c>
      <c r="G2390" s="14">
        <f>G2391</f>
        <v>44721</v>
      </c>
      <c r="M2390" s="13"/>
      <c r="N2390" s="13"/>
      <c r="O2390" s="13"/>
      <c r="P2390" s="13"/>
      <c r="Q2390" s="13"/>
      <c r="R2390" s="13"/>
    </row>
    <row r="2391" spans="2:18">
      <c r="C2391" s="2" t="s">
        <v>9</v>
      </c>
      <c r="D2391" s="2" t="s">
        <v>3</v>
      </c>
      <c r="E2391" s="3">
        <v>90</v>
      </c>
      <c r="F2391" s="3">
        <v>10</v>
      </c>
      <c r="G2391" s="4">
        <v>44721</v>
      </c>
      <c r="I2391" s="1">
        <v>2200</v>
      </c>
      <c r="J2391" s="1">
        <v>2200</v>
      </c>
    </row>
    <row r="2392" spans="2:18">
      <c r="C2392" s="2" t="s">
        <v>7</v>
      </c>
      <c r="D2392" s="2" t="s">
        <v>3</v>
      </c>
      <c r="E2392" s="3">
        <v>25</v>
      </c>
      <c r="F2392" s="3">
        <v>3.75</v>
      </c>
      <c r="G2392" s="4">
        <v>43697</v>
      </c>
      <c r="J2392" s="1">
        <v>2200</v>
      </c>
    </row>
    <row r="2393" spans="2:18">
      <c r="C2393" s="2" t="s">
        <v>5</v>
      </c>
      <c r="D2393" s="2" t="s">
        <v>3</v>
      </c>
      <c r="E2393" s="3">
        <v>10</v>
      </c>
      <c r="F2393" s="3">
        <v>2.5</v>
      </c>
      <c r="G2393" s="4">
        <v>43456</v>
      </c>
      <c r="J2393" s="1">
        <v>2200</v>
      </c>
    </row>
    <row r="2394" spans="2:18">
      <c r="C2394" s="2" t="s">
        <v>5</v>
      </c>
      <c r="D2394" s="2" t="s">
        <v>3</v>
      </c>
      <c r="E2394" s="3">
        <v>10.5</v>
      </c>
      <c r="F2394" s="3">
        <v>2</v>
      </c>
      <c r="G2394" s="4">
        <v>42828</v>
      </c>
      <c r="J2394" s="1">
        <v>2200</v>
      </c>
    </row>
    <row r="2395" spans="2:18">
      <c r="C2395" s="2" t="s">
        <v>4</v>
      </c>
      <c r="D2395" s="2" t="s">
        <v>3</v>
      </c>
      <c r="E2395" s="3">
        <v>2</v>
      </c>
      <c r="F2395" s="3">
        <f>+E2395/3</f>
        <v>0.66666666666666663</v>
      </c>
      <c r="G2395" s="4">
        <v>42521</v>
      </c>
      <c r="J2395" s="1">
        <v>2200</v>
      </c>
    </row>
    <row r="2396" spans="2:18">
      <c r="C2396" s="153" t="s">
        <v>5</v>
      </c>
      <c r="D2396" s="153" t="s">
        <v>2041</v>
      </c>
      <c r="E2396" s="3">
        <v>15</v>
      </c>
      <c r="F2396" s="3">
        <v>2</v>
      </c>
      <c r="G2396" s="4">
        <v>44174</v>
      </c>
    </row>
    <row r="2397" spans="2:18">
      <c r="C2397" s="241" t="s">
        <v>278</v>
      </c>
      <c r="D2397" s="241" t="s">
        <v>2004</v>
      </c>
      <c r="E2397" s="3">
        <v>2</v>
      </c>
      <c r="F2397" s="3">
        <f>1/4</f>
        <v>0.25</v>
      </c>
      <c r="G2397" s="4">
        <v>44181</v>
      </c>
    </row>
    <row r="2398" spans="2:18">
      <c r="G2398" s="4"/>
    </row>
    <row r="2399" spans="2:18" s="12" customFormat="1">
      <c r="B2399" s="12" t="s">
        <v>655</v>
      </c>
      <c r="C2399" s="13" t="s">
        <v>969</v>
      </c>
      <c r="D2399" s="13" t="s">
        <v>968</v>
      </c>
      <c r="E2399" s="15"/>
      <c r="F2399" s="15">
        <f>SUM(F2400:F2403)</f>
        <v>21</v>
      </c>
      <c r="G2399" s="14">
        <f>G2400</f>
        <v>44601</v>
      </c>
      <c r="I2399" s="12" t="s">
        <v>6708</v>
      </c>
      <c r="M2399" s="13"/>
      <c r="N2399" s="13"/>
      <c r="O2399" s="13"/>
      <c r="P2399" s="13"/>
      <c r="Q2399" s="13"/>
      <c r="R2399" s="13"/>
    </row>
    <row r="2400" spans="2:18">
      <c r="C2400" s="2" t="s">
        <v>4</v>
      </c>
      <c r="D2400" s="2" t="s">
        <v>654</v>
      </c>
      <c r="E2400" s="3">
        <v>12.8</v>
      </c>
      <c r="F2400" s="3">
        <v>2</v>
      </c>
      <c r="G2400" s="4">
        <v>44601</v>
      </c>
      <c r="M2400" s="1"/>
      <c r="N2400" s="1"/>
      <c r="O2400" s="1"/>
      <c r="P2400" s="1"/>
      <c r="Q2400" s="1"/>
      <c r="R2400" s="1"/>
    </row>
    <row r="2401" spans="2:18">
      <c r="C2401" s="2" t="s">
        <v>8</v>
      </c>
      <c r="D2401" s="2" t="s">
        <v>489</v>
      </c>
      <c r="E2401" s="3">
        <v>100</v>
      </c>
      <c r="F2401" s="3">
        <v>15</v>
      </c>
      <c r="G2401" s="4">
        <v>43397</v>
      </c>
      <c r="M2401" s="1"/>
      <c r="N2401" s="1"/>
      <c r="O2401" s="1"/>
      <c r="P2401" s="1"/>
      <c r="Q2401" s="1"/>
      <c r="R2401" s="1"/>
    </row>
    <row r="2402" spans="2:18">
      <c r="C2402" s="177" t="s">
        <v>5</v>
      </c>
      <c r="D2402" s="177" t="s">
        <v>2027</v>
      </c>
      <c r="E2402" s="3">
        <v>21</v>
      </c>
      <c r="F2402" s="3">
        <v>3</v>
      </c>
      <c r="G2402" s="4">
        <v>44334</v>
      </c>
      <c r="M2402" s="1"/>
      <c r="N2402" s="1"/>
      <c r="O2402" s="1"/>
      <c r="P2402" s="1"/>
      <c r="Q2402" s="1"/>
      <c r="R2402" s="1"/>
    </row>
    <row r="2403" spans="2:18">
      <c r="C2403" s="177" t="s">
        <v>4</v>
      </c>
      <c r="D2403" s="177" t="s">
        <v>2027</v>
      </c>
      <c r="E2403" s="3">
        <v>5</v>
      </c>
      <c r="F2403" s="3">
        <v>1</v>
      </c>
      <c r="G2403" s="4">
        <v>44105</v>
      </c>
      <c r="M2403" s="1"/>
      <c r="N2403" s="1"/>
      <c r="O2403" s="1"/>
      <c r="P2403" s="1"/>
      <c r="Q2403" s="1"/>
      <c r="R2403" s="1"/>
    </row>
    <row r="2404" spans="2:18">
      <c r="G2404" s="4"/>
      <c r="M2404" s="1"/>
      <c r="N2404" s="1"/>
      <c r="O2404" s="1"/>
      <c r="P2404" s="1"/>
      <c r="Q2404" s="1"/>
      <c r="R2404" s="1"/>
    </row>
    <row r="2405" spans="2:18" s="12" customFormat="1">
      <c r="B2405" s="12" t="s">
        <v>397</v>
      </c>
      <c r="C2405" s="13" t="s">
        <v>969</v>
      </c>
      <c r="D2405" s="13" t="s">
        <v>968</v>
      </c>
      <c r="E2405" s="15"/>
      <c r="F2405" s="15">
        <f>SUM(F2406:F2407)</f>
        <v>20</v>
      </c>
      <c r="G2405" s="14">
        <f>G2406</f>
        <v>44286</v>
      </c>
    </row>
    <row r="2406" spans="2:18">
      <c r="C2406" s="2" t="s">
        <v>8</v>
      </c>
      <c r="D2406" s="2" t="s">
        <v>386</v>
      </c>
      <c r="E2406" s="3">
        <v>140</v>
      </c>
      <c r="F2406" s="3">
        <v>10</v>
      </c>
      <c r="G2406" s="4">
        <v>44286</v>
      </c>
      <c r="M2406" s="1"/>
      <c r="N2406" s="1"/>
      <c r="O2406" s="1"/>
      <c r="P2406" s="1"/>
      <c r="Q2406" s="1"/>
      <c r="R2406" s="1"/>
    </row>
    <row r="2407" spans="2:18">
      <c r="C2407" s="2" t="s">
        <v>18</v>
      </c>
      <c r="D2407" s="2" t="s">
        <v>386</v>
      </c>
      <c r="E2407" s="3">
        <v>110</v>
      </c>
      <c r="F2407" s="3">
        <v>10</v>
      </c>
      <c r="G2407" s="4">
        <v>43690</v>
      </c>
      <c r="M2407" s="1"/>
      <c r="N2407" s="1"/>
      <c r="O2407" s="1"/>
      <c r="P2407" s="1"/>
      <c r="Q2407" s="1"/>
      <c r="R2407" s="1"/>
    </row>
    <row r="2408" spans="2:18">
      <c r="G2408" s="4"/>
      <c r="M2408" s="1"/>
      <c r="N2408" s="1"/>
      <c r="O2408" s="1"/>
      <c r="P2408" s="1"/>
      <c r="Q2408" s="1"/>
      <c r="R2408" s="1"/>
    </row>
    <row r="2409" spans="2:18" s="12" customFormat="1">
      <c r="B2409" s="12" t="s">
        <v>941</v>
      </c>
      <c r="C2409" s="13" t="s">
        <v>969</v>
      </c>
      <c r="D2409" s="13" t="s">
        <v>968</v>
      </c>
      <c r="E2409" s="15"/>
      <c r="F2409" s="15">
        <f>SUM(F2410:F2411)</f>
        <v>20.166666666666668</v>
      </c>
      <c r="G2409" s="14">
        <f>G2410</f>
        <v>44056</v>
      </c>
      <c r="M2409" s="13"/>
      <c r="N2409" s="13"/>
      <c r="O2409" s="13"/>
      <c r="P2409" s="13"/>
      <c r="Q2409" s="13"/>
      <c r="R2409" s="13"/>
    </row>
    <row r="2410" spans="2:18">
      <c r="C2410" s="2" t="s">
        <v>7</v>
      </c>
      <c r="D2410" s="2" t="s">
        <v>430</v>
      </c>
      <c r="E2410" s="3">
        <v>13</v>
      </c>
      <c r="F2410" s="3">
        <v>13</v>
      </c>
      <c r="G2410" s="4">
        <v>44056</v>
      </c>
    </row>
    <row r="2411" spans="2:18">
      <c r="C2411" s="2" t="s">
        <v>5</v>
      </c>
      <c r="D2411" s="2" t="s">
        <v>80</v>
      </c>
      <c r="E2411" s="3">
        <v>43</v>
      </c>
      <c r="F2411" s="3">
        <f>+E2411/6</f>
        <v>7.166666666666667</v>
      </c>
      <c r="G2411" s="4">
        <v>43622</v>
      </c>
    </row>
    <row r="2412" spans="2:18">
      <c r="G2412" s="4"/>
    </row>
    <row r="2413" spans="2:18" s="12" customFormat="1">
      <c r="B2413" s="12" t="s">
        <v>561</v>
      </c>
      <c r="C2413" s="13" t="s">
        <v>969</v>
      </c>
      <c r="D2413" s="13" t="s">
        <v>968</v>
      </c>
      <c r="E2413" s="15"/>
      <c r="F2413" s="15">
        <f>SUM(F2414:F2415)</f>
        <v>20</v>
      </c>
      <c r="G2413" s="14">
        <f>G2415</f>
        <v>44831</v>
      </c>
    </row>
    <row r="2414" spans="2:18">
      <c r="C2414" s="2" t="s">
        <v>5</v>
      </c>
      <c r="D2414" s="2" t="s">
        <v>559</v>
      </c>
      <c r="E2414" s="3">
        <v>20</v>
      </c>
      <c r="F2414" s="3">
        <v>10</v>
      </c>
      <c r="G2414" s="4">
        <v>44671</v>
      </c>
      <c r="M2414" s="1"/>
      <c r="N2414" s="1"/>
      <c r="O2414" s="1"/>
      <c r="P2414" s="1"/>
      <c r="Q2414" s="1"/>
      <c r="R2414" s="1"/>
    </row>
    <row r="2415" spans="2:18">
      <c r="C2415" s="153" t="s">
        <v>7</v>
      </c>
      <c r="D2415" s="153" t="s">
        <v>2041</v>
      </c>
      <c r="E2415" s="3">
        <v>42</v>
      </c>
      <c r="F2415" s="3">
        <v>10</v>
      </c>
      <c r="G2415" s="4">
        <v>44831</v>
      </c>
      <c r="M2415" s="1"/>
      <c r="N2415" s="1"/>
      <c r="O2415" s="1"/>
      <c r="P2415" s="1"/>
      <c r="Q2415" s="1"/>
      <c r="R2415" s="1"/>
    </row>
    <row r="2416" spans="2:18">
      <c r="G2416" s="4"/>
      <c r="M2416" s="1"/>
      <c r="N2416" s="1"/>
      <c r="O2416" s="1"/>
      <c r="P2416" s="1"/>
      <c r="Q2416" s="1"/>
      <c r="R2416" s="1"/>
    </row>
    <row r="2417" spans="2:18" s="12" customFormat="1">
      <c r="B2417" s="12" t="s">
        <v>4392</v>
      </c>
      <c r="C2417" s="13" t="s">
        <v>969</v>
      </c>
      <c r="D2417" s="13" t="s">
        <v>968</v>
      </c>
      <c r="E2417" s="15"/>
      <c r="F2417" s="15">
        <f>SUM(F2418:F2421)</f>
        <v>20</v>
      </c>
      <c r="G2417" s="14">
        <f>G2418</f>
        <v>44578</v>
      </c>
      <c r="M2417" s="13"/>
      <c r="N2417" s="13"/>
      <c r="O2417" s="13"/>
      <c r="P2417" s="13"/>
      <c r="Q2417" s="13"/>
      <c r="R2417" s="13"/>
    </row>
    <row r="2418" spans="2:18">
      <c r="C2418" s="2" t="s">
        <v>7</v>
      </c>
      <c r="D2418" s="2" t="s">
        <v>2129</v>
      </c>
      <c r="E2418" s="3">
        <f>176</f>
        <v>176</v>
      </c>
      <c r="F2418" s="3">
        <f>150/12</f>
        <v>12.5</v>
      </c>
      <c r="G2418" s="4">
        <v>44578</v>
      </c>
    </row>
    <row r="2419" spans="2:18">
      <c r="C2419" s="2" t="s">
        <v>5</v>
      </c>
      <c r="D2419" s="2" t="s">
        <v>2129</v>
      </c>
      <c r="E2419" s="3">
        <v>20</v>
      </c>
      <c r="F2419" s="3">
        <f>15/6</f>
        <v>2.5</v>
      </c>
      <c r="G2419" s="4">
        <v>44044</v>
      </c>
    </row>
    <row r="2420" spans="2:18">
      <c r="C2420" s="2" t="s">
        <v>5</v>
      </c>
      <c r="D2420" s="2" t="s">
        <v>2129</v>
      </c>
      <c r="E2420" s="3">
        <v>20</v>
      </c>
      <c r="F2420" s="3">
        <f>12/4</f>
        <v>3</v>
      </c>
      <c r="G2420" s="4">
        <v>43647</v>
      </c>
    </row>
    <row r="2421" spans="2:18">
      <c r="C2421" s="92" t="s">
        <v>5</v>
      </c>
      <c r="D2421" s="92" t="s">
        <v>5988</v>
      </c>
      <c r="E2421" s="3">
        <v>12</v>
      </c>
      <c r="F2421" s="3">
        <v>2</v>
      </c>
      <c r="G2421" s="4">
        <v>43941</v>
      </c>
    </row>
    <row r="2422" spans="2:18">
      <c r="G2422" s="4"/>
    </row>
    <row r="2423" spans="2:18" s="12" customFormat="1">
      <c r="B2423" s="12" t="s">
        <v>615</v>
      </c>
      <c r="C2423" s="13" t="s">
        <v>969</v>
      </c>
      <c r="D2423" s="13" t="s">
        <v>968</v>
      </c>
      <c r="E2423" s="15"/>
      <c r="F2423" s="15">
        <f>SUM(F2424:F2426)</f>
        <v>19.755555555555556</v>
      </c>
      <c r="G2423" s="14">
        <f>+G2425</f>
        <v>45124</v>
      </c>
    </row>
    <row r="2424" spans="2:18">
      <c r="C2424" s="2" t="s">
        <v>9</v>
      </c>
      <c r="D2424" s="2" t="s">
        <v>606</v>
      </c>
      <c r="E2424" s="3">
        <v>132</v>
      </c>
      <c r="F2424" s="3">
        <f>72/10</f>
        <v>7.2</v>
      </c>
      <c r="G2424" s="4">
        <v>44215</v>
      </c>
      <c r="I2424" s="1">
        <v>1400</v>
      </c>
      <c r="J2424" s="1">
        <v>1200</v>
      </c>
      <c r="M2424" s="1"/>
      <c r="N2424" s="1"/>
      <c r="O2424" s="1"/>
      <c r="P2424" s="1"/>
      <c r="Q2424" s="1"/>
      <c r="R2424" s="1"/>
    </row>
    <row r="2425" spans="2:18">
      <c r="C2425" s="265" t="s">
        <v>7929</v>
      </c>
      <c r="D2425" s="2" t="s">
        <v>606</v>
      </c>
      <c r="E2425" s="3">
        <v>59</v>
      </c>
      <c r="F2425" s="3">
        <v>6.5555555555555554</v>
      </c>
      <c r="G2425" s="4">
        <v>45124</v>
      </c>
      <c r="I2425" s="1">
        <v>1200</v>
      </c>
      <c r="J2425" s="1">
        <v>1200</v>
      </c>
      <c r="M2425" s="1"/>
      <c r="N2425" s="1"/>
      <c r="O2425" s="1"/>
      <c r="P2425" s="1"/>
      <c r="Q2425" s="1"/>
      <c r="R2425" s="1"/>
    </row>
    <row r="2426" spans="2:18">
      <c r="C2426" s="2" t="s">
        <v>8</v>
      </c>
      <c r="D2426" s="2" t="s">
        <v>606</v>
      </c>
      <c r="E2426" s="3">
        <v>42</v>
      </c>
      <c r="F2426" s="3">
        <f>30/5</f>
        <v>6</v>
      </c>
      <c r="G2426" s="4">
        <v>44153</v>
      </c>
      <c r="M2426" s="1"/>
      <c r="N2426" s="1"/>
      <c r="O2426" s="1"/>
      <c r="P2426" s="1"/>
      <c r="Q2426" s="1"/>
      <c r="R2426" s="1"/>
    </row>
    <row r="2427" spans="2:18">
      <c r="G2427" s="4"/>
      <c r="M2427" s="1"/>
      <c r="N2427" s="1"/>
      <c r="O2427" s="1"/>
      <c r="P2427" s="1"/>
      <c r="Q2427" s="1"/>
      <c r="R2427" s="1"/>
    </row>
    <row r="2428" spans="2:18" s="12" customFormat="1">
      <c r="B2428" s="12" t="s">
        <v>643</v>
      </c>
      <c r="C2428" s="13" t="s">
        <v>969</v>
      </c>
      <c r="D2428" s="13" t="s">
        <v>968</v>
      </c>
      <c r="E2428" s="15"/>
      <c r="F2428" s="15">
        <f>SUM(F2429:F2432)</f>
        <v>19.399999999999999</v>
      </c>
      <c r="G2428" s="14">
        <f>G2429</f>
        <v>44860</v>
      </c>
    </row>
    <row r="2429" spans="2:18">
      <c r="C2429" s="2" t="s">
        <v>5</v>
      </c>
      <c r="D2429" s="2" t="s">
        <v>642</v>
      </c>
      <c r="E2429" s="3">
        <v>12</v>
      </c>
      <c r="F2429" s="3">
        <f>6/3</f>
        <v>2</v>
      </c>
      <c r="G2429" s="4">
        <v>44860</v>
      </c>
      <c r="M2429" s="1"/>
      <c r="N2429" s="1"/>
      <c r="O2429" s="1"/>
      <c r="P2429" s="1"/>
      <c r="Q2429" s="1"/>
      <c r="R2429" s="1"/>
    </row>
    <row r="2430" spans="2:18">
      <c r="C2430" s="2" t="s">
        <v>4</v>
      </c>
      <c r="D2430" s="2" t="s">
        <v>642</v>
      </c>
      <c r="E2430" s="3">
        <v>2.8</v>
      </c>
      <c r="F2430" s="3">
        <v>1.4</v>
      </c>
      <c r="G2430" s="4">
        <v>44215</v>
      </c>
      <c r="M2430" s="1"/>
      <c r="N2430" s="1"/>
      <c r="O2430" s="1"/>
      <c r="P2430" s="1"/>
      <c r="Q2430" s="1"/>
      <c r="R2430" s="1"/>
    </row>
    <row r="2431" spans="2:18">
      <c r="C2431" s="92" t="s">
        <v>7</v>
      </c>
      <c r="D2431" s="92" t="s">
        <v>2076</v>
      </c>
      <c r="E2431" s="3">
        <v>100</v>
      </c>
      <c r="F2431" s="3">
        <f>70/5</f>
        <v>14</v>
      </c>
      <c r="G2431" s="4">
        <v>44937</v>
      </c>
      <c r="I2431" s="1">
        <v>900</v>
      </c>
      <c r="J2431" s="1">
        <v>900</v>
      </c>
      <c r="M2431" s="1"/>
      <c r="N2431" s="1"/>
      <c r="O2431" s="1"/>
      <c r="P2431" s="1"/>
      <c r="Q2431" s="1"/>
      <c r="R2431" s="1"/>
    </row>
    <row r="2432" spans="2:18">
      <c r="C2432" s="92" t="s">
        <v>5</v>
      </c>
      <c r="D2432" s="92" t="s">
        <v>7290</v>
      </c>
      <c r="E2432" s="3">
        <v>3</v>
      </c>
      <c r="F2432" s="3">
        <v>2</v>
      </c>
      <c r="G2432" s="4">
        <v>43858</v>
      </c>
      <c r="M2432" s="1"/>
      <c r="N2432" s="1"/>
      <c r="O2432" s="1"/>
      <c r="P2432" s="1"/>
      <c r="Q2432" s="1"/>
      <c r="R2432" s="1"/>
    </row>
    <row r="2433" spans="2:18">
      <c r="G2433" s="4"/>
      <c r="M2433" s="1"/>
      <c r="N2433" s="1"/>
      <c r="O2433" s="1"/>
      <c r="P2433" s="1"/>
      <c r="Q2433" s="1"/>
      <c r="R2433" s="1"/>
    </row>
    <row r="2434" spans="2:18" s="12" customFormat="1">
      <c r="B2434" s="12" t="s">
        <v>1031</v>
      </c>
      <c r="C2434" s="13" t="s">
        <v>969</v>
      </c>
      <c r="D2434" s="13" t="s">
        <v>968</v>
      </c>
      <c r="E2434" s="15"/>
      <c r="F2434" s="15">
        <f>SUM(F2435:F2437)</f>
        <v>18.866666666666667</v>
      </c>
      <c r="G2434" s="14">
        <f>G2435</f>
        <v>45035</v>
      </c>
      <c r="I2434" s="12" t="s">
        <v>9826</v>
      </c>
      <c r="M2434" s="13"/>
      <c r="N2434" s="13"/>
      <c r="O2434" s="13"/>
      <c r="P2434" s="13"/>
      <c r="Q2434" s="13"/>
      <c r="R2434" s="13"/>
    </row>
    <row r="2435" spans="2:18">
      <c r="C2435" s="2" t="s">
        <v>5</v>
      </c>
      <c r="D2435" s="2" t="s">
        <v>901</v>
      </c>
      <c r="E2435" s="3">
        <v>70</v>
      </c>
      <c r="F2435" s="3">
        <f>40/6</f>
        <v>6.666666666666667</v>
      </c>
      <c r="G2435" s="4">
        <v>45035</v>
      </c>
      <c r="I2435" s="405" t="s">
        <v>9827</v>
      </c>
    </row>
    <row r="2436" spans="2:18">
      <c r="C2436" s="2" t="s">
        <v>4</v>
      </c>
      <c r="D2436" s="2" t="s">
        <v>302</v>
      </c>
      <c r="E2436" s="3">
        <v>1.8</v>
      </c>
      <c r="F2436" s="3">
        <v>0.2</v>
      </c>
      <c r="G2436" s="4">
        <v>42690</v>
      </c>
    </row>
    <row r="2437" spans="2:18">
      <c r="C2437" s="2" t="s">
        <v>8</v>
      </c>
      <c r="D2437" s="2" t="s">
        <v>176</v>
      </c>
      <c r="E2437" s="3">
        <v>130</v>
      </c>
      <c r="F2437" s="3">
        <v>12</v>
      </c>
      <c r="G2437" s="4">
        <v>42080</v>
      </c>
      <c r="I2437" s="1">
        <v>570</v>
      </c>
    </row>
    <row r="2438" spans="2:18">
      <c r="G2438" s="4"/>
    </row>
    <row r="2439" spans="2:18">
      <c r="B2439" s="12" t="s">
        <v>1030</v>
      </c>
      <c r="C2439" s="13" t="s">
        <v>969</v>
      </c>
      <c r="D2439" s="13" t="s">
        <v>968</v>
      </c>
      <c r="F2439" s="15">
        <f>SUM(F2440:F2444)</f>
        <v>19</v>
      </c>
      <c r="G2439" s="14">
        <f>+G2442</f>
        <v>44698</v>
      </c>
    </row>
    <row r="2440" spans="2:18">
      <c r="C2440" s="2" t="s">
        <v>7</v>
      </c>
      <c r="D2440" s="2" t="s">
        <v>798</v>
      </c>
      <c r="E2440" s="3">
        <v>22</v>
      </c>
      <c r="F2440" s="3">
        <v>5</v>
      </c>
      <c r="G2440" s="4">
        <v>44153</v>
      </c>
    </row>
    <row r="2441" spans="2:18">
      <c r="C2441" s="2" t="s">
        <v>5</v>
      </c>
      <c r="D2441" s="2" t="s">
        <v>798</v>
      </c>
      <c r="E2441" s="3">
        <v>13</v>
      </c>
      <c r="F2441" s="3">
        <v>3</v>
      </c>
      <c r="G2441" s="4">
        <v>44026</v>
      </c>
    </row>
    <row r="2442" spans="2:18">
      <c r="C2442" s="2" t="s">
        <v>5</v>
      </c>
      <c r="D2442" s="2" t="s">
        <v>773</v>
      </c>
      <c r="E2442" s="3">
        <v>12.8</v>
      </c>
      <c r="F2442" s="3">
        <v>3</v>
      </c>
      <c r="G2442" s="4">
        <v>44698</v>
      </c>
    </row>
    <row r="2443" spans="2:18">
      <c r="C2443" s="2" t="s">
        <v>4</v>
      </c>
      <c r="D2443" s="2" t="s">
        <v>773</v>
      </c>
      <c r="E2443" s="3">
        <v>5.5</v>
      </c>
      <c r="F2443" s="3">
        <v>3</v>
      </c>
      <c r="G2443" s="4">
        <v>44488</v>
      </c>
    </row>
    <row r="2444" spans="2:18">
      <c r="C2444" s="2" t="s">
        <v>5</v>
      </c>
      <c r="D2444" s="2" t="s">
        <v>298</v>
      </c>
      <c r="E2444" s="3">
        <v>15</v>
      </c>
      <c r="F2444" s="3">
        <v>5</v>
      </c>
      <c r="G2444" s="4">
        <v>44314</v>
      </c>
    </row>
    <row r="2445" spans="2:18">
      <c r="G2445" s="4"/>
    </row>
    <row r="2446" spans="2:18" s="12" customFormat="1">
      <c r="B2446" s="12" t="s">
        <v>7621</v>
      </c>
      <c r="C2446" s="13" t="s">
        <v>969</v>
      </c>
      <c r="D2446" s="13" t="s">
        <v>968</v>
      </c>
      <c r="E2446" s="15"/>
      <c r="F2446" s="15">
        <f>SUM(F2447:F2449)</f>
        <v>19.25</v>
      </c>
      <c r="G2446" s="14">
        <f>G2448</f>
        <v>44811</v>
      </c>
    </row>
    <row r="2447" spans="2:18">
      <c r="C2447" s="2" t="s">
        <v>5</v>
      </c>
      <c r="D2447" s="2" t="s">
        <v>548</v>
      </c>
      <c r="E2447" s="3">
        <v>10.5</v>
      </c>
      <c r="F2447" s="3">
        <f>5/5</f>
        <v>1</v>
      </c>
      <c r="G2447" s="4">
        <v>44341</v>
      </c>
      <c r="M2447" s="1"/>
      <c r="N2447" s="1"/>
      <c r="O2447" s="1"/>
      <c r="P2447" s="1"/>
      <c r="Q2447" s="1"/>
      <c r="R2447" s="1"/>
    </row>
    <row r="2448" spans="2:18">
      <c r="C2448" s="2" t="s">
        <v>7</v>
      </c>
      <c r="D2448" s="2" t="s">
        <v>542</v>
      </c>
      <c r="E2448" s="3">
        <v>40</v>
      </c>
      <c r="F2448" s="3">
        <f>25/4</f>
        <v>6.25</v>
      </c>
      <c r="G2448" s="4">
        <v>44811</v>
      </c>
      <c r="M2448" s="1"/>
      <c r="N2448" s="1"/>
      <c r="O2448" s="1"/>
      <c r="P2448" s="1"/>
      <c r="Q2448" s="1"/>
      <c r="R2448" s="1"/>
    </row>
    <row r="2449" spans="2:18">
      <c r="C2449" s="2" t="s">
        <v>18</v>
      </c>
      <c r="D2449" s="2" t="s">
        <v>2127</v>
      </c>
      <c r="E2449" s="3">
        <v>200</v>
      </c>
      <c r="F2449" s="3">
        <v>12</v>
      </c>
      <c r="G2449" s="4">
        <v>44557</v>
      </c>
      <c r="I2449" s="1">
        <v>1300</v>
      </c>
      <c r="J2449" s="1">
        <v>1300</v>
      </c>
      <c r="M2449" s="1"/>
      <c r="N2449" s="1"/>
      <c r="O2449" s="1"/>
      <c r="P2449" s="1"/>
      <c r="Q2449" s="1"/>
      <c r="R2449" s="1"/>
    </row>
    <row r="2450" spans="2:18">
      <c r="G2450" s="4"/>
      <c r="M2450" s="1"/>
      <c r="N2450" s="1"/>
      <c r="O2450" s="1"/>
      <c r="P2450" s="1"/>
      <c r="Q2450" s="1"/>
      <c r="R2450" s="1"/>
    </row>
    <row r="2451" spans="2:18" s="12" customFormat="1">
      <c r="B2451" s="12" t="s">
        <v>488</v>
      </c>
      <c r="C2451" s="13" t="s">
        <v>969</v>
      </c>
      <c r="D2451" s="13" t="s">
        <v>968</v>
      </c>
      <c r="E2451" s="15"/>
      <c r="F2451" s="15">
        <f>SUM(F2452:F2456)</f>
        <v>18.8</v>
      </c>
      <c r="G2451" s="14">
        <f>G2453</f>
        <v>44518</v>
      </c>
    </row>
    <row r="2452" spans="2:18">
      <c r="B2452" s="238" t="s">
        <v>7620</v>
      </c>
      <c r="C2452" s="2" t="s">
        <v>5</v>
      </c>
      <c r="D2452" s="2" t="s">
        <v>483</v>
      </c>
      <c r="E2452" s="3">
        <v>13</v>
      </c>
      <c r="F2452" s="3">
        <v>4</v>
      </c>
      <c r="G2452" s="4">
        <v>44516</v>
      </c>
      <c r="M2452" s="1"/>
      <c r="N2452" s="1"/>
      <c r="O2452" s="1"/>
      <c r="P2452" s="1"/>
      <c r="Q2452" s="1"/>
      <c r="R2452" s="1"/>
    </row>
    <row r="2453" spans="2:18">
      <c r="C2453" s="140" t="s">
        <v>7</v>
      </c>
      <c r="D2453" s="140" t="s">
        <v>2057</v>
      </c>
      <c r="E2453" s="3">
        <v>50</v>
      </c>
      <c r="F2453" s="3">
        <v>10</v>
      </c>
      <c r="G2453" s="4">
        <v>44518</v>
      </c>
      <c r="M2453" s="1"/>
      <c r="N2453" s="1"/>
      <c r="O2453" s="1"/>
      <c r="P2453" s="1"/>
      <c r="Q2453" s="1"/>
      <c r="R2453" s="1"/>
    </row>
    <row r="2454" spans="2:18">
      <c r="C2454" s="140" t="s">
        <v>5</v>
      </c>
      <c r="D2454" s="140" t="s">
        <v>2057</v>
      </c>
      <c r="E2454" s="3">
        <v>13</v>
      </c>
      <c r="F2454" s="3">
        <v>3</v>
      </c>
      <c r="G2454" s="4">
        <v>44294</v>
      </c>
      <c r="M2454" s="1"/>
      <c r="N2454" s="1"/>
      <c r="O2454" s="1"/>
      <c r="P2454" s="1"/>
      <c r="Q2454" s="1"/>
      <c r="R2454" s="1"/>
    </row>
    <row r="2455" spans="2:18">
      <c r="C2455" s="140" t="s">
        <v>4</v>
      </c>
      <c r="D2455" s="140" t="s">
        <v>2057</v>
      </c>
      <c r="E2455" s="3">
        <v>4.5</v>
      </c>
      <c r="F2455" s="3">
        <v>1.5</v>
      </c>
      <c r="G2455" s="4">
        <v>43943</v>
      </c>
      <c r="M2455" s="1"/>
      <c r="N2455" s="1"/>
      <c r="O2455" s="1"/>
      <c r="P2455" s="1"/>
      <c r="Q2455" s="1"/>
      <c r="R2455" s="1"/>
    </row>
    <row r="2456" spans="2:18">
      <c r="C2456" s="140" t="s">
        <v>4</v>
      </c>
      <c r="D2456" s="140" t="s">
        <v>2057</v>
      </c>
      <c r="E2456" s="3">
        <v>2.2999999999999998</v>
      </c>
      <c r="F2456" s="3">
        <v>0.3</v>
      </c>
      <c r="G2456" s="4">
        <v>43195</v>
      </c>
      <c r="M2456" s="1"/>
      <c r="N2456" s="1"/>
      <c r="O2456" s="1"/>
      <c r="P2456" s="1"/>
      <c r="Q2456" s="1"/>
      <c r="R2456" s="1"/>
    </row>
    <row r="2457" spans="2:18">
      <c r="G2457" s="4"/>
      <c r="M2457" s="1"/>
      <c r="N2457" s="1"/>
      <c r="O2457" s="1"/>
      <c r="P2457" s="1"/>
      <c r="Q2457" s="1"/>
      <c r="R2457" s="1"/>
    </row>
    <row r="2458" spans="2:18" s="12" customFormat="1">
      <c r="B2458" s="12" t="s">
        <v>4994</v>
      </c>
      <c r="C2458" s="13" t="s">
        <v>969</v>
      </c>
      <c r="D2458" s="13" t="s">
        <v>968</v>
      </c>
      <c r="E2458" s="15"/>
      <c r="F2458" s="15">
        <f>SUM(F2459:F2461)</f>
        <v>18.071428571428569</v>
      </c>
      <c r="G2458" s="14">
        <f>G2460</f>
        <v>44880</v>
      </c>
      <c r="M2458" s="13"/>
      <c r="N2458" s="13"/>
      <c r="O2458" s="13"/>
      <c r="P2458" s="13"/>
      <c r="Q2458" s="13"/>
      <c r="R2458" s="13"/>
    </row>
    <row r="2459" spans="2:18">
      <c r="C2459" s="2" t="s">
        <v>5</v>
      </c>
      <c r="D2459" s="2" t="s">
        <v>701</v>
      </c>
      <c r="E2459" s="3">
        <v>50</v>
      </c>
      <c r="F2459" s="3">
        <f>30/12</f>
        <v>2.5</v>
      </c>
      <c r="G2459" s="4">
        <v>44796</v>
      </c>
    </row>
    <row r="2460" spans="2:18">
      <c r="C2460" s="2" t="s">
        <v>8</v>
      </c>
      <c r="D2460" s="2" t="s">
        <v>131</v>
      </c>
      <c r="E2460" s="3">
        <v>135</v>
      </c>
      <c r="F2460" s="3">
        <v>8</v>
      </c>
      <c r="G2460" s="4">
        <v>44880</v>
      </c>
    </row>
    <row r="2461" spans="2:18">
      <c r="C2461" s="2" t="s">
        <v>18</v>
      </c>
      <c r="D2461" s="2" t="s">
        <v>131</v>
      </c>
      <c r="E2461" s="3">
        <v>73</v>
      </c>
      <c r="F2461" s="3">
        <f>53/7</f>
        <v>7.5714285714285712</v>
      </c>
      <c r="G2461" s="4">
        <v>44565</v>
      </c>
    </row>
    <row r="2462" spans="2:18">
      <c r="G2462" s="4"/>
    </row>
    <row r="2463" spans="2:18" s="12" customFormat="1">
      <c r="B2463" s="12" t="s">
        <v>480</v>
      </c>
      <c r="C2463" s="13" t="s">
        <v>969</v>
      </c>
      <c r="D2463" s="13" t="s">
        <v>968</v>
      </c>
      <c r="E2463" s="15"/>
      <c r="F2463" s="15">
        <f>SUM(F2464:F2465)</f>
        <v>18.3</v>
      </c>
      <c r="G2463" s="14">
        <f>G2464</f>
        <v>44398</v>
      </c>
    </row>
    <row r="2464" spans="2:18">
      <c r="C2464" s="2" t="s">
        <v>7</v>
      </c>
      <c r="D2464" s="2" t="s">
        <v>475</v>
      </c>
      <c r="E2464" s="3">
        <v>90</v>
      </c>
      <c r="F2464" s="3">
        <v>15</v>
      </c>
      <c r="G2464" s="4">
        <v>44398</v>
      </c>
      <c r="M2464" s="1"/>
      <c r="N2464" s="1"/>
      <c r="O2464" s="1"/>
      <c r="P2464" s="1"/>
      <c r="Q2464" s="1"/>
      <c r="R2464" s="1"/>
    </row>
    <row r="2465" spans="2:18">
      <c r="C2465" s="2" t="s">
        <v>5</v>
      </c>
      <c r="D2465" s="2" t="s">
        <v>475</v>
      </c>
      <c r="E2465" s="3">
        <v>22.8</v>
      </c>
      <c r="F2465" s="3">
        <v>3.3</v>
      </c>
      <c r="G2465" s="4">
        <v>43160</v>
      </c>
      <c r="M2465" s="1"/>
      <c r="N2465" s="1"/>
      <c r="O2465" s="1"/>
      <c r="P2465" s="1"/>
      <c r="Q2465" s="1"/>
      <c r="R2465" s="1"/>
    </row>
    <row r="2466" spans="2:18">
      <c r="G2466" s="4"/>
      <c r="M2466" s="1"/>
      <c r="N2466" s="1"/>
      <c r="O2466" s="1"/>
      <c r="P2466" s="1"/>
      <c r="Q2466" s="1"/>
      <c r="R2466" s="1"/>
    </row>
    <row r="2467" spans="2:18" s="12" customFormat="1">
      <c r="B2467" s="12" t="s">
        <v>1029</v>
      </c>
      <c r="C2467" s="13" t="s">
        <v>969</v>
      </c>
      <c r="D2467" s="13" t="s">
        <v>968</v>
      </c>
      <c r="E2467" s="15"/>
      <c r="F2467" s="15">
        <f>SUM(F2468:F2474)</f>
        <v>17.533333333333335</v>
      </c>
      <c r="G2467" s="14">
        <f>G2468</f>
        <v>44643</v>
      </c>
      <c r="M2467" s="13"/>
      <c r="N2467" s="13"/>
      <c r="O2467" s="13"/>
      <c r="P2467" s="13"/>
      <c r="Q2467" s="13"/>
      <c r="R2467" s="13"/>
    </row>
    <row r="2468" spans="2:18">
      <c r="C2468" s="2" t="s">
        <v>7</v>
      </c>
      <c r="D2468" s="2" t="s">
        <v>693</v>
      </c>
      <c r="E2468" s="3">
        <v>50</v>
      </c>
      <c r="F2468" s="3">
        <f>25/3</f>
        <v>8.3333333333333339</v>
      </c>
      <c r="G2468" s="4">
        <v>44643</v>
      </c>
    </row>
    <row r="2469" spans="2:18">
      <c r="C2469" s="2" t="s">
        <v>5</v>
      </c>
      <c r="D2469" s="2" t="s">
        <v>693</v>
      </c>
      <c r="E2469" s="3">
        <v>18.5</v>
      </c>
      <c r="F2469" s="3">
        <f>10/4</f>
        <v>2.5</v>
      </c>
      <c r="G2469" s="4">
        <v>44242</v>
      </c>
    </row>
    <row r="2470" spans="2:18">
      <c r="C2470" s="2" t="s">
        <v>4</v>
      </c>
      <c r="D2470" s="2" t="s">
        <v>693</v>
      </c>
      <c r="E2470" s="3">
        <v>3.5</v>
      </c>
      <c r="F2470" s="3">
        <v>1.5</v>
      </c>
      <c r="G2470" s="4">
        <v>43631</v>
      </c>
    </row>
    <row r="2471" spans="2:18">
      <c r="C2471" s="2" t="s">
        <v>5</v>
      </c>
      <c r="D2471" s="2" t="s">
        <v>656</v>
      </c>
      <c r="E2471" s="3">
        <v>12.6</v>
      </c>
      <c r="F2471" s="3">
        <v>2.2000000000000002</v>
      </c>
      <c r="G2471" s="4">
        <v>44579</v>
      </c>
    </row>
    <row r="2472" spans="2:18">
      <c r="C2472" s="2" t="s">
        <v>4</v>
      </c>
      <c r="D2472" s="2" t="s">
        <v>656</v>
      </c>
      <c r="E2472" s="3">
        <v>3</v>
      </c>
      <c r="F2472" s="3">
        <v>1</v>
      </c>
      <c r="G2472" s="4">
        <v>43999</v>
      </c>
    </row>
    <row r="2473" spans="2:18">
      <c r="C2473" s="2" t="s">
        <v>5</v>
      </c>
      <c r="D2473" s="2" t="s">
        <v>548</v>
      </c>
      <c r="E2473" s="3">
        <v>10.5</v>
      </c>
      <c r="F2473" s="3">
        <v>1</v>
      </c>
      <c r="G2473" s="4">
        <v>44341</v>
      </c>
    </row>
    <row r="2474" spans="2:18">
      <c r="C2474" s="2" t="s">
        <v>4</v>
      </c>
      <c r="D2474" s="2" t="s">
        <v>548</v>
      </c>
      <c r="E2474" s="3">
        <v>4</v>
      </c>
      <c r="F2474" s="3">
        <v>1</v>
      </c>
      <c r="G2474" s="4">
        <v>43671</v>
      </c>
    </row>
    <row r="2475" spans="2:18">
      <c r="G2475" s="4"/>
    </row>
    <row r="2476" spans="2:18">
      <c r="B2476" s="12" t="s">
        <v>1028</v>
      </c>
      <c r="C2476" s="13" t="s">
        <v>969</v>
      </c>
      <c r="D2476" s="13" t="s">
        <v>968</v>
      </c>
      <c r="E2476" s="15"/>
      <c r="F2476" s="15">
        <f>SUM(F2477:F2480)</f>
        <v>18</v>
      </c>
      <c r="G2476" s="14">
        <f>G2479</f>
        <v>44467</v>
      </c>
    </row>
    <row r="2477" spans="2:18">
      <c r="C2477" s="2" t="s">
        <v>7</v>
      </c>
      <c r="D2477" s="2" t="s">
        <v>962</v>
      </c>
      <c r="E2477" s="3">
        <v>45</v>
      </c>
      <c r="F2477" s="3">
        <v>10</v>
      </c>
      <c r="G2477" s="4">
        <v>44228</v>
      </c>
    </row>
    <row r="2478" spans="2:18">
      <c r="C2478" s="2" t="s">
        <v>5</v>
      </c>
      <c r="D2478" s="2" t="s">
        <v>962</v>
      </c>
      <c r="E2478" s="3">
        <v>5</v>
      </c>
      <c r="F2478" s="3">
        <v>2</v>
      </c>
      <c r="G2478" s="4">
        <v>43251</v>
      </c>
    </row>
    <row r="2479" spans="2:18">
      <c r="C2479" s="2" t="s">
        <v>5</v>
      </c>
      <c r="D2479" s="2" t="s">
        <v>984</v>
      </c>
      <c r="E2479" s="3">
        <v>19</v>
      </c>
      <c r="F2479" s="3">
        <v>4</v>
      </c>
      <c r="G2479" s="4">
        <v>44467</v>
      </c>
    </row>
    <row r="2480" spans="2:18">
      <c r="C2480" s="2" t="s">
        <v>4</v>
      </c>
      <c r="D2480" s="2" t="s">
        <v>984</v>
      </c>
      <c r="E2480" s="3">
        <v>4</v>
      </c>
      <c r="F2480" s="3">
        <v>2</v>
      </c>
      <c r="G2480" s="4">
        <v>43873</v>
      </c>
    </row>
    <row r="2481" spans="2:18">
      <c r="G2481" s="4"/>
    </row>
    <row r="2482" spans="2:18" s="12" customFormat="1">
      <c r="B2482" s="12" t="s">
        <v>472</v>
      </c>
      <c r="C2482" s="13" t="s">
        <v>969</v>
      </c>
      <c r="D2482" s="13" t="s">
        <v>968</v>
      </c>
      <c r="E2482" s="15"/>
      <c r="F2482" s="15">
        <f>SUM(F2483:F2487)</f>
        <v>17.5</v>
      </c>
      <c r="G2482" s="14">
        <f>G2483</f>
        <v>45104</v>
      </c>
    </row>
    <row r="2483" spans="2:18">
      <c r="C2483" s="2" t="s">
        <v>4</v>
      </c>
      <c r="D2483" s="2" t="s">
        <v>469</v>
      </c>
      <c r="E2483" s="3">
        <v>6</v>
      </c>
      <c r="F2483" s="3">
        <v>1</v>
      </c>
      <c r="G2483" s="4">
        <v>45104</v>
      </c>
      <c r="M2483" s="1"/>
      <c r="N2483" s="1"/>
      <c r="O2483" s="1"/>
      <c r="P2483" s="1"/>
      <c r="Q2483" s="1"/>
      <c r="R2483" s="1"/>
    </row>
    <row r="2484" spans="2:18">
      <c r="C2484" s="2" t="s">
        <v>7</v>
      </c>
      <c r="D2484" s="2" t="s">
        <v>403</v>
      </c>
      <c r="E2484" s="3">
        <v>50</v>
      </c>
      <c r="F2484" s="3">
        <v>5</v>
      </c>
      <c r="G2484" s="4">
        <v>44538</v>
      </c>
      <c r="M2484" s="1"/>
      <c r="N2484" s="1"/>
      <c r="O2484" s="1"/>
      <c r="P2484" s="1"/>
      <c r="Q2484" s="1"/>
      <c r="R2484" s="1"/>
    </row>
    <row r="2485" spans="2:18">
      <c r="C2485" s="2" t="s">
        <v>4</v>
      </c>
      <c r="D2485" s="2" t="s">
        <v>403</v>
      </c>
      <c r="E2485" s="3">
        <v>3.1</v>
      </c>
      <c r="F2485" s="3">
        <v>0.5</v>
      </c>
      <c r="G2485" s="4">
        <v>43580</v>
      </c>
      <c r="M2485" s="1"/>
      <c r="N2485" s="1"/>
      <c r="O2485" s="1"/>
      <c r="P2485" s="1"/>
      <c r="Q2485" s="1"/>
      <c r="R2485" s="1"/>
    </row>
    <row r="2486" spans="2:18">
      <c r="C2486" s="2" t="s">
        <v>5</v>
      </c>
      <c r="D2486" s="2" t="s">
        <v>381</v>
      </c>
      <c r="E2486" s="3">
        <v>86</v>
      </c>
      <c r="F2486" s="3">
        <v>10</v>
      </c>
      <c r="G2486" s="4">
        <v>44488</v>
      </c>
      <c r="M2486" s="1"/>
      <c r="N2486" s="1"/>
      <c r="O2486" s="1"/>
      <c r="P2486" s="1"/>
      <c r="Q2486" s="1"/>
      <c r="R2486" s="1"/>
    </row>
    <row r="2487" spans="2:18">
      <c r="C2487" s="2" t="s">
        <v>4</v>
      </c>
      <c r="D2487" s="2" t="s">
        <v>381</v>
      </c>
      <c r="E2487" s="3">
        <v>8.5</v>
      </c>
      <c r="F2487" s="3">
        <v>1</v>
      </c>
      <c r="G2487" s="4">
        <v>43796</v>
      </c>
      <c r="M2487" s="1"/>
      <c r="N2487" s="1"/>
      <c r="O2487" s="1"/>
      <c r="P2487" s="1"/>
      <c r="Q2487" s="1"/>
      <c r="R2487" s="1"/>
    </row>
    <row r="2488" spans="2:18">
      <c r="G2488" s="4"/>
      <c r="M2488" s="1"/>
      <c r="N2488" s="1"/>
      <c r="O2488" s="1"/>
      <c r="P2488" s="1"/>
      <c r="Q2488" s="1"/>
      <c r="R2488" s="1"/>
    </row>
    <row r="2489" spans="2:18">
      <c r="B2489" s="12" t="s">
        <v>1026</v>
      </c>
      <c r="C2489" s="13" t="s">
        <v>969</v>
      </c>
      <c r="D2489" s="13" t="s">
        <v>968</v>
      </c>
      <c r="F2489" s="15">
        <f>SUM(F2490:F2494)</f>
        <v>18.166666666666668</v>
      </c>
      <c r="G2489" s="14">
        <f>+G2490</f>
        <v>44812</v>
      </c>
    </row>
    <row r="2490" spans="2:18">
      <c r="C2490" s="2" t="s">
        <v>7</v>
      </c>
      <c r="D2490" s="2" t="s">
        <v>984</v>
      </c>
      <c r="E2490" s="3">
        <v>38</v>
      </c>
      <c r="F2490" s="3">
        <f>20/3</f>
        <v>6.666666666666667</v>
      </c>
      <c r="G2490" s="4">
        <v>44812</v>
      </c>
    </row>
    <row r="2491" spans="2:18">
      <c r="C2491" s="2" t="s">
        <v>5</v>
      </c>
      <c r="D2491" s="2" t="s">
        <v>984</v>
      </c>
      <c r="E2491" s="3">
        <v>19</v>
      </c>
      <c r="F2491" s="3">
        <v>4</v>
      </c>
      <c r="G2491" s="4">
        <v>44467</v>
      </c>
    </row>
    <row r="2492" spans="2:18">
      <c r="C2492" s="2" t="s">
        <v>5</v>
      </c>
      <c r="D2492" s="2" t="s">
        <v>999</v>
      </c>
      <c r="E2492" s="3">
        <v>25</v>
      </c>
      <c r="F2492" s="3">
        <v>5</v>
      </c>
      <c r="G2492" s="4">
        <v>44699</v>
      </c>
    </row>
    <row r="2493" spans="2:18">
      <c r="C2493" s="2" t="s">
        <v>5</v>
      </c>
      <c r="D2493" s="2" t="s">
        <v>825</v>
      </c>
      <c r="E2493" s="3">
        <v>20</v>
      </c>
      <c r="F2493" s="3">
        <v>2</v>
      </c>
      <c r="G2493" s="4">
        <v>44602</v>
      </c>
    </row>
    <row r="2494" spans="2:18">
      <c r="C2494" s="2" t="s">
        <v>4</v>
      </c>
      <c r="D2494" s="2" t="s">
        <v>663</v>
      </c>
      <c r="E2494" s="3">
        <v>4.5</v>
      </c>
      <c r="F2494" s="3">
        <v>0.5</v>
      </c>
      <c r="G2494" s="4">
        <v>44293</v>
      </c>
    </row>
    <row r="2495" spans="2:18">
      <c r="G2495" s="4"/>
    </row>
    <row r="2496" spans="2:18">
      <c r="B2496" s="12" t="s">
        <v>1025</v>
      </c>
      <c r="C2496" s="13" t="s">
        <v>969</v>
      </c>
      <c r="D2496" s="13" t="s">
        <v>968</v>
      </c>
      <c r="F2496" s="15">
        <f>SUM(F2497:F2500)</f>
        <v>18</v>
      </c>
      <c r="G2496" s="14">
        <f>G2497</f>
        <v>45036</v>
      </c>
    </row>
    <row r="2497" spans="2:18">
      <c r="C2497" s="2" t="s">
        <v>7</v>
      </c>
      <c r="D2497" s="2" t="s">
        <v>796</v>
      </c>
      <c r="E2497" s="3">
        <v>50</v>
      </c>
      <c r="F2497" s="3">
        <v>6</v>
      </c>
      <c r="G2497" s="4">
        <v>45036</v>
      </c>
    </row>
    <row r="2498" spans="2:18">
      <c r="C2498" s="2" t="s">
        <v>5</v>
      </c>
      <c r="D2498" s="2" t="s">
        <v>796</v>
      </c>
      <c r="E2498" s="3">
        <v>16.5</v>
      </c>
      <c r="F2498" s="3">
        <v>6</v>
      </c>
      <c r="G2498" s="4">
        <v>44614</v>
      </c>
    </row>
    <row r="2499" spans="2:18">
      <c r="C2499" s="2" t="s">
        <v>4</v>
      </c>
      <c r="D2499" s="2" t="s">
        <v>1024</v>
      </c>
      <c r="E2499" s="3">
        <v>2.8</v>
      </c>
      <c r="F2499" s="3">
        <v>1</v>
      </c>
      <c r="G2499" s="4">
        <v>44994</v>
      </c>
    </row>
    <row r="2500" spans="2:18">
      <c r="C2500" s="2" t="s">
        <v>4</v>
      </c>
      <c r="D2500" s="2" t="s">
        <v>686</v>
      </c>
      <c r="E2500" s="3">
        <v>30</v>
      </c>
      <c r="F2500" s="3">
        <v>5</v>
      </c>
      <c r="G2500" s="4">
        <v>44601</v>
      </c>
    </row>
    <row r="2501" spans="2:18">
      <c r="G2501" s="4"/>
    </row>
    <row r="2502" spans="2:18" s="12" customFormat="1">
      <c r="B2502" s="12" t="s">
        <v>379</v>
      </c>
      <c r="C2502" s="13" t="s">
        <v>969</v>
      </c>
      <c r="D2502" s="13" t="s">
        <v>968</v>
      </c>
      <c r="E2502" s="15"/>
      <c r="F2502" s="15">
        <f>SUM(F2503:F2504)</f>
        <v>17.285714285714285</v>
      </c>
      <c r="G2502" s="14">
        <f>G2503</f>
        <v>44323</v>
      </c>
    </row>
    <row r="2503" spans="2:18">
      <c r="C2503" s="2" t="s">
        <v>18</v>
      </c>
      <c r="D2503" s="2" t="s">
        <v>374</v>
      </c>
      <c r="E2503" s="3">
        <v>130</v>
      </c>
      <c r="F2503" s="3">
        <f>100/7</f>
        <v>14.285714285714286</v>
      </c>
      <c r="G2503" s="4">
        <v>44323</v>
      </c>
      <c r="M2503" s="1"/>
      <c r="N2503" s="1"/>
      <c r="O2503" s="1"/>
      <c r="P2503" s="1"/>
      <c r="Q2503" s="1"/>
      <c r="R2503" s="1"/>
    </row>
    <row r="2504" spans="2:18">
      <c r="C2504" s="2" t="s">
        <v>5</v>
      </c>
      <c r="D2504" s="2" t="s">
        <v>374</v>
      </c>
      <c r="E2504" s="3">
        <v>15</v>
      </c>
      <c r="F2504" s="3">
        <v>3</v>
      </c>
      <c r="G2504" s="4">
        <v>43452</v>
      </c>
      <c r="M2504" s="1"/>
      <c r="N2504" s="1"/>
      <c r="O2504" s="1"/>
      <c r="P2504" s="1"/>
      <c r="Q2504" s="1"/>
      <c r="R2504" s="1"/>
    </row>
    <row r="2505" spans="2:18">
      <c r="G2505" s="4"/>
      <c r="M2505" s="1"/>
      <c r="N2505" s="1"/>
      <c r="O2505" s="1"/>
      <c r="P2505" s="1"/>
      <c r="Q2505" s="1"/>
      <c r="R2505" s="1"/>
    </row>
    <row r="2506" spans="2:18" s="12" customFormat="1">
      <c r="B2506" s="12" t="s">
        <v>1023</v>
      </c>
      <c r="C2506" s="13" t="s">
        <v>969</v>
      </c>
      <c r="D2506" s="13" t="s">
        <v>968</v>
      </c>
      <c r="E2506" s="15"/>
      <c r="F2506" s="15">
        <f>SUM(F2507:F2510)</f>
        <v>17.166666666666664</v>
      </c>
      <c r="G2506" s="14">
        <f>G2508</f>
        <v>44903</v>
      </c>
      <c r="M2506" s="13"/>
      <c r="N2506" s="13"/>
      <c r="O2506" s="13"/>
      <c r="P2506" s="13"/>
      <c r="Q2506" s="13"/>
      <c r="R2506" s="13"/>
    </row>
    <row r="2507" spans="2:18">
      <c r="C2507" s="2" t="s">
        <v>5</v>
      </c>
      <c r="D2507" s="2" t="s">
        <v>932</v>
      </c>
      <c r="E2507" s="3">
        <v>30</v>
      </c>
      <c r="F2507" s="3">
        <v>10</v>
      </c>
      <c r="G2507" s="4">
        <v>44656</v>
      </c>
    </row>
    <row r="2508" spans="2:18">
      <c r="C2508" s="2" t="s">
        <v>5</v>
      </c>
      <c r="D2508" s="2" t="s">
        <v>722</v>
      </c>
      <c r="E2508" s="3">
        <v>20</v>
      </c>
      <c r="F2508" s="3">
        <f>13/6</f>
        <v>2.1666666666666665</v>
      </c>
      <c r="G2508" s="4">
        <v>44903</v>
      </c>
    </row>
    <row r="2509" spans="2:18">
      <c r="C2509" s="2" t="s">
        <v>5</v>
      </c>
      <c r="D2509" s="2" t="s">
        <v>722</v>
      </c>
      <c r="E2509" s="3">
        <v>11</v>
      </c>
      <c r="F2509" s="3">
        <v>3</v>
      </c>
      <c r="G2509" s="4">
        <v>44313</v>
      </c>
    </row>
    <row r="2510" spans="2:18">
      <c r="C2510" s="2" t="s">
        <v>4</v>
      </c>
      <c r="D2510" s="2" t="s">
        <v>722</v>
      </c>
      <c r="E2510" s="3">
        <v>3</v>
      </c>
      <c r="F2510" s="3">
        <v>2</v>
      </c>
      <c r="G2510" s="4">
        <v>44011</v>
      </c>
    </row>
    <row r="2511" spans="2:18">
      <c r="G2511" s="4"/>
    </row>
    <row r="2512" spans="2:18" s="12" customFormat="1">
      <c r="B2512" s="12" t="s">
        <v>604</v>
      </c>
      <c r="C2512" s="13" t="s">
        <v>969</v>
      </c>
      <c r="D2512" s="13" t="s">
        <v>968</v>
      </c>
      <c r="E2512" s="15"/>
      <c r="F2512" s="15">
        <f>SUM(F2513:F2514)</f>
        <v>17.375</v>
      </c>
      <c r="G2512" s="14">
        <f>G2513</f>
        <v>44663</v>
      </c>
    </row>
    <row r="2513" spans="2:18">
      <c r="C2513" s="2" t="s">
        <v>18</v>
      </c>
      <c r="D2513" s="2" t="s">
        <v>599</v>
      </c>
      <c r="E2513" s="3">
        <v>125</v>
      </c>
      <c r="F2513" s="3">
        <f>75/8</f>
        <v>9.375</v>
      </c>
      <c r="G2513" s="4">
        <v>44663</v>
      </c>
      <c r="M2513" s="1"/>
      <c r="N2513" s="1"/>
      <c r="O2513" s="1"/>
      <c r="P2513" s="1"/>
      <c r="Q2513" s="1"/>
      <c r="R2513" s="1"/>
    </row>
    <row r="2514" spans="2:18">
      <c r="C2514" s="2" t="s">
        <v>7</v>
      </c>
      <c r="D2514" s="2" t="s">
        <v>599</v>
      </c>
      <c r="E2514" s="3">
        <v>54</v>
      </c>
      <c r="F2514" s="3">
        <f>40/5</f>
        <v>8</v>
      </c>
      <c r="G2514" s="4">
        <v>44089</v>
      </c>
      <c r="M2514" s="1"/>
      <c r="N2514" s="1"/>
      <c r="O2514" s="1"/>
      <c r="P2514" s="1"/>
      <c r="Q2514" s="1"/>
      <c r="R2514" s="1"/>
    </row>
    <row r="2515" spans="2:18">
      <c r="G2515" s="4"/>
      <c r="M2515" s="1"/>
      <c r="N2515" s="1"/>
      <c r="O2515" s="1"/>
      <c r="P2515" s="1"/>
      <c r="Q2515" s="1"/>
      <c r="R2515" s="1"/>
    </row>
    <row r="2516" spans="2:18" s="12" customFormat="1">
      <c r="B2516" s="12" t="s">
        <v>4883</v>
      </c>
      <c r="C2516" s="13" t="s">
        <v>969</v>
      </c>
      <c r="D2516" s="13" t="s">
        <v>968</v>
      </c>
      <c r="E2516" s="15"/>
      <c r="F2516" s="15">
        <f>SUM(F2517:F2518)</f>
        <v>16.8</v>
      </c>
      <c r="G2516" s="14">
        <f>G2517</f>
        <v>44320</v>
      </c>
      <c r="M2516" s="13"/>
      <c r="N2516" s="13"/>
      <c r="O2516" s="13"/>
      <c r="P2516" s="13"/>
      <c r="Q2516" s="13"/>
      <c r="R2516" s="13"/>
    </row>
    <row r="2517" spans="2:18">
      <c r="B2517" s="51"/>
      <c r="C2517" s="52" t="s">
        <v>8</v>
      </c>
      <c r="D2517" s="52" t="s">
        <v>4881</v>
      </c>
      <c r="E2517" s="3">
        <v>83</v>
      </c>
      <c r="F2517" s="3">
        <f>68/10</f>
        <v>6.8</v>
      </c>
      <c r="G2517" s="4">
        <v>44320</v>
      </c>
      <c r="I2517" s="1">
        <v>3600</v>
      </c>
      <c r="J2517" s="1">
        <v>3600</v>
      </c>
    </row>
    <row r="2518" spans="2:18">
      <c r="B2518" s="51"/>
      <c r="C2518" s="52" t="s">
        <v>18</v>
      </c>
      <c r="D2518" s="52" t="s">
        <v>4881</v>
      </c>
      <c r="E2518" s="3">
        <v>100</v>
      </c>
      <c r="F2518" s="3">
        <f>80/8</f>
        <v>10</v>
      </c>
      <c r="G2518" s="4">
        <v>43937</v>
      </c>
      <c r="I2518" s="1">
        <v>1100</v>
      </c>
      <c r="J2518" s="1">
        <v>3600</v>
      </c>
    </row>
    <row r="2519" spans="2:18">
      <c r="B2519" s="51"/>
      <c r="C2519" s="52"/>
      <c r="D2519" s="52"/>
      <c r="G2519" s="4"/>
    </row>
    <row r="2520" spans="2:18">
      <c r="B2520" s="12" t="s">
        <v>1022</v>
      </c>
      <c r="C2520" s="13" t="s">
        <v>969</v>
      </c>
      <c r="D2520" s="13" t="s">
        <v>968</v>
      </c>
      <c r="F2520" s="15">
        <f>SUM(F2521:F2525)</f>
        <v>16.940000000000001</v>
      </c>
      <c r="G2520" s="14">
        <f>G2523</f>
        <v>44636</v>
      </c>
    </row>
    <row r="2521" spans="2:18">
      <c r="C2521" s="2" t="s">
        <v>7</v>
      </c>
      <c r="D2521" s="2" t="s">
        <v>1008</v>
      </c>
      <c r="E2521" s="3">
        <v>30</v>
      </c>
      <c r="F2521" s="3">
        <v>6</v>
      </c>
      <c r="G2521" s="4">
        <v>44539</v>
      </c>
    </row>
    <row r="2522" spans="2:18">
      <c r="C2522" s="2" t="s">
        <v>5</v>
      </c>
      <c r="D2522" s="2" t="s">
        <v>1008</v>
      </c>
      <c r="E2522" s="3">
        <v>11</v>
      </c>
      <c r="F2522" s="3">
        <v>3</v>
      </c>
      <c r="G2522" s="4">
        <v>43862</v>
      </c>
    </row>
    <row r="2523" spans="2:18">
      <c r="C2523" s="2" t="s">
        <v>7</v>
      </c>
      <c r="D2523" s="2" t="s">
        <v>860</v>
      </c>
      <c r="E2523" s="3">
        <v>25</v>
      </c>
      <c r="F2523" s="3">
        <v>3</v>
      </c>
      <c r="G2523" s="4">
        <v>44636</v>
      </c>
    </row>
    <row r="2524" spans="2:18">
      <c r="C2524" s="2" t="s">
        <v>5</v>
      </c>
      <c r="D2524" s="2" t="s">
        <v>860</v>
      </c>
      <c r="E2524" s="3">
        <v>12.2</v>
      </c>
      <c r="F2524" s="3">
        <f>8.2/5</f>
        <v>1.64</v>
      </c>
      <c r="G2524" s="4">
        <v>44179</v>
      </c>
    </row>
    <row r="2525" spans="2:18">
      <c r="C2525" s="2" t="s">
        <v>5</v>
      </c>
      <c r="D2525" s="2" t="s">
        <v>676</v>
      </c>
      <c r="E2525" s="3">
        <v>15</v>
      </c>
      <c r="F2525" s="3">
        <v>3.3</v>
      </c>
      <c r="G2525" s="4">
        <v>44482</v>
      </c>
    </row>
    <row r="2526" spans="2:18">
      <c r="G2526" s="4"/>
    </row>
    <row r="2527" spans="2:18" s="12" customFormat="1">
      <c r="B2527" s="12" t="s">
        <v>4884</v>
      </c>
      <c r="C2527" s="13" t="s">
        <v>969</v>
      </c>
      <c r="D2527" s="13" t="s">
        <v>968</v>
      </c>
      <c r="E2527" s="15"/>
      <c r="F2527" s="15">
        <f>SUM(F2528:F2529)</f>
        <v>16.8</v>
      </c>
      <c r="G2527" s="14">
        <f>G2528</f>
        <v>44320</v>
      </c>
      <c r="M2527" s="13"/>
      <c r="N2527" s="13"/>
      <c r="O2527" s="13"/>
      <c r="P2527" s="13"/>
      <c r="Q2527" s="13"/>
      <c r="R2527" s="13"/>
    </row>
    <row r="2528" spans="2:18">
      <c r="B2528" s="51"/>
      <c r="C2528" s="52" t="s">
        <v>8</v>
      </c>
      <c r="D2528" s="52" t="s">
        <v>4881</v>
      </c>
      <c r="E2528" s="3">
        <v>83</v>
      </c>
      <c r="F2528" s="3">
        <f>68/10</f>
        <v>6.8</v>
      </c>
      <c r="G2528" s="4">
        <v>44320</v>
      </c>
      <c r="I2528" s="1">
        <v>3600</v>
      </c>
      <c r="J2528" s="1">
        <v>3600</v>
      </c>
    </row>
    <row r="2529" spans="2:18">
      <c r="B2529" s="51"/>
      <c r="C2529" s="52" t="s">
        <v>18</v>
      </c>
      <c r="D2529" s="52" t="s">
        <v>4881</v>
      </c>
      <c r="E2529" s="3">
        <v>100</v>
      </c>
      <c r="F2529" s="3">
        <f>80/8</f>
        <v>10</v>
      </c>
      <c r="G2529" s="4">
        <v>43937</v>
      </c>
      <c r="I2529" s="1">
        <v>1100</v>
      </c>
      <c r="J2529" s="1">
        <v>3600</v>
      </c>
    </row>
    <row r="2530" spans="2:18">
      <c r="B2530" s="51"/>
      <c r="C2530" s="52"/>
      <c r="D2530" s="52"/>
      <c r="G2530" s="4"/>
    </row>
    <row r="2531" spans="2:18" s="12" customFormat="1">
      <c r="B2531" s="12" t="s">
        <v>6394</v>
      </c>
      <c r="C2531" s="13" t="s">
        <v>969</v>
      </c>
      <c r="D2531" s="13" t="s">
        <v>968</v>
      </c>
      <c r="E2531" s="15"/>
      <c r="F2531" s="15">
        <f>SUM(F2532:F2535)</f>
        <v>16.5</v>
      </c>
      <c r="G2531" s="14">
        <f>+G2535</f>
        <v>45147</v>
      </c>
      <c r="M2531" s="13"/>
      <c r="N2531" s="13"/>
      <c r="O2531" s="13"/>
      <c r="P2531" s="13"/>
      <c r="Q2531" s="13"/>
      <c r="R2531" s="13"/>
    </row>
    <row r="2532" spans="2:18">
      <c r="B2532" s="152"/>
      <c r="C2532" s="153" t="s">
        <v>7</v>
      </c>
      <c r="D2532" s="153" t="s">
        <v>6395</v>
      </c>
      <c r="E2532" s="3">
        <v>35</v>
      </c>
      <c r="F2532" s="3">
        <v>10</v>
      </c>
      <c r="G2532" s="4">
        <v>44468</v>
      </c>
    </row>
    <row r="2533" spans="2:18">
      <c r="B2533" s="152"/>
      <c r="C2533" s="153" t="s">
        <v>5</v>
      </c>
      <c r="D2533" s="153" t="s">
        <v>6395</v>
      </c>
      <c r="E2533" s="3">
        <v>8</v>
      </c>
      <c r="F2533" s="3">
        <v>1</v>
      </c>
      <c r="G2533" s="4">
        <v>44179</v>
      </c>
    </row>
    <row r="2534" spans="2:18">
      <c r="B2534" s="152"/>
      <c r="C2534" s="153" t="s">
        <v>4</v>
      </c>
      <c r="D2534" s="153" t="s">
        <v>6395</v>
      </c>
      <c r="E2534" s="3">
        <v>2</v>
      </c>
      <c r="F2534" s="3">
        <f>E2534/4</f>
        <v>0.5</v>
      </c>
      <c r="G2534" s="4">
        <v>43430</v>
      </c>
    </row>
    <row r="2535" spans="2:18">
      <c r="B2535" s="152"/>
      <c r="C2535" s="265" t="s">
        <v>1040</v>
      </c>
      <c r="D2535" s="265" t="s">
        <v>3661</v>
      </c>
      <c r="E2535" s="3">
        <v>50</v>
      </c>
      <c r="F2535" s="3">
        <v>5</v>
      </c>
      <c r="G2535" s="4">
        <v>45147</v>
      </c>
    </row>
    <row r="2536" spans="2:18">
      <c r="B2536" s="152"/>
      <c r="C2536" s="153"/>
      <c r="D2536" s="153"/>
      <c r="G2536" s="4"/>
    </row>
    <row r="2537" spans="2:18" s="12" customFormat="1">
      <c r="B2537" s="12" t="s">
        <v>167</v>
      </c>
      <c r="C2537" s="13" t="s">
        <v>969</v>
      </c>
      <c r="D2537" s="13" t="s">
        <v>968</v>
      </c>
      <c r="E2537" s="15"/>
      <c r="F2537" s="15">
        <f>SUM(F2538:F2539)</f>
        <v>17</v>
      </c>
      <c r="G2537" s="14">
        <f>G2538</f>
        <v>43292</v>
      </c>
      <c r="M2537" s="13"/>
      <c r="N2537" s="13"/>
      <c r="O2537" s="13"/>
      <c r="P2537" s="13"/>
      <c r="Q2537" s="13"/>
      <c r="R2537" s="13"/>
    </row>
    <row r="2538" spans="2:18">
      <c r="C2538" s="2" t="s">
        <v>5</v>
      </c>
      <c r="D2538" s="2" t="s">
        <v>161</v>
      </c>
      <c r="E2538" s="3">
        <v>102</v>
      </c>
      <c r="F2538" s="3">
        <v>8</v>
      </c>
      <c r="G2538" s="4">
        <v>43292</v>
      </c>
      <c r="J2538" s="1">
        <v>8400</v>
      </c>
    </row>
    <row r="2539" spans="2:18">
      <c r="C2539" s="2" t="s">
        <v>5</v>
      </c>
      <c r="D2539" s="2" t="s">
        <v>161</v>
      </c>
      <c r="E2539" s="3">
        <v>112</v>
      </c>
      <c r="F2539" s="3">
        <f>72/8</f>
        <v>9</v>
      </c>
      <c r="G2539" s="4">
        <v>43115</v>
      </c>
      <c r="J2539" s="1">
        <v>8400</v>
      </c>
    </row>
    <row r="2540" spans="2:18">
      <c r="G2540" s="4"/>
    </row>
    <row r="2541" spans="2:18" s="12" customFormat="1">
      <c r="B2541" s="12" t="s">
        <v>1021</v>
      </c>
      <c r="C2541" s="13" t="s">
        <v>969</v>
      </c>
      <c r="D2541" s="13" t="s">
        <v>968</v>
      </c>
      <c r="E2541" s="15"/>
      <c r="F2541" s="15">
        <f>SUM(F2542:F2543)</f>
        <v>16.833333333333336</v>
      </c>
      <c r="G2541" s="14">
        <f>G2542</f>
        <v>44643</v>
      </c>
      <c r="M2541" s="13"/>
      <c r="N2541" s="13"/>
      <c r="O2541" s="13"/>
      <c r="P2541" s="13"/>
      <c r="Q2541" s="13"/>
      <c r="R2541" s="13"/>
    </row>
    <row r="2542" spans="2:18">
      <c r="C2542" s="2" t="s">
        <v>7</v>
      </c>
      <c r="D2542" s="2" t="s">
        <v>693</v>
      </c>
      <c r="E2542" s="3">
        <v>50</v>
      </c>
      <c r="F2542" s="3">
        <f>25/3</f>
        <v>8.3333333333333339</v>
      </c>
      <c r="G2542" s="4">
        <v>44643</v>
      </c>
    </row>
    <row r="2543" spans="2:18">
      <c r="C2543" s="2" t="s">
        <v>5</v>
      </c>
      <c r="D2543" s="2" t="s">
        <v>693</v>
      </c>
      <c r="E2543" s="3">
        <v>18.5</v>
      </c>
      <c r="F2543" s="3">
        <v>8.5</v>
      </c>
      <c r="G2543" s="4">
        <v>44242</v>
      </c>
    </row>
    <row r="2544" spans="2:18">
      <c r="G2544" s="4"/>
    </row>
    <row r="2545" spans="2:18" s="12" customFormat="1">
      <c r="B2545" s="12" t="s">
        <v>352</v>
      </c>
      <c r="C2545" s="13" t="s">
        <v>969</v>
      </c>
      <c r="D2545" s="13" t="s">
        <v>968</v>
      </c>
      <c r="E2545" s="15"/>
      <c r="F2545" s="15">
        <f>SUM(F2546:F2548)</f>
        <v>17</v>
      </c>
      <c r="G2545" s="14">
        <f>G2546</f>
        <v>44861</v>
      </c>
    </row>
    <row r="2546" spans="2:18">
      <c r="C2546" s="2" t="s">
        <v>7</v>
      </c>
      <c r="D2546" s="2" t="s">
        <v>351</v>
      </c>
      <c r="E2546" s="3">
        <v>22</v>
      </c>
      <c r="F2546" s="3">
        <v>5</v>
      </c>
      <c r="G2546" s="4">
        <v>44861</v>
      </c>
      <c r="M2546" s="1"/>
      <c r="N2546" s="1"/>
      <c r="O2546" s="1"/>
      <c r="P2546" s="1"/>
      <c r="Q2546" s="1"/>
      <c r="R2546" s="1"/>
    </row>
    <row r="2547" spans="2:18">
      <c r="C2547" s="2" t="s">
        <v>5</v>
      </c>
      <c r="D2547" s="2" t="s">
        <v>351</v>
      </c>
      <c r="E2547" s="3">
        <v>15</v>
      </c>
      <c r="F2547" s="3">
        <v>5</v>
      </c>
      <c r="G2547" s="4">
        <v>44487</v>
      </c>
      <c r="M2547" s="1"/>
      <c r="N2547" s="1"/>
      <c r="O2547" s="1"/>
      <c r="P2547" s="1"/>
      <c r="Q2547" s="1"/>
      <c r="R2547" s="1"/>
    </row>
    <row r="2548" spans="2:18">
      <c r="C2548" s="2" t="s">
        <v>4</v>
      </c>
      <c r="D2548" s="2" t="s">
        <v>351</v>
      </c>
      <c r="E2548" s="3">
        <v>7</v>
      </c>
      <c r="F2548" s="3">
        <v>7</v>
      </c>
      <c r="G2548" s="4">
        <v>44117</v>
      </c>
      <c r="M2548" s="1"/>
      <c r="N2548" s="1"/>
      <c r="O2548" s="1"/>
      <c r="P2548" s="1"/>
      <c r="Q2548" s="1"/>
      <c r="R2548" s="1"/>
    </row>
    <row r="2549" spans="2:18">
      <c r="G2549" s="4"/>
      <c r="M2549" s="1"/>
      <c r="N2549" s="1"/>
      <c r="O2549" s="1"/>
      <c r="P2549" s="1"/>
      <c r="Q2549" s="1"/>
      <c r="R2549" s="1"/>
    </row>
    <row r="2550" spans="2:18">
      <c r="B2550" s="12" t="s">
        <v>1019</v>
      </c>
      <c r="C2550" s="13" t="s">
        <v>969</v>
      </c>
      <c r="D2550" s="13" t="s">
        <v>968</v>
      </c>
      <c r="E2550" s="15"/>
      <c r="F2550" s="15">
        <f>SUM(F2551:F2553)</f>
        <v>16.600000000000001</v>
      </c>
      <c r="G2550" s="14">
        <f>+G2553</f>
        <v>45020</v>
      </c>
    </row>
    <row r="2551" spans="2:18">
      <c r="C2551" s="2" t="s">
        <v>18</v>
      </c>
      <c r="D2551" s="2" t="s">
        <v>926</v>
      </c>
      <c r="E2551" s="3">
        <v>100</v>
      </c>
      <c r="F2551" s="3">
        <v>9</v>
      </c>
      <c r="G2551" s="4">
        <v>44690</v>
      </c>
      <c r="J2551" s="1">
        <v>4300</v>
      </c>
    </row>
    <row r="2552" spans="2:18">
      <c r="C2552" s="2" t="s">
        <v>4</v>
      </c>
      <c r="D2552" s="2" t="s">
        <v>771</v>
      </c>
      <c r="E2552" s="3">
        <v>4.5999999999999996</v>
      </c>
      <c r="F2552" s="3">
        <v>0.6</v>
      </c>
      <c r="G2552" s="4">
        <v>44530</v>
      </c>
    </row>
    <row r="2553" spans="2:18">
      <c r="C2553" s="2" t="s">
        <v>18</v>
      </c>
      <c r="D2553" s="2" t="s">
        <v>424</v>
      </c>
      <c r="E2553" s="3">
        <v>75</v>
      </c>
      <c r="F2553" s="3">
        <v>7</v>
      </c>
      <c r="G2553" s="4">
        <v>45020</v>
      </c>
    </row>
    <row r="2554" spans="2:18">
      <c r="G2554" s="4"/>
    </row>
    <row r="2555" spans="2:18" s="12" customFormat="1">
      <c r="B2555" s="12" t="s">
        <v>273</v>
      </c>
      <c r="C2555" s="13" t="s">
        <v>969</v>
      </c>
      <c r="D2555" s="13" t="s">
        <v>968</v>
      </c>
      <c r="E2555" s="15"/>
      <c r="F2555" s="15">
        <f>SUM(F2556:F2559)</f>
        <v>16.220238095238095</v>
      </c>
      <c r="G2555" s="14">
        <f>G2556</f>
        <v>44622</v>
      </c>
      <c r="M2555" s="13"/>
      <c r="N2555" s="13"/>
      <c r="O2555" s="13"/>
      <c r="P2555" s="13"/>
      <c r="Q2555" s="13"/>
      <c r="R2555" s="13"/>
    </row>
    <row r="2556" spans="2:18">
      <c r="C2556" s="2" t="s">
        <v>8</v>
      </c>
      <c r="D2556" s="2" t="s">
        <v>258</v>
      </c>
      <c r="E2556" s="3">
        <v>111</v>
      </c>
      <c r="F2556" s="3">
        <f>97/14</f>
        <v>6.9285714285714288</v>
      </c>
      <c r="G2556" s="4">
        <v>44622</v>
      </c>
    </row>
    <row r="2557" spans="2:18">
      <c r="C2557" s="2" t="s">
        <v>18</v>
      </c>
      <c r="D2557" s="2" t="s">
        <v>258</v>
      </c>
      <c r="E2557" s="3">
        <v>55</v>
      </c>
      <c r="F2557" s="3">
        <v>5.625</v>
      </c>
      <c r="G2557" s="4">
        <v>44314</v>
      </c>
    </row>
    <row r="2558" spans="2:18">
      <c r="C2558" s="2" t="s">
        <v>7</v>
      </c>
      <c r="D2558" s="2" t="s">
        <v>258</v>
      </c>
      <c r="E2558" s="3">
        <v>16</v>
      </c>
      <c r="F2558" s="3">
        <v>2</v>
      </c>
      <c r="G2558" s="4">
        <v>44009</v>
      </c>
    </row>
    <row r="2559" spans="2:18">
      <c r="C2559" s="2" t="s">
        <v>5</v>
      </c>
      <c r="D2559" s="2" t="s">
        <v>258</v>
      </c>
      <c r="E2559" s="3">
        <v>14</v>
      </c>
      <c r="F2559" s="3">
        <v>1.6666666666666667</v>
      </c>
      <c r="G2559" s="4">
        <v>43690</v>
      </c>
    </row>
    <row r="2560" spans="2:18">
      <c r="G2560" s="4"/>
    </row>
    <row r="2561" spans="2:18" s="12" customFormat="1">
      <c r="B2561" s="12" t="s">
        <v>6270</v>
      </c>
      <c r="C2561" s="13" t="s">
        <v>969</v>
      </c>
      <c r="D2561" s="13" t="s">
        <v>968</v>
      </c>
      <c r="E2561" s="15"/>
      <c r="F2561" s="15">
        <f>SUM(F2562:F2564)</f>
        <v>16.233333333333334</v>
      </c>
      <c r="G2561" s="14">
        <f>G2562</f>
        <v>44476</v>
      </c>
      <c r="M2561" s="13"/>
      <c r="N2561" s="13"/>
      <c r="O2561" s="13"/>
      <c r="P2561" s="13"/>
      <c r="Q2561" s="13"/>
      <c r="R2561" s="13"/>
    </row>
    <row r="2562" spans="2:18">
      <c r="B2562" s="134"/>
      <c r="C2562" s="140" t="s">
        <v>7</v>
      </c>
      <c r="D2562" s="140" t="s">
        <v>6269</v>
      </c>
      <c r="E2562" s="3">
        <v>52.2</v>
      </c>
      <c r="F2562" s="3">
        <f>32.2/3</f>
        <v>10.733333333333334</v>
      </c>
      <c r="G2562" s="4">
        <v>44476</v>
      </c>
    </row>
    <row r="2563" spans="2:18">
      <c r="C2563" s="140" t="s">
        <v>5</v>
      </c>
      <c r="D2563" s="140" t="s">
        <v>6269</v>
      </c>
      <c r="E2563" s="3">
        <v>12</v>
      </c>
      <c r="F2563" s="3">
        <v>4</v>
      </c>
      <c r="G2563" s="4">
        <v>44125</v>
      </c>
    </row>
    <row r="2564" spans="2:18">
      <c r="C2564" s="140" t="s">
        <v>4</v>
      </c>
      <c r="D2564" s="140" t="s">
        <v>6269</v>
      </c>
      <c r="E2564" s="3">
        <v>3.5</v>
      </c>
      <c r="F2564" s="3">
        <v>1.5</v>
      </c>
      <c r="G2564" s="4">
        <v>43831</v>
      </c>
    </row>
    <row r="2565" spans="2:18">
      <c r="C2565" s="140"/>
      <c r="D2565" s="140"/>
      <c r="G2565" s="4"/>
    </row>
    <row r="2566" spans="2:18" s="12" customFormat="1">
      <c r="B2566" s="12" t="s">
        <v>4979</v>
      </c>
      <c r="C2566" s="13" t="s">
        <v>969</v>
      </c>
      <c r="D2566" s="13" t="s">
        <v>968</v>
      </c>
      <c r="E2566" s="15"/>
      <c r="F2566" s="15">
        <f>SUM(F2567:F2568)</f>
        <v>15.714285714285714</v>
      </c>
      <c r="G2566" s="14">
        <f>G2567</f>
        <v>44507</v>
      </c>
      <c r="M2566" s="13"/>
      <c r="N2566" s="13"/>
      <c r="O2566" s="13"/>
      <c r="P2566" s="13"/>
      <c r="Q2566" s="13"/>
      <c r="R2566" s="13"/>
    </row>
    <row r="2567" spans="2:18">
      <c r="B2567" s="54"/>
      <c r="C2567" s="55" t="s">
        <v>9</v>
      </c>
      <c r="D2567" s="55" t="s">
        <v>2112</v>
      </c>
      <c r="E2567" s="3">
        <v>100</v>
      </c>
      <c r="F2567" s="3">
        <v>10.714285714285714</v>
      </c>
      <c r="G2567" s="4">
        <v>44507</v>
      </c>
      <c r="I2567" s="1">
        <v>1600</v>
      </c>
      <c r="J2567" s="1">
        <v>1600</v>
      </c>
    </row>
    <row r="2568" spans="2:18">
      <c r="B2568" s="54"/>
      <c r="C2568" s="55" t="s">
        <v>18</v>
      </c>
      <c r="D2568" s="55" t="s">
        <v>2112</v>
      </c>
      <c r="E2568" s="3">
        <v>40</v>
      </c>
      <c r="F2568" s="3">
        <f>30/6</f>
        <v>5</v>
      </c>
      <c r="G2568" s="4">
        <v>43069</v>
      </c>
      <c r="J2568" s="1">
        <v>1600</v>
      </c>
    </row>
    <row r="2569" spans="2:18">
      <c r="B2569" s="54"/>
      <c r="C2569" s="55"/>
      <c r="D2569" s="55"/>
      <c r="G2569" s="4"/>
    </row>
    <row r="2570" spans="2:18" s="12" customFormat="1">
      <c r="B2570" s="12" t="s">
        <v>104</v>
      </c>
      <c r="C2570" s="13" t="s">
        <v>969</v>
      </c>
      <c r="D2570" s="13" t="s">
        <v>968</v>
      </c>
      <c r="E2570" s="15"/>
      <c r="F2570" s="15">
        <f>SUM(F2571:F2572)</f>
        <v>15.857142857142858</v>
      </c>
      <c r="G2570" s="14">
        <f>G2571</f>
        <v>43178</v>
      </c>
      <c r="M2570" s="13"/>
      <c r="N2570" s="13"/>
      <c r="O2570" s="13"/>
      <c r="P2570" s="13"/>
      <c r="Q2570" s="13"/>
      <c r="R2570" s="13"/>
    </row>
    <row r="2571" spans="2:18">
      <c r="C2571" s="2" t="s">
        <v>8</v>
      </c>
      <c r="D2571" s="2" t="s">
        <v>102</v>
      </c>
      <c r="E2571" s="3">
        <v>30</v>
      </c>
      <c r="F2571" s="3">
        <f>20/7</f>
        <v>2.8571428571428572</v>
      </c>
      <c r="G2571" s="4">
        <v>43178</v>
      </c>
    </row>
    <row r="2572" spans="2:18">
      <c r="C2572" s="2" t="s">
        <v>8</v>
      </c>
      <c r="D2572" s="2" t="s">
        <v>102</v>
      </c>
      <c r="E2572" s="3">
        <v>40</v>
      </c>
      <c r="F2572" s="3">
        <v>13</v>
      </c>
      <c r="G2572" s="4">
        <v>42493</v>
      </c>
    </row>
    <row r="2573" spans="2:18">
      <c r="G2573" s="4"/>
    </row>
    <row r="2574" spans="2:18" s="12" customFormat="1">
      <c r="B2574" s="12" t="s">
        <v>6680</v>
      </c>
      <c r="C2574" s="13" t="s">
        <v>969</v>
      </c>
      <c r="D2574" s="13" t="s">
        <v>968</v>
      </c>
      <c r="E2574" s="15"/>
      <c r="F2574" s="15">
        <f>SUM(F2575:F2576)</f>
        <v>15.857142857142858</v>
      </c>
      <c r="G2574" s="14">
        <f>G2575</f>
        <v>43178</v>
      </c>
      <c r="M2574" s="13"/>
      <c r="N2574" s="13"/>
      <c r="O2574" s="13"/>
      <c r="P2574" s="13"/>
      <c r="Q2574" s="13"/>
      <c r="R2574" s="13"/>
    </row>
    <row r="2575" spans="2:18">
      <c r="C2575" s="2" t="s">
        <v>8</v>
      </c>
      <c r="D2575" s="2" t="s">
        <v>102</v>
      </c>
      <c r="E2575" s="3">
        <v>30</v>
      </c>
      <c r="F2575" s="3">
        <f>20/7</f>
        <v>2.8571428571428572</v>
      </c>
      <c r="G2575" s="4">
        <v>43178</v>
      </c>
    </row>
    <row r="2576" spans="2:18">
      <c r="C2576" s="2" t="s">
        <v>8</v>
      </c>
      <c r="D2576" s="2" t="s">
        <v>102</v>
      </c>
      <c r="E2576" s="3">
        <v>40</v>
      </c>
      <c r="F2576" s="3">
        <v>13</v>
      </c>
      <c r="G2576" s="4">
        <v>42493</v>
      </c>
    </row>
    <row r="2577" spans="2:18">
      <c r="G2577" s="4"/>
    </row>
    <row r="2578" spans="2:18" s="12" customFormat="1">
      <c r="B2578" s="12" t="s">
        <v>434</v>
      </c>
      <c r="C2578" s="13" t="s">
        <v>969</v>
      </c>
      <c r="D2578" s="13" t="s">
        <v>968</v>
      </c>
      <c r="E2578" s="15"/>
      <c r="F2578" s="15">
        <f>SUM(F2579:F2580)</f>
        <v>16</v>
      </c>
      <c r="G2578" s="14">
        <f>G2579</f>
        <v>43018</v>
      </c>
    </row>
    <row r="2579" spans="2:18">
      <c r="C2579" s="2" t="s">
        <v>7</v>
      </c>
      <c r="D2579" s="2" t="s">
        <v>431</v>
      </c>
      <c r="E2579" s="3">
        <v>93</v>
      </c>
      <c r="F2579" s="3">
        <v>10</v>
      </c>
      <c r="G2579" s="4">
        <v>43018</v>
      </c>
      <c r="M2579" s="1"/>
      <c r="N2579" s="1"/>
      <c r="O2579" s="1"/>
      <c r="P2579" s="1"/>
      <c r="Q2579" s="1"/>
      <c r="R2579" s="1"/>
    </row>
    <row r="2580" spans="2:18">
      <c r="C2580" s="2" t="s">
        <v>5</v>
      </c>
      <c r="D2580" s="2" t="s">
        <v>431</v>
      </c>
      <c r="E2580" s="3">
        <v>15</v>
      </c>
      <c r="F2580" s="3">
        <v>6</v>
      </c>
      <c r="G2580" s="4">
        <v>42690</v>
      </c>
      <c r="M2580" s="1"/>
      <c r="N2580" s="1"/>
      <c r="O2580" s="1"/>
      <c r="P2580" s="1"/>
      <c r="Q2580" s="1"/>
      <c r="R2580" s="1"/>
    </row>
    <row r="2581" spans="2:18">
      <c r="G2581" s="4"/>
      <c r="M2581" s="1"/>
      <c r="N2581" s="1"/>
      <c r="O2581" s="1"/>
      <c r="P2581" s="1"/>
      <c r="Q2581" s="1"/>
      <c r="R2581" s="1"/>
    </row>
    <row r="2582" spans="2:18" s="12" customFormat="1">
      <c r="B2582" s="12" t="s">
        <v>327</v>
      </c>
      <c r="C2582" s="13" t="s">
        <v>969</v>
      </c>
      <c r="D2582" s="13" t="s">
        <v>968</v>
      </c>
      <c r="E2582" s="15"/>
      <c r="F2582" s="15">
        <f>SUM(F2583:F2585)</f>
        <v>15.75</v>
      </c>
      <c r="G2582" s="14">
        <f>G2585</f>
        <v>44867</v>
      </c>
    </row>
    <row r="2583" spans="2:18">
      <c r="C2583" s="2" t="s">
        <v>5</v>
      </c>
      <c r="D2583" s="2" t="s">
        <v>318</v>
      </c>
      <c r="E2583" s="3">
        <v>16</v>
      </c>
      <c r="F2583" s="3">
        <v>2</v>
      </c>
      <c r="G2583" s="4">
        <v>43783</v>
      </c>
      <c r="L2583" s="1">
        <f>+F2583*5</f>
        <v>10</v>
      </c>
      <c r="M2583" s="1"/>
      <c r="N2583" s="1"/>
      <c r="O2583" s="1"/>
      <c r="P2583" s="1"/>
      <c r="Q2583" s="1"/>
      <c r="R2583" s="1"/>
    </row>
    <row r="2584" spans="2:18">
      <c r="C2584" s="2" t="s">
        <v>7</v>
      </c>
      <c r="D2584" s="2" t="s">
        <v>318</v>
      </c>
      <c r="E2584" s="3">
        <v>55</v>
      </c>
      <c r="F2584" s="3">
        <v>5</v>
      </c>
      <c r="G2584" s="4">
        <v>44200</v>
      </c>
      <c r="M2584" s="1"/>
      <c r="N2584" s="1"/>
      <c r="O2584" s="1"/>
      <c r="P2584" s="1"/>
      <c r="Q2584" s="1"/>
      <c r="R2584" s="1"/>
    </row>
    <row r="2585" spans="2:18">
      <c r="C2585" s="2" t="s">
        <v>18</v>
      </c>
      <c r="D2585" s="2" t="s">
        <v>318</v>
      </c>
      <c r="E2585" s="3">
        <v>91</v>
      </c>
      <c r="F2585" s="3">
        <f>70/8</f>
        <v>8.75</v>
      </c>
      <c r="G2585" s="4">
        <v>44867</v>
      </c>
      <c r="M2585" s="1"/>
      <c r="N2585" s="1"/>
      <c r="O2585" s="1"/>
      <c r="P2585" s="1"/>
      <c r="Q2585" s="1"/>
      <c r="R2585" s="1"/>
    </row>
    <row r="2586" spans="2:18">
      <c r="G2586" s="4"/>
      <c r="M2586" s="1"/>
      <c r="N2586" s="1"/>
      <c r="O2586" s="1"/>
      <c r="P2586" s="1"/>
      <c r="Q2586" s="1"/>
      <c r="R2586" s="1"/>
    </row>
    <row r="2587" spans="2:18" s="12" customFormat="1">
      <c r="B2587" s="12" t="s">
        <v>998</v>
      </c>
      <c r="C2587" s="13" t="s">
        <v>969</v>
      </c>
      <c r="D2587" s="13" t="s">
        <v>968</v>
      </c>
      <c r="E2587" s="15"/>
      <c r="F2587" s="15">
        <f>SUM(F2588:F2590)</f>
        <v>15.5</v>
      </c>
      <c r="G2587" s="14">
        <f>G2589</f>
        <v>44602</v>
      </c>
      <c r="M2587" s="13"/>
      <c r="N2587" s="13"/>
      <c r="O2587" s="13"/>
      <c r="P2587" s="13"/>
      <c r="Q2587" s="13"/>
      <c r="R2587" s="13"/>
    </row>
    <row r="2588" spans="2:18">
      <c r="C2588" s="2" t="s">
        <v>5</v>
      </c>
      <c r="D2588" s="2" t="s">
        <v>693</v>
      </c>
      <c r="E2588" s="3">
        <v>18.5</v>
      </c>
      <c r="F2588" s="3">
        <v>8.5</v>
      </c>
      <c r="G2588" s="4">
        <v>44242</v>
      </c>
    </row>
    <row r="2589" spans="2:18">
      <c r="C2589" s="2" t="s">
        <v>5</v>
      </c>
      <c r="D2589" s="2" t="s">
        <v>825</v>
      </c>
      <c r="E2589" s="3">
        <v>25</v>
      </c>
      <c r="F2589" s="3">
        <v>2</v>
      </c>
      <c r="G2589" s="4">
        <v>44602</v>
      </c>
    </row>
    <row r="2590" spans="2:18">
      <c r="C2590" s="153" t="s">
        <v>7</v>
      </c>
      <c r="D2590" s="153" t="s">
        <v>2035</v>
      </c>
      <c r="E2590" s="3">
        <v>21</v>
      </c>
      <c r="F2590" s="3">
        <v>5</v>
      </c>
      <c r="G2590" s="4">
        <v>44518</v>
      </c>
    </row>
    <row r="2591" spans="2:18">
      <c r="G2591" s="4"/>
    </row>
    <row r="2592" spans="2:18" s="12" customFormat="1">
      <c r="B2592" s="12" t="s">
        <v>479</v>
      </c>
      <c r="C2592" s="13" t="s">
        <v>969</v>
      </c>
      <c r="D2592" s="13" t="s">
        <v>968</v>
      </c>
      <c r="E2592" s="15"/>
      <c r="F2592" s="15">
        <f>SUM(F2593:F2596)</f>
        <v>16.375</v>
      </c>
      <c r="G2592" s="14">
        <f>G2594</f>
        <v>45008</v>
      </c>
    </row>
    <row r="2593" spans="2:18">
      <c r="C2593" s="2" t="s">
        <v>7</v>
      </c>
      <c r="D2593" s="2" t="s">
        <v>475</v>
      </c>
      <c r="E2593" s="3">
        <v>90</v>
      </c>
      <c r="F2593" s="3">
        <v>6</v>
      </c>
      <c r="G2593" s="4">
        <v>44398</v>
      </c>
      <c r="M2593" s="1"/>
      <c r="N2593" s="1"/>
      <c r="O2593" s="1"/>
      <c r="P2593" s="1"/>
      <c r="Q2593" s="1"/>
      <c r="R2593" s="1"/>
    </row>
    <row r="2594" spans="2:18">
      <c r="C2594" s="2" t="s">
        <v>7</v>
      </c>
      <c r="D2594" s="2" t="s">
        <v>128</v>
      </c>
      <c r="E2594" s="3">
        <v>23.5</v>
      </c>
      <c r="F2594" s="3">
        <f>13.5/4</f>
        <v>3.375</v>
      </c>
      <c r="G2594" s="4">
        <v>45008</v>
      </c>
      <c r="M2594" s="1"/>
      <c r="N2594" s="1"/>
      <c r="O2594" s="1"/>
      <c r="P2594" s="1"/>
      <c r="Q2594" s="1"/>
      <c r="R2594" s="1"/>
    </row>
    <row r="2595" spans="2:18">
      <c r="C2595" s="2" t="s">
        <v>5</v>
      </c>
      <c r="D2595" s="2" t="s">
        <v>128</v>
      </c>
      <c r="E2595" s="3">
        <v>16</v>
      </c>
      <c r="F2595" s="3">
        <v>5</v>
      </c>
      <c r="G2595" s="4">
        <v>44434</v>
      </c>
      <c r="M2595" s="1"/>
      <c r="N2595" s="1"/>
      <c r="O2595" s="1"/>
      <c r="P2595" s="1"/>
      <c r="Q2595" s="1"/>
      <c r="R2595" s="1"/>
    </row>
    <row r="2596" spans="2:18">
      <c r="C2596" s="2" t="s">
        <v>4</v>
      </c>
      <c r="D2596" s="2" t="s">
        <v>128</v>
      </c>
      <c r="E2596" s="3">
        <v>5</v>
      </c>
      <c r="F2596" s="3">
        <v>2</v>
      </c>
      <c r="G2596" s="4">
        <v>44176</v>
      </c>
      <c r="M2596" s="1"/>
      <c r="N2596" s="1"/>
      <c r="O2596" s="1"/>
      <c r="P2596" s="1"/>
      <c r="Q2596" s="1"/>
      <c r="R2596" s="1"/>
    </row>
    <row r="2597" spans="2:18">
      <c r="G2597" s="4"/>
      <c r="M2597" s="1"/>
      <c r="N2597" s="1"/>
      <c r="O2597" s="1"/>
      <c r="P2597" s="1"/>
      <c r="Q2597" s="1"/>
      <c r="R2597" s="1"/>
    </row>
    <row r="2598" spans="2:18" s="12" customFormat="1">
      <c r="B2598" s="12" t="s">
        <v>272</v>
      </c>
      <c r="C2598" s="13" t="s">
        <v>969</v>
      </c>
      <c r="D2598" s="13" t="s">
        <v>968</v>
      </c>
      <c r="E2598" s="15"/>
      <c r="F2598" s="15">
        <f>SUM(F2599:F2602)</f>
        <v>16.220238095238095</v>
      </c>
      <c r="G2598" s="14">
        <f>G2599</f>
        <v>44622</v>
      </c>
      <c r="M2598" s="13"/>
      <c r="N2598" s="13"/>
      <c r="O2598" s="13"/>
      <c r="P2598" s="13"/>
      <c r="Q2598" s="13"/>
      <c r="R2598" s="13"/>
    </row>
    <row r="2599" spans="2:18">
      <c r="C2599" s="2" t="s">
        <v>8</v>
      </c>
      <c r="D2599" s="2" t="s">
        <v>258</v>
      </c>
      <c r="E2599" s="3">
        <v>111</v>
      </c>
      <c r="F2599" s="3">
        <f>97/14</f>
        <v>6.9285714285714288</v>
      </c>
      <c r="G2599" s="4">
        <v>44622</v>
      </c>
    </row>
    <row r="2600" spans="2:18">
      <c r="C2600" s="2" t="s">
        <v>18</v>
      </c>
      <c r="D2600" s="2" t="s">
        <v>258</v>
      </c>
      <c r="E2600" s="3">
        <v>55</v>
      </c>
      <c r="F2600" s="3">
        <v>5.625</v>
      </c>
      <c r="G2600" s="4">
        <v>44314</v>
      </c>
    </row>
    <row r="2601" spans="2:18">
      <c r="C2601" s="2" t="s">
        <v>7</v>
      </c>
      <c r="D2601" s="2" t="s">
        <v>258</v>
      </c>
      <c r="E2601" s="3">
        <v>16</v>
      </c>
      <c r="F2601" s="3">
        <v>2</v>
      </c>
      <c r="G2601" s="4">
        <v>44009</v>
      </c>
    </row>
    <row r="2602" spans="2:18">
      <c r="C2602" s="2" t="s">
        <v>5</v>
      </c>
      <c r="D2602" s="2" t="s">
        <v>258</v>
      </c>
      <c r="E2602" s="3">
        <v>14</v>
      </c>
      <c r="F2602" s="3">
        <v>1.6666666666666667</v>
      </c>
      <c r="G2602" s="4">
        <v>43690</v>
      </c>
    </row>
    <row r="2603" spans="2:18">
      <c r="G2603" s="4"/>
    </row>
    <row r="2604" spans="2:18" s="12" customFormat="1">
      <c r="B2604" s="12" t="s">
        <v>396</v>
      </c>
      <c r="C2604" s="13" t="s">
        <v>969</v>
      </c>
      <c r="D2604" s="13" t="s">
        <v>968</v>
      </c>
      <c r="E2604" s="15"/>
      <c r="F2604" s="15">
        <f>SUM(F2605:F2607)</f>
        <v>15.5</v>
      </c>
      <c r="G2604" s="14">
        <f>G2605</f>
        <v>44286</v>
      </c>
    </row>
    <row r="2605" spans="2:18">
      <c r="C2605" s="2" t="s">
        <v>8</v>
      </c>
      <c r="D2605" s="2" t="s">
        <v>386</v>
      </c>
      <c r="E2605" s="3">
        <v>140</v>
      </c>
      <c r="F2605" s="3">
        <v>10</v>
      </c>
      <c r="G2605" s="4">
        <v>44286</v>
      </c>
      <c r="M2605" s="1"/>
      <c r="N2605" s="1"/>
      <c r="O2605" s="1"/>
      <c r="P2605" s="1"/>
      <c r="Q2605" s="1"/>
      <c r="R2605" s="1"/>
    </row>
    <row r="2606" spans="2:18">
      <c r="C2606" s="2" t="s">
        <v>5</v>
      </c>
      <c r="D2606" s="2" t="s">
        <v>154</v>
      </c>
      <c r="E2606" s="3">
        <v>14</v>
      </c>
      <c r="F2606" s="3">
        <v>4</v>
      </c>
      <c r="G2606" s="4">
        <v>42668</v>
      </c>
      <c r="M2606" s="1"/>
      <c r="N2606" s="1"/>
      <c r="O2606" s="1"/>
      <c r="P2606" s="1"/>
      <c r="Q2606" s="1"/>
      <c r="R2606" s="1"/>
    </row>
    <row r="2607" spans="2:18">
      <c r="C2607" s="2" t="s">
        <v>4</v>
      </c>
      <c r="D2607" s="2" t="s">
        <v>154</v>
      </c>
      <c r="E2607" s="3">
        <v>4</v>
      </c>
      <c r="F2607" s="3">
        <v>1.5</v>
      </c>
      <c r="G2607" s="4">
        <v>42023</v>
      </c>
      <c r="M2607" s="1"/>
      <c r="N2607" s="1"/>
      <c r="O2607" s="1"/>
      <c r="P2607" s="1"/>
      <c r="Q2607" s="1"/>
      <c r="R2607" s="1"/>
    </row>
    <row r="2608" spans="2:18">
      <c r="G2608" s="4"/>
      <c r="M2608" s="1"/>
      <c r="N2608" s="1"/>
      <c r="O2608" s="1"/>
      <c r="P2608" s="1"/>
      <c r="Q2608" s="1"/>
      <c r="R2608" s="1"/>
    </row>
    <row r="2609" spans="2:18" s="12" customFormat="1">
      <c r="B2609" s="12" t="s">
        <v>706</v>
      </c>
      <c r="C2609" s="13" t="s">
        <v>969</v>
      </c>
      <c r="D2609" s="13" t="s">
        <v>968</v>
      </c>
      <c r="E2609" s="15"/>
      <c r="F2609" s="15">
        <f>SUM(F2610:F2612)</f>
        <v>15.625</v>
      </c>
      <c r="G2609" s="14">
        <f>G2610</f>
        <v>45090</v>
      </c>
      <c r="M2609" s="13"/>
      <c r="N2609" s="13"/>
      <c r="O2609" s="13"/>
      <c r="P2609" s="13"/>
      <c r="Q2609" s="13"/>
      <c r="R2609" s="13"/>
    </row>
    <row r="2610" spans="2:18">
      <c r="C2610" s="2" t="s">
        <v>4</v>
      </c>
      <c r="D2610" s="2" t="s">
        <v>705</v>
      </c>
      <c r="E2610" s="3">
        <v>113</v>
      </c>
      <c r="F2610" s="3">
        <v>8</v>
      </c>
      <c r="G2610" s="4">
        <v>45090</v>
      </c>
    </row>
    <row r="2611" spans="2:18">
      <c r="C2611" s="2" t="s">
        <v>5</v>
      </c>
      <c r="D2611" s="2" t="s">
        <v>465</v>
      </c>
      <c r="E2611" s="3">
        <v>15.5</v>
      </c>
      <c r="F2611" s="3">
        <v>1.625</v>
      </c>
      <c r="G2611" s="4">
        <v>44727</v>
      </c>
    </row>
    <row r="2612" spans="2:18">
      <c r="C2612" s="2" t="s">
        <v>5</v>
      </c>
      <c r="D2612" s="2" t="s">
        <v>465</v>
      </c>
      <c r="E2612" s="3">
        <v>12</v>
      </c>
      <c r="F2612" s="3">
        <v>6</v>
      </c>
      <c r="G2612" s="4">
        <v>43948</v>
      </c>
    </row>
    <row r="2613" spans="2:18">
      <c r="G2613" s="4"/>
    </row>
    <row r="2614" spans="2:18" s="12" customFormat="1">
      <c r="B2614" s="12" t="s">
        <v>5419</v>
      </c>
      <c r="C2614" s="13" t="s">
        <v>969</v>
      </c>
      <c r="D2614" s="13" t="s">
        <v>968</v>
      </c>
      <c r="E2614" s="15"/>
      <c r="F2614" s="15">
        <f>SUM(F2615:F2616)</f>
        <v>15.75</v>
      </c>
      <c r="G2614" s="14">
        <f>G2615</f>
        <v>44637</v>
      </c>
      <c r="M2614" s="13"/>
      <c r="N2614" s="13"/>
      <c r="O2614" s="13"/>
      <c r="P2614" s="13"/>
      <c r="Q2614" s="13"/>
      <c r="R2614" s="13"/>
    </row>
    <row r="2615" spans="2:18">
      <c r="B2615" s="91"/>
      <c r="C2615" s="92" t="s">
        <v>18</v>
      </c>
      <c r="D2615" s="92" t="s">
        <v>2090</v>
      </c>
      <c r="E2615" s="3">
        <v>80</v>
      </c>
      <c r="F2615" s="3">
        <f>7</f>
        <v>7</v>
      </c>
      <c r="G2615" s="4">
        <v>44637</v>
      </c>
      <c r="I2615" s="1">
        <v>1500</v>
      </c>
      <c r="J2615" s="1">
        <v>1500</v>
      </c>
    </row>
    <row r="2616" spans="2:18">
      <c r="B2616" s="91"/>
      <c r="C2616" s="92" t="s">
        <v>7</v>
      </c>
      <c r="D2616" s="92" t="s">
        <v>2090</v>
      </c>
      <c r="E2616" s="3">
        <v>50</v>
      </c>
      <c r="F2616" s="3">
        <f>35/4</f>
        <v>8.75</v>
      </c>
      <c r="G2616" s="4">
        <v>44286</v>
      </c>
      <c r="J2616" s="1">
        <v>1500</v>
      </c>
    </row>
    <row r="2617" spans="2:18">
      <c r="B2617" s="91"/>
      <c r="C2617" s="92"/>
      <c r="D2617" s="92"/>
      <c r="G2617" s="4"/>
    </row>
    <row r="2618" spans="2:18" s="12" customFormat="1">
      <c r="B2618" s="12" t="s">
        <v>608</v>
      </c>
      <c r="C2618" s="13" t="s">
        <v>969</v>
      </c>
      <c r="D2618" s="13" t="s">
        <v>968</v>
      </c>
      <c r="E2618" s="15"/>
      <c r="F2618" s="15">
        <f>SUM(F2619:F2620)</f>
        <v>16</v>
      </c>
      <c r="G2618" s="14">
        <f>G2619</f>
        <v>43888</v>
      </c>
    </row>
    <row r="2619" spans="2:18">
      <c r="C2619" s="2" t="s">
        <v>18</v>
      </c>
      <c r="D2619" s="2" t="s">
        <v>606</v>
      </c>
      <c r="E2619" s="3">
        <v>48</v>
      </c>
      <c r="F2619" s="3">
        <v>4</v>
      </c>
      <c r="G2619" s="4">
        <v>43888</v>
      </c>
      <c r="M2619" s="1"/>
      <c r="N2619" s="1"/>
      <c r="O2619" s="1"/>
      <c r="P2619" s="1"/>
      <c r="Q2619" s="1"/>
      <c r="R2619" s="1"/>
    </row>
    <row r="2620" spans="2:18">
      <c r="C2620" s="2" t="s">
        <v>18</v>
      </c>
      <c r="D2620" s="2" t="s">
        <v>606</v>
      </c>
      <c r="E2620" s="3">
        <v>12</v>
      </c>
      <c r="F2620" s="3">
        <v>12</v>
      </c>
      <c r="G2620" s="4">
        <v>43648</v>
      </c>
      <c r="M2620" s="1"/>
      <c r="N2620" s="1"/>
      <c r="O2620" s="1"/>
      <c r="P2620" s="1"/>
      <c r="Q2620" s="1"/>
      <c r="R2620" s="1"/>
    </row>
    <row r="2621" spans="2:18">
      <c r="G2621" s="4"/>
      <c r="M2621" s="1"/>
      <c r="N2621" s="1"/>
      <c r="O2621" s="1"/>
      <c r="P2621" s="1"/>
      <c r="Q2621" s="1"/>
      <c r="R2621" s="1"/>
    </row>
    <row r="2622" spans="2:18" s="12" customFormat="1">
      <c r="B2622" s="12" t="s">
        <v>1018</v>
      </c>
      <c r="C2622" s="13" t="s">
        <v>969</v>
      </c>
      <c r="D2622" s="13" t="s">
        <v>968</v>
      </c>
      <c r="E2622" s="15"/>
      <c r="F2622" s="15">
        <f>SUM(F2623:F2624)</f>
        <v>15.5</v>
      </c>
      <c r="G2622" s="14">
        <f>G2624</f>
        <v>44510</v>
      </c>
      <c r="M2622" s="13"/>
      <c r="N2622" s="13"/>
      <c r="O2622" s="13"/>
      <c r="P2622" s="13"/>
      <c r="Q2622" s="13"/>
      <c r="R2622" s="13"/>
    </row>
    <row r="2623" spans="2:18">
      <c r="C2623" s="2" t="s">
        <v>5</v>
      </c>
      <c r="D2623" s="2" t="s">
        <v>693</v>
      </c>
      <c r="E2623" s="3">
        <v>18.5</v>
      </c>
      <c r="F2623" s="3">
        <v>8.5</v>
      </c>
      <c r="G2623" s="4">
        <v>44242</v>
      </c>
    </row>
    <row r="2624" spans="2:18">
      <c r="C2624" s="2" t="s">
        <v>7</v>
      </c>
      <c r="D2624" s="2" t="s">
        <v>871</v>
      </c>
      <c r="E2624" s="3">
        <v>30</v>
      </c>
      <c r="F2624" s="3">
        <v>7</v>
      </c>
      <c r="G2624" s="4">
        <v>44510</v>
      </c>
    </row>
    <row r="2625" spans="2:18">
      <c r="G2625" s="4"/>
    </row>
    <row r="2626" spans="2:18" s="12" customFormat="1">
      <c r="B2626" s="12" t="s">
        <v>1015</v>
      </c>
      <c r="C2626" s="13" t="s">
        <v>969</v>
      </c>
      <c r="D2626" s="13" t="s">
        <v>968</v>
      </c>
      <c r="E2626" s="15"/>
      <c r="F2626" s="15">
        <f>SUM(F2627:F2629)</f>
        <v>15.85</v>
      </c>
      <c r="G2626" s="14">
        <f>G2629</f>
        <v>44650</v>
      </c>
    </row>
    <row r="2627" spans="2:18">
      <c r="C2627" s="2" t="s">
        <v>4</v>
      </c>
      <c r="D2627" s="2" t="s">
        <v>676</v>
      </c>
      <c r="E2627" s="3">
        <v>4.5</v>
      </c>
      <c r="F2627" s="3">
        <v>0.5</v>
      </c>
      <c r="G2627" s="4">
        <v>44362</v>
      </c>
      <c r="M2627" s="1"/>
      <c r="N2627" s="1"/>
      <c r="O2627" s="1"/>
      <c r="P2627" s="1"/>
      <c r="Q2627" s="1"/>
      <c r="R2627" s="1"/>
    </row>
    <row r="2628" spans="2:18">
      <c r="C2628" s="2" t="s">
        <v>4</v>
      </c>
      <c r="D2628" s="2" t="s">
        <v>347</v>
      </c>
      <c r="E2628" s="3">
        <v>3.5</v>
      </c>
      <c r="F2628" s="3">
        <f>E2628/10</f>
        <v>0.35</v>
      </c>
      <c r="G2628" s="4">
        <v>43046</v>
      </c>
      <c r="L2628" s="1">
        <v>0</v>
      </c>
      <c r="M2628" s="1"/>
      <c r="N2628" s="1"/>
      <c r="O2628" s="1"/>
      <c r="P2628" s="1"/>
      <c r="Q2628" s="1"/>
      <c r="R2628" s="1"/>
    </row>
    <row r="2629" spans="2:18">
      <c r="C2629" s="2" t="s">
        <v>18</v>
      </c>
      <c r="D2629" s="2" t="s">
        <v>57</v>
      </c>
      <c r="E2629" s="3">
        <v>100</v>
      </c>
      <c r="F2629" s="3">
        <v>15</v>
      </c>
      <c r="G2629" s="4">
        <v>44650</v>
      </c>
      <c r="M2629" s="1"/>
      <c r="N2629" s="1"/>
      <c r="O2629" s="1"/>
      <c r="P2629" s="1"/>
      <c r="Q2629" s="1"/>
      <c r="R2629" s="1"/>
    </row>
    <row r="2630" spans="2:18">
      <c r="G2630" s="4"/>
      <c r="M2630" s="1"/>
      <c r="N2630" s="1"/>
      <c r="O2630" s="1"/>
      <c r="P2630" s="1"/>
      <c r="Q2630" s="1"/>
      <c r="R2630" s="1"/>
    </row>
    <row r="2631" spans="2:18" s="12" customFormat="1">
      <c r="B2631" s="12" t="s">
        <v>617</v>
      </c>
      <c r="C2631" s="13" t="s">
        <v>969</v>
      </c>
      <c r="D2631" s="13" t="s">
        <v>968</v>
      </c>
      <c r="E2631" s="15"/>
      <c r="F2631" s="15">
        <f>SUM(F2632:F2637)</f>
        <v>21.705555555555556</v>
      </c>
      <c r="G2631" s="14">
        <f>G2632</f>
        <v>44215</v>
      </c>
    </row>
    <row r="2632" spans="2:18">
      <c r="C2632" s="2" t="s">
        <v>9</v>
      </c>
      <c r="D2632" s="2" t="s">
        <v>606</v>
      </c>
      <c r="E2632" s="3">
        <v>132</v>
      </c>
      <c r="F2632" s="3">
        <f>72/10</f>
        <v>7.2</v>
      </c>
      <c r="G2632" s="4">
        <v>44215</v>
      </c>
      <c r="I2632" s="1">
        <v>1400</v>
      </c>
      <c r="J2632" s="1">
        <v>1200</v>
      </c>
      <c r="M2632" s="1"/>
      <c r="N2632" s="1"/>
      <c r="O2632" s="1"/>
      <c r="P2632" s="1"/>
      <c r="Q2632" s="1"/>
      <c r="R2632" s="1"/>
    </row>
    <row r="2633" spans="2:18">
      <c r="C2633" s="265" t="s">
        <v>7929</v>
      </c>
      <c r="D2633" s="2" t="s">
        <v>606</v>
      </c>
      <c r="E2633" s="3">
        <v>59</v>
      </c>
      <c r="F2633" s="3">
        <f>59/9</f>
        <v>6.5555555555555554</v>
      </c>
      <c r="G2633" s="4">
        <v>45124</v>
      </c>
      <c r="I2633" s="1">
        <v>1200</v>
      </c>
      <c r="J2633" s="1">
        <v>1200</v>
      </c>
      <c r="M2633" s="1"/>
      <c r="N2633" s="1"/>
      <c r="O2633" s="1"/>
      <c r="P2633" s="1"/>
      <c r="Q2633" s="1"/>
      <c r="R2633" s="1"/>
    </row>
    <row r="2634" spans="2:18">
      <c r="C2634" s="2" t="s">
        <v>18</v>
      </c>
      <c r="D2634" s="2" t="s">
        <v>606</v>
      </c>
      <c r="E2634" s="3">
        <v>48</v>
      </c>
      <c r="F2634" s="3">
        <f>28/7</f>
        <v>4</v>
      </c>
      <c r="G2634" s="4">
        <v>43888</v>
      </c>
      <c r="J2634" s="1">
        <v>1200</v>
      </c>
      <c r="M2634" s="1"/>
      <c r="N2634" s="1"/>
      <c r="O2634" s="1"/>
      <c r="P2634" s="1"/>
      <c r="Q2634" s="1"/>
      <c r="R2634" s="1"/>
    </row>
    <row r="2635" spans="2:18">
      <c r="C2635" s="2" t="s">
        <v>7</v>
      </c>
      <c r="D2635" s="2" t="s">
        <v>606</v>
      </c>
      <c r="E2635" s="3">
        <v>25</v>
      </c>
      <c r="F2635" s="3">
        <f>10/5</f>
        <v>2</v>
      </c>
      <c r="G2635" s="4">
        <v>43440</v>
      </c>
      <c r="J2635" s="1">
        <v>1200</v>
      </c>
      <c r="M2635" s="1"/>
      <c r="N2635" s="1"/>
      <c r="O2635" s="1"/>
      <c r="P2635" s="1"/>
      <c r="Q2635" s="1"/>
      <c r="R2635" s="1"/>
    </row>
    <row r="2636" spans="2:18">
      <c r="C2636" s="2" t="s">
        <v>5</v>
      </c>
      <c r="D2636" s="2" t="s">
        <v>606</v>
      </c>
      <c r="E2636" s="3">
        <v>5.8</v>
      </c>
      <c r="F2636" s="3">
        <f>E2636/4</f>
        <v>1.45</v>
      </c>
      <c r="G2636" s="4">
        <v>43117</v>
      </c>
      <c r="J2636" s="1">
        <v>1200</v>
      </c>
      <c r="M2636" s="1"/>
      <c r="N2636" s="1"/>
      <c r="O2636" s="1"/>
      <c r="P2636" s="1"/>
      <c r="Q2636" s="1"/>
      <c r="R2636" s="1"/>
    </row>
    <row r="2637" spans="2:18">
      <c r="C2637" s="2" t="s">
        <v>4</v>
      </c>
      <c r="D2637" s="2" t="s">
        <v>606</v>
      </c>
      <c r="E2637" s="3">
        <v>3.3</v>
      </c>
      <c r="F2637" s="3">
        <v>0.5</v>
      </c>
      <c r="G2637" s="4">
        <v>42678</v>
      </c>
      <c r="J2637" s="1">
        <v>1200</v>
      </c>
      <c r="M2637" s="1"/>
      <c r="N2637" s="1"/>
      <c r="O2637" s="1"/>
      <c r="P2637" s="1"/>
      <c r="Q2637" s="1"/>
      <c r="R2637" s="1"/>
    </row>
    <row r="2638" spans="2:18">
      <c r="G2638" s="4"/>
      <c r="M2638" s="1"/>
      <c r="N2638" s="1"/>
      <c r="O2638" s="1"/>
      <c r="P2638" s="1"/>
      <c r="Q2638" s="1"/>
      <c r="R2638" s="1"/>
    </row>
    <row r="2639" spans="2:18" s="12" customFormat="1">
      <c r="B2639" s="12" t="s">
        <v>6201</v>
      </c>
      <c r="C2639" s="13" t="s">
        <v>969</v>
      </c>
      <c r="D2639" s="13" t="s">
        <v>968</v>
      </c>
      <c r="E2639" s="15"/>
      <c r="F2639" s="15">
        <f>SUM(F2640:F2643)</f>
        <v>15.3</v>
      </c>
      <c r="G2639" s="14">
        <f>G2640</f>
        <v>44518</v>
      </c>
      <c r="M2639" s="13"/>
      <c r="N2639" s="13"/>
      <c r="O2639" s="13"/>
      <c r="P2639" s="13"/>
      <c r="Q2639" s="13"/>
      <c r="R2639" s="13"/>
    </row>
    <row r="2640" spans="2:18">
      <c r="B2640" s="134"/>
      <c r="C2640" s="140" t="s">
        <v>7</v>
      </c>
      <c r="D2640" s="140" t="s">
        <v>2057</v>
      </c>
      <c r="E2640" s="3">
        <v>50</v>
      </c>
      <c r="F2640" s="3">
        <v>10</v>
      </c>
      <c r="G2640" s="4">
        <v>44518</v>
      </c>
    </row>
    <row r="2641" spans="2:18">
      <c r="C2641" s="140" t="s">
        <v>5</v>
      </c>
      <c r="D2641" s="140" t="s">
        <v>2057</v>
      </c>
      <c r="E2641" s="3">
        <v>13</v>
      </c>
      <c r="F2641" s="3">
        <v>3</v>
      </c>
      <c r="G2641" s="4">
        <v>44294</v>
      </c>
    </row>
    <row r="2642" spans="2:18">
      <c r="C2642" s="140" t="s">
        <v>4</v>
      </c>
      <c r="D2642" s="140" t="s">
        <v>2057</v>
      </c>
      <c r="E2642" s="3">
        <v>4.5</v>
      </c>
      <c r="F2642" s="3">
        <v>1.5</v>
      </c>
      <c r="G2642" s="4">
        <v>43943</v>
      </c>
    </row>
    <row r="2643" spans="2:18">
      <c r="C2643" s="140" t="s">
        <v>4</v>
      </c>
      <c r="D2643" s="140" t="s">
        <v>2057</v>
      </c>
      <c r="E2643" s="3">
        <v>2.2999999999999998</v>
      </c>
      <c r="F2643" s="3">
        <v>0.8</v>
      </c>
      <c r="G2643" s="4">
        <v>43195</v>
      </c>
    </row>
    <row r="2644" spans="2:18">
      <c r="C2644" s="140"/>
      <c r="D2644" s="140"/>
      <c r="G2644" s="4"/>
    </row>
    <row r="2645" spans="2:18" s="12" customFormat="1">
      <c r="B2645" s="12" t="s">
        <v>485</v>
      </c>
      <c r="C2645" s="13" t="s">
        <v>969</v>
      </c>
      <c r="D2645" s="13" t="s">
        <v>968</v>
      </c>
      <c r="E2645" s="15"/>
      <c r="F2645" s="15">
        <f>SUM(F2646:F2650)</f>
        <v>15.25</v>
      </c>
      <c r="G2645" s="14">
        <f>G2646</f>
        <v>44516</v>
      </c>
    </row>
    <row r="2646" spans="2:18">
      <c r="C2646" s="2" t="s">
        <v>5</v>
      </c>
      <c r="D2646" s="2" t="s">
        <v>483</v>
      </c>
      <c r="E2646" s="3">
        <v>13</v>
      </c>
      <c r="F2646" s="3">
        <v>1.4</v>
      </c>
      <c r="G2646" s="4">
        <v>44516</v>
      </c>
      <c r="M2646" s="1"/>
      <c r="N2646" s="1"/>
      <c r="O2646" s="1"/>
      <c r="P2646" s="1"/>
      <c r="Q2646" s="1"/>
      <c r="R2646" s="1"/>
    </row>
    <row r="2647" spans="2:18">
      <c r="C2647" s="2" t="s">
        <v>4</v>
      </c>
      <c r="D2647" s="2" t="s">
        <v>347</v>
      </c>
      <c r="E2647" s="3">
        <v>3.5</v>
      </c>
      <c r="F2647" s="3">
        <f>E2647/10</f>
        <v>0.35</v>
      </c>
      <c r="G2647" s="4">
        <v>43046</v>
      </c>
      <c r="M2647" s="1"/>
      <c r="N2647" s="1"/>
      <c r="O2647" s="1"/>
      <c r="P2647" s="1"/>
      <c r="Q2647" s="1"/>
      <c r="R2647" s="1"/>
    </row>
    <row r="2648" spans="2:18">
      <c r="C2648" s="92" t="s">
        <v>7</v>
      </c>
      <c r="D2648" s="92" t="s">
        <v>2101</v>
      </c>
      <c r="E2648" s="3">
        <v>56</v>
      </c>
      <c r="F2648" s="3">
        <v>8</v>
      </c>
      <c r="G2648" s="4">
        <v>44319</v>
      </c>
      <c r="M2648" s="1"/>
      <c r="N2648" s="1"/>
      <c r="O2648" s="1"/>
      <c r="P2648" s="1"/>
      <c r="Q2648" s="1"/>
      <c r="R2648" s="1"/>
    </row>
    <row r="2649" spans="2:18">
      <c r="C2649" s="92" t="s">
        <v>5</v>
      </c>
      <c r="D2649" s="92" t="s">
        <v>2101</v>
      </c>
      <c r="E2649" s="3">
        <v>12.5</v>
      </c>
      <c r="F2649" s="3">
        <v>5</v>
      </c>
      <c r="G2649" s="4">
        <v>43453</v>
      </c>
      <c r="M2649" s="1"/>
      <c r="N2649" s="1"/>
      <c r="O2649" s="1"/>
      <c r="P2649" s="1"/>
      <c r="Q2649" s="1"/>
      <c r="R2649" s="1"/>
    </row>
    <row r="2650" spans="2:18">
      <c r="C2650" s="92" t="s">
        <v>4</v>
      </c>
      <c r="D2650" s="92" t="s">
        <v>2101</v>
      </c>
      <c r="E2650" s="3">
        <v>2.5</v>
      </c>
      <c r="F2650" s="3">
        <v>0.5</v>
      </c>
      <c r="G2650" s="4">
        <v>43401</v>
      </c>
      <c r="M2650" s="1"/>
      <c r="N2650" s="1"/>
      <c r="O2650" s="1"/>
      <c r="P2650" s="1"/>
      <c r="Q2650" s="1"/>
      <c r="R2650" s="1"/>
    </row>
    <row r="2651" spans="2:18">
      <c r="G2651" s="4"/>
      <c r="M2651" s="1"/>
      <c r="N2651" s="1"/>
      <c r="O2651" s="1"/>
      <c r="P2651" s="1"/>
      <c r="Q2651" s="1"/>
      <c r="R2651" s="1"/>
    </row>
    <row r="2652" spans="2:18" s="12" customFormat="1">
      <c r="B2652" s="12" t="s">
        <v>6681</v>
      </c>
      <c r="C2652" s="13" t="s">
        <v>969</v>
      </c>
      <c r="D2652" s="13" t="s">
        <v>968</v>
      </c>
      <c r="E2652" s="15"/>
      <c r="F2652" s="15">
        <f>SUM(F2653:F2655)</f>
        <v>14.857142857142858</v>
      </c>
      <c r="G2652" s="14">
        <f>G2653</f>
        <v>43178</v>
      </c>
      <c r="M2652" s="13"/>
      <c r="N2652" s="13"/>
      <c r="O2652" s="13"/>
      <c r="P2652" s="13"/>
      <c r="Q2652" s="13"/>
      <c r="R2652" s="13"/>
    </row>
    <row r="2653" spans="2:18">
      <c r="B2653" s="176"/>
      <c r="C2653" s="2" t="s">
        <v>8</v>
      </c>
      <c r="D2653" s="2" t="s">
        <v>102</v>
      </c>
      <c r="E2653" s="3">
        <v>30</v>
      </c>
      <c r="F2653" s="3">
        <f>20/7</f>
        <v>2.8571428571428572</v>
      </c>
      <c r="G2653" s="4">
        <v>43178</v>
      </c>
    </row>
    <row r="2654" spans="2:18">
      <c r="C2654" s="2" t="s">
        <v>8</v>
      </c>
      <c r="D2654" s="2" t="s">
        <v>102</v>
      </c>
      <c r="E2654" s="3">
        <v>40</v>
      </c>
      <c r="F2654" s="3">
        <v>7</v>
      </c>
      <c r="G2654" s="4">
        <v>42493</v>
      </c>
    </row>
    <row r="2655" spans="2:18">
      <c r="C2655" s="2" t="s">
        <v>8</v>
      </c>
      <c r="D2655" s="2" t="s">
        <v>102</v>
      </c>
      <c r="E2655" s="3">
        <v>5</v>
      </c>
      <c r="F2655" s="3">
        <v>5</v>
      </c>
      <c r="G2655" s="4">
        <v>42356</v>
      </c>
    </row>
    <row r="2656" spans="2:18">
      <c r="G2656" s="4"/>
    </row>
    <row r="2657" spans="2:18" s="12" customFormat="1">
      <c r="B2657" s="12" t="s">
        <v>724</v>
      </c>
      <c r="C2657" s="13" t="s">
        <v>969</v>
      </c>
      <c r="D2657" s="13" t="s">
        <v>968</v>
      </c>
      <c r="E2657" s="15"/>
      <c r="F2657" s="15">
        <f>SUM(F2658:F2660)</f>
        <v>15.166666666666666</v>
      </c>
      <c r="G2657" s="14">
        <f>G2658</f>
        <v>44903</v>
      </c>
    </row>
    <row r="2658" spans="2:18">
      <c r="C2658" s="2" t="s">
        <v>5</v>
      </c>
      <c r="D2658" s="2" t="s">
        <v>722</v>
      </c>
      <c r="E2658" s="3">
        <v>20</v>
      </c>
      <c r="F2658" s="3">
        <f>13/6</f>
        <v>2.1666666666666665</v>
      </c>
      <c r="G2658" s="4">
        <v>44903</v>
      </c>
    </row>
    <row r="2659" spans="2:18">
      <c r="C2659" s="2" t="s">
        <v>5</v>
      </c>
      <c r="D2659" s="2" t="s">
        <v>722</v>
      </c>
      <c r="E2659" s="3">
        <v>11</v>
      </c>
      <c r="F2659" s="3">
        <v>3</v>
      </c>
      <c r="G2659" s="4">
        <v>44313</v>
      </c>
    </row>
    <row r="2660" spans="2:18">
      <c r="C2660" s="2" t="s">
        <v>5</v>
      </c>
      <c r="D2660" s="2" t="s">
        <v>659</v>
      </c>
      <c r="E2660" s="3">
        <v>10</v>
      </c>
      <c r="F2660" s="3">
        <v>10</v>
      </c>
      <c r="G2660" s="4">
        <v>44854</v>
      </c>
    </row>
    <row r="2661" spans="2:18">
      <c r="G2661" s="4"/>
    </row>
    <row r="2662" spans="2:18" s="12" customFormat="1">
      <c r="B2662" s="12" t="s">
        <v>83</v>
      </c>
      <c r="C2662" s="13" t="s">
        <v>969</v>
      </c>
      <c r="D2662" s="13" t="s">
        <v>968</v>
      </c>
      <c r="E2662" s="15"/>
      <c r="F2662" s="15">
        <f>SUM(F2663:F2664)</f>
        <v>14.666666666666668</v>
      </c>
      <c r="G2662" s="14">
        <f>G2663</f>
        <v>43622</v>
      </c>
      <c r="M2662" s="13"/>
      <c r="N2662" s="13"/>
      <c r="O2662" s="13"/>
      <c r="P2662" s="13"/>
      <c r="Q2662" s="13"/>
      <c r="R2662" s="13"/>
    </row>
    <row r="2663" spans="2:18">
      <c r="C2663" s="2" t="s">
        <v>5</v>
      </c>
      <c r="D2663" s="2" t="s">
        <v>80</v>
      </c>
      <c r="E2663" s="3">
        <v>43</v>
      </c>
      <c r="F2663" s="3">
        <f>+E2663/6</f>
        <v>7.166666666666667</v>
      </c>
      <c r="G2663" s="4">
        <v>43622</v>
      </c>
    </row>
    <row r="2664" spans="2:18">
      <c r="C2664" s="2" t="s">
        <v>4</v>
      </c>
      <c r="D2664" s="2" t="s">
        <v>80</v>
      </c>
      <c r="E2664" s="3">
        <v>49</v>
      </c>
      <c r="F2664" s="3">
        <v>7.5</v>
      </c>
      <c r="G2664" s="4">
        <v>43319</v>
      </c>
    </row>
    <row r="2665" spans="2:18">
      <c r="G2665" s="4"/>
    </row>
    <row r="2666" spans="2:18">
      <c r="B2666" s="12" t="s">
        <v>5004</v>
      </c>
      <c r="C2666" s="13" t="s">
        <v>969</v>
      </c>
      <c r="D2666" s="13" t="s">
        <v>968</v>
      </c>
      <c r="F2666" s="15">
        <f>SUM(F2667:F2672)</f>
        <v>14.583333333333334</v>
      </c>
      <c r="G2666" s="14">
        <f>G2667</f>
        <v>44293</v>
      </c>
    </row>
    <row r="2667" spans="2:18">
      <c r="C2667" s="2" t="s">
        <v>7</v>
      </c>
      <c r="D2667" s="2" t="s">
        <v>877</v>
      </c>
      <c r="E2667" s="3">
        <v>35</v>
      </c>
      <c r="F2667" s="3">
        <f>25/6</f>
        <v>4.166666666666667</v>
      </c>
      <c r="G2667" s="4">
        <v>44293</v>
      </c>
    </row>
    <row r="2668" spans="2:18">
      <c r="C2668" s="2" t="s">
        <v>5</v>
      </c>
      <c r="D2668" s="2" t="s">
        <v>877</v>
      </c>
      <c r="E2668" s="3">
        <v>12</v>
      </c>
      <c r="F2668" s="3">
        <v>3</v>
      </c>
      <c r="G2668" s="4">
        <v>44026</v>
      </c>
    </row>
    <row r="2669" spans="2:18">
      <c r="C2669" s="2" t="s">
        <v>4</v>
      </c>
      <c r="D2669" s="2" t="s">
        <v>877</v>
      </c>
      <c r="E2669" s="3">
        <v>3.3</v>
      </c>
      <c r="F2669" s="3">
        <v>0.5</v>
      </c>
      <c r="G2669" s="4">
        <v>44026</v>
      </c>
    </row>
    <row r="2670" spans="2:18">
      <c r="C2670" s="2" t="s">
        <v>7</v>
      </c>
      <c r="D2670" s="2" t="s">
        <v>310</v>
      </c>
      <c r="E2670" s="3">
        <v>40</v>
      </c>
      <c r="F2670" s="3">
        <v>4</v>
      </c>
      <c r="G2670" s="4">
        <v>43419</v>
      </c>
    </row>
    <row r="2671" spans="2:18">
      <c r="C2671" s="2" t="s">
        <v>5</v>
      </c>
      <c r="D2671" s="2" t="s">
        <v>310</v>
      </c>
      <c r="E2671" s="3">
        <v>14.7</v>
      </c>
      <c r="F2671" s="3">
        <v>2.25</v>
      </c>
      <c r="G2671" s="4">
        <v>43032</v>
      </c>
    </row>
    <row r="2672" spans="2:18">
      <c r="C2672" s="2" t="s">
        <v>5</v>
      </c>
      <c r="D2672" s="55" t="s">
        <v>4995</v>
      </c>
      <c r="E2672" s="3">
        <v>3</v>
      </c>
      <c r="F2672" s="3">
        <f>2/3</f>
        <v>0.66666666666666663</v>
      </c>
      <c r="G2672" s="4">
        <v>42220</v>
      </c>
    </row>
    <row r="2673" spans="2:18">
      <c r="G2673" s="4"/>
    </row>
    <row r="2674" spans="2:18" s="12" customFormat="1">
      <c r="B2674" s="12" t="s">
        <v>740</v>
      </c>
      <c r="C2674" s="13" t="s">
        <v>969</v>
      </c>
      <c r="D2674" s="13" t="s">
        <v>968</v>
      </c>
      <c r="E2674" s="15"/>
      <c r="F2674" s="15">
        <f>SUM(F2675:F2676)</f>
        <v>14.5</v>
      </c>
      <c r="G2674" s="14">
        <f>G2675</f>
        <v>44469</v>
      </c>
    </row>
    <row r="2675" spans="2:18">
      <c r="C2675" s="2" t="s">
        <v>4</v>
      </c>
      <c r="D2675" s="2" t="s">
        <v>699</v>
      </c>
      <c r="E2675" s="3">
        <v>2.5</v>
      </c>
      <c r="F2675" s="3">
        <f>2/6</f>
        <v>0.33333333333333331</v>
      </c>
      <c r="G2675" s="4">
        <v>44469</v>
      </c>
      <c r="M2675" s="1"/>
      <c r="N2675" s="1"/>
      <c r="O2675" s="1"/>
      <c r="P2675" s="1"/>
      <c r="Q2675" s="1"/>
      <c r="R2675" s="1"/>
    </row>
    <row r="2676" spans="2:18">
      <c r="C2676" s="2" t="s">
        <v>8</v>
      </c>
      <c r="D2676" s="2" t="s">
        <v>47</v>
      </c>
      <c r="E2676" s="3">
        <v>145</v>
      </c>
      <c r="F2676" s="3">
        <f>85/6</f>
        <v>14.166666666666666</v>
      </c>
      <c r="G2676" s="4">
        <v>43228</v>
      </c>
      <c r="M2676" s="1"/>
      <c r="N2676" s="1"/>
      <c r="O2676" s="1"/>
      <c r="P2676" s="1"/>
      <c r="Q2676" s="1"/>
      <c r="R2676" s="1"/>
    </row>
    <row r="2677" spans="2:18">
      <c r="G2677" s="4"/>
      <c r="M2677" s="1"/>
      <c r="N2677" s="1"/>
      <c r="O2677" s="1"/>
      <c r="P2677" s="1"/>
      <c r="Q2677" s="1"/>
      <c r="R2677" s="1"/>
    </row>
    <row r="2678" spans="2:18" s="12" customFormat="1">
      <c r="B2678" s="12" t="s">
        <v>625</v>
      </c>
      <c r="C2678" s="13" t="s">
        <v>969</v>
      </c>
      <c r="D2678" s="13" t="s">
        <v>968</v>
      </c>
      <c r="E2678" s="15"/>
      <c r="F2678" s="15">
        <f>SUM(F2679:F2684)</f>
        <v>19.633333333333333</v>
      </c>
      <c r="G2678" s="14">
        <f>G2679</f>
        <v>44930</v>
      </c>
    </row>
    <row r="2679" spans="2:18">
      <c r="C2679" s="2" t="s">
        <v>5</v>
      </c>
      <c r="D2679" s="2" t="s">
        <v>624</v>
      </c>
      <c r="E2679" s="3">
        <v>10</v>
      </c>
      <c r="F2679" s="3">
        <v>2</v>
      </c>
      <c r="G2679" s="4">
        <v>44930</v>
      </c>
      <c r="M2679" s="1"/>
      <c r="N2679" s="1"/>
      <c r="O2679" s="1"/>
      <c r="P2679" s="1"/>
      <c r="Q2679" s="1"/>
      <c r="R2679" s="1"/>
    </row>
    <row r="2680" spans="2:18">
      <c r="C2680" s="52" t="s">
        <v>5</v>
      </c>
      <c r="D2680" s="52" t="s">
        <v>2118</v>
      </c>
      <c r="E2680" s="3">
        <v>52.3</v>
      </c>
      <c r="F2680" s="3">
        <f>22/3</f>
        <v>7.333333333333333</v>
      </c>
      <c r="G2680" s="4">
        <v>43348</v>
      </c>
      <c r="J2680" s="1">
        <v>700</v>
      </c>
      <c r="M2680" s="1"/>
      <c r="N2680" s="1"/>
      <c r="O2680" s="1"/>
      <c r="P2680" s="1"/>
      <c r="Q2680" s="1"/>
      <c r="R2680" s="1"/>
    </row>
    <row r="2681" spans="2:18">
      <c r="C2681" s="241" t="s">
        <v>4</v>
      </c>
      <c r="D2681" s="241" t="s">
        <v>2014</v>
      </c>
      <c r="E2681" s="3">
        <v>12</v>
      </c>
      <c r="F2681" s="3">
        <v>2</v>
      </c>
      <c r="G2681" s="4">
        <v>43872</v>
      </c>
      <c r="M2681" s="1"/>
      <c r="N2681" s="1"/>
      <c r="O2681" s="1"/>
      <c r="P2681" s="1"/>
      <c r="Q2681" s="1"/>
      <c r="R2681" s="1"/>
    </row>
    <row r="2682" spans="2:18">
      <c r="C2682" s="331" t="s">
        <v>18</v>
      </c>
      <c r="D2682" s="331" t="s">
        <v>8304</v>
      </c>
      <c r="E2682" s="3">
        <v>25</v>
      </c>
      <c r="F2682" s="3">
        <v>4</v>
      </c>
      <c r="G2682" s="4">
        <v>43888</v>
      </c>
      <c r="M2682" s="1"/>
      <c r="N2682" s="1"/>
      <c r="O2682" s="1"/>
      <c r="P2682" s="1"/>
      <c r="Q2682" s="1"/>
      <c r="R2682" s="1"/>
    </row>
    <row r="2683" spans="2:18">
      <c r="C2683" s="331" t="s">
        <v>7</v>
      </c>
      <c r="D2683" s="331" t="s">
        <v>8304</v>
      </c>
      <c r="E2683" s="3">
        <v>25</v>
      </c>
      <c r="F2683" s="3">
        <v>4</v>
      </c>
      <c r="G2683" s="4">
        <v>43287</v>
      </c>
      <c r="M2683" s="1"/>
      <c r="N2683" s="1"/>
      <c r="O2683" s="1"/>
      <c r="P2683" s="1"/>
      <c r="Q2683" s="1"/>
      <c r="R2683" s="1"/>
    </row>
    <row r="2684" spans="2:18">
      <c r="C2684" s="331" t="s">
        <v>5</v>
      </c>
      <c r="D2684" s="331" t="s">
        <v>8304</v>
      </c>
      <c r="E2684" s="3">
        <v>1.9</v>
      </c>
      <c r="F2684" s="3">
        <v>0.3</v>
      </c>
      <c r="G2684" s="4">
        <v>42185</v>
      </c>
      <c r="M2684" s="1"/>
      <c r="N2684" s="1"/>
      <c r="O2684" s="1"/>
      <c r="P2684" s="1"/>
      <c r="Q2684" s="1"/>
      <c r="R2684" s="1"/>
    </row>
    <row r="2685" spans="2:18">
      <c r="G2685" s="4"/>
      <c r="M2685" s="1"/>
      <c r="N2685" s="1"/>
      <c r="O2685" s="1"/>
      <c r="P2685" s="1"/>
      <c r="Q2685" s="1"/>
      <c r="R2685" s="1"/>
    </row>
    <row r="2686" spans="2:18" s="12" customFormat="1">
      <c r="B2686" s="12" t="s">
        <v>6542</v>
      </c>
      <c r="C2686" s="13" t="s">
        <v>969</v>
      </c>
      <c r="D2686" s="13" t="s">
        <v>968</v>
      </c>
      <c r="E2686" s="15"/>
      <c r="F2686" s="15">
        <f>SUM(F2687:F2688)</f>
        <v>14</v>
      </c>
      <c r="G2686" s="14">
        <f>G2687</f>
        <v>44518</v>
      </c>
      <c r="M2686" s="13"/>
      <c r="N2686" s="13"/>
      <c r="O2686" s="13"/>
      <c r="P2686" s="13"/>
      <c r="Q2686" s="13"/>
      <c r="R2686" s="13"/>
    </row>
    <row r="2687" spans="2:18">
      <c r="B2687" s="152"/>
      <c r="C2687" s="153" t="s">
        <v>7</v>
      </c>
      <c r="D2687" s="153" t="s">
        <v>2035</v>
      </c>
      <c r="E2687" s="3">
        <v>21</v>
      </c>
      <c r="F2687" s="3">
        <v>11</v>
      </c>
      <c r="G2687" s="4">
        <v>44518</v>
      </c>
    </row>
    <row r="2688" spans="2:18">
      <c r="B2688" s="152"/>
      <c r="C2688" s="153" t="s">
        <v>5</v>
      </c>
      <c r="D2688" s="153" t="s">
        <v>2035</v>
      </c>
      <c r="E2688" s="3">
        <v>9.1</v>
      </c>
      <c r="F2688" s="3">
        <v>3</v>
      </c>
      <c r="G2688" s="4">
        <v>42087</v>
      </c>
    </row>
    <row r="2689" spans="2:18">
      <c r="C2689" s="153"/>
      <c r="D2689" s="153"/>
      <c r="G2689" s="4"/>
    </row>
    <row r="2690" spans="2:18" s="12" customFormat="1">
      <c r="B2690" s="12" t="s">
        <v>677</v>
      </c>
      <c r="C2690" s="13" t="s">
        <v>969</v>
      </c>
      <c r="D2690" s="13" t="s">
        <v>968</v>
      </c>
      <c r="E2690" s="15"/>
      <c r="F2690" s="15">
        <f>SUM(F2691:F2693)</f>
        <v>14.214285714285714</v>
      </c>
      <c r="G2690" s="14">
        <f>G2691</f>
        <v>44482</v>
      </c>
      <c r="M2690" s="13"/>
      <c r="N2690" s="13"/>
      <c r="O2690" s="13"/>
      <c r="P2690" s="13"/>
      <c r="Q2690" s="13"/>
      <c r="R2690" s="13"/>
    </row>
    <row r="2691" spans="2:18">
      <c r="C2691" s="2" t="s">
        <v>5</v>
      </c>
      <c r="D2691" s="2" t="s">
        <v>676</v>
      </c>
      <c r="E2691" s="3">
        <v>15</v>
      </c>
      <c r="F2691" s="3">
        <v>3</v>
      </c>
      <c r="G2691" s="4">
        <v>44482</v>
      </c>
    </row>
    <row r="2692" spans="2:18">
      <c r="C2692" s="2" t="s">
        <v>4</v>
      </c>
      <c r="D2692" s="2" t="s">
        <v>676</v>
      </c>
      <c r="E2692" s="3">
        <v>4.5</v>
      </c>
      <c r="F2692" s="3">
        <v>0.5</v>
      </c>
      <c r="G2692" s="4">
        <v>44362</v>
      </c>
      <c r="M2692" s="1"/>
      <c r="N2692" s="1"/>
      <c r="O2692" s="1"/>
      <c r="P2692" s="1"/>
      <c r="Q2692" s="1"/>
      <c r="R2692" s="1"/>
    </row>
    <row r="2693" spans="2:18">
      <c r="C2693" s="55" t="s">
        <v>9</v>
      </c>
      <c r="D2693" s="55" t="s">
        <v>2112</v>
      </c>
      <c r="E2693" s="3">
        <v>100</v>
      </c>
      <c r="F2693" s="3">
        <f>75/7</f>
        <v>10.714285714285714</v>
      </c>
      <c r="G2693" s="4">
        <v>44507</v>
      </c>
      <c r="I2693" s="1">
        <v>1600</v>
      </c>
      <c r="J2693" s="1">
        <v>1600</v>
      </c>
      <c r="M2693" s="1"/>
      <c r="N2693" s="1"/>
      <c r="O2693" s="1"/>
      <c r="P2693" s="1"/>
      <c r="Q2693" s="1"/>
      <c r="R2693" s="1"/>
    </row>
    <row r="2694" spans="2:18">
      <c r="C2694" s="55" t="s">
        <v>18</v>
      </c>
      <c r="D2694" s="55" t="s">
        <v>2112</v>
      </c>
      <c r="E2694" s="3">
        <v>40</v>
      </c>
      <c r="F2694" s="3">
        <v>5</v>
      </c>
      <c r="G2694" s="56">
        <v>43069</v>
      </c>
      <c r="J2694" s="1">
        <v>1600</v>
      </c>
      <c r="M2694" s="1"/>
      <c r="N2694" s="1"/>
      <c r="O2694" s="1"/>
      <c r="P2694" s="1"/>
      <c r="Q2694" s="1"/>
      <c r="R2694" s="1"/>
    </row>
    <row r="2695" spans="2:18">
      <c r="G2695" s="4"/>
      <c r="M2695" s="1"/>
      <c r="N2695" s="1"/>
      <c r="O2695" s="1"/>
      <c r="P2695" s="1"/>
      <c r="Q2695" s="1"/>
      <c r="R2695" s="1"/>
    </row>
    <row r="2696" spans="2:18" s="12" customFormat="1">
      <c r="B2696" s="12" t="s">
        <v>515</v>
      </c>
      <c r="C2696" s="13" t="s">
        <v>969</v>
      </c>
      <c r="D2696" s="13" t="s">
        <v>968</v>
      </c>
      <c r="E2696" s="15"/>
      <c r="F2696" s="15">
        <f>SUM(F2697:F2703)</f>
        <v>13.805</v>
      </c>
      <c r="G2696" s="14">
        <f>G2697</f>
        <v>45037</v>
      </c>
    </row>
    <row r="2697" spans="2:18">
      <c r="B2697" s="253" t="s">
        <v>7627</v>
      </c>
      <c r="C2697" s="2" t="s">
        <v>4</v>
      </c>
      <c r="D2697" s="2" t="s">
        <v>509</v>
      </c>
      <c r="E2697" s="3">
        <v>3</v>
      </c>
      <c r="F2697" s="3">
        <v>1.5</v>
      </c>
      <c r="G2697" s="4">
        <v>45037</v>
      </c>
      <c r="M2697" s="1"/>
      <c r="N2697" s="1"/>
      <c r="O2697" s="1"/>
      <c r="P2697" s="1"/>
      <c r="Q2697" s="1"/>
      <c r="R2697" s="1"/>
    </row>
    <row r="2698" spans="2:18">
      <c r="C2698" s="2" t="s">
        <v>18</v>
      </c>
      <c r="D2698" s="2" t="s">
        <v>292</v>
      </c>
      <c r="E2698" s="3">
        <v>38</v>
      </c>
      <c r="F2698" s="3">
        <v>3</v>
      </c>
      <c r="G2698" s="4">
        <v>43104</v>
      </c>
      <c r="M2698" s="1"/>
      <c r="N2698" s="1"/>
      <c r="O2698" s="1"/>
      <c r="P2698" s="1"/>
      <c r="Q2698" s="1"/>
      <c r="R2698" s="1"/>
    </row>
    <row r="2699" spans="2:18">
      <c r="C2699" s="2" t="s">
        <v>7</v>
      </c>
      <c r="D2699" s="2" t="s">
        <v>292</v>
      </c>
      <c r="E2699" s="3">
        <v>6.9</v>
      </c>
      <c r="F2699" s="3">
        <f>E2699/5</f>
        <v>1.3800000000000001</v>
      </c>
      <c r="G2699" s="4">
        <v>42458</v>
      </c>
      <c r="M2699" s="1"/>
      <c r="N2699" s="1"/>
      <c r="O2699" s="1"/>
      <c r="P2699" s="1"/>
      <c r="Q2699" s="1"/>
      <c r="R2699" s="1"/>
    </row>
    <row r="2700" spans="2:18">
      <c r="C2700" s="2" t="s">
        <v>5</v>
      </c>
      <c r="D2700" s="2" t="s">
        <v>292</v>
      </c>
      <c r="E2700" s="3">
        <v>2.7</v>
      </c>
      <c r="F2700" s="3">
        <f>1.7/4</f>
        <v>0.42499999999999999</v>
      </c>
      <c r="G2700" s="4">
        <v>42139</v>
      </c>
      <c r="M2700" s="1"/>
      <c r="N2700" s="1"/>
      <c r="O2700" s="1"/>
      <c r="P2700" s="1"/>
      <c r="Q2700" s="1"/>
      <c r="R2700" s="1"/>
    </row>
    <row r="2701" spans="2:18">
      <c r="C2701" s="153" t="s">
        <v>7</v>
      </c>
      <c r="D2701" s="153" t="s">
        <v>2046</v>
      </c>
      <c r="E2701" s="3">
        <v>50</v>
      </c>
      <c r="F2701" s="3">
        <v>4</v>
      </c>
      <c r="G2701" s="4">
        <v>44252</v>
      </c>
      <c r="M2701" s="1"/>
      <c r="N2701" s="1"/>
      <c r="O2701" s="1"/>
      <c r="P2701" s="1"/>
      <c r="Q2701" s="1"/>
      <c r="R2701" s="1"/>
    </row>
    <row r="2702" spans="2:18">
      <c r="C2702" s="153" t="s">
        <v>5</v>
      </c>
      <c r="D2702" s="153" t="s">
        <v>2046</v>
      </c>
      <c r="E2702" s="3">
        <v>10</v>
      </c>
      <c r="F2702" s="3">
        <v>2.5</v>
      </c>
      <c r="G2702" s="4">
        <v>43059</v>
      </c>
      <c r="M2702" s="1"/>
      <c r="N2702" s="1"/>
      <c r="O2702" s="1"/>
      <c r="P2702" s="1"/>
      <c r="Q2702" s="1"/>
      <c r="R2702" s="1"/>
    </row>
    <row r="2703" spans="2:18">
      <c r="C2703" s="153" t="s">
        <v>4</v>
      </c>
      <c r="D2703" s="153" t="s">
        <v>2046</v>
      </c>
      <c r="E2703" s="3">
        <v>3</v>
      </c>
      <c r="F2703" s="3">
        <v>1</v>
      </c>
      <c r="G2703" s="4">
        <v>42628</v>
      </c>
      <c r="M2703" s="1"/>
      <c r="N2703" s="1"/>
      <c r="O2703" s="1"/>
      <c r="P2703" s="1"/>
      <c r="Q2703" s="1"/>
      <c r="R2703" s="1"/>
    </row>
    <row r="2704" spans="2:18">
      <c r="G2704" s="4"/>
      <c r="M2704" s="1"/>
      <c r="N2704" s="1"/>
      <c r="O2704" s="1"/>
      <c r="P2704" s="1"/>
      <c r="Q2704" s="1"/>
      <c r="R2704" s="1"/>
    </row>
    <row r="2705" spans="2:18">
      <c r="B2705" s="12" t="s">
        <v>1016</v>
      </c>
      <c r="C2705" s="13" t="s">
        <v>969</v>
      </c>
      <c r="D2705" s="13" t="s">
        <v>968</v>
      </c>
      <c r="F2705" s="15">
        <f>SUM(F2706:F2708)</f>
        <v>13</v>
      </c>
      <c r="G2705" s="14">
        <f>G2706</f>
        <v>44690</v>
      </c>
    </row>
    <row r="2706" spans="2:18">
      <c r="C2706" s="2" t="s">
        <v>18</v>
      </c>
      <c r="D2706" s="2" t="s">
        <v>926</v>
      </c>
      <c r="E2706" s="3">
        <v>100</v>
      </c>
      <c r="F2706" s="3">
        <v>9</v>
      </c>
      <c r="G2706" s="4">
        <v>44690</v>
      </c>
      <c r="J2706" s="1">
        <v>4300</v>
      </c>
    </row>
    <row r="2707" spans="2:18">
      <c r="C2707" s="2" t="s">
        <v>5</v>
      </c>
      <c r="D2707" s="2" t="s">
        <v>926</v>
      </c>
      <c r="E2707" s="3">
        <v>15</v>
      </c>
      <c r="F2707" s="3">
        <v>3</v>
      </c>
      <c r="G2707" s="4">
        <v>43816</v>
      </c>
      <c r="J2707" s="1">
        <v>4300</v>
      </c>
    </row>
    <row r="2708" spans="2:18">
      <c r="C2708" s="2" t="s">
        <v>4</v>
      </c>
      <c r="D2708" s="2" t="s">
        <v>926</v>
      </c>
      <c r="E2708" s="3">
        <v>4</v>
      </c>
      <c r="F2708" s="3">
        <v>1</v>
      </c>
      <c r="G2708" s="4">
        <v>43243</v>
      </c>
      <c r="J2708" s="1">
        <v>4300</v>
      </c>
    </row>
    <row r="2709" spans="2:18">
      <c r="G2709" s="4"/>
      <c r="M2709" s="1"/>
      <c r="N2709" s="1"/>
      <c r="O2709" s="1"/>
      <c r="P2709" s="1"/>
      <c r="Q2709" s="1"/>
      <c r="R2709" s="1"/>
    </row>
    <row r="2710" spans="2:18" s="12" customFormat="1">
      <c r="B2710" s="12" t="s">
        <v>139</v>
      </c>
      <c r="C2710" s="13" t="s">
        <v>969</v>
      </c>
      <c r="D2710" s="13" t="s">
        <v>968</v>
      </c>
      <c r="E2710" s="15"/>
      <c r="F2710" s="15">
        <f>SUM(F2711:F2712)</f>
        <v>13</v>
      </c>
      <c r="G2710" s="14">
        <f>G2711</f>
        <v>44880</v>
      </c>
      <c r="M2710" s="13"/>
      <c r="N2710" s="13"/>
      <c r="O2710" s="13"/>
      <c r="P2710" s="13"/>
      <c r="Q2710" s="13"/>
      <c r="R2710" s="13"/>
    </row>
    <row r="2711" spans="2:18">
      <c r="C2711" s="2" t="s">
        <v>8</v>
      </c>
      <c r="D2711" s="2" t="s">
        <v>131</v>
      </c>
      <c r="E2711" s="3">
        <v>135</v>
      </c>
      <c r="F2711" s="3">
        <v>8</v>
      </c>
      <c r="G2711" s="4">
        <v>44880</v>
      </c>
    </row>
    <row r="2712" spans="2:18">
      <c r="C2712" s="2" t="s">
        <v>7</v>
      </c>
      <c r="D2712" s="2" t="s">
        <v>131</v>
      </c>
      <c r="E2712" s="3">
        <v>32</v>
      </c>
      <c r="F2712" s="3">
        <v>5</v>
      </c>
      <c r="G2712" s="4">
        <v>42528</v>
      </c>
    </row>
    <row r="2713" spans="2:18">
      <c r="G2713" s="4"/>
    </row>
    <row r="2714" spans="2:18" s="12" customFormat="1">
      <c r="B2714" s="12" t="s">
        <v>1013</v>
      </c>
      <c r="C2714" s="13" t="s">
        <v>969</v>
      </c>
      <c r="D2714" s="13" t="s">
        <v>968</v>
      </c>
      <c r="E2714" s="15"/>
      <c r="F2714" s="15">
        <f>SUM(F2715:F2719)</f>
        <v>12.5</v>
      </c>
      <c r="G2714" s="14">
        <f>G2715</f>
        <v>44784</v>
      </c>
      <c r="M2714" s="13"/>
      <c r="N2714" s="13"/>
      <c r="O2714" s="13"/>
      <c r="P2714" s="13"/>
      <c r="Q2714" s="13"/>
      <c r="R2714" s="13"/>
    </row>
    <row r="2715" spans="2:18">
      <c r="C2715" s="2" t="s">
        <v>5</v>
      </c>
      <c r="D2715" s="2" t="s">
        <v>716</v>
      </c>
      <c r="E2715" s="3">
        <v>12.5</v>
      </c>
      <c r="F2715" s="3">
        <v>2</v>
      </c>
      <c r="G2715" s="4">
        <v>44784</v>
      </c>
    </row>
    <row r="2716" spans="2:18">
      <c r="C2716" s="2" t="s">
        <v>5</v>
      </c>
      <c r="D2716" s="2" t="s">
        <v>716</v>
      </c>
      <c r="E2716" s="3">
        <v>10</v>
      </c>
      <c r="F2716" s="3">
        <v>2</v>
      </c>
      <c r="G2716" s="4">
        <v>44110</v>
      </c>
    </row>
    <row r="2717" spans="2:18">
      <c r="C2717" s="2" t="s">
        <v>4</v>
      </c>
      <c r="D2717" s="2" t="s">
        <v>716</v>
      </c>
      <c r="E2717" s="3">
        <v>5</v>
      </c>
      <c r="F2717" s="3">
        <v>2</v>
      </c>
      <c r="G2717" s="4">
        <v>43392</v>
      </c>
    </row>
    <row r="2718" spans="2:18">
      <c r="C2718" s="2" t="s">
        <v>5</v>
      </c>
      <c r="D2718" s="2" t="s">
        <v>289</v>
      </c>
      <c r="E2718" s="3">
        <v>30</v>
      </c>
      <c r="F2718" s="3">
        <f>20/5</f>
        <v>4</v>
      </c>
      <c r="G2718" s="4">
        <v>44474</v>
      </c>
    </row>
    <row r="2719" spans="2:18">
      <c r="C2719" s="2" t="s">
        <v>4</v>
      </c>
      <c r="D2719" s="2" t="s">
        <v>289</v>
      </c>
      <c r="E2719" s="3">
        <v>15</v>
      </c>
      <c r="F2719" s="3">
        <f>10/4</f>
        <v>2.5</v>
      </c>
      <c r="G2719" s="4">
        <v>43775</v>
      </c>
    </row>
    <row r="2720" spans="2:18">
      <c r="G2720" s="4"/>
    </row>
    <row r="2721" spans="2:18" s="12" customFormat="1">
      <c r="B2721" s="12" t="s">
        <v>1012</v>
      </c>
      <c r="C2721" s="13" t="s">
        <v>969</v>
      </c>
      <c r="D2721" s="13" t="s">
        <v>968</v>
      </c>
      <c r="E2721" s="15"/>
      <c r="F2721" s="15">
        <f>SUM(F2722:F2723)</f>
        <v>12.5</v>
      </c>
      <c r="G2721" s="14">
        <f>G2722</f>
        <v>44978</v>
      </c>
      <c r="M2721" s="13"/>
      <c r="N2721" s="13"/>
      <c r="O2721" s="13"/>
      <c r="P2721" s="13"/>
      <c r="Q2721" s="13"/>
      <c r="R2721" s="13"/>
    </row>
    <row r="2722" spans="2:18">
      <c r="B2722" s="253" t="s">
        <v>7627</v>
      </c>
      <c r="C2722" s="2" t="s">
        <v>7</v>
      </c>
      <c r="D2722" s="2" t="s">
        <v>1011</v>
      </c>
      <c r="E2722" s="3">
        <v>43</v>
      </c>
      <c r="F2722" s="3">
        <v>6</v>
      </c>
      <c r="G2722" s="4">
        <v>44978</v>
      </c>
    </row>
    <row r="2723" spans="2:18">
      <c r="C2723" s="2" t="s">
        <v>5</v>
      </c>
      <c r="D2723" s="2" t="s">
        <v>1011</v>
      </c>
      <c r="E2723" s="3">
        <v>26</v>
      </c>
      <c r="F2723" s="3">
        <f>13/2</f>
        <v>6.5</v>
      </c>
      <c r="G2723" s="4">
        <v>44453</v>
      </c>
    </row>
    <row r="2724" spans="2:18">
      <c r="G2724" s="4"/>
    </row>
    <row r="2725" spans="2:18" s="12" customFormat="1">
      <c r="B2725" s="12" t="s">
        <v>413</v>
      </c>
      <c r="C2725" s="13" t="s">
        <v>969</v>
      </c>
      <c r="D2725" s="13" t="s">
        <v>968</v>
      </c>
      <c r="E2725" s="15"/>
      <c r="F2725" s="15">
        <f>SUM(F2726:F2727)</f>
        <v>13</v>
      </c>
      <c r="G2725" s="14">
        <f>G2726</f>
        <v>44740</v>
      </c>
    </row>
    <row r="2726" spans="2:18">
      <c r="C2726" s="2" t="s">
        <v>5</v>
      </c>
      <c r="D2726" s="2" t="s">
        <v>408</v>
      </c>
      <c r="E2726" s="3">
        <v>10</v>
      </c>
      <c r="F2726" s="3">
        <v>3</v>
      </c>
      <c r="G2726" s="4">
        <v>44740</v>
      </c>
      <c r="M2726" s="1"/>
      <c r="N2726" s="1"/>
      <c r="O2726" s="1"/>
      <c r="P2726" s="1"/>
      <c r="Q2726" s="1"/>
      <c r="R2726" s="1"/>
    </row>
    <row r="2727" spans="2:18">
      <c r="C2727" s="2" t="s">
        <v>8</v>
      </c>
      <c r="D2727" s="2" t="s">
        <v>3934</v>
      </c>
      <c r="E2727" s="3">
        <v>90</v>
      </c>
      <c r="F2727" s="3">
        <v>10</v>
      </c>
      <c r="G2727" s="4">
        <v>40354</v>
      </c>
      <c r="M2727" s="1"/>
      <c r="N2727" s="1"/>
      <c r="O2727" s="1"/>
      <c r="P2727" s="1"/>
      <c r="Q2727" s="1"/>
      <c r="R2727" s="1"/>
    </row>
    <row r="2728" spans="2:18">
      <c r="G2728" s="4"/>
      <c r="M2728" s="1"/>
      <c r="N2728" s="1"/>
      <c r="O2728" s="1"/>
      <c r="P2728" s="1"/>
      <c r="Q2728" s="1"/>
      <c r="R2728" s="1"/>
    </row>
    <row r="2729" spans="2:18" s="12" customFormat="1">
      <c r="B2729" s="12" t="s">
        <v>270</v>
      </c>
      <c r="C2729" s="13" t="s">
        <v>969</v>
      </c>
      <c r="D2729" s="13" t="s">
        <v>968</v>
      </c>
      <c r="E2729" s="15"/>
      <c r="F2729" s="15">
        <f>SUM(F2730:F2731)</f>
        <v>12.553571428571429</v>
      </c>
      <c r="G2729" s="14">
        <f>G2730</f>
        <v>44622</v>
      </c>
      <c r="M2729" s="13"/>
      <c r="N2729" s="13"/>
      <c r="O2729" s="13"/>
      <c r="P2729" s="13"/>
      <c r="Q2729" s="13"/>
      <c r="R2729" s="13"/>
    </row>
    <row r="2730" spans="2:18">
      <c r="C2730" s="2" t="s">
        <v>8</v>
      </c>
      <c r="D2730" s="2" t="s">
        <v>258</v>
      </c>
      <c r="E2730" s="3">
        <v>111</v>
      </c>
      <c r="F2730" s="3">
        <f>97/14</f>
        <v>6.9285714285714288</v>
      </c>
      <c r="G2730" s="4">
        <v>44622</v>
      </c>
    </row>
    <row r="2731" spans="2:18">
      <c r="C2731" s="2" t="s">
        <v>18</v>
      </c>
      <c r="D2731" s="2" t="s">
        <v>258</v>
      </c>
      <c r="E2731" s="3">
        <v>55</v>
      </c>
      <c r="F2731" s="3">
        <v>5.625</v>
      </c>
      <c r="G2731" s="4">
        <v>44314</v>
      </c>
    </row>
    <row r="2732" spans="2:18">
      <c r="G2732" s="4"/>
    </row>
    <row r="2733" spans="2:18" s="12" customFormat="1">
      <c r="B2733" s="12" t="s">
        <v>605</v>
      </c>
      <c r="C2733" s="13" t="s">
        <v>969</v>
      </c>
      <c r="D2733" s="13" t="s">
        <v>968</v>
      </c>
      <c r="E2733" s="15"/>
      <c r="F2733" s="15">
        <f>SUM(F2734:F2735)</f>
        <v>13.375</v>
      </c>
      <c r="G2733" s="14">
        <f>G2734</f>
        <v>44663</v>
      </c>
    </row>
    <row r="2734" spans="2:18">
      <c r="C2734" s="2" t="s">
        <v>18</v>
      </c>
      <c r="D2734" s="2" t="s">
        <v>599</v>
      </c>
      <c r="E2734" s="3">
        <v>125</v>
      </c>
      <c r="F2734" s="3">
        <f>75/8</f>
        <v>9.375</v>
      </c>
      <c r="G2734" s="4">
        <v>44663</v>
      </c>
      <c r="M2734" s="1"/>
      <c r="N2734" s="1"/>
      <c r="O2734" s="1"/>
      <c r="P2734" s="1"/>
      <c r="Q2734" s="1"/>
      <c r="R2734" s="1"/>
    </row>
    <row r="2735" spans="2:18">
      <c r="C2735" s="2" t="s">
        <v>5</v>
      </c>
      <c r="D2735" s="2" t="s">
        <v>599</v>
      </c>
      <c r="E2735" s="3">
        <v>26</v>
      </c>
      <c r="F2735" s="3">
        <f>16/4</f>
        <v>4</v>
      </c>
      <c r="G2735" s="4">
        <v>43809</v>
      </c>
      <c r="M2735" s="1"/>
      <c r="N2735" s="1"/>
      <c r="O2735" s="1"/>
      <c r="P2735" s="1"/>
      <c r="Q2735" s="1"/>
      <c r="R2735" s="1"/>
    </row>
    <row r="2736" spans="2:18">
      <c r="G2736" s="4"/>
      <c r="M2736" s="1"/>
      <c r="N2736" s="1"/>
      <c r="O2736" s="1"/>
      <c r="P2736" s="1"/>
      <c r="Q2736" s="1"/>
      <c r="R2736" s="1"/>
    </row>
    <row r="2737" spans="2:18" s="12" customFormat="1">
      <c r="B2737" s="12" t="s">
        <v>1009</v>
      </c>
      <c r="C2737" s="13" t="s">
        <v>969</v>
      </c>
      <c r="D2737" s="13" t="s">
        <v>968</v>
      </c>
      <c r="E2737" s="15"/>
      <c r="F2737" s="15">
        <f>SUM(F2738:F2742)</f>
        <v>13</v>
      </c>
      <c r="G2737" s="14">
        <f>G2741</f>
        <v>44964</v>
      </c>
      <c r="M2737" s="13"/>
      <c r="N2737" s="13"/>
      <c r="O2737" s="13"/>
      <c r="P2737" s="13"/>
      <c r="Q2737" s="13"/>
      <c r="R2737" s="13"/>
    </row>
    <row r="2738" spans="2:18">
      <c r="C2738" s="2" t="s">
        <v>7</v>
      </c>
      <c r="D2738" s="2" t="s">
        <v>1008</v>
      </c>
      <c r="E2738" s="3">
        <v>30</v>
      </c>
      <c r="F2738" s="3">
        <v>6</v>
      </c>
      <c r="G2738" s="4">
        <v>44539</v>
      </c>
    </row>
    <row r="2739" spans="2:18">
      <c r="C2739" s="2" t="s">
        <v>5</v>
      </c>
      <c r="D2739" s="2" t="s">
        <v>1008</v>
      </c>
      <c r="E2739" s="3">
        <v>11</v>
      </c>
      <c r="F2739" s="3">
        <v>3</v>
      </c>
      <c r="G2739" s="4">
        <v>43862</v>
      </c>
    </row>
    <row r="2740" spans="2:18">
      <c r="C2740" s="2" t="s">
        <v>4</v>
      </c>
      <c r="D2740" s="2" t="s">
        <v>1008</v>
      </c>
      <c r="E2740" s="3">
        <v>3</v>
      </c>
      <c r="F2740" s="3">
        <v>1.5</v>
      </c>
      <c r="G2740" s="4">
        <v>43525</v>
      </c>
    </row>
    <row r="2741" spans="2:18">
      <c r="C2741" s="2" t="s">
        <v>4</v>
      </c>
      <c r="D2741" s="2" t="s">
        <v>593</v>
      </c>
      <c r="E2741" s="3">
        <v>6.8</v>
      </c>
      <c r="F2741" s="3">
        <v>1.5</v>
      </c>
      <c r="G2741" s="4">
        <v>44964</v>
      </c>
    </row>
    <row r="2742" spans="2:18">
      <c r="C2742" s="2" t="s">
        <v>4</v>
      </c>
      <c r="D2742" s="2" t="s">
        <v>593</v>
      </c>
      <c r="E2742" s="3">
        <v>1.6</v>
      </c>
      <c r="F2742" s="3">
        <v>1</v>
      </c>
      <c r="G2742" s="4">
        <v>44197</v>
      </c>
    </row>
    <row r="2743" spans="2:18">
      <c r="G2743" s="4"/>
    </row>
    <row r="2744" spans="2:18" s="12" customFormat="1">
      <c r="B2744" s="12" t="s">
        <v>886</v>
      </c>
      <c r="C2744" s="13" t="s">
        <v>969</v>
      </c>
      <c r="D2744" s="13" t="s">
        <v>968</v>
      </c>
      <c r="E2744" s="15"/>
      <c r="F2744" s="15">
        <f>SUM(F2745:F2746)</f>
        <v>12.5</v>
      </c>
      <c r="G2744" s="14">
        <f>G2746</f>
        <v>45006</v>
      </c>
      <c r="M2744" s="13"/>
      <c r="N2744" s="13"/>
      <c r="O2744" s="13"/>
      <c r="P2744" s="13"/>
      <c r="Q2744" s="13"/>
      <c r="R2744" s="13"/>
    </row>
    <row r="2745" spans="2:18">
      <c r="C2745" s="2" t="s">
        <v>5</v>
      </c>
      <c r="D2745" s="2" t="s">
        <v>716</v>
      </c>
      <c r="E2745" s="3">
        <v>12.5</v>
      </c>
      <c r="F2745" s="3">
        <v>5</v>
      </c>
      <c r="G2745" s="4">
        <v>44784</v>
      </c>
    </row>
    <row r="2746" spans="2:18">
      <c r="C2746" s="92" t="s">
        <v>18</v>
      </c>
      <c r="D2746" s="92" t="s">
        <v>5986</v>
      </c>
      <c r="E2746" s="3">
        <v>15</v>
      </c>
      <c r="F2746" s="3">
        <f>E2746/2</f>
        <v>7.5</v>
      </c>
      <c r="G2746" s="4">
        <v>45006</v>
      </c>
    </row>
    <row r="2747" spans="2:18">
      <c r="G2747" s="4"/>
    </row>
    <row r="2748" spans="2:18" s="12" customFormat="1">
      <c r="B2748" s="12" t="s">
        <v>98</v>
      </c>
      <c r="C2748" s="13" t="s">
        <v>969</v>
      </c>
      <c r="D2748" s="13" t="s">
        <v>968</v>
      </c>
      <c r="E2748" s="15"/>
      <c r="F2748" s="15">
        <f>SUM(F2749:F2751)</f>
        <v>13</v>
      </c>
      <c r="G2748" s="14">
        <f>G2751</f>
        <v>44642</v>
      </c>
      <c r="M2748" s="13"/>
      <c r="N2748" s="13"/>
      <c r="O2748" s="13"/>
      <c r="P2748" s="13"/>
      <c r="Q2748" s="13"/>
      <c r="R2748" s="13"/>
    </row>
    <row r="2749" spans="2:18">
      <c r="C2749" s="2" t="s">
        <v>7</v>
      </c>
      <c r="D2749" s="2" t="s">
        <v>95</v>
      </c>
      <c r="E2749" s="3">
        <v>25</v>
      </c>
      <c r="F2749" s="3">
        <f>15/5</f>
        <v>3</v>
      </c>
      <c r="G2749" s="4">
        <v>43783</v>
      </c>
    </row>
    <row r="2750" spans="2:18">
      <c r="C2750" s="2" t="s">
        <v>7</v>
      </c>
      <c r="D2750" s="2" t="s">
        <v>95</v>
      </c>
      <c r="E2750" s="3">
        <v>15</v>
      </c>
      <c r="F2750" s="3">
        <v>7.5</v>
      </c>
      <c r="G2750" s="4">
        <v>43559</v>
      </c>
    </row>
    <row r="2751" spans="2:18">
      <c r="C2751" s="2" t="s">
        <v>7</v>
      </c>
      <c r="D2751" s="2" t="s">
        <v>87</v>
      </c>
      <c r="E2751" s="3">
        <v>25</v>
      </c>
      <c r="F2751" s="3">
        <f>15/6</f>
        <v>2.5</v>
      </c>
      <c r="G2751" s="4">
        <v>44642</v>
      </c>
    </row>
    <row r="2752" spans="2:18">
      <c r="G2752" s="4"/>
    </row>
    <row r="2753" spans="2:18">
      <c r="B2753" s="12" t="s">
        <v>1007</v>
      </c>
      <c r="C2753" s="13" t="s">
        <v>969</v>
      </c>
      <c r="D2753" s="13" t="s">
        <v>968</v>
      </c>
      <c r="F2753" s="15">
        <f>SUM(F2754:F2757)</f>
        <v>12.5</v>
      </c>
      <c r="G2753" s="14">
        <f>G2754</f>
        <v>45036</v>
      </c>
    </row>
    <row r="2754" spans="2:18">
      <c r="C2754" s="2" t="s">
        <v>7</v>
      </c>
      <c r="D2754" s="2" t="s">
        <v>796</v>
      </c>
      <c r="E2754" s="3">
        <v>50</v>
      </c>
      <c r="F2754" s="3">
        <v>6</v>
      </c>
      <c r="G2754" s="4">
        <v>45036</v>
      </c>
    </row>
    <row r="2755" spans="2:18">
      <c r="C2755" s="2" t="s">
        <v>5</v>
      </c>
      <c r="D2755" s="2" t="s">
        <v>796</v>
      </c>
      <c r="E2755" s="3">
        <v>16.5</v>
      </c>
      <c r="F2755" s="3">
        <v>1</v>
      </c>
      <c r="G2755" s="4">
        <v>44614</v>
      </c>
    </row>
    <row r="2756" spans="2:18">
      <c r="C2756" s="2" t="s">
        <v>4</v>
      </c>
      <c r="D2756" s="2" t="s">
        <v>796</v>
      </c>
      <c r="E2756" s="3">
        <v>1.2</v>
      </c>
      <c r="F2756" s="3">
        <v>0.5</v>
      </c>
      <c r="G2756" s="4">
        <v>44044</v>
      </c>
    </row>
    <row r="2757" spans="2:18">
      <c r="C2757" s="2" t="s">
        <v>7</v>
      </c>
      <c r="D2757" s="2" t="s">
        <v>108</v>
      </c>
      <c r="E2757" s="3">
        <v>5</v>
      </c>
      <c r="F2757" s="3">
        <v>5</v>
      </c>
      <c r="G2757" s="4">
        <v>43903</v>
      </c>
    </row>
    <row r="2758" spans="2:18">
      <c r="G2758" s="4"/>
    </row>
    <row r="2759" spans="2:18" s="12" customFormat="1">
      <c r="B2759" s="12" t="s">
        <v>721</v>
      </c>
      <c r="C2759" s="13" t="s">
        <v>969</v>
      </c>
      <c r="D2759" s="13" t="s">
        <v>968</v>
      </c>
      <c r="E2759" s="15"/>
      <c r="F2759" s="15">
        <f>SUM(F2760:F2764)</f>
        <v>12.733333333333334</v>
      </c>
      <c r="G2759" s="14">
        <f>G2762</f>
        <v>44483</v>
      </c>
      <c r="M2759" s="13"/>
      <c r="N2759" s="13"/>
      <c r="O2759" s="13"/>
      <c r="P2759" s="13"/>
      <c r="Q2759" s="13"/>
      <c r="R2759" s="13"/>
    </row>
    <row r="2760" spans="2:18">
      <c r="C2760" s="2" t="s">
        <v>5</v>
      </c>
      <c r="D2760" s="2" t="s">
        <v>720</v>
      </c>
      <c r="E2760" s="3">
        <v>20</v>
      </c>
      <c r="F2760" s="3">
        <v>7</v>
      </c>
      <c r="G2760" s="4">
        <v>44455</v>
      </c>
    </row>
    <row r="2761" spans="2:18">
      <c r="C2761" s="2" t="s">
        <v>4</v>
      </c>
      <c r="D2761" s="2" t="s">
        <v>720</v>
      </c>
      <c r="E2761" s="3">
        <v>2.1</v>
      </c>
      <c r="F2761" s="3">
        <v>1</v>
      </c>
      <c r="G2761" s="4">
        <v>44455</v>
      </c>
    </row>
    <row r="2762" spans="2:18">
      <c r="C2762" s="2" t="s">
        <v>5</v>
      </c>
      <c r="D2762" s="2" t="s">
        <v>719</v>
      </c>
      <c r="E2762" s="3">
        <v>11</v>
      </c>
      <c r="F2762" s="3">
        <f>7/3</f>
        <v>2.3333333333333335</v>
      </c>
      <c r="G2762" s="4">
        <v>44483</v>
      </c>
    </row>
    <row r="2763" spans="2:18">
      <c r="C2763" s="2" t="s">
        <v>4</v>
      </c>
      <c r="D2763" s="2" t="s">
        <v>719</v>
      </c>
      <c r="E2763" s="3">
        <v>2.9</v>
      </c>
      <c r="F2763" s="3">
        <v>1.9</v>
      </c>
      <c r="G2763" s="4">
        <v>44272</v>
      </c>
    </row>
    <row r="2764" spans="2:18">
      <c r="C2764" s="2" t="s">
        <v>4</v>
      </c>
      <c r="D2764" s="2" t="s">
        <v>481</v>
      </c>
      <c r="E2764" s="3">
        <v>2</v>
      </c>
      <c r="F2764" s="3">
        <v>0.5</v>
      </c>
      <c r="G2764" s="4">
        <v>43876</v>
      </c>
    </row>
    <row r="2765" spans="2:18">
      <c r="G2765" s="4"/>
    </row>
    <row r="2766" spans="2:18" s="12" customFormat="1">
      <c r="B2766" s="12" t="s">
        <v>5407</v>
      </c>
      <c r="C2766" s="13" t="s">
        <v>969</v>
      </c>
      <c r="D2766" s="13" t="s">
        <v>968</v>
      </c>
      <c r="E2766" s="15"/>
      <c r="F2766" s="15">
        <f>SUM(F2767:F2768)</f>
        <v>13.25</v>
      </c>
      <c r="G2766" s="14">
        <f>G2767</f>
        <v>44307</v>
      </c>
      <c r="M2766" s="13"/>
      <c r="N2766" s="13"/>
      <c r="O2766" s="13"/>
      <c r="P2766" s="13"/>
      <c r="Q2766" s="13"/>
      <c r="R2766" s="13"/>
    </row>
    <row r="2767" spans="2:18">
      <c r="B2767" s="91"/>
      <c r="C2767" s="92" t="s">
        <v>8</v>
      </c>
      <c r="D2767" s="92" t="s">
        <v>5405</v>
      </c>
      <c r="E2767" s="3">
        <v>50</v>
      </c>
      <c r="F2767" s="3">
        <f>30/4</f>
        <v>7.5</v>
      </c>
      <c r="G2767" s="4">
        <v>44307</v>
      </c>
      <c r="I2767" s="1">
        <v>2000</v>
      </c>
      <c r="J2767" s="1">
        <v>2000</v>
      </c>
    </row>
    <row r="2768" spans="2:18">
      <c r="C2768" s="92" t="s">
        <v>18</v>
      </c>
      <c r="D2768" s="92" t="s">
        <v>5405</v>
      </c>
      <c r="E2768" s="3">
        <v>37</v>
      </c>
      <c r="F2768" s="3">
        <f>23/4</f>
        <v>5.75</v>
      </c>
      <c r="G2768" s="4">
        <v>43831</v>
      </c>
      <c r="J2768" s="1">
        <v>2000</v>
      </c>
    </row>
    <row r="2770" spans="2:18" s="12" customFormat="1">
      <c r="B2770" s="12" t="s">
        <v>650</v>
      </c>
      <c r="C2770" s="13" t="s">
        <v>969</v>
      </c>
      <c r="D2770" s="13" t="s">
        <v>968</v>
      </c>
      <c r="E2770" s="15"/>
      <c r="F2770" s="15">
        <f>SUM(F2771:F2775)</f>
        <v>12.75</v>
      </c>
      <c r="G2770" s="14">
        <f>G2775</f>
        <v>44833</v>
      </c>
    </row>
    <row r="2771" spans="2:18">
      <c r="C2771" s="2" t="s">
        <v>4</v>
      </c>
      <c r="D2771" s="2" t="s">
        <v>649</v>
      </c>
      <c r="E2771" s="3">
        <v>8</v>
      </c>
      <c r="F2771" s="3">
        <v>3</v>
      </c>
      <c r="G2771" s="4">
        <v>44677</v>
      </c>
      <c r="M2771" s="1"/>
      <c r="N2771" s="1"/>
      <c r="O2771" s="1"/>
      <c r="P2771" s="1"/>
      <c r="Q2771" s="1"/>
      <c r="R2771" s="1"/>
    </row>
    <row r="2772" spans="2:18">
      <c r="C2772" s="2" t="s">
        <v>5</v>
      </c>
      <c r="D2772" s="2" t="s">
        <v>483</v>
      </c>
      <c r="E2772" s="3">
        <v>13</v>
      </c>
      <c r="F2772" s="3">
        <v>1.4</v>
      </c>
      <c r="G2772" s="4">
        <v>44516</v>
      </c>
      <c r="M2772" s="1"/>
      <c r="N2772" s="1"/>
      <c r="O2772" s="1"/>
      <c r="P2772" s="1"/>
      <c r="Q2772" s="1"/>
      <c r="R2772" s="1"/>
    </row>
    <row r="2773" spans="2:18">
      <c r="C2773" s="2" t="s">
        <v>4</v>
      </c>
      <c r="D2773" s="2" t="s">
        <v>347</v>
      </c>
      <c r="E2773" s="3">
        <v>3.5</v>
      </c>
      <c r="F2773" s="3">
        <f>E2773/10</f>
        <v>0.35</v>
      </c>
      <c r="G2773" s="4">
        <v>43046</v>
      </c>
      <c r="L2773" s="1">
        <v>0</v>
      </c>
      <c r="M2773" s="1"/>
      <c r="N2773" s="1"/>
      <c r="O2773" s="1"/>
      <c r="P2773" s="1"/>
      <c r="Q2773" s="1"/>
      <c r="R2773" s="1"/>
    </row>
    <row r="2774" spans="2:18">
      <c r="C2774" s="2" t="s">
        <v>7</v>
      </c>
      <c r="D2774" s="2" t="s">
        <v>52</v>
      </c>
      <c r="E2774" s="3">
        <v>18</v>
      </c>
      <c r="F2774" s="3">
        <v>6</v>
      </c>
      <c r="G2774" s="4">
        <v>43207</v>
      </c>
      <c r="M2774" s="1"/>
      <c r="N2774" s="1"/>
      <c r="O2774" s="1"/>
      <c r="P2774" s="1"/>
      <c r="Q2774" s="1"/>
      <c r="R2774" s="1"/>
    </row>
    <row r="2775" spans="2:18">
      <c r="C2775" s="177" t="s">
        <v>5</v>
      </c>
      <c r="D2775" s="177" t="s">
        <v>2018</v>
      </c>
      <c r="E2775" s="3">
        <v>16</v>
      </c>
      <c r="F2775" s="3">
        <v>2</v>
      </c>
      <c r="G2775" s="4">
        <v>44833</v>
      </c>
      <c r="M2775" s="1"/>
      <c r="N2775" s="1"/>
      <c r="O2775" s="1"/>
      <c r="P2775" s="1"/>
      <c r="Q2775" s="1"/>
      <c r="R2775" s="1"/>
    </row>
    <row r="2776" spans="2:18">
      <c r="C2776" s="177" t="s">
        <v>4</v>
      </c>
      <c r="D2776" s="177" t="s">
        <v>2018</v>
      </c>
      <c r="E2776" s="3">
        <v>4.8</v>
      </c>
      <c r="F2776" s="3">
        <f>E2776/3</f>
        <v>1.5999999999999999</v>
      </c>
      <c r="G2776" s="4">
        <v>44720</v>
      </c>
      <c r="M2776" s="1"/>
      <c r="N2776" s="1"/>
      <c r="O2776" s="1"/>
      <c r="P2776" s="1"/>
      <c r="Q2776" s="1"/>
      <c r="R2776" s="1"/>
    </row>
    <row r="2777" spans="2:18">
      <c r="G2777" s="4"/>
      <c r="M2777" s="1"/>
      <c r="N2777" s="1"/>
      <c r="O2777" s="1"/>
      <c r="P2777" s="1"/>
      <c r="Q2777" s="1"/>
      <c r="R2777" s="1"/>
    </row>
    <row r="2778" spans="2:18">
      <c r="B2778" s="12" t="s">
        <v>1001</v>
      </c>
      <c r="C2778" s="13" t="s">
        <v>969</v>
      </c>
      <c r="D2778" s="13" t="s">
        <v>968</v>
      </c>
      <c r="F2778" s="15">
        <f>SUM(F2779:F2783)</f>
        <v>12.6</v>
      </c>
      <c r="G2778" s="14">
        <f>G2779</f>
        <v>44796</v>
      </c>
    </row>
    <row r="2779" spans="2:18">
      <c r="C2779" s="2" t="s">
        <v>5</v>
      </c>
      <c r="D2779" s="2" t="s">
        <v>701</v>
      </c>
      <c r="E2779" s="3">
        <v>50</v>
      </c>
      <c r="F2779" s="3">
        <f>30/12</f>
        <v>2.5</v>
      </c>
      <c r="G2779" s="4">
        <v>44796</v>
      </c>
    </row>
    <row r="2780" spans="2:18">
      <c r="C2780" s="2" t="s">
        <v>4</v>
      </c>
      <c r="D2780" s="2" t="s">
        <v>701</v>
      </c>
      <c r="E2780" s="3">
        <v>12.5</v>
      </c>
      <c r="F2780" s="3">
        <f>8/5</f>
        <v>1.6</v>
      </c>
      <c r="G2780" s="4">
        <v>44623</v>
      </c>
    </row>
    <row r="2781" spans="2:18">
      <c r="C2781" s="2" t="s">
        <v>4</v>
      </c>
      <c r="D2781" s="2" t="s">
        <v>701</v>
      </c>
      <c r="E2781" s="3">
        <v>7.2</v>
      </c>
      <c r="F2781" s="3">
        <v>2</v>
      </c>
      <c r="G2781" s="4">
        <v>44508</v>
      </c>
    </row>
    <row r="2782" spans="2:18">
      <c r="C2782" s="2" t="s">
        <v>5</v>
      </c>
      <c r="D2782" s="2" t="s">
        <v>676</v>
      </c>
      <c r="E2782" s="3">
        <v>15</v>
      </c>
      <c r="F2782" s="3">
        <v>5</v>
      </c>
      <c r="G2782" s="4">
        <v>44482</v>
      </c>
    </row>
    <row r="2783" spans="2:18">
      <c r="C2783" s="2" t="s">
        <v>4</v>
      </c>
      <c r="D2783" s="2" t="s">
        <v>676</v>
      </c>
      <c r="E2783" s="3">
        <v>4.5</v>
      </c>
      <c r="F2783" s="3">
        <v>1.5</v>
      </c>
      <c r="G2783" s="4">
        <v>44362</v>
      </c>
    </row>
    <row r="2784" spans="2:18">
      <c r="G2784" s="4"/>
    </row>
    <row r="2785" spans="2:18" s="12" customFormat="1">
      <c r="B2785" s="12" t="s">
        <v>660</v>
      </c>
      <c r="C2785" s="13" t="s">
        <v>969</v>
      </c>
      <c r="D2785" s="13" t="s">
        <v>968</v>
      </c>
      <c r="E2785" s="15"/>
      <c r="F2785" s="15">
        <f>SUM(F2786:F2787)</f>
        <v>11.5</v>
      </c>
      <c r="G2785" s="14">
        <f>G2787</f>
        <v>44984</v>
      </c>
      <c r="M2785" s="13"/>
      <c r="N2785" s="13"/>
      <c r="O2785" s="13"/>
      <c r="P2785" s="13"/>
      <c r="Q2785" s="13"/>
      <c r="R2785" s="13"/>
    </row>
    <row r="2786" spans="2:18">
      <c r="C2786" s="2" t="s">
        <v>4</v>
      </c>
      <c r="D2786" s="2" t="s">
        <v>659</v>
      </c>
      <c r="E2786" s="3">
        <v>5</v>
      </c>
      <c r="F2786" s="3">
        <v>5</v>
      </c>
      <c r="G2786" s="4">
        <v>44873</v>
      </c>
      <c r="M2786" s="1"/>
      <c r="N2786" s="1"/>
      <c r="O2786" s="1"/>
      <c r="P2786" s="1"/>
      <c r="Q2786" s="1"/>
      <c r="R2786" s="1"/>
    </row>
    <row r="2787" spans="2:18">
      <c r="C2787" s="2" t="s">
        <v>5</v>
      </c>
      <c r="D2787" s="2" t="s">
        <v>632</v>
      </c>
      <c r="E2787" s="3">
        <v>10.5</v>
      </c>
      <c r="F2787" s="3">
        <v>6.5</v>
      </c>
      <c r="G2787" s="4">
        <v>44984</v>
      </c>
      <c r="M2787" s="1"/>
      <c r="N2787" s="1"/>
      <c r="O2787" s="1"/>
      <c r="P2787" s="1"/>
      <c r="Q2787" s="1"/>
      <c r="R2787" s="1"/>
    </row>
    <row r="2788" spans="2:18">
      <c r="G2788" s="4"/>
      <c r="M2788" s="1"/>
      <c r="N2788" s="1"/>
      <c r="O2788" s="1"/>
      <c r="P2788" s="1"/>
      <c r="Q2788" s="1"/>
      <c r="R2788" s="1"/>
    </row>
    <row r="2789" spans="2:18" s="12" customFormat="1">
      <c r="B2789" s="12" t="s">
        <v>6371</v>
      </c>
      <c r="C2789" s="13" t="s">
        <v>969</v>
      </c>
      <c r="D2789" s="13" t="s">
        <v>968</v>
      </c>
      <c r="E2789" s="15"/>
      <c r="F2789" s="15">
        <f>SUM(F2790:F2791)</f>
        <v>12</v>
      </c>
      <c r="G2789" s="14">
        <f>G2790</f>
        <v>44831</v>
      </c>
      <c r="M2789" s="13"/>
      <c r="N2789" s="13"/>
      <c r="O2789" s="13"/>
      <c r="P2789" s="13"/>
      <c r="Q2789" s="13"/>
      <c r="R2789" s="13"/>
    </row>
    <row r="2790" spans="2:18">
      <c r="B2790" s="152"/>
      <c r="C2790" s="153" t="s">
        <v>7</v>
      </c>
      <c r="D2790" s="153" t="s">
        <v>2041</v>
      </c>
      <c r="E2790" s="3">
        <v>42</v>
      </c>
      <c r="F2790" s="3">
        <v>10</v>
      </c>
      <c r="G2790" s="4">
        <v>44831</v>
      </c>
    </row>
    <row r="2791" spans="2:18">
      <c r="B2791" s="152"/>
      <c r="C2791" s="153" t="s">
        <v>5</v>
      </c>
      <c r="D2791" s="153" t="s">
        <v>2041</v>
      </c>
      <c r="E2791" s="3">
        <v>15</v>
      </c>
      <c r="F2791" s="3">
        <f>10/5</f>
        <v>2</v>
      </c>
      <c r="G2791" s="4">
        <v>44174</v>
      </c>
    </row>
    <row r="2792" spans="2:18">
      <c r="B2792" s="152"/>
      <c r="C2792" s="153"/>
      <c r="D2792" s="153"/>
      <c r="G2792" s="4"/>
    </row>
    <row r="2793" spans="2:18" s="12" customFormat="1">
      <c r="B2793" s="12" t="s">
        <v>6688</v>
      </c>
      <c r="C2793" s="13" t="s">
        <v>969</v>
      </c>
      <c r="D2793" s="13" t="s">
        <v>968</v>
      </c>
      <c r="E2793" s="15"/>
      <c r="F2793" s="15">
        <f>SUM(F2794:F2796)</f>
        <v>11.8</v>
      </c>
      <c r="G2793" s="14">
        <f>G2794</f>
        <v>44650</v>
      </c>
      <c r="M2793" s="13"/>
      <c r="N2793" s="13"/>
      <c r="O2793" s="13"/>
      <c r="P2793" s="13"/>
      <c r="Q2793" s="13"/>
      <c r="R2793" s="13"/>
    </row>
    <row r="2794" spans="2:18">
      <c r="C2794" s="2" t="s">
        <v>7</v>
      </c>
      <c r="D2794" s="2" t="s">
        <v>891</v>
      </c>
      <c r="E2794" s="3">
        <v>40</v>
      </c>
      <c r="F2794" s="3">
        <v>5</v>
      </c>
      <c r="G2794" s="4">
        <v>44650</v>
      </c>
    </row>
    <row r="2795" spans="2:18">
      <c r="C2795" s="2" t="s">
        <v>5</v>
      </c>
      <c r="D2795" s="2" t="s">
        <v>891</v>
      </c>
      <c r="E2795" s="3">
        <v>14</v>
      </c>
      <c r="F2795" s="3">
        <f>9/5</f>
        <v>1.8</v>
      </c>
      <c r="G2795" s="4">
        <v>44131</v>
      </c>
    </row>
    <row r="2796" spans="2:18">
      <c r="C2796" s="153" t="s">
        <v>7</v>
      </c>
      <c r="D2796" s="153" t="s">
        <v>2034</v>
      </c>
      <c r="E2796" s="3">
        <v>25</v>
      </c>
      <c r="F2796" s="3">
        <v>5</v>
      </c>
      <c r="G2796" s="4">
        <v>44572</v>
      </c>
    </row>
    <row r="2797" spans="2:18">
      <c r="G2797" s="4"/>
    </row>
    <row r="2798" spans="2:18" s="12" customFormat="1">
      <c r="B2798" s="12" t="s">
        <v>6396</v>
      </c>
      <c r="C2798" s="13" t="s">
        <v>969</v>
      </c>
      <c r="D2798" s="13" t="s">
        <v>968</v>
      </c>
      <c r="E2798" s="15"/>
      <c r="F2798" s="15">
        <f>SUM(F2799:F2801)</f>
        <v>11.5</v>
      </c>
      <c r="G2798" s="14">
        <f>G2799</f>
        <v>44468</v>
      </c>
      <c r="M2798" s="13"/>
      <c r="N2798" s="13"/>
      <c r="O2798" s="13"/>
      <c r="P2798" s="13"/>
      <c r="Q2798" s="13"/>
      <c r="R2798" s="13"/>
    </row>
    <row r="2799" spans="2:18">
      <c r="B2799" s="152"/>
      <c r="C2799" s="153" t="s">
        <v>7</v>
      </c>
      <c r="D2799" s="153" t="s">
        <v>6395</v>
      </c>
      <c r="E2799" s="3">
        <v>35</v>
      </c>
      <c r="F2799" s="3">
        <v>10</v>
      </c>
      <c r="G2799" s="4">
        <v>44468</v>
      </c>
    </row>
    <row r="2800" spans="2:18">
      <c r="B2800" s="152"/>
      <c r="C2800" s="153" t="s">
        <v>5</v>
      </c>
      <c r="D2800" s="153" t="s">
        <v>6395</v>
      </c>
      <c r="E2800" s="3">
        <v>8</v>
      </c>
      <c r="F2800" s="3">
        <v>1</v>
      </c>
      <c r="G2800" s="4">
        <v>44179</v>
      </c>
    </row>
    <row r="2801" spans="2:18">
      <c r="B2801" s="152"/>
      <c r="C2801" s="153" t="s">
        <v>4</v>
      </c>
      <c r="D2801" s="153" t="s">
        <v>6395</v>
      </c>
      <c r="E2801" s="3">
        <v>2</v>
      </c>
      <c r="F2801" s="3">
        <f>E2801/4</f>
        <v>0.5</v>
      </c>
      <c r="G2801" s="4">
        <v>43430</v>
      </c>
    </row>
    <row r="2802" spans="2:18">
      <c r="B2802" s="152"/>
      <c r="C2802" s="153"/>
      <c r="D2802" s="153"/>
      <c r="G2802" s="4"/>
    </row>
    <row r="2803" spans="2:18" s="12" customFormat="1">
      <c r="B2803" s="12" t="s">
        <v>990</v>
      </c>
      <c r="C2803" s="13" t="s">
        <v>969</v>
      </c>
      <c r="D2803" s="13" t="s">
        <v>968</v>
      </c>
      <c r="E2803" s="15"/>
      <c r="F2803" s="15">
        <f>SUM(F2804:F2808)</f>
        <v>11.8</v>
      </c>
      <c r="G2803" s="14">
        <f>+G2808</f>
        <v>45209</v>
      </c>
      <c r="M2803" s="13"/>
      <c r="N2803" s="13"/>
      <c r="O2803" s="13"/>
      <c r="P2803" s="13"/>
      <c r="Q2803" s="13"/>
      <c r="R2803" s="13"/>
    </row>
    <row r="2804" spans="2:18">
      <c r="C2804" s="2" t="s">
        <v>5</v>
      </c>
      <c r="D2804" s="2" t="s">
        <v>871</v>
      </c>
      <c r="E2804" s="3">
        <v>21.4</v>
      </c>
      <c r="F2804" s="3">
        <f>11.4/3</f>
        <v>3.8000000000000003</v>
      </c>
      <c r="G2804" s="4">
        <v>44232</v>
      </c>
    </row>
    <row r="2805" spans="2:18">
      <c r="C2805" s="2" t="s">
        <v>5</v>
      </c>
      <c r="D2805" s="2" t="s">
        <v>720</v>
      </c>
      <c r="E2805" s="3">
        <v>20</v>
      </c>
      <c r="F2805" s="3">
        <v>5</v>
      </c>
      <c r="G2805" s="4">
        <v>44455</v>
      </c>
    </row>
    <row r="2806" spans="2:18">
      <c r="C2806" s="153" t="s">
        <v>5</v>
      </c>
      <c r="D2806" s="153" t="s">
        <v>2039</v>
      </c>
      <c r="E2806" s="3">
        <v>18</v>
      </c>
      <c r="F2806" s="3">
        <v>1</v>
      </c>
      <c r="G2806" s="4">
        <v>43445</v>
      </c>
    </row>
    <row r="2807" spans="2:18">
      <c r="C2807" s="331" t="s">
        <v>4</v>
      </c>
      <c r="D2807" s="331" t="s">
        <v>8298</v>
      </c>
      <c r="E2807" s="3">
        <v>8</v>
      </c>
      <c r="F2807" s="3">
        <v>1</v>
      </c>
      <c r="G2807" s="4">
        <v>44482</v>
      </c>
    </row>
    <row r="2808" spans="2:18">
      <c r="C2808" s="394" t="s">
        <v>5</v>
      </c>
      <c r="D2808" s="394" t="s">
        <v>9711</v>
      </c>
      <c r="E2808" s="3">
        <v>16</v>
      </c>
      <c r="F2808" s="3">
        <v>1</v>
      </c>
      <c r="G2808" s="4">
        <v>45209</v>
      </c>
    </row>
    <row r="2809" spans="2:18">
      <c r="G2809" s="4"/>
    </row>
    <row r="2810" spans="2:18" s="12" customFormat="1">
      <c r="B2810" s="12" t="s">
        <v>6358</v>
      </c>
      <c r="C2810" s="13" t="s">
        <v>969</v>
      </c>
      <c r="D2810" s="13" t="s">
        <v>968</v>
      </c>
      <c r="E2810" s="15"/>
      <c r="F2810" s="15">
        <f>SUM(F2811:F2813)</f>
        <v>12</v>
      </c>
      <c r="G2810" s="14">
        <f>G2813</f>
        <v>44540</v>
      </c>
      <c r="M2810" s="13"/>
      <c r="N2810" s="13"/>
      <c r="O2810" s="13"/>
      <c r="P2810" s="13"/>
      <c r="Q2810" s="13"/>
      <c r="R2810" s="13"/>
    </row>
    <row r="2811" spans="2:18">
      <c r="B2811" s="152"/>
      <c r="C2811" s="153" t="s">
        <v>7</v>
      </c>
      <c r="D2811" s="153" t="s">
        <v>2046</v>
      </c>
      <c r="E2811" s="3">
        <v>50</v>
      </c>
      <c r="F2811" s="3">
        <v>4</v>
      </c>
      <c r="G2811" s="4">
        <v>44252</v>
      </c>
    </row>
    <row r="2812" spans="2:18">
      <c r="B2812" s="152"/>
      <c r="C2812" s="153" t="s">
        <v>5</v>
      </c>
      <c r="D2812" s="153" t="s">
        <v>2046</v>
      </c>
      <c r="E2812" s="3">
        <v>10</v>
      </c>
      <c r="F2812" s="3">
        <v>5</v>
      </c>
      <c r="G2812" s="4">
        <v>43059</v>
      </c>
    </row>
    <row r="2813" spans="2:18">
      <c r="B2813" s="152"/>
      <c r="C2813" s="241" t="s">
        <v>5</v>
      </c>
      <c r="D2813" s="241" t="s">
        <v>2010</v>
      </c>
      <c r="E2813" s="3">
        <v>9</v>
      </c>
      <c r="F2813" s="3">
        <v>3</v>
      </c>
      <c r="G2813" s="4">
        <v>44540</v>
      </c>
    </row>
    <row r="2814" spans="2:18">
      <c r="B2814" s="152"/>
      <c r="C2814" s="153"/>
      <c r="D2814" s="153"/>
      <c r="G2814" s="4"/>
    </row>
    <row r="2815" spans="2:18" s="12" customFormat="1">
      <c r="B2815" s="12" t="s">
        <v>405</v>
      </c>
      <c r="C2815" s="13" t="s">
        <v>969</v>
      </c>
      <c r="D2815" s="13" t="s">
        <v>968</v>
      </c>
      <c r="E2815" s="15"/>
      <c r="F2815" s="15">
        <f>SUM(F2816:F2818)</f>
        <v>12.25</v>
      </c>
      <c r="G2815" s="14">
        <f>G2816</f>
        <v>44538</v>
      </c>
    </row>
    <row r="2816" spans="2:18">
      <c r="C2816" s="2" t="s">
        <v>7</v>
      </c>
      <c r="D2816" s="2" t="s">
        <v>403</v>
      </c>
      <c r="E2816" s="3">
        <v>50</v>
      </c>
      <c r="F2816" s="3">
        <f>30/6</f>
        <v>5</v>
      </c>
      <c r="G2816" s="4">
        <v>44538</v>
      </c>
      <c r="M2816" s="1"/>
      <c r="N2816" s="1"/>
      <c r="O2816" s="1"/>
      <c r="P2816" s="1"/>
      <c r="Q2816" s="1"/>
      <c r="R2816" s="1"/>
    </row>
    <row r="2817" spans="2:18">
      <c r="C2817" s="2" t="s">
        <v>5</v>
      </c>
      <c r="D2817" s="2" t="s">
        <v>403</v>
      </c>
      <c r="E2817" s="3">
        <v>12.5</v>
      </c>
      <c r="F2817" s="3">
        <f>+E2817/2</f>
        <v>6.25</v>
      </c>
      <c r="G2817" s="4">
        <v>44306</v>
      </c>
      <c r="M2817" s="1"/>
      <c r="N2817" s="1"/>
      <c r="O2817" s="1"/>
      <c r="P2817" s="1"/>
      <c r="Q2817" s="1"/>
      <c r="R2817" s="1"/>
    </row>
    <row r="2818" spans="2:18">
      <c r="C2818" s="2" t="s">
        <v>4</v>
      </c>
      <c r="D2818" s="2" t="s">
        <v>403</v>
      </c>
      <c r="E2818" s="3">
        <v>3.1</v>
      </c>
      <c r="F2818" s="3">
        <v>1</v>
      </c>
      <c r="G2818" s="4">
        <v>43580</v>
      </c>
      <c r="M2818" s="1"/>
      <c r="N2818" s="1"/>
      <c r="O2818" s="1"/>
      <c r="P2818" s="1"/>
      <c r="Q2818" s="1"/>
      <c r="R2818" s="1"/>
    </row>
    <row r="2819" spans="2:18">
      <c r="G2819" s="4"/>
      <c r="M2819" s="1"/>
      <c r="N2819" s="1"/>
      <c r="O2819" s="1"/>
      <c r="P2819" s="1"/>
      <c r="Q2819" s="1"/>
      <c r="R2819" s="1"/>
    </row>
    <row r="2820" spans="2:18" s="12" customFormat="1">
      <c r="B2820" s="12" t="s">
        <v>451</v>
      </c>
      <c r="C2820" s="13" t="s">
        <v>969</v>
      </c>
      <c r="D2820" s="13" t="s">
        <v>968</v>
      </c>
      <c r="E2820" s="15"/>
      <c r="F2820" s="15">
        <f>SUM(F2821:F2823)</f>
        <v>11.295454545454547</v>
      </c>
      <c r="G2820" s="14">
        <f>G2821</f>
        <v>44776</v>
      </c>
    </row>
    <row r="2821" spans="2:18">
      <c r="C2821" s="2" t="s">
        <v>8</v>
      </c>
      <c r="D2821" s="2" t="s">
        <v>448</v>
      </c>
      <c r="E2821" s="3">
        <v>90</v>
      </c>
      <c r="F2821" s="3">
        <f>50/11</f>
        <v>4.5454545454545459</v>
      </c>
      <c r="G2821" s="4">
        <v>44776</v>
      </c>
      <c r="M2821" s="1"/>
      <c r="N2821" s="1"/>
      <c r="O2821" s="1"/>
      <c r="P2821" s="1"/>
      <c r="Q2821" s="1"/>
      <c r="R2821" s="1"/>
    </row>
    <row r="2822" spans="2:18">
      <c r="C2822" s="2" t="s">
        <v>18</v>
      </c>
      <c r="D2822" s="2" t="s">
        <v>448</v>
      </c>
      <c r="E2822" s="3">
        <v>40</v>
      </c>
      <c r="F2822" s="3">
        <v>3.75</v>
      </c>
      <c r="G2822" s="4">
        <v>44176</v>
      </c>
      <c r="M2822" s="1"/>
      <c r="N2822" s="1"/>
      <c r="O2822" s="1"/>
      <c r="P2822" s="1"/>
      <c r="Q2822" s="1"/>
      <c r="R2822" s="1"/>
    </row>
    <row r="2823" spans="2:18">
      <c r="C2823" s="2" t="s">
        <v>7</v>
      </c>
      <c r="D2823" s="2" t="s">
        <v>448</v>
      </c>
      <c r="E2823" s="3">
        <v>20</v>
      </c>
      <c r="F2823" s="3">
        <v>3</v>
      </c>
      <c r="G2823" s="4">
        <v>43879</v>
      </c>
      <c r="M2823" s="1"/>
      <c r="N2823" s="1"/>
      <c r="O2823" s="1"/>
      <c r="P2823" s="1"/>
      <c r="Q2823" s="1"/>
      <c r="R2823" s="1"/>
    </row>
    <row r="2824" spans="2:18">
      <c r="G2824" s="4"/>
      <c r="M2824" s="1"/>
      <c r="N2824" s="1"/>
      <c r="O2824" s="1"/>
      <c r="P2824" s="1"/>
      <c r="Q2824" s="1"/>
      <c r="R2824" s="1"/>
    </row>
    <row r="2825" spans="2:18" s="12" customFormat="1">
      <c r="B2825" s="12" t="s">
        <v>4984</v>
      </c>
      <c r="C2825" s="13" t="s">
        <v>969</v>
      </c>
      <c r="D2825" s="13" t="s">
        <v>968</v>
      </c>
      <c r="E2825" s="15"/>
      <c r="F2825" s="15">
        <f>SUM(F2826:F2828)</f>
        <v>10.816666666666666</v>
      </c>
      <c r="G2825" s="14">
        <f>G2826</f>
        <v>43069</v>
      </c>
      <c r="M2825" s="13"/>
      <c r="N2825" s="13"/>
      <c r="O2825" s="13"/>
      <c r="P2825" s="13"/>
      <c r="Q2825" s="13"/>
      <c r="R2825" s="13"/>
    </row>
    <row r="2826" spans="2:18">
      <c r="B2826" s="54"/>
      <c r="C2826" s="55" t="s">
        <v>18</v>
      </c>
      <c r="D2826" s="55" t="s">
        <v>2112</v>
      </c>
      <c r="E2826" s="3">
        <v>40</v>
      </c>
      <c r="F2826" s="3">
        <f>30/6</f>
        <v>5</v>
      </c>
      <c r="G2826" s="4">
        <v>43069</v>
      </c>
      <c r="J2826" s="1">
        <v>1600</v>
      </c>
    </row>
    <row r="2827" spans="2:18">
      <c r="B2827" s="54"/>
      <c r="C2827" s="55" t="s">
        <v>7</v>
      </c>
      <c r="D2827" s="55" t="s">
        <v>2112</v>
      </c>
      <c r="E2827" s="3">
        <v>20</v>
      </c>
      <c r="F2827" s="3">
        <f>13/3</f>
        <v>4.333333333333333</v>
      </c>
      <c r="G2827" s="4">
        <v>42317</v>
      </c>
      <c r="J2827" s="1">
        <v>1600</v>
      </c>
    </row>
    <row r="2828" spans="2:18">
      <c r="B2828" s="54"/>
      <c r="C2828" s="55" t="s">
        <v>5</v>
      </c>
      <c r="D2828" s="55" t="s">
        <v>2112</v>
      </c>
      <c r="E2828" s="3">
        <v>8.9</v>
      </c>
      <c r="F2828" s="3">
        <f>E2828/6</f>
        <v>1.4833333333333334</v>
      </c>
      <c r="G2828" s="4">
        <v>41839</v>
      </c>
      <c r="J2828" s="1">
        <v>1600</v>
      </c>
    </row>
    <row r="2829" spans="2:18">
      <c r="B2829" s="54"/>
      <c r="C2829" s="55"/>
      <c r="D2829" s="55"/>
      <c r="G2829" s="4"/>
    </row>
    <row r="2830" spans="2:18" s="12" customFormat="1">
      <c r="B2830" s="12" t="s">
        <v>97</v>
      </c>
      <c r="C2830" s="13" t="s">
        <v>969</v>
      </c>
      <c r="D2830" s="13" t="s">
        <v>968</v>
      </c>
      <c r="E2830" s="15"/>
      <c r="F2830" s="15">
        <f>SUM(F2831:F2833)</f>
        <v>11.2</v>
      </c>
      <c r="G2830" s="14">
        <f>G2831</f>
        <v>43783</v>
      </c>
      <c r="M2830" s="13"/>
      <c r="N2830" s="13"/>
      <c r="O2830" s="13"/>
      <c r="P2830" s="13"/>
      <c r="Q2830" s="13"/>
      <c r="R2830" s="13"/>
    </row>
    <row r="2831" spans="2:18">
      <c r="C2831" s="2" t="s">
        <v>7</v>
      </c>
      <c r="D2831" s="2" t="s">
        <v>95</v>
      </c>
      <c r="E2831" s="3">
        <v>25</v>
      </c>
      <c r="F2831" s="3">
        <f>15/5</f>
        <v>3</v>
      </c>
      <c r="G2831" s="4">
        <v>43783</v>
      </c>
    </row>
    <row r="2832" spans="2:18">
      <c r="C2832" s="2" t="s">
        <v>7</v>
      </c>
      <c r="D2832" s="2" t="s">
        <v>95</v>
      </c>
      <c r="E2832" s="3">
        <v>15</v>
      </c>
      <c r="F2832" s="3">
        <v>3.2</v>
      </c>
      <c r="G2832" s="4">
        <v>43559</v>
      </c>
    </row>
    <row r="2833" spans="2:18">
      <c r="C2833" s="2" t="s">
        <v>5</v>
      </c>
      <c r="D2833" s="2" t="s">
        <v>95</v>
      </c>
      <c r="E2833" s="3">
        <v>10</v>
      </c>
      <c r="F2833" s="3">
        <v>5</v>
      </c>
      <c r="G2833" s="4">
        <v>42304</v>
      </c>
    </row>
    <row r="2834" spans="2:18">
      <c r="G2834" s="4"/>
    </row>
    <row r="2835" spans="2:18" s="12" customFormat="1">
      <c r="B2835" s="12" t="s">
        <v>691</v>
      </c>
      <c r="C2835" s="13" t="s">
        <v>969</v>
      </c>
      <c r="D2835" s="13" t="s">
        <v>968</v>
      </c>
      <c r="E2835" s="15"/>
      <c r="F2835" s="15">
        <f>SUM(F2836:F2838)</f>
        <v>11</v>
      </c>
      <c r="G2835" s="14">
        <f>G2838</f>
        <v>45005</v>
      </c>
      <c r="M2835" s="13"/>
      <c r="N2835" s="13"/>
      <c r="O2835" s="13"/>
      <c r="P2835" s="13"/>
      <c r="Q2835" s="13"/>
      <c r="R2835" s="13"/>
    </row>
    <row r="2836" spans="2:18">
      <c r="C2836" s="2" t="s">
        <v>4</v>
      </c>
      <c r="D2836" s="2" t="s">
        <v>690</v>
      </c>
      <c r="E2836" s="3">
        <v>30</v>
      </c>
      <c r="F2836" s="3">
        <v>5</v>
      </c>
      <c r="G2836" s="4">
        <v>44742</v>
      </c>
    </row>
    <row r="2837" spans="2:18">
      <c r="C2837" s="2" t="s">
        <v>5</v>
      </c>
      <c r="D2837" s="2" t="s">
        <v>689</v>
      </c>
      <c r="E2837" s="3">
        <v>29</v>
      </c>
      <c r="F2837" s="3">
        <v>3</v>
      </c>
      <c r="G2837" s="4">
        <v>44691</v>
      </c>
    </row>
    <row r="2838" spans="2:18">
      <c r="C2838" s="2" t="s">
        <v>5</v>
      </c>
      <c r="D2838" s="2" t="s">
        <v>688</v>
      </c>
      <c r="E2838" s="3">
        <v>13</v>
      </c>
      <c r="F2838" s="3">
        <v>3</v>
      </c>
      <c r="G2838" s="4">
        <v>45005</v>
      </c>
    </row>
    <row r="2839" spans="2:18">
      <c r="G2839" s="4"/>
    </row>
    <row r="2840" spans="2:18" s="12" customFormat="1">
      <c r="B2840" s="12" t="s">
        <v>384</v>
      </c>
      <c r="C2840" s="13" t="s">
        <v>969</v>
      </c>
      <c r="D2840" s="13" t="s">
        <v>968</v>
      </c>
      <c r="E2840" s="15"/>
      <c r="F2840" s="15">
        <f>SUM(F2841:F2843)</f>
        <v>11.375</v>
      </c>
      <c r="G2840" s="14">
        <f>G2841</f>
        <v>44488</v>
      </c>
    </row>
    <row r="2841" spans="2:18">
      <c r="C2841" s="2" t="s">
        <v>5</v>
      </c>
      <c r="D2841" s="2" t="s">
        <v>381</v>
      </c>
      <c r="E2841" s="3">
        <v>86</v>
      </c>
      <c r="F2841" s="3">
        <v>10</v>
      </c>
      <c r="G2841" s="4">
        <v>44488</v>
      </c>
      <c r="M2841" s="1"/>
      <c r="N2841" s="1"/>
      <c r="O2841" s="1"/>
      <c r="P2841" s="1"/>
      <c r="Q2841" s="1"/>
      <c r="R2841" s="1"/>
    </row>
    <row r="2842" spans="2:18">
      <c r="C2842" s="2" t="s">
        <v>4</v>
      </c>
      <c r="D2842" s="2" t="s">
        <v>381</v>
      </c>
      <c r="E2842" s="3">
        <v>8.5</v>
      </c>
      <c r="F2842" s="3">
        <v>1</v>
      </c>
      <c r="G2842" s="4">
        <v>43796</v>
      </c>
      <c r="M2842" s="1"/>
      <c r="N2842" s="1"/>
      <c r="O2842" s="1"/>
      <c r="P2842" s="1"/>
      <c r="Q2842" s="1"/>
      <c r="R2842" s="1"/>
    </row>
    <row r="2843" spans="2:18">
      <c r="C2843" s="2" t="s">
        <v>4</v>
      </c>
      <c r="D2843" s="2" t="s">
        <v>381</v>
      </c>
      <c r="E2843" s="3">
        <v>0.75</v>
      </c>
      <c r="F2843" s="3">
        <f>+E2843/2</f>
        <v>0.375</v>
      </c>
      <c r="G2843" s="4">
        <v>43166</v>
      </c>
      <c r="M2843" s="1"/>
      <c r="N2843" s="1"/>
      <c r="O2843" s="1"/>
      <c r="P2843" s="1"/>
      <c r="Q2843" s="1"/>
      <c r="R2843" s="1"/>
    </row>
    <row r="2844" spans="2:18">
      <c r="G2844" s="4"/>
      <c r="M2844" s="1"/>
      <c r="N2844" s="1"/>
      <c r="O2844" s="1"/>
      <c r="P2844" s="1"/>
      <c r="Q2844" s="1"/>
      <c r="R2844" s="1"/>
    </row>
    <row r="2845" spans="2:18" s="12" customFormat="1">
      <c r="B2845" s="12" t="s">
        <v>452</v>
      </c>
      <c r="C2845" s="13" t="s">
        <v>969</v>
      </c>
      <c r="D2845" s="13" t="s">
        <v>968</v>
      </c>
      <c r="E2845" s="15"/>
      <c r="F2845" s="15">
        <f>SUM(F2846:F2848)</f>
        <v>11.295454545454547</v>
      </c>
      <c r="G2845" s="14">
        <f>G2846</f>
        <v>44776</v>
      </c>
    </row>
    <row r="2846" spans="2:18">
      <c r="C2846" s="2" t="s">
        <v>8</v>
      </c>
      <c r="D2846" s="2" t="s">
        <v>448</v>
      </c>
      <c r="E2846" s="3">
        <v>90</v>
      </c>
      <c r="F2846" s="3">
        <f>50/11</f>
        <v>4.5454545454545459</v>
      </c>
      <c r="G2846" s="4">
        <v>44776</v>
      </c>
      <c r="M2846" s="1"/>
      <c r="N2846" s="1"/>
      <c r="O2846" s="1"/>
      <c r="P2846" s="1"/>
      <c r="Q2846" s="1"/>
      <c r="R2846" s="1"/>
    </row>
    <row r="2847" spans="2:18">
      <c r="C2847" s="2" t="s">
        <v>18</v>
      </c>
      <c r="D2847" s="2" t="s">
        <v>448</v>
      </c>
      <c r="E2847" s="3">
        <v>40</v>
      </c>
      <c r="F2847" s="3">
        <v>3.75</v>
      </c>
      <c r="G2847" s="4">
        <v>44176</v>
      </c>
      <c r="M2847" s="1"/>
      <c r="N2847" s="1"/>
      <c r="O2847" s="1"/>
      <c r="P2847" s="1"/>
      <c r="Q2847" s="1"/>
      <c r="R2847" s="1"/>
    </row>
    <row r="2848" spans="2:18">
      <c r="C2848" s="2" t="s">
        <v>7</v>
      </c>
      <c r="D2848" s="2" t="s">
        <v>448</v>
      </c>
      <c r="E2848" s="3">
        <v>20</v>
      </c>
      <c r="F2848" s="3">
        <v>3</v>
      </c>
      <c r="G2848" s="4">
        <v>43879</v>
      </c>
      <c r="M2848" s="1"/>
      <c r="N2848" s="1"/>
      <c r="O2848" s="1"/>
      <c r="P2848" s="1"/>
      <c r="Q2848" s="1"/>
      <c r="R2848" s="1"/>
    </row>
    <row r="2849" spans="2:18">
      <c r="G2849" s="4"/>
      <c r="M2849" s="1"/>
      <c r="N2849" s="1"/>
      <c r="O2849" s="1"/>
      <c r="P2849" s="1"/>
      <c r="Q2849" s="1"/>
      <c r="R2849" s="1"/>
    </row>
    <row r="2850" spans="2:18" s="12" customFormat="1">
      <c r="B2850" s="12" t="s">
        <v>447</v>
      </c>
      <c r="C2850" s="13" t="s">
        <v>969</v>
      </c>
      <c r="D2850" s="13" t="s">
        <v>968</v>
      </c>
      <c r="E2850" s="15"/>
      <c r="F2850" s="15">
        <f>SUM(F2851:F2853)</f>
        <v>11</v>
      </c>
      <c r="G2850" s="14">
        <f>G2851</f>
        <v>44756</v>
      </c>
    </row>
    <row r="2851" spans="2:18">
      <c r="C2851" s="2" t="s">
        <v>7</v>
      </c>
      <c r="D2851" s="2" t="s">
        <v>446</v>
      </c>
      <c r="E2851" s="3">
        <v>30</v>
      </c>
      <c r="F2851" s="3">
        <v>5</v>
      </c>
      <c r="G2851" s="4">
        <v>44756</v>
      </c>
      <c r="M2851" s="1"/>
      <c r="N2851" s="1"/>
      <c r="O2851" s="1"/>
      <c r="P2851" s="1"/>
      <c r="Q2851" s="1"/>
      <c r="R2851" s="1"/>
    </row>
    <row r="2852" spans="2:18">
      <c r="C2852" s="2" t="s">
        <v>5</v>
      </c>
      <c r="D2852" s="2" t="s">
        <v>446</v>
      </c>
      <c r="E2852" s="3">
        <v>28</v>
      </c>
      <c r="F2852" s="3">
        <v>5</v>
      </c>
      <c r="G2852" s="4">
        <v>44624</v>
      </c>
      <c r="M2852" s="1"/>
      <c r="N2852" s="1"/>
      <c r="O2852" s="1"/>
      <c r="P2852" s="1"/>
      <c r="Q2852" s="1"/>
      <c r="R2852" s="1"/>
    </row>
    <row r="2853" spans="2:18">
      <c r="C2853" s="2" t="s">
        <v>4</v>
      </c>
      <c r="D2853" s="2" t="s">
        <v>446</v>
      </c>
      <c r="E2853" s="3">
        <v>5</v>
      </c>
      <c r="F2853" s="3">
        <v>1</v>
      </c>
      <c r="G2853" s="4">
        <v>44136</v>
      </c>
      <c r="M2853" s="1"/>
      <c r="N2853" s="1"/>
      <c r="O2853" s="1"/>
      <c r="P2853" s="1"/>
      <c r="Q2853" s="1"/>
      <c r="R2853" s="1"/>
    </row>
    <row r="2854" spans="2:18">
      <c r="G2854" s="4"/>
      <c r="M2854" s="1"/>
      <c r="N2854" s="1"/>
      <c r="O2854" s="1"/>
      <c r="P2854" s="1"/>
      <c r="Q2854" s="1"/>
      <c r="R2854" s="1"/>
    </row>
    <row r="2855" spans="2:18" s="12" customFormat="1">
      <c r="B2855" s="12" t="s">
        <v>718</v>
      </c>
      <c r="C2855" s="13" t="s">
        <v>969</v>
      </c>
      <c r="D2855" s="13" t="s">
        <v>968</v>
      </c>
      <c r="E2855" s="15"/>
      <c r="F2855" s="15">
        <f>SUM(F2856:F2858)</f>
        <v>10.7</v>
      </c>
      <c r="G2855" s="14">
        <f>G2858</f>
        <v>44952</v>
      </c>
      <c r="M2855" s="13"/>
      <c r="N2855" s="13"/>
      <c r="O2855" s="13"/>
      <c r="P2855" s="13"/>
      <c r="Q2855" s="13"/>
      <c r="R2855" s="13"/>
    </row>
    <row r="2856" spans="2:18">
      <c r="B2856" s="253" t="s">
        <v>7627</v>
      </c>
      <c r="C2856" s="2" t="s">
        <v>5</v>
      </c>
      <c r="D2856" s="2" t="s">
        <v>716</v>
      </c>
      <c r="E2856" s="3">
        <v>12.5</v>
      </c>
      <c r="F2856" s="3">
        <v>2</v>
      </c>
      <c r="G2856" s="4">
        <v>44784</v>
      </c>
    </row>
    <row r="2857" spans="2:18">
      <c r="C2857" s="2" t="s">
        <v>5</v>
      </c>
      <c r="D2857" s="2" t="s">
        <v>716</v>
      </c>
      <c r="E2857" s="3">
        <v>10</v>
      </c>
      <c r="F2857" s="3">
        <v>4</v>
      </c>
      <c r="G2857" s="4">
        <v>44110</v>
      </c>
    </row>
    <row r="2858" spans="2:18">
      <c r="C2858" s="2" t="s">
        <v>5</v>
      </c>
      <c r="D2858" s="2" t="s">
        <v>666</v>
      </c>
      <c r="E2858" s="3">
        <v>12.7</v>
      </c>
      <c r="F2858" s="3">
        <v>4.7</v>
      </c>
      <c r="G2858" s="4">
        <v>44952</v>
      </c>
    </row>
    <row r="2859" spans="2:18">
      <c r="G2859" s="4"/>
    </row>
    <row r="2860" spans="2:18" s="12" customFormat="1">
      <c r="B2860" s="12" t="s">
        <v>759</v>
      </c>
      <c r="C2860" s="13" t="s">
        <v>969</v>
      </c>
      <c r="D2860" s="13" t="s">
        <v>968</v>
      </c>
      <c r="E2860" s="15"/>
      <c r="F2860" s="15">
        <f>SUM(F2861:F2863)</f>
        <v>10.833333333333332</v>
      </c>
      <c r="G2860" s="14">
        <f>G2861</f>
        <v>43979</v>
      </c>
    </row>
    <row r="2861" spans="2:18">
      <c r="C2861" s="2" t="s">
        <v>4</v>
      </c>
      <c r="D2861" s="2" t="s">
        <v>730</v>
      </c>
      <c r="E2861" s="3">
        <v>1.5</v>
      </c>
      <c r="F2861" s="3">
        <v>0.5</v>
      </c>
      <c r="G2861" s="4">
        <v>43979</v>
      </c>
      <c r="M2861" s="1"/>
      <c r="N2861" s="1"/>
      <c r="O2861" s="1"/>
      <c r="P2861" s="1"/>
      <c r="Q2861" s="1"/>
      <c r="R2861" s="1"/>
    </row>
    <row r="2862" spans="2:18">
      <c r="C2862" s="52" t="s">
        <v>5</v>
      </c>
      <c r="D2862" s="52" t="s">
        <v>2118</v>
      </c>
      <c r="E2862" s="3">
        <f>52.3</f>
        <v>52.3</v>
      </c>
      <c r="F2862" s="3">
        <f>22/3</f>
        <v>7.333333333333333</v>
      </c>
      <c r="G2862" s="4">
        <v>43348</v>
      </c>
      <c r="J2862" s="1">
        <v>700</v>
      </c>
      <c r="M2862" s="1"/>
      <c r="N2862" s="1"/>
      <c r="O2862" s="1"/>
      <c r="P2862" s="1"/>
      <c r="Q2862" s="1"/>
      <c r="R2862" s="1"/>
    </row>
    <row r="2863" spans="2:18">
      <c r="C2863" s="52" t="s">
        <v>7</v>
      </c>
      <c r="D2863" s="52" t="s">
        <v>2116</v>
      </c>
      <c r="E2863" s="3">
        <v>40</v>
      </c>
      <c r="F2863" s="3">
        <v>3</v>
      </c>
      <c r="G2863" s="4">
        <v>43720</v>
      </c>
      <c r="J2863" s="1">
        <v>3400</v>
      </c>
      <c r="M2863" s="1"/>
      <c r="N2863" s="1"/>
      <c r="O2863" s="1"/>
      <c r="P2863" s="1"/>
      <c r="Q2863" s="1"/>
      <c r="R2863" s="1"/>
    </row>
    <row r="2864" spans="2:18">
      <c r="G2864" s="4"/>
      <c r="M2864" s="1"/>
      <c r="N2864" s="1"/>
      <c r="O2864" s="1"/>
      <c r="P2864" s="1"/>
      <c r="Q2864" s="1"/>
      <c r="R2864" s="1"/>
    </row>
    <row r="2865" spans="2:18" s="12" customFormat="1">
      <c r="B2865" s="12" t="s">
        <v>921</v>
      </c>
      <c r="C2865" s="13" t="s">
        <v>969</v>
      </c>
      <c r="D2865" s="13" t="s">
        <v>968</v>
      </c>
      <c r="E2865" s="15"/>
      <c r="F2865" s="15">
        <f>SUM(F2866:F2867)</f>
        <v>11</v>
      </c>
      <c r="G2865" s="14">
        <f>G2866</f>
        <v>45090</v>
      </c>
      <c r="M2865" s="13"/>
      <c r="N2865" s="13"/>
      <c r="O2865" s="13"/>
      <c r="P2865" s="13"/>
      <c r="Q2865" s="13"/>
      <c r="R2865" s="13"/>
    </row>
    <row r="2866" spans="2:18">
      <c r="C2866" s="2" t="s">
        <v>4</v>
      </c>
      <c r="D2866" s="2" t="s">
        <v>705</v>
      </c>
      <c r="E2866" s="3">
        <v>113</v>
      </c>
      <c r="F2866" s="3">
        <v>8</v>
      </c>
      <c r="G2866" s="4">
        <v>45090</v>
      </c>
    </row>
    <row r="2867" spans="2:18">
      <c r="C2867" s="2" t="s">
        <v>5</v>
      </c>
      <c r="D2867" s="2" t="s">
        <v>2129</v>
      </c>
      <c r="E2867" s="3">
        <v>20</v>
      </c>
      <c r="F2867" s="3">
        <v>3</v>
      </c>
      <c r="G2867" s="4">
        <v>44044</v>
      </c>
    </row>
    <row r="2868" spans="2:18">
      <c r="G2868" s="4"/>
    </row>
    <row r="2869" spans="2:18">
      <c r="B2869" s="12" t="s">
        <v>997</v>
      </c>
      <c r="C2869" s="13" t="s">
        <v>969</v>
      </c>
      <c r="D2869" s="13" t="s">
        <v>968</v>
      </c>
      <c r="E2869" s="15"/>
      <c r="F2869" s="15">
        <f>+F2870+F2871</f>
        <v>10.166666666666668</v>
      </c>
      <c r="G2869" s="14">
        <f>+G2870</f>
        <v>44417</v>
      </c>
    </row>
    <row r="2870" spans="2:18">
      <c r="C2870" s="2" t="s">
        <v>18</v>
      </c>
      <c r="D2870" s="2" t="s">
        <v>877</v>
      </c>
      <c r="E2870" s="3">
        <v>85</v>
      </c>
      <c r="F2870" s="3">
        <v>6</v>
      </c>
      <c r="G2870" s="4">
        <v>44417</v>
      </c>
    </row>
    <row r="2871" spans="2:18">
      <c r="C2871" s="2" t="s">
        <v>7</v>
      </c>
      <c r="D2871" s="2" t="s">
        <v>877</v>
      </c>
      <c r="E2871" s="3">
        <v>35</v>
      </c>
      <c r="F2871" s="3">
        <f>25/6</f>
        <v>4.166666666666667</v>
      </c>
      <c r="G2871" s="4">
        <v>44293</v>
      </c>
    </row>
    <row r="2872" spans="2:18">
      <c r="G2872" s="4"/>
    </row>
    <row r="2873" spans="2:18" s="12" customFormat="1">
      <c r="B2873" s="12" t="s">
        <v>738</v>
      </c>
      <c r="C2873" s="13" t="s">
        <v>969</v>
      </c>
      <c r="D2873" s="13" t="s">
        <v>968</v>
      </c>
      <c r="E2873" s="15"/>
      <c r="F2873" s="15">
        <f>SUM(F2874:F2876)</f>
        <v>9.8000000000000007</v>
      </c>
      <c r="G2873" s="14">
        <f>G2874</f>
        <v>44755</v>
      </c>
    </row>
    <row r="2874" spans="2:18">
      <c r="C2874" s="2" t="s">
        <v>7</v>
      </c>
      <c r="D2874" s="2" t="s">
        <v>735</v>
      </c>
      <c r="E2874" s="3">
        <v>25</v>
      </c>
      <c r="F2874" s="3">
        <f>15/5</f>
        <v>3</v>
      </c>
      <c r="G2874" s="4">
        <v>44755</v>
      </c>
    </row>
    <row r="2875" spans="2:18">
      <c r="C2875" s="2" t="s">
        <v>5</v>
      </c>
      <c r="D2875" s="2" t="s">
        <v>735</v>
      </c>
      <c r="E2875" s="3">
        <v>21</v>
      </c>
      <c r="F2875" s="3">
        <f>14/5</f>
        <v>2.8</v>
      </c>
      <c r="G2875" s="4">
        <v>44489</v>
      </c>
    </row>
    <row r="2876" spans="2:18">
      <c r="C2876" s="2" t="s">
        <v>4</v>
      </c>
      <c r="D2876" s="2" t="s">
        <v>735</v>
      </c>
      <c r="E2876" s="3">
        <v>9.1</v>
      </c>
      <c r="F2876" s="3">
        <v>4</v>
      </c>
      <c r="G2876" s="4">
        <v>44131</v>
      </c>
    </row>
    <row r="2877" spans="2:18">
      <c r="G2877" s="4"/>
    </row>
    <row r="2878" spans="2:18" s="12" customFormat="1">
      <c r="B2878" s="12" t="s">
        <v>658</v>
      </c>
      <c r="C2878" s="13" t="s">
        <v>969</v>
      </c>
      <c r="D2878" s="13" t="s">
        <v>968</v>
      </c>
      <c r="E2878" s="15"/>
      <c r="F2878" s="15">
        <f>SUM(F2879:F2883)</f>
        <v>10.45</v>
      </c>
      <c r="G2878" s="14">
        <f>G2879</f>
        <v>44579</v>
      </c>
      <c r="M2878" s="13"/>
      <c r="N2878" s="13"/>
      <c r="O2878" s="13"/>
      <c r="P2878" s="13"/>
      <c r="Q2878" s="13"/>
      <c r="R2878" s="13"/>
    </row>
    <row r="2879" spans="2:18">
      <c r="C2879" s="2" t="s">
        <v>5</v>
      </c>
      <c r="D2879" s="2" t="s">
        <v>656</v>
      </c>
      <c r="E2879" s="3">
        <v>12.6</v>
      </c>
      <c r="F2879" s="3">
        <v>3</v>
      </c>
      <c r="G2879" s="4">
        <v>44579</v>
      </c>
      <c r="M2879" s="1"/>
      <c r="N2879" s="1"/>
      <c r="O2879" s="1"/>
      <c r="P2879" s="1"/>
      <c r="Q2879" s="1"/>
      <c r="R2879" s="1"/>
    </row>
    <row r="2880" spans="2:18">
      <c r="C2880" s="2" t="s">
        <v>4</v>
      </c>
      <c r="D2880" s="2" t="s">
        <v>656</v>
      </c>
      <c r="E2880" s="3">
        <v>3</v>
      </c>
      <c r="F2880" s="3">
        <v>1</v>
      </c>
      <c r="G2880" s="4">
        <v>43999</v>
      </c>
      <c r="M2880" s="1"/>
      <c r="N2880" s="1"/>
      <c r="O2880" s="1"/>
      <c r="P2880" s="1"/>
      <c r="Q2880" s="1"/>
      <c r="R2880" s="1"/>
    </row>
    <row r="2881" spans="2:18">
      <c r="C2881" s="2" t="s">
        <v>7</v>
      </c>
      <c r="D2881" s="2" t="s">
        <v>310</v>
      </c>
      <c r="E2881" s="3">
        <v>40</v>
      </c>
      <c r="F2881" s="3">
        <v>4</v>
      </c>
      <c r="G2881" s="4">
        <v>43419</v>
      </c>
      <c r="M2881" s="1"/>
      <c r="N2881" s="1"/>
      <c r="O2881" s="1"/>
      <c r="P2881" s="1"/>
      <c r="Q2881" s="1"/>
      <c r="R2881" s="1"/>
    </row>
    <row r="2882" spans="2:18">
      <c r="C2882" s="2" t="s">
        <v>5</v>
      </c>
      <c r="D2882" s="2" t="s">
        <v>310</v>
      </c>
      <c r="E2882" s="3">
        <v>14.7</v>
      </c>
      <c r="F2882" s="3">
        <v>2.25</v>
      </c>
      <c r="G2882" s="4">
        <v>43032</v>
      </c>
      <c r="M2882" s="1"/>
      <c r="N2882" s="1"/>
      <c r="O2882" s="1"/>
      <c r="P2882" s="1"/>
      <c r="Q2882" s="1"/>
      <c r="R2882" s="1"/>
    </row>
    <row r="2883" spans="2:18">
      <c r="C2883" s="2" t="s">
        <v>4</v>
      </c>
      <c r="D2883" s="2" t="s">
        <v>302</v>
      </c>
      <c r="E2883" s="3">
        <v>1.8</v>
      </c>
      <c r="F2883" s="3">
        <v>0.2</v>
      </c>
      <c r="G2883" s="4">
        <v>42690</v>
      </c>
      <c r="M2883" s="1"/>
      <c r="N2883" s="1"/>
      <c r="O2883" s="1"/>
      <c r="P2883" s="1"/>
      <c r="Q2883" s="1"/>
      <c r="R2883" s="1"/>
    </row>
    <row r="2884" spans="2:18">
      <c r="G2884" s="4"/>
      <c r="M2884" s="1"/>
      <c r="N2884" s="1"/>
      <c r="O2884" s="1"/>
      <c r="P2884" s="1"/>
      <c r="Q2884" s="1"/>
      <c r="R2884" s="1"/>
    </row>
    <row r="2885" spans="2:18" s="12" customFormat="1">
      <c r="B2885" s="12" t="s">
        <v>996</v>
      </c>
      <c r="C2885" s="13" t="s">
        <v>969</v>
      </c>
      <c r="D2885" s="13" t="s">
        <v>968</v>
      </c>
      <c r="E2885" s="15"/>
      <c r="F2885" s="15">
        <f>SUM(F2886:F2887)</f>
        <v>10.142857142857142</v>
      </c>
      <c r="G2885" s="14">
        <f>G2886</f>
        <v>44628</v>
      </c>
      <c r="M2885" s="13"/>
      <c r="N2885" s="13"/>
      <c r="O2885" s="13"/>
      <c r="P2885" s="13"/>
      <c r="Q2885" s="13"/>
      <c r="R2885" s="13"/>
    </row>
    <row r="2886" spans="2:18">
      <c r="C2886" s="2" t="s">
        <v>7</v>
      </c>
      <c r="D2886" s="2" t="s">
        <v>864</v>
      </c>
      <c r="E2886" s="3">
        <v>50</v>
      </c>
      <c r="F2886" s="3">
        <f>E2886/7</f>
        <v>7.1428571428571432</v>
      </c>
      <c r="G2886" s="4">
        <v>44628</v>
      </c>
    </row>
    <row r="2887" spans="2:18">
      <c r="C2887" s="2" t="s">
        <v>5</v>
      </c>
      <c r="D2887" s="2" t="s">
        <v>864</v>
      </c>
      <c r="E2887" s="3">
        <v>10</v>
      </c>
      <c r="F2887" s="3">
        <v>3</v>
      </c>
      <c r="G2887" s="4">
        <v>44378</v>
      </c>
    </row>
    <row r="2888" spans="2:18">
      <c r="G2888" s="4"/>
    </row>
    <row r="2889" spans="2:18" s="12" customFormat="1">
      <c r="B2889" s="12" t="s">
        <v>995</v>
      </c>
      <c r="C2889" s="18" t="s">
        <v>969</v>
      </c>
      <c r="D2889" s="18" t="s">
        <v>968</v>
      </c>
      <c r="E2889" s="17"/>
      <c r="F2889" s="17">
        <f>SUM(F2890:F2892)</f>
        <v>10</v>
      </c>
      <c r="G2889" s="16">
        <f>G2890</f>
        <v>44963</v>
      </c>
      <c r="M2889" s="13"/>
      <c r="N2889" s="13"/>
      <c r="O2889" s="13"/>
      <c r="P2889" s="13"/>
      <c r="Q2889" s="13"/>
      <c r="R2889" s="13"/>
    </row>
    <row r="2890" spans="2:18">
      <c r="C2890" s="2" t="s">
        <v>5</v>
      </c>
      <c r="D2890" s="2" t="s">
        <v>994</v>
      </c>
      <c r="E2890" s="3">
        <v>23</v>
      </c>
      <c r="F2890" s="3">
        <v>5</v>
      </c>
      <c r="G2890" s="4">
        <v>44963</v>
      </c>
    </row>
    <row r="2891" spans="2:18">
      <c r="C2891" s="2" t="s">
        <v>5</v>
      </c>
      <c r="D2891" s="2" t="s">
        <v>669</v>
      </c>
      <c r="E2891" s="3">
        <v>14</v>
      </c>
      <c r="F2891" s="3">
        <v>3</v>
      </c>
      <c r="G2891" s="4">
        <v>44705</v>
      </c>
    </row>
    <row r="2892" spans="2:18">
      <c r="C2892" s="2" t="s">
        <v>4</v>
      </c>
      <c r="D2892" s="2" t="s">
        <v>669</v>
      </c>
      <c r="E2892" s="3">
        <v>5</v>
      </c>
      <c r="F2892" s="3">
        <v>2</v>
      </c>
      <c r="G2892" s="4">
        <v>44578</v>
      </c>
    </row>
    <row r="2893" spans="2:18">
      <c r="G2893" s="4"/>
    </row>
    <row r="2894" spans="2:18" s="12" customFormat="1">
      <c r="B2894" s="12" t="s">
        <v>664</v>
      </c>
      <c r="C2894" s="13" t="s">
        <v>969</v>
      </c>
      <c r="D2894" s="13" t="s">
        <v>968</v>
      </c>
      <c r="E2894" s="15"/>
      <c r="F2894" s="15">
        <f>SUM(F2895:F2898)</f>
        <v>10.944444444444445</v>
      </c>
      <c r="G2894" s="14">
        <f>G2896</f>
        <v>44887</v>
      </c>
      <c r="M2894" s="13"/>
      <c r="N2894" s="13"/>
      <c r="O2894" s="13"/>
      <c r="P2894" s="13"/>
      <c r="Q2894" s="13"/>
      <c r="R2894" s="13"/>
    </row>
    <row r="2895" spans="2:18">
      <c r="C2895" s="2" t="s">
        <v>5</v>
      </c>
      <c r="D2895" s="2" t="s">
        <v>663</v>
      </c>
      <c r="E2895" s="3">
        <v>17</v>
      </c>
      <c r="F2895" s="3">
        <v>6</v>
      </c>
      <c r="G2895" s="4">
        <v>44679</v>
      </c>
      <c r="M2895" s="1"/>
      <c r="N2895" s="1"/>
      <c r="O2895" s="1"/>
      <c r="P2895" s="1"/>
      <c r="Q2895" s="1"/>
      <c r="R2895" s="1"/>
    </row>
    <row r="2896" spans="2:18">
      <c r="C2896" s="2" t="s">
        <v>4</v>
      </c>
      <c r="D2896" s="2" t="s">
        <v>573</v>
      </c>
      <c r="E2896" s="3">
        <v>10</v>
      </c>
      <c r="F2896" s="3">
        <v>3</v>
      </c>
      <c r="G2896" s="4">
        <v>44887</v>
      </c>
      <c r="M2896" s="1"/>
      <c r="N2896" s="1"/>
      <c r="O2896" s="1"/>
      <c r="P2896" s="1"/>
      <c r="Q2896" s="1"/>
      <c r="R2896" s="1"/>
    </row>
    <row r="2897" spans="2:18">
      <c r="C2897" s="177" t="s">
        <v>4</v>
      </c>
      <c r="D2897" s="177" t="s">
        <v>2023</v>
      </c>
      <c r="E2897" s="3">
        <v>3.5</v>
      </c>
      <c r="F2897" s="3">
        <v>1.5</v>
      </c>
      <c r="G2897" s="4">
        <v>44609</v>
      </c>
      <c r="M2897" s="1"/>
      <c r="N2897" s="1"/>
      <c r="O2897" s="1"/>
      <c r="P2897" s="1"/>
      <c r="Q2897" s="1"/>
      <c r="R2897" s="1"/>
    </row>
    <row r="2898" spans="2:18">
      <c r="C2898" s="394" t="s">
        <v>278</v>
      </c>
      <c r="D2898" s="394" t="s">
        <v>9775</v>
      </c>
      <c r="E2898" s="3">
        <v>6</v>
      </c>
      <c r="F2898" s="3">
        <f>4/9</f>
        <v>0.44444444444444442</v>
      </c>
      <c r="G2898" s="4">
        <v>44348</v>
      </c>
      <c r="M2898" s="1"/>
      <c r="N2898" s="1"/>
      <c r="O2898" s="1"/>
      <c r="P2898" s="1"/>
      <c r="Q2898" s="1"/>
      <c r="R2898" s="1"/>
    </row>
    <row r="2899" spans="2:18">
      <c r="G2899" s="4"/>
      <c r="M2899" s="1"/>
      <c r="N2899" s="1"/>
      <c r="O2899" s="1"/>
      <c r="P2899" s="1"/>
      <c r="Q2899" s="1"/>
      <c r="R2899" s="1"/>
    </row>
    <row r="2900" spans="2:18" s="12" customFormat="1">
      <c r="B2900" s="12" t="s">
        <v>739</v>
      </c>
      <c r="C2900" s="13" t="s">
        <v>969</v>
      </c>
      <c r="D2900" s="13" t="s">
        <v>968</v>
      </c>
      <c r="E2900" s="15"/>
      <c r="F2900" s="15">
        <f>SUM(F2901:F2903)</f>
        <v>9.8000000000000007</v>
      </c>
      <c r="G2900" s="14">
        <f>G2901</f>
        <v>44755</v>
      </c>
    </row>
    <row r="2901" spans="2:18">
      <c r="C2901" s="2" t="s">
        <v>7</v>
      </c>
      <c r="D2901" s="2" t="s">
        <v>735</v>
      </c>
      <c r="E2901" s="3">
        <v>25</v>
      </c>
      <c r="F2901" s="3">
        <f>15/5</f>
        <v>3</v>
      </c>
      <c r="G2901" s="4">
        <v>44755</v>
      </c>
    </row>
    <row r="2902" spans="2:18">
      <c r="C2902" s="2" t="s">
        <v>5</v>
      </c>
      <c r="D2902" s="2" t="s">
        <v>735</v>
      </c>
      <c r="E2902" s="3">
        <v>21</v>
      </c>
      <c r="F2902" s="3">
        <f>14/5</f>
        <v>2.8</v>
      </c>
      <c r="G2902" s="4">
        <v>44489</v>
      </c>
    </row>
    <row r="2903" spans="2:18">
      <c r="C2903" s="2" t="s">
        <v>4</v>
      </c>
      <c r="D2903" s="2" t="s">
        <v>735</v>
      </c>
      <c r="E2903" s="3">
        <v>9.1</v>
      </c>
      <c r="F2903" s="3">
        <v>4</v>
      </c>
      <c r="G2903" s="4">
        <v>44131</v>
      </c>
    </row>
    <row r="2904" spans="2:18">
      <c r="G2904" s="4"/>
    </row>
    <row r="2905" spans="2:18" s="12" customFormat="1">
      <c r="B2905" s="12" t="s">
        <v>993</v>
      </c>
      <c r="C2905" s="13" t="s">
        <v>969</v>
      </c>
      <c r="D2905" s="13" t="s">
        <v>968</v>
      </c>
      <c r="E2905" s="15"/>
      <c r="F2905" s="15">
        <f>SUM(F2906:F2907)</f>
        <v>10.142857142857142</v>
      </c>
      <c r="G2905" s="14">
        <f>G2906</f>
        <v>44628</v>
      </c>
      <c r="M2905" s="13"/>
      <c r="N2905" s="13"/>
      <c r="O2905" s="13"/>
      <c r="P2905" s="13"/>
      <c r="Q2905" s="13"/>
      <c r="R2905" s="13"/>
    </row>
    <row r="2906" spans="2:18">
      <c r="C2906" s="2" t="s">
        <v>7</v>
      </c>
      <c r="D2906" s="2" t="s">
        <v>864</v>
      </c>
      <c r="E2906" s="3">
        <v>50</v>
      </c>
      <c r="F2906" s="3">
        <f>E2906/7</f>
        <v>7.1428571428571432</v>
      </c>
      <c r="G2906" s="4">
        <v>44628</v>
      </c>
    </row>
    <row r="2907" spans="2:18">
      <c r="C2907" s="2" t="s">
        <v>5</v>
      </c>
      <c r="D2907" s="2" t="s">
        <v>864</v>
      </c>
      <c r="E2907" s="3">
        <v>10</v>
      </c>
      <c r="F2907" s="3">
        <v>3</v>
      </c>
      <c r="G2907" s="4">
        <v>44378</v>
      </c>
    </row>
    <row r="2908" spans="2:18">
      <c r="G2908" s="4"/>
    </row>
    <row r="2909" spans="2:18" s="12" customFormat="1">
      <c r="B2909" s="12" t="s">
        <v>992</v>
      </c>
      <c r="C2909" s="13" t="s">
        <v>969</v>
      </c>
      <c r="D2909" s="13" t="s">
        <v>968</v>
      </c>
      <c r="E2909" s="15"/>
      <c r="F2909" s="15">
        <f>SUM(F2910:F2913)</f>
        <v>10</v>
      </c>
      <c r="G2909" s="14">
        <f>G2913</f>
        <v>44578</v>
      </c>
      <c r="M2909" s="13"/>
      <c r="N2909" s="13"/>
      <c r="O2909" s="13"/>
      <c r="P2909" s="13"/>
      <c r="Q2909" s="13"/>
      <c r="R2909" s="13"/>
    </row>
    <row r="2910" spans="2:18">
      <c r="C2910" s="2" t="s">
        <v>5</v>
      </c>
      <c r="D2910" s="2" t="s">
        <v>873</v>
      </c>
      <c r="E2910" s="3">
        <v>30</v>
      </c>
      <c r="F2910" s="3">
        <v>4</v>
      </c>
      <c r="G2910" s="4">
        <v>44522</v>
      </c>
    </row>
    <row r="2911" spans="2:18">
      <c r="C2911" s="2" t="s">
        <v>4</v>
      </c>
      <c r="D2911" s="2" t="s">
        <v>873</v>
      </c>
      <c r="E2911" s="3">
        <v>5.5</v>
      </c>
      <c r="F2911" s="3">
        <v>1</v>
      </c>
      <c r="G2911" s="4">
        <v>44096</v>
      </c>
    </row>
    <row r="2912" spans="2:18">
      <c r="C2912" s="2" t="s">
        <v>4</v>
      </c>
      <c r="D2912" s="2" t="s">
        <v>873</v>
      </c>
      <c r="E2912" s="3">
        <v>2</v>
      </c>
      <c r="F2912" s="3">
        <v>2</v>
      </c>
      <c r="G2912" s="4">
        <v>43862</v>
      </c>
    </row>
    <row r="2913" spans="2:18">
      <c r="C2913" s="2" t="s">
        <v>5</v>
      </c>
      <c r="D2913" s="2" t="s">
        <v>819</v>
      </c>
      <c r="E2913" s="3">
        <v>20</v>
      </c>
      <c r="F2913" s="3">
        <v>3</v>
      </c>
      <c r="G2913" s="4">
        <v>44578</v>
      </c>
    </row>
    <row r="2915" spans="2:18" s="12" customFormat="1">
      <c r="B2915" s="12" t="s">
        <v>294</v>
      </c>
      <c r="C2915" s="13" t="s">
        <v>969</v>
      </c>
      <c r="D2915" s="13" t="s">
        <v>968</v>
      </c>
      <c r="E2915" s="15"/>
      <c r="F2915" s="15">
        <f>SUM(F2916:F2921)</f>
        <v>10.213333333333335</v>
      </c>
      <c r="G2915" s="14">
        <f>+G2921</f>
        <v>45106</v>
      </c>
      <c r="M2915" s="13"/>
      <c r="N2915" s="13"/>
      <c r="O2915" s="13"/>
      <c r="P2915" s="13"/>
      <c r="Q2915" s="13"/>
      <c r="R2915" s="13"/>
    </row>
    <row r="2916" spans="2:18">
      <c r="C2916" s="2" t="s">
        <v>18</v>
      </c>
      <c r="D2916" s="2" t="s">
        <v>292</v>
      </c>
      <c r="E2916" s="3">
        <v>38</v>
      </c>
      <c r="F2916" s="3">
        <f>20/6</f>
        <v>3.3333333333333335</v>
      </c>
      <c r="G2916" s="4">
        <v>43104</v>
      </c>
    </row>
    <row r="2917" spans="2:18">
      <c r="C2917" s="2" t="s">
        <v>7</v>
      </c>
      <c r="D2917" s="2" t="s">
        <v>292</v>
      </c>
      <c r="E2917" s="3">
        <v>6.9</v>
      </c>
      <c r="F2917" s="3">
        <f>E2917/5</f>
        <v>1.3800000000000001</v>
      </c>
      <c r="G2917" s="4">
        <v>42458</v>
      </c>
    </row>
    <row r="2918" spans="2:18">
      <c r="C2918" s="2" t="s">
        <v>5</v>
      </c>
      <c r="D2918" s="2" t="s">
        <v>292</v>
      </c>
      <c r="E2918" s="3">
        <v>2.7</v>
      </c>
      <c r="F2918" s="3">
        <v>1</v>
      </c>
      <c r="G2918" s="4">
        <v>42139</v>
      </c>
    </row>
    <row r="2919" spans="2:18">
      <c r="C2919" s="394" t="s">
        <v>4</v>
      </c>
      <c r="D2919" s="394" t="s">
        <v>2001</v>
      </c>
      <c r="E2919" s="3">
        <v>1.5</v>
      </c>
      <c r="F2919" s="3">
        <v>1</v>
      </c>
      <c r="G2919" s="4">
        <v>43424</v>
      </c>
    </row>
    <row r="2920" spans="2:18">
      <c r="C2920" s="394" t="s">
        <v>5</v>
      </c>
      <c r="D2920" s="394" t="s">
        <v>2001</v>
      </c>
      <c r="E2920" s="3">
        <v>6</v>
      </c>
      <c r="F2920" s="3">
        <v>2</v>
      </c>
      <c r="G2920" s="4">
        <v>44391</v>
      </c>
    </row>
    <row r="2921" spans="2:18">
      <c r="C2921" s="394" t="s">
        <v>7</v>
      </c>
      <c r="D2921" s="394" t="s">
        <v>2001</v>
      </c>
      <c r="E2921" s="3">
        <v>6.5</v>
      </c>
      <c r="F2921" s="3">
        <v>1.5</v>
      </c>
      <c r="G2921" s="4">
        <v>45106</v>
      </c>
    </row>
    <row r="2922" spans="2:18">
      <c r="G2922" s="4"/>
    </row>
    <row r="2923" spans="2:18" s="12" customFormat="1">
      <c r="B2923" s="12" t="s">
        <v>991</v>
      </c>
      <c r="C2923" s="13" t="s">
        <v>969</v>
      </c>
      <c r="D2923" s="13" t="s">
        <v>968</v>
      </c>
      <c r="E2923" s="15"/>
      <c r="F2923" s="15">
        <f>SUM(F2924:F2929)</f>
        <v>9.5499999999999989</v>
      </c>
      <c r="G2923" s="14">
        <f>G2928</f>
        <v>44637</v>
      </c>
    </row>
    <row r="2924" spans="2:18">
      <c r="C2924" s="2" t="s">
        <v>18</v>
      </c>
      <c r="D2924" s="2" t="s">
        <v>606</v>
      </c>
      <c r="E2924" s="3">
        <v>48</v>
      </c>
      <c r="F2924" s="3">
        <v>4</v>
      </c>
      <c r="G2924" s="4">
        <v>43888</v>
      </c>
      <c r="J2924" s="1">
        <v>1200</v>
      </c>
      <c r="M2924" s="1"/>
      <c r="N2924" s="1"/>
      <c r="O2924" s="1"/>
      <c r="P2924" s="1"/>
      <c r="Q2924" s="1"/>
      <c r="R2924" s="1"/>
    </row>
    <row r="2925" spans="2:18">
      <c r="C2925" s="2" t="s">
        <v>7</v>
      </c>
      <c r="D2925" s="2" t="s">
        <v>606</v>
      </c>
      <c r="E2925" s="3">
        <v>25</v>
      </c>
      <c r="F2925" s="3">
        <v>2</v>
      </c>
      <c r="G2925" s="4">
        <v>43440</v>
      </c>
      <c r="J2925" s="1">
        <v>1200</v>
      </c>
      <c r="M2925" s="1"/>
      <c r="N2925" s="1"/>
      <c r="O2925" s="1"/>
      <c r="P2925" s="1"/>
      <c r="Q2925" s="1"/>
      <c r="R2925" s="1"/>
    </row>
    <row r="2926" spans="2:18">
      <c r="C2926" s="2" t="s">
        <v>5</v>
      </c>
      <c r="D2926" s="2" t="s">
        <v>606</v>
      </c>
      <c r="E2926" s="3">
        <v>5.8</v>
      </c>
      <c r="F2926" s="3">
        <f>E2926/4</f>
        <v>1.45</v>
      </c>
      <c r="G2926" s="4">
        <v>43117</v>
      </c>
      <c r="J2926" s="1">
        <v>1200</v>
      </c>
      <c r="M2926" s="1"/>
      <c r="N2926" s="1"/>
      <c r="O2926" s="1"/>
      <c r="P2926" s="1"/>
      <c r="Q2926" s="1"/>
      <c r="R2926" s="1"/>
    </row>
    <row r="2927" spans="2:18">
      <c r="C2927" s="2" t="s">
        <v>4</v>
      </c>
      <c r="D2927" s="2" t="s">
        <v>606</v>
      </c>
      <c r="E2927" s="3">
        <v>3.3</v>
      </c>
      <c r="F2927" s="3">
        <v>0.5</v>
      </c>
      <c r="G2927" s="4">
        <v>42678</v>
      </c>
      <c r="J2927" s="1">
        <v>1200</v>
      </c>
      <c r="M2927" s="1"/>
      <c r="N2927" s="1"/>
      <c r="O2927" s="1"/>
      <c r="P2927" s="1"/>
      <c r="Q2927" s="1"/>
      <c r="R2927" s="1"/>
    </row>
    <row r="2928" spans="2:18">
      <c r="C2928" s="2" t="s">
        <v>5</v>
      </c>
      <c r="D2928" s="2" t="s">
        <v>302</v>
      </c>
      <c r="E2928" s="3">
        <v>10</v>
      </c>
      <c r="F2928" s="3">
        <v>1.4</v>
      </c>
      <c r="G2928" s="4">
        <v>44637</v>
      </c>
      <c r="M2928" s="1"/>
      <c r="N2928" s="1"/>
      <c r="O2928" s="1"/>
      <c r="P2928" s="1"/>
      <c r="Q2928" s="1"/>
      <c r="R2928" s="1"/>
    </row>
    <row r="2929" spans="2:18">
      <c r="C2929" s="2" t="s">
        <v>4</v>
      </c>
      <c r="D2929" s="2" t="s">
        <v>302</v>
      </c>
      <c r="E2929" s="3">
        <v>1.8</v>
      </c>
      <c r="F2929" s="3">
        <v>0.2</v>
      </c>
      <c r="G2929" s="4">
        <v>42690</v>
      </c>
      <c r="M2929" s="1"/>
      <c r="N2929" s="1"/>
      <c r="O2929" s="1"/>
      <c r="P2929" s="1"/>
      <c r="Q2929" s="1"/>
      <c r="R2929" s="1"/>
    </row>
    <row r="2930" spans="2:18">
      <c r="G2930" s="4"/>
      <c r="M2930" s="1"/>
      <c r="N2930" s="1"/>
      <c r="O2930" s="1"/>
      <c r="P2930" s="1"/>
      <c r="Q2930" s="1"/>
      <c r="R2930" s="1"/>
    </row>
    <row r="2931" spans="2:18" s="12" customFormat="1">
      <c r="B2931" s="12" t="s">
        <v>274</v>
      </c>
      <c r="C2931" s="13" t="s">
        <v>969</v>
      </c>
      <c r="D2931" s="13" t="s">
        <v>968</v>
      </c>
      <c r="E2931" s="15"/>
      <c r="F2931" s="15">
        <f>SUM(F2932:F2933)</f>
        <v>8.9285714285714288</v>
      </c>
      <c r="G2931" s="14">
        <f>G2932</f>
        <v>44622</v>
      </c>
      <c r="M2931" s="13"/>
      <c r="N2931" s="13"/>
      <c r="O2931" s="13"/>
      <c r="P2931" s="13"/>
      <c r="Q2931" s="13"/>
      <c r="R2931" s="13"/>
    </row>
    <row r="2932" spans="2:18">
      <c r="C2932" s="2" t="s">
        <v>8</v>
      </c>
      <c r="D2932" s="2" t="s">
        <v>258</v>
      </c>
      <c r="E2932" s="3">
        <v>111</v>
      </c>
      <c r="F2932" s="3">
        <f>97/14</f>
        <v>6.9285714285714288</v>
      </c>
      <c r="G2932" s="4">
        <v>44622</v>
      </c>
    </row>
    <row r="2933" spans="2:18">
      <c r="C2933" s="2" t="s">
        <v>7</v>
      </c>
      <c r="D2933" s="2" t="s">
        <v>258</v>
      </c>
      <c r="E2933" s="3">
        <v>16</v>
      </c>
      <c r="F2933" s="3">
        <v>2</v>
      </c>
      <c r="G2933" s="4">
        <v>44009</v>
      </c>
    </row>
    <row r="2934" spans="2:18">
      <c r="G2934" s="4"/>
    </row>
    <row r="2935" spans="2:18" s="12" customFormat="1">
      <c r="B2935" s="12" t="s">
        <v>5222</v>
      </c>
      <c r="C2935" s="13" t="s">
        <v>969</v>
      </c>
      <c r="D2935" s="13" t="s">
        <v>968</v>
      </c>
      <c r="E2935" s="15"/>
      <c r="F2935" s="15">
        <f>SUM(F2936:F2937)</f>
        <v>9</v>
      </c>
      <c r="G2935" s="14">
        <f>G2936</f>
        <v>44319</v>
      </c>
      <c r="M2935" s="13"/>
      <c r="N2935" s="13"/>
      <c r="O2935" s="13"/>
      <c r="P2935" s="13"/>
      <c r="Q2935" s="13"/>
      <c r="R2935" s="13"/>
    </row>
    <row r="2936" spans="2:18">
      <c r="B2936" s="91"/>
      <c r="C2936" s="92" t="s">
        <v>7</v>
      </c>
      <c r="D2936" s="92" t="s">
        <v>2101</v>
      </c>
      <c r="E2936" s="3">
        <v>56</v>
      </c>
      <c r="F2936" s="3">
        <v>8</v>
      </c>
      <c r="G2936" s="4">
        <v>44319</v>
      </c>
    </row>
    <row r="2937" spans="2:18">
      <c r="C2937" s="92" t="s">
        <v>4</v>
      </c>
      <c r="D2937" s="92" t="s">
        <v>2101</v>
      </c>
      <c r="E2937" s="3">
        <v>2.5</v>
      </c>
      <c r="F2937" s="3">
        <v>1</v>
      </c>
      <c r="G2937" s="4">
        <v>43401</v>
      </c>
    </row>
    <row r="2938" spans="2:18">
      <c r="C2938" s="92"/>
      <c r="D2938" s="92"/>
      <c r="G2938" s="4"/>
    </row>
    <row r="2939" spans="2:18" s="12" customFormat="1">
      <c r="B2939" s="12" t="s">
        <v>6406</v>
      </c>
      <c r="C2939" s="13" t="s">
        <v>969</v>
      </c>
      <c r="D2939" s="13" t="s">
        <v>968</v>
      </c>
      <c r="E2939" s="15"/>
      <c r="F2939" s="15">
        <f>SUM(F2940:F2941)</f>
        <v>9</v>
      </c>
      <c r="G2939" s="14">
        <f>G2940</f>
        <v>44881</v>
      </c>
      <c r="M2939" s="13"/>
      <c r="N2939" s="13"/>
      <c r="O2939" s="13"/>
      <c r="P2939" s="13"/>
      <c r="Q2939" s="13"/>
      <c r="R2939" s="13"/>
    </row>
    <row r="2940" spans="2:18">
      <c r="B2940" s="152"/>
      <c r="C2940" s="153" t="s">
        <v>7</v>
      </c>
      <c r="D2940" s="153" t="s">
        <v>2037</v>
      </c>
      <c r="E2940" s="3">
        <v>30</v>
      </c>
      <c r="F2940" s="3">
        <f>20/4</f>
        <v>5</v>
      </c>
      <c r="G2940" s="4">
        <v>44881</v>
      </c>
    </row>
    <row r="2941" spans="2:18">
      <c r="B2941" s="152"/>
      <c r="C2941" s="153" t="s">
        <v>5</v>
      </c>
      <c r="D2941" s="153" t="s">
        <v>2037</v>
      </c>
      <c r="E2941" s="3">
        <v>11</v>
      </c>
      <c r="F2941" s="3">
        <v>4</v>
      </c>
      <c r="G2941" s="4">
        <v>44174</v>
      </c>
    </row>
    <row r="2942" spans="2:18">
      <c r="G2942" s="4"/>
    </row>
    <row r="2943" spans="2:18" s="12" customFormat="1">
      <c r="B2943" s="12" t="s">
        <v>307</v>
      </c>
      <c r="C2943" s="13" t="s">
        <v>969</v>
      </c>
      <c r="D2943" s="13" t="s">
        <v>968</v>
      </c>
      <c r="E2943" s="15"/>
      <c r="F2943" s="15">
        <f>SUM(F2944:F2949)</f>
        <v>8.9049999999999994</v>
      </c>
      <c r="G2943" s="14">
        <f>G2948</f>
        <v>44833</v>
      </c>
      <c r="M2943" s="13"/>
      <c r="N2943" s="13"/>
      <c r="O2943" s="13"/>
      <c r="P2943" s="13"/>
      <c r="Q2943" s="13"/>
      <c r="R2943" s="13"/>
    </row>
    <row r="2944" spans="2:18">
      <c r="C2944" s="2" t="s">
        <v>4</v>
      </c>
      <c r="D2944" s="2" t="s">
        <v>302</v>
      </c>
      <c r="E2944" s="3">
        <v>4.5</v>
      </c>
      <c r="F2944" s="3">
        <v>0.5</v>
      </c>
      <c r="G2944" s="4">
        <v>44175</v>
      </c>
    </row>
    <row r="2945" spans="2:18">
      <c r="C2945" s="2" t="s">
        <v>18</v>
      </c>
      <c r="D2945" s="2" t="s">
        <v>292</v>
      </c>
      <c r="E2945" s="3">
        <v>38</v>
      </c>
      <c r="F2945" s="3">
        <v>3</v>
      </c>
      <c r="G2945" s="4">
        <v>43104</v>
      </c>
    </row>
    <row r="2946" spans="2:18">
      <c r="C2946" s="2" t="s">
        <v>7</v>
      </c>
      <c r="D2946" s="2" t="s">
        <v>292</v>
      </c>
      <c r="E2946" s="3">
        <v>6.9</v>
      </c>
      <c r="F2946" s="3">
        <f>E2946/5</f>
        <v>1.3800000000000001</v>
      </c>
      <c r="G2946" s="4">
        <v>42458</v>
      </c>
    </row>
    <row r="2947" spans="2:18">
      <c r="C2947" s="2" t="s">
        <v>5</v>
      </c>
      <c r="D2947" s="2" t="s">
        <v>292</v>
      </c>
      <c r="E2947" s="3">
        <v>2.7</v>
      </c>
      <c r="F2947" s="3">
        <f>1.7/4</f>
        <v>0.42499999999999999</v>
      </c>
      <c r="G2947" s="4">
        <v>42139</v>
      </c>
    </row>
    <row r="2948" spans="2:18">
      <c r="C2948" s="2" t="s">
        <v>5</v>
      </c>
      <c r="D2948" s="177" t="s">
        <v>2018</v>
      </c>
      <c r="E2948" s="3">
        <v>10</v>
      </c>
      <c r="F2948" s="3">
        <v>2</v>
      </c>
      <c r="G2948" s="4">
        <v>44833</v>
      </c>
    </row>
    <row r="2949" spans="2:18">
      <c r="C2949" s="177" t="s">
        <v>4</v>
      </c>
      <c r="D2949" s="177" t="s">
        <v>2018</v>
      </c>
      <c r="E2949" s="3">
        <v>4.8</v>
      </c>
      <c r="F2949" s="3">
        <f>E2949/3</f>
        <v>1.5999999999999999</v>
      </c>
      <c r="G2949" s="4">
        <v>44720</v>
      </c>
    </row>
    <row r="2950" spans="2:18">
      <c r="G2950" s="4"/>
    </row>
    <row r="2951" spans="2:18" s="12" customFormat="1">
      <c r="B2951" s="12" t="s">
        <v>267</v>
      </c>
      <c r="C2951" s="13" t="s">
        <v>969</v>
      </c>
      <c r="D2951" s="13" t="s">
        <v>968</v>
      </c>
      <c r="E2951" s="15"/>
      <c r="F2951" s="15">
        <f>SUM(F2952:F2954)</f>
        <v>9.2916666666666661</v>
      </c>
      <c r="G2951" s="14">
        <f>G2952</f>
        <v>44314</v>
      </c>
      <c r="M2951" s="13"/>
      <c r="N2951" s="13"/>
      <c r="O2951" s="13"/>
      <c r="P2951" s="13"/>
      <c r="Q2951" s="13"/>
      <c r="R2951" s="13"/>
    </row>
    <row r="2952" spans="2:18">
      <c r="C2952" s="2" t="s">
        <v>18</v>
      </c>
      <c r="D2952" s="2" t="s">
        <v>258</v>
      </c>
      <c r="E2952" s="3">
        <v>55</v>
      </c>
      <c r="F2952" s="3">
        <v>5.625</v>
      </c>
      <c r="G2952" s="4">
        <v>44314</v>
      </c>
    </row>
    <row r="2953" spans="2:18">
      <c r="C2953" s="2" t="s">
        <v>7</v>
      </c>
      <c r="D2953" s="2" t="s">
        <v>258</v>
      </c>
      <c r="E2953" s="3">
        <v>16</v>
      </c>
      <c r="F2953" s="3">
        <v>2</v>
      </c>
      <c r="G2953" s="4">
        <v>44009</v>
      </c>
    </row>
    <row r="2954" spans="2:18">
      <c r="C2954" s="2" t="s">
        <v>5</v>
      </c>
      <c r="D2954" s="2" t="s">
        <v>258</v>
      </c>
      <c r="E2954" s="3">
        <v>14</v>
      </c>
      <c r="F2954" s="3">
        <v>1.6666666666666667</v>
      </c>
      <c r="G2954" s="4">
        <v>43690</v>
      </c>
    </row>
    <row r="2955" spans="2:18">
      <c r="G2955" s="4"/>
    </row>
    <row r="2956" spans="2:18" s="12" customFormat="1">
      <c r="B2956" s="12" t="s">
        <v>276</v>
      </c>
      <c r="C2956" s="13" t="s">
        <v>969</v>
      </c>
      <c r="D2956" s="13" t="s">
        <v>968</v>
      </c>
      <c r="E2956" s="15"/>
      <c r="F2956" s="15">
        <f>SUM(F2957:F2958)</f>
        <v>8.9285714285714288</v>
      </c>
      <c r="G2956" s="14">
        <f>G2957</f>
        <v>44622</v>
      </c>
      <c r="M2956" s="13"/>
      <c r="N2956" s="13"/>
      <c r="O2956" s="13"/>
      <c r="P2956" s="13"/>
      <c r="Q2956" s="13"/>
      <c r="R2956" s="13"/>
    </row>
    <row r="2957" spans="2:18">
      <c r="C2957" s="2" t="s">
        <v>8</v>
      </c>
      <c r="D2957" s="2" t="s">
        <v>258</v>
      </c>
      <c r="E2957" s="3">
        <v>111</v>
      </c>
      <c r="F2957" s="3">
        <f>97/14</f>
        <v>6.9285714285714288</v>
      </c>
      <c r="G2957" s="4">
        <v>44622</v>
      </c>
    </row>
    <row r="2958" spans="2:18">
      <c r="C2958" s="2" t="s">
        <v>7</v>
      </c>
      <c r="D2958" s="2" t="s">
        <v>258</v>
      </c>
      <c r="E2958" s="3">
        <v>16</v>
      </c>
      <c r="F2958" s="3">
        <v>2</v>
      </c>
      <c r="G2958" s="4">
        <v>44009</v>
      </c>
    </row>
    <row r="2959" spans="2:18">
      <c r="G2959" s="4"/>
    </row>
    <row r="2960" spans="2:18" s="12" customFormat="1">
      <c r="B2960" s="12" t="s">
        <v>6372</v>
      </c>
      <c r="C2960" s="13" t="s">
        <v>969</v>
      </c>
      <c r="D2960" s="13" t="s">
        <v>968</v>
      </c>
      <c r="E2960" s="15"/>
      <c r="F2960" s="15">
        <f>SUM(F2961:F2963)</f>
        <v>9.15</v>
      </c>
      <c r="G2960" s="14">
        <f>G2961</f>
        <v>44831</v>
      </c>
      <c r="M2960" s="13"/>
      <c r="N2960" s="13"/>
      <c r="O2960" s="13"/>
      <c r="P2960" s="13"/>
      <c r="Q2960" s="13"/>
      <c r="R2960" s="13"/>
    </row>
    <row r="2961" spans="2:18">
      <c r="B2961" s="152"/>
      <c r="C2961" s="153" t="s">
        <v>7</v>
      </c>
      <c r="D2961" s="153" t="s">
        <v>2041</v>
      </c>
      <c r="E2961" s="3">
        <v>42</v>
      </c>
      <c r="F2961" s="3">
        <f>22/4</f>
        <v>5.5</v>
      </c>
      <c r="G2961" s="4">
        <v>44831</v>
      </c>
    </row>
    <row r="2962" spans="2:18">
      <c r="B2962" s="152"/>
      <c r="C2962" s="153" t="s">
        <v>5</v>
      </c>
      <c r="D2962" s="153" t="s">
        <v>2041</v>
      </c>
      <c r="E2962" s="3">
        <v>15</v>
      </c>
      <c r="F2962" s="3">
        <f>10/5</f>
        <v>2</v>
      </c>
      <c r="G2962" s="4">
        <v>44174</v>
      </c>
    </row>
    <row r="2963" spans="2:18">
      <c r="B2963" s="152"/>
      <c r="C2963" s="153" t="s">
        <v>4</v>
      </c>
      <c r="D2963" s="153" t="s">
        <v>2041</v>
      </c>
      <c r="E2963" s="3">
        <v>3.3</v>
      </c>
      <c r="F2963" s="3">
        <f>E2963/2</f>
        <v>1.65</v>
      </c>
      <c r="G2963" s="4">
        <v>43810</v>
      </c>
    </row>
    <row r="2964" spans="2:18">
      <c r="B2964" s="152"/>
      <c r="C2964" s="153"/>
      <c r="D2964" s="153"/>
      <c r="G2964" s="4"/>
    </row>
    <row r="2965" spans="2:18" s="12" customFormat="1">
      <c r="B2965" s="12" t="s">
        <v>872</v>
      </c>
      <c r="C2965" s="13" t="s">
        <v>969</v>
      </c>
      <c r="D2965" s="13" t="s">
        <v>968</v>
      </c>
      <c r="E2965" s="15"/>
      <c r="F2965" s="15">
        <f>SUM(F2966:F2967)</f>
        <v>8.8000000000000007</v>
      </c>
      <c r="G2965" s="14">
        <f>G2967</f>
        <v>44238</v>
      </c>
      <c r="M2965" s="13"/>
      <c r="N2965" s="13"/>
      <c r="O2965" s="13"/>
      <c r="P2965" s="13"/>
      <c r="Q2965" s="13"/>
      <c r="R2965" s="13"/>
    </row>
    <row r="2966" spans="2:18">
      <c r="C2966" s="2" t="s">
        <v>5</v>
      </c>
      <c r="D2966" s="2" t="s">
        <v>871</v>
      </c>
      <c r="E2966" s="3">
        <v>21.4</v>
      </c>
      <c r="F2966" s="3">
        <f>11.4/3</f>
        <v>3.8000000000000003</v>
      </c>
      <c r="G2966" s="4">
        <v>44232</v>
      </c>
    </row>
    <row r="2967" spans="2:18">
      <c r="C2967" s="55" t="s">
        <v>18</v>
      </c>
      <c r="D2967" s="55" t="s">
        <v>2109</v>
      </c>
      <c r="E2967" s="3">
        <v>40</v>
      </c>
      <c r="F2967" s="3">
        <v>5</v>
      </c>
      <c r="G2967" s="4">
        <v>44238</v>
      </c>
      <c r="J2967" s="1">
        <v>790</v>
      </c>
    </row>
    <row r="2968" spans="2:18">
      <c r="G2968" s="4"/>
    </row>
    <row r="2969" spans="2:18" s="12" customFormat="1">
      <c r="B2969" s="12" t="s">
        <v>6373</v>
      </c>
      <c r="C2969" s="13" t="s">
        <v>969</v>
      </c>
      <c r="D2969" s="13" t="s">
        <v>968</v>
      </c>
      <c r="E2969" s="15"/>
      <c r="F2969" s="15">
        <f>SUM(F2970:F2971)</f>
        <v>7.5</v>
      </c>
      <c r="G2969" s="14">
        <f>G2970</f>
        <v>44831</v>
      </c>
      <c r="M2969" s="13"/>
      <c r="N2969" s="13"/>
      <c r="O2969" s="13"/>
      <c r="P2969" s="13"/>
      <c r="Q2969" s="13"/>
      <c r="R2969" s="13"/>
    </row>
    <row r="2970" spans="2:18">
      <c r="B2970" s="152"/>
      <c r="C2970" s="153" t="s">
        <v>7</v>
      </c>
      <c r="D2970" s="153" t="s">
        <v>2041</v>
      </c>
      <c r="E2970" s="3">
        <v>42</v>
      </c>
      <c r="F2970" s="3">
        <f>22/4</f>
        <v>5.5</v>
      </c>
      <c r="G2970" s="4">
        <v>44831</v>
      </c>
    </row>
    <row r="2971" spans="2:18">
      <c r="B2971" s="152"/>
      <c r="C2971" s="153" t="s">
        <v>5</v>
      </c>
      <c r="D2971" s="153" t="s">
        <v>2041</v>
      </c>
      <c r="E2971" s="3">
        <v>15</v>
      </c>
      <c r="F2971" s="3">
        <f>10/5</f>
        <v>2</v>
      </c>
      <c r="G2971" s="4">
        <v>44174</v>
      </c>
    </row>
    <row r="2972" spans="2:18">
      <c r="B2972" s="152"/>
      <c r="C2972" s="153"/>
      <c r="D2972" s="153"/>
      <c r="G2972" s="4"/>
    </row>
    <row r="2973" spans="2:18" s="12" customFormat="1">
      <c r="B2973" s="12" t="s">
        <v>179</v>
      </c>
      <c r="C2973" s="13" t="s">
        <v>969</v>
      </c>
      <c r="D2973" s="13" t="s">
        <v>968</v>
      </c>
      <c r="E2973" s="15"/>
      <c r="F2973" s="15">
        <f>SUM(F2974:F2975)</f>
        <v>7.9666666666666668</v>
      </c>
      <c r="G2973" s="14">
        <f>G2974</f>
        <v>41437</v>
      </c>
      <c r="M2973" s="13"/>
      <c r="N2973" s="13"/>
      <c r="O2973" s="13"/>
      <c r="P2973" s="13"/>
      <c r="Q2973" s="13"/>
      <c r="R2973" s="13"/>
    </row>
    <row r="2974" spans="2:18">
      <c r="C2974" s="2" t="s">
        <v>18</v>
      </c>
      <c r="D2974" s="2" t="s">
        <v>176</v>
      </c>
      <c r="E2974" s="3">
        <v>34</v>
      </c>
      <c r="F2974" s="3">
        <f>14/3</f>
        <v>4.666666666666667</v>
      </c>
      <c r="G2974" s="4">
        <v>41437</v>
      </c>
    </row>
    <row r="2975" spans="2:18">
      <c r="C2975" s="2" t="s">
        <v>7</v>
      </c>
      <c r="D2975" s="2" t="s">
        <v>176</v>
      </c>
      <c r="E2975" s="3">
        <v>16.5</v>
      </c>
      <c r="F2975" s="3">
        <f>E2975/5</f>
        <v>3.3</v>
      </c>
      <c r="G2975" s="4">
        <v>41176</v>
      </c>
    </row>
    <row r="2976" spans="2:18">
      <c r="G2976" s="4"/>
    </row>
    <row r="2977" spans="2:18" s="12" customFormat="1">
      <c r="B2977" s="12" t="s">
        <v>6682</v>
      </c>
      <c r="C2977" s="13" t="s">
        <v>969</v>
      </c>
      <c r="D2977" s="13" t="s">
        <v>968</v>
      </c>
      <c r="E2977" s="15"/>
      <c r="F2977" s="15">
        <f>SUM(F2978:F2979)</f>
        <v>7.8571428571428577</v>
      </c>
      <c r="G2977" s="14">
        <f>G2978</f>
        <v>43178</v>
      </c>
      <c r="M2977" s="13"/>
      <c r="N2977" s="13"/>
      <c r="O2977" s="13"/>
      <c r="P2977" s="13"/>
      <c r="Q2977" s="13"/>
      <c r="R2977" s="13"/>
    </row>
    <row r="2978" spans="2:18">
      <c r="C2978" s="2" t="s">
        <v>8</v>
      </c>
      <c r="D2978" s="2" t="s">
        <v>102</v>
      </c>
      <c r="E2978" s="3">
        <v>30</v>
      </c>
      <c r="F2978" s="3">
        <f>20/7</f>
        <v>2.8571428571428572</v>
      </c>
      <c r="G2978" s="4">
        <v>43178</v>
      </c>
    </row>
    <row r="2979" spans="2:18">
      <c r="C2979" s="55" t="s">
        <v>18</v>
      </c>
      <c r="D2979" s="55" t="s">
        <v>2112</v>
      </c>
      <c r="E2979" s="3">
        <v>40</v>
      </c>
      <c r="F2979" s="3">
        <v>5</v>
      </c>
      <c r="G2979" s="4">
        <v>43069</v>
      </c>
      <c r="J2979" s="1">
        <v>1600</v>
      </c>
    </row>
    <row r="2980" spans="2:18">
      <c r="G2980" s="4"/>
    </row>
    <row r="2981" spans="2:18" s="12" customFormat="1">
      <c r="B2981" s="12" t="s">
        <v>459</v>
      </c>
      <c r="C2981" s="13" t="s">
        <v>969</v>
      </c>
      <c r="D2981" s="13" t="s">
        <v>968</v>
      </c>
      <c r="E2981" s="15"/>
      <c r="F2981" s="15">
        <f>SUM(F2982:F2983)</f>
        <v>8.3000000000000007</v>
      </c>
      <c r="G2981" s="14">
        <f>G2982</f>
        <v>44600</v>
      </c>
    </row>
    <row r="2982" spans="2:18">
      <c r="C2982" s="2" t="s">
        <v>7</v>
      </c>
      <c r="D2982" s="2" t="s">
        <v>456</v>
      </c>
      <c r="E2982" s="3">
        <v>26.8</v>
      </c>
      <c r="F2982" s="3">
        <v>4</v>
      </c>
      <c r="G2982" s="4">
        <v>44600</v>
      </c>
      <c r="M2982" s="1"/>
      <c r="N2982" s="1"/>
      <c r="O2982" s="1"/>
      <c r="P2982" s="1"/>
      <c r="Q2982" s="1"/>
      <c r="R2982" s="1"/>
    </row>
    <row r="2983" spans="2:18">
      <c r="C2983" s="2" t="s">
        <v>5</v>
      </c>
      <c r="D2983" s="2" t="s">
        <v>456</v>
      </c>
      <c r="E2983" s="3">
        <v>8.3000000000000007</v>
      </c>
      <c r="F2983" s="3">
        <v>4.3</v>
      </c>
      <c r="G2983" s="4">
        <v>44053</v>
      </c>
      <c r="M2983" s="1"/>
      <c r="N2983" s="1"/>
      <c r="O2983" s="1"/>
      <c r="P2983" s="1"/>
      <c r="Q2983" s="1"/>
      <c r="R2983" s="1"/>
    </row>
    <row r="2984" spans="2:18">
      <c r="G2984" s="4"/>
      <c r="M2984" s="1"/>
      <c r="N2984" s="1"/>
      <c r="O2984" s="1"/>
      <c r="P2984" s="1"/>
      <c r="Q2984" s="1"/>
      <c r="R2984" s="1"/>
    </row>
    <row r="2985" spans="2:18" s="12" customFormat="1">
      <c r="B2985" s="12" t="s">
        <v>557</v>
      </c>
      <c r="C2985" s="13" t="s">
        <v>969</v>
      </c>
      <c r="D2985" s="13" t="s">
        <v>968</v>
      </c>
      <c r="E2985" s="15"/>
      <c r="F2985" s="15">
        <f>SUM(F2986:F2987)</f>
        <v>7.5</v>
      </c>
      <c r="G2985" s="14">
        <f>G2986</f>
        <v>45077</v>
      </c>
    </row>
    <row r="2986" spans="2:18">
      <c r="C2986" s="2" t="s">
        <v>7</v>
      </c>
      <c r="D2986" s="2" t="s">
        <v>548</v>
      </c>
      <c r="E2986" s="3">
        <v>20</v>
      </c>
      <c r="F2986" s="3">
        <f>12/6</f>
        <v>2</v>
      </c>
      <c r="G2986" s="4">
        <v>45077</v>
      </c>
      <c r="M2986" s="1"/>
      <c r="N2986" s="1"/>
      <c r="O2986" s="1"/>
      <c r="P2986" s="1"/>
      <c r="Q2986" s="1"/>
      <c r="R2986" s="1"/>
    </row>
    <row r="2987" spans="2:18">
      <c r="C2987" s="2" t="s">
        <v>5</v>
      </c>
      <c r="D2987" s="2" t="s">
        <v>548</v>
      </c>
      <c r="E2987" s="3">
        <v>10.5</v>
      </c>
      <c r="F2987" s="3">
        <v>5.5</v>
      </c>
      <c r="G2987" s="4">
        <v>44341</v>
      </c>
      <c r="M2987" s="1"/>
      <c r="N2987" s="1"/>
      <c r="O2987" s="1"/>
      <c r="P2987" s="1"/>
      <c r="Q2987" s="1"/>
      <c r="R2987" s="1"/>
    </row>
    <row r="2988" spans="2:18">
      <c r="G2988" s="4"/>
      <c r="M2988" s="1"/>
      <c r="N2988" s="1"/>
      <c r="O2988" s="1"/>
      <c r="P2988" s="1"/>
      <c r="Q2988" s="1"/>
      <c r="R2988" s="1"/>
    </row>
    <row r="2989" spans="2:18" s="12" customFormat="1">
      <c r="B2989" s="12" t="s">
        <v>450</v>
      </c>
      <c r="C2989" s="13" t="s">
        <v>969</v>
      </c>
      <c r="D2989" s="13" t="s">
        <v>968</v>
      </c>
      <c r="E2989" s="15"/>
      <c r="F2989" s="15">
        <f>SUM(F2990:F2991)</f>
        <v>8.2954545454545467</v>
      </c>
      <c r="G2989" s="14">
        <f>G2990</f>
        <v>44776</v>
      </c>
    </row>
    <row r="2990" spans="2:18">
      <c r="C2990" s="2" t="s">
        <v>8</v>
      </c>
      <c r="D2990" s="2" t="s">
        <v>448</v>
      </c>
      <c r="E2990" s="3">
        <v>90</v>
      </c>
      <c r="F2990" s="3">
        <f>50/11</f>
        <v>4.5454545454545459</v>
      </c>
      <c r="G2990" s="4">
        <v>44776</v>
      </c>
      <c r="M2990" s="1"/>
      <c r="N2990" s="1"/>
      <c r="O2990" s="1"/>
      <c r="P2990" s="1"/>
      <c r="Q2990" s="1"/>
      <c r="R2990" s="1"/>
    </row>
    <row r="2991" spans="2:18">
      <c r="C2991" s="2" t="s">
        <v>18</v>
      </c>
      <c r="D2991" s="2" t="s">
        <v>448</v>
      </c>
      <c r="E2991" s="3">
        <v>40</v>
      </c>
      <c r="F2991" s="3">
        <v>3.75</v>
      </c>
      <c r="G2991" s="4">
        <v>44176</v>
      </c>
      <c r="M2991" s="1"/>
      <c r="N2991" s="1"/>
      <c r="O2991" s="1"/>
      <c r="P2991" s="1"/>
      <c r="Q2991" s="1"/>
      <c r="R2991" s="1"/>
    </row>
    <row r="2992" spans="2:18">
      <c r="G2992" s="4"/>
      <c r="M2992" s="1"/>
      <c r="N2992" s="1"/>
      <c r="O2992" s="1"/>
      <c r="P2992" s="1"/>
      <c r="Q2992" s="1"/>
      <c r="R2992" s="1"/>
    </row>
    <row r="2993" spans="2:18" s="12" customFormat="1">
      <c r="B2993" s="12" t="s">
        <v>432</v>
      </c>
      <c r="C2993" s="13" t="s">
        <v>969</v>
      </c>
      <c r="D2993" s="13" t="s">
        <v>968</v>
      </c>
      <c r="E2993" s="15"/>
      <c r="F2993" s="15">
        <f>SUM(F2994:F2995)</f>
        <v>8</v>
      </c>
      <c r="G2993" s="14">
        <f>G2995</f>
        <v>43355</v>
      </c>
    </row>
    <row r="2994" spans="2:18">
      <c r="C2994" s="2" t="s">
        <v>5</v>
      </c>
      <c r="D2994" s="2" t="s">
        <v>431</v>
      </c>
      <c r="E2994" s="3">
        <v>15</v>
      </c>
      <c r="F2994" s="3">
        <v>3</v>
      </c>
      <c r="G2994" s="4">
        <v>42690</v>
      </c>
      <c r="M2994" s="1"/>
      <c r="N2994" s="1"/>
      <c r="O2994" s="1"/>
      <c r="P2994" s="1"/>
      <c r="Q2994" s="1"/>
      <c r="R2994" s="1"/>
    </row>
    <row r="2995" spans="2:18">
      <c r="C2995" s="2" t="s">
        <v>5</v>
      </c>
      <c r="D2995" s="2" t="s">
        <v>430</v>
      </c>
      <c r="E2995" s="3">
        <v>5</v>
      </c>
      <c r="F2995" s="3">
        <v>5</v>
      </c>
      <c r="G2995" s="4">
        <v>43355</v>
      </c>
      <c r="M2995" s="1"/>
      <c r="N2995" s="1"/>
      <c r="O2995" s="1"/>
      <c r="P2995" s="1"/>
      <c r="Q2995" s="1"/>
      <c r="R2995" s="1"/>
    </row>
    <row r="2996" spans="2:18">
      <c r="G2996" s="4"/>
      <c r="M2996" s="1"/>
      <c r="N2996" s="1"/>
      <c r="O2996" s="1"/>
      <c r="P2996" s="1"/>
      <c r="Q2996" s="1"/>
      <c r="R2996" s="1"/>
    </row>
    <row r="2997" spans="2:18" s="12" customFormat="1">
      <c r="B2997" s="12" t="s">
        <v>734</v>
      </c>
      <c r="C2997" s="13" t="s">
        <v>969</v>
      </c>
      <c r="D2997" s="13" t="s">
        <v>968</v>
      </c>
      <c r="E2997" s="15"/>
      <c r="F2997" s="15">
        <f>SUM(F2998:F2999)</f>
        <v>7.5</v>
      </c>
      <c r="G2997" s="14">
        <f>G2998</f>
        <v>44757</v>
      </c>
    </row>
    <row r="2998" spans="2:18">
      <c r="C2998" s="2" t="s">
        <v>5</v>
      </c>
      <c r="D2998" s="2" t="s">
        <v>730</v>
      </c>
      <c r="E2998" s="3">
        <v>25</v>
      </c>
      <c r="F2998" s="3">
        <v>7</v>
      </c>
      <c r="G2998" s="4">
        <v>44757</v>
      </c>
    </row>
    <row r="2999" spans="2:18">
      <c r="C2999" s="2" t="s">
        <v>4</v>
      </c>
      <c r="D2999" s="2" t="s">
        <v>730</v>
      </c>
      <c r="E2999" s="3">
        <v>4</v>
      </c>
      <c r="F2999" s="3">
        <v>0.5</v>
      </c>
      <c r="G2999" s="4">
        <v>44340</v>
      </c>
    </row>
    <row r="3000" spans="2:18">
      <c r="G3000" s="4"/>
    </row>
    <row r="3001" spans="2:18" s="12" customFormat="1">
      <c r="B3001" s="12" t="s">
        <v>989</v>
      </c>
      <c r="C3001" s="13" t="s">
        <v>969</v>
      </c>
      <c r="D3001" s="13" t="s">
        <v>968</v>
      </c>
      <c r="E3001" s="15"/>
      <c r="F3001" s="15">
        <f>SUM(F3002:F3003)</f>
        <v>7.5</v>
      </c>
      <c r="G3001" s="14">
        <f>G3002</f>
        <v>44796</v>
      </c>
      <c r="M3001" s="13"/>
      <c r="N3001" s="13"/>
      <c r="O3001" s="13"/>
      <c r="P3001" s="13"/>
      <c r="Q3001" s="13"/>
      <c r="R3001" s="13"/>
    </row>
    <row r="3002" spans="2:18">
      <c r="C3002" s="2" t="s">
        <v>5</v>
      </c>
      <c r="D3002" s="2" t="s">
        <v>701</v>
      </c>
      <c r="E3002" s="3">
        <v>50</v>
      </c>
      <c r="F3002" s="3">
        <f>30/12</f>
        <v>2.5</v>
      </c>
      <c r="G3002" s="4">
        <v>44796</v>
      </c>
    </row>
    <row r="3003" spans="2:18">
      <c r="C3003" s="2" t="s">
        <v>4</v>
      </c>
      <c r="D3003" s="2" t="s">
        <v>701</v>
      </c>
      <c r="E3003" s="3">
        <v>12.5</v>
      </c>
      <c r="F3003" s="3">
        <v>5</v>
      </c>
      <c r="G3003" s="4">
        <v>44623</v>
      </c>
    </row>
    <row r="3005" spans="2:18" s="12" customFormat="1">
      <c r="B3005" s="12" t="s">
        <v>180</v>
      </c>
      <c r="C3005" s="13" t="s">
        <v>969</v>
      </c>
      <c r="D3005" s="13" t="s">
        <v>968</v>
      </c>
      <c r="E3005" s="15"/>
      <c r="F3005" s="15">
        <f>SUM(F3006:F3007)</f>
        <v>7.9666666666666668</v>
      </c>
      <c r="G3005" s="14">
        <f>G3006</f>
        <v>41437</v>
      </c>
      <c r="M3005" s="13"/>
      <c r="N3005" s="13"/>
      <c r="O3005" s="13"/>
      <c r="P3005" s="13"/>
      <c r="Q3005" s="13"/>
      <c r="R3005" s="13"/>
    </row>
    <row r="3006" spans="2:18">
      <c r="C3006" s="2" t="s">
        <v>18</v>
      </c>
      <c r="D3006" s="2" t="s">
        <v>176</v>
      </c>
      <c r="E3006" s="3">
        <v>34</v>
      </c>
      <c r="F3006" s="3">
        <f>14/3</f>
        <v>4.666666666666667</v>
      </c>
      <c r="G3006" s="4">
        <v>41437</v>
      </c>
    </row>
    <row r="3007" spans="2:18">
      <c r="C3007" s="2" t="s">
        <v>7</v>
      </c>
      <c r="D3007" s="2" t="s">
        <v>176</v>
      </c>
      <c r="E3007" s="3">
        <v>16.5</v>
      </c>
      <c r="F3007" s="3">
        <f>E3007/5</f>
        <v>3.3</v>
      </c>
      <c r="G3007" s="4">
        <v>41176</v>
      </c>
    </row>
    <row r="3008" spans="2:18">
      <c r="G3008" s="4"/>
    </row>
    <row r="3009" spans="2:18" s="12" customFormat="1">
      <c r="B3009" s="12" t="s">
        <v>6553</v>
      </c>
      <c r="C3009" s="13" t="s">
        <v>969</v>
      </c>
      <c r="D3009" s="13" t="s">
        <v>968</v>
      </c>
      <c r="E3009" s="15"/>
      <c r="F3009" s="15">
        <f>SUM(F3010:F3011)</f>
        <v>8</v>
      </c>
      <c r="G3009" s="14">
        <f>G3010</f>
        <v>44572</v>
      </c>
      <c r="M3009" s="13"/>
      <c r="N3009" s="13"/>
      <c r="O3009" s="13"/>
      <c r="P3009" s="13"/>
      <c r="Q3009" s="13"/>
      <c r="R3009" s="13"/>
    </row>
    <row r="3010" spans="2:18">
      <c r="B3010" s="152"/>
      <c r="C3010" s="153" t="s">
        <v>7</v>
      </c>
      <c r="D3010" s="153" t="s">
        <v>2034</v>
      </c>
      <c r="E3010" s="3">
        <v>25</v>
      </c>
      <c r="F3010" s="3">
        <v>5</v>
      </c>
      <c r="G3010" s="4">
        <v>44572</v>
      </c>
    </row>
    <row r="3011" spans="2:18">
      <c r="B3011" s="152"/>
      <c r="C3011" s="153" t="s">
        <v>5</v>
      </c>
      <c r="D3011" s="153" t="s">
        <v>2034</v>
      </c>
      <c r="E3011" s="3">
        <v>5</v>
      </c>
      <c r="F3011" s="3">
        <v>3</v>
      </c>
      <c r="G3011" s="4">
        <v>43888</v>
      </c>
    </row>
    <row r="3012" spans="2:18">
      <c r="B3012" s="152"/>
      <c r="C3012" s="153"/>
      <c r="D3012" s="153"/>
      <c r="G3012" s="4"/>
    </row>
    <row r="3013" spans="2:18" s="12" customFormat="1">
      <c r="B3013" s="12" t="s">
        <v>6405</v>
      </c>
      <c r="C3013" s="13" t="s">
        <v>969</v>
      </c>
      <c r="D3013" s="13" t="s">
        <v>968</v>
      </c>
      <c r="E3013" s="15"/>
      <c r="F3013" s="15">
        <f>SUM(F3014:F3016)</f>
        <v>7.75</v>
      </c>
      <c r="G3013" s="14">
        <f>G3014</f>
        <v>44881</v>
      </c>
      <c r="M3013" s="13"/>
      <c r="N3013" s="13"/>
      <c r="O3013" s="13"/>
      <c r="P3013" s="13"/>
      <c r="Q3013" s="13"/>
      <c r="R3013" s="13"/>
    </row>
    <row r="3014" spans="2:18">
      <c r="B3014" s="152"/>
      <c r="C3014" s="153" t="s">
        <v>7</v>
      </c>
      <c r="D3014" s="153" t="s">
        <v>2037</v>
      </c>
      <c r="E3014" s="3">
        <v>30</v>
      </c>
      <c r="F3014" s="3">
        <f>20/4</f>
        <v>5</v>
      </c>
      <c r="G3014" s="4">
        <v>44881</v>
      </c>
    </row>
    <row r="3015" spans="2:18">
      <c r="B3015" s="152"/>
      <c r="C3015" s="153" t="s">
        <v>5</v>
      </c>
      <c r="D3015" s="153" t="s">
        <v>2037</v>
      </c>
      <c r="E3015" s="3">
        <v>11</v>
      </c>
      <c r="F3015" s="3">
        <v>1.75</v>
      </c>
      <c r="G3015" s="4">
        <v>44174</v>
      </c>
    </row>
    <row r="3016" spans="2:18">
      <c r="B3016" s="152"/>
      <c r="C3016" s="153" t="s">
        <v>4</v>
      </c>
      <c r="D3016" s="153" t="s">
        <v>2037</v>
      </c>
      <c r="E3016" s="3">
        <v>2.9</v>
      </c>
      <c r="F3016" s="3">
        <v>1</v>
      </c>
      <c r="G3016" s="4">
        <v>43221</v>
      </c>
    </row>
    <row r="3017" spans="2:18">
      <c r="B3017" s="152"/>
      <c r="C3017" s="153"/>
      <c r="D3017" s="153"/>
      <c r="G3017" s="4"/>
    </row>
    <row r="3018" spans="2:18" s="12" customFormat="1">
      <c r="B3018" s="12" t="s">
        <v>376</v>
      </c>
      <c r="C3018" s="13" t="s">
        <v>969</v>
      </c>
      <c r="D3018" s="13" t="s">
        <v>968</v>
      </c>
      <c r="E3018" s="15"/>
      <c r="F3018" s="15">
        <f>SUM(F3019:F3020)</f>
        <v>8</v>
      </c>
      <c r="G3018" s="14">
        <f>G3019</f>
        <v>43909</v>
      </c>
    </row>
    <row r="3019" spans="2:18">
      <c r="C3019" s="2" t="s">
        <v>7</v>
      </c>
      <c r="D3019" s="2" t="s">
        <v>374</v>
      </c>
      <c r="E3019" s="3">
        <v>44</v>
      </c>
      <c r="F3019" s="3">
        <f>30/6</f>
        <v>5</v>
      </c>
      <c r="G3019" s="4">
        <v>43909</v>
      </c>
      <c r="M3019" s="1"/>
      <c r="N3019" s="1"/>
      <c r="O3019" s="1"/>
      <c r="P3019" s="1"/>
      <c r="Q3019" s="1"/>
      <c r="R3019" s="1"/>
    </row>
    <row r="3020" spans="2:18">
      <c r="C3020" s="2" t="s">
        <v>5</v>
      </c>
      <c r="D3020" s="2" t="s">
        <v>374</v>
      </c>
      <c r="E3020" s="3">
        <v>15</v>
      </c>
      <c r="F3020" s="3">
        <v>3</v>
      </c>
      <c r="G3020" s="4">
        <v>43452</v>
      </c>
      <c r="M3020" s="1"/>
      <c r="N3020" s="1"/>
      <c r="O3020" s="1"/>
      <c r="P3020" s="1"/>
      <c r="Q3020" s="1"/>
      <c r="R3020" s="1"/>
    </row>
    <row r="3021" spans="2:18">
      <c r="G3021" s="4"/>
      <c r="M3021" s="1"/>
      <c r="N3021" s="1"/>
      <c r="O3021" s="1"/>
      <c r="P3021" s="1"/>
      <c r="Q3021" s="1"/>
      <c r="R3021" s="1"/>
    </row>
    <row r="3022" spans="2:18" s="12" customFormat="1">
      <c r="B3022" s="12" t="s">
        <v>181</v>
      </c>
      <c r="C3022" s="13" t="s">
        <v>969</v>
      </c>
      <c r="D3022" s="13" t="s">
        <v>968</v>
      </c>
      <c r="E3022" s="15"/>
      <c r="F3022" s="15">
        <f>SUM(F3023:F3024)</f>
        <v>7.9666666666666668</v>
      </c>
      <c r="G3022" s="14">
        <f>G3023</f>
        <v>41437</v>
      </c>
      <c r="M3022" s="13"/>
      <c r="N3022" s="13"/>
      <c r="O3022" s="13"/>
      <c r="P3022" s="13"/>
      <c r="Q3022" s="13"/>
      <c r="R3022" s="13"/>
    </row>
    <row r="3023" spans="2:18">
      <c r="C3023" s="2" t="s">
        <v>18</v>
      </c>
      <c r="D3023" s="2" t="s">
        <v>176</v>
      </c>
      <c r="E3023" s="3">
        <v>34</v>
      </c>
      <c r="F3023" s="3">
        <f>14/3</f>
        <v>4.666666666666667</v>
      </c>
      <c r="G3023" s="4">
        <v>41437</v>
      </c>
    </row>
    <row r="3024" spans="2:18">
      <c r="C3024" s="2" t="s">
        <v>7</v>
      </c>
      <c r="D3024" s="2" t="s">
        <v>176</v>
      </c>
      <c r="E3024" s="3">
        <v>16.5</v>
      </c>
      <c r="F3024" s="3">
        <f>E3024/5</f>
        <v>3.3</v>
      </c>
      <c r="G3024" s="4">
        <v>41176</v>
      </c>
    </row>
    <row r="3025" spans="2:18">
      <c r="G3025" s="4"/>
    </row>
    <row r="3026" spans="2:18" s="12" customFormat="1">
      <c r="B3026" s="12" t="s">
        <v>526</v>
      </c>
      <c r="C3026" s="13" t="s">
        <v>969</v>
      </c>
      <c r="D3026" s="13" t="s">
        <v>968</v>
      </c>
      <c r="E3026" s="15"/>
      <c r="F3026" s="15">
        <f>SUM(F3027:F3031)</f>
        <v>8.375</v>
      </c>
      <c r="G3026" s="14">
        <f>G3028</f>
        <v>44364</v>
      </c>
    </row>
    <row r="3027" spans="2:18">
      <c r="C3027" s="2" t="s">
        <v>4</v>
      </c>
      <c r="D3027" s="2" t="s">
        <v>520</v>
      </c>
      <c r="E3027" s="3">
        <v>3</v>
      </c>
      <c r="F3027" s="3">
        <v>0.5</v>
      </c>
      <c r="G3027" s="4">
        <v>42606</v>
      </c>
      <c r="M3027" s="1"/>
      <c r="N3027" s="1"/>
      <c r="O3027" s="1"/>
      <c r="P3027" s="1"/>
      <c r="Q3027" s="1"/>
      <c r="R3027" s="1"/>
    </row>
    <row r="3028" spans="2:18">
      <c r="C3028" s="2" t="s">
        <v>7</v>
      </c>
      <c r="D3028" s="2" t="s">
        <v>525</v>
      </c>
      <c r="E3028" s="3">
        <v>32</v>
      </c>
      <c r="F3028" s="3">
        <v>3</v>
      </c>
      <c r="G3028" s="4">
        <v>44364</v>
      </c>
      <c r="M3028" s="1"/>
      <c r="N3028" s="1"/>
      <c r="O3028" s="1"/>
      <c r="P3028" s="1"/>
      <c r="Q3028" s="1"/>
      <c r="R3028" s="1"/>
    </row>
    <row r="3029" spans="2:18">
      <c r="C3029" s="2" t="s">
        <v>5</v>
      </c>
      <c r="D3029" s="2" t="s">
        <v>525</v>
      </c>
      <c r="E3029" s="3">
        <v>10.199999999999999</v>
      </c>
      <c r="F3029" s="3">
        <v>2</v>
      </c>
      <c r="G3029" s="4">
        <v>43732</v>
      </c>
      <c r="M3029" s="1"/>
      <c r="N3029" s="1"/>
      <c r="O3029" s="1"/>
      <c r="P3029" s="1"/>
      <c r="Q3029" s="1"/>
      <c r="R3029" s="1"/>
    </row>
    <row r="3030" spans="2:18">
      <c r="C3030" s="2" t="s">
        <v>4</v>
      </c>
      <c r="D3030" s="2" t="s">
        <v>525</v>
      </c>
      <c r="E3030" s="3">
        <v>3</v>
      </c>
      <c r="F3030" s="3">
        <v>1.5</v>
      </c>
      <c r="G3030" s="4">
        <v>43374</v>
      </c>
      <c r="M3030" s="1"/>
      <c r="N3030" s="1"/>
      <c r="O3030" s="1"/>
      <c r="P3030" s="1"/>
      <c r="Q3030" s="1"/>
      <c r="R3030" s="1"/>
    </row>
    <row r="3031" spans="2:18">
      <c r="C3031" s="52" t="s">
        <v>5</v>
      </c>
      <c r="D3031" s="52" t="s">
        <v>2116</v>
      </c>
      <c r="E3031" s="3">
        <v>11.5</v>
      </c>
      <c r="F3031" s="3">
        <f>5.5/4</f>
        <v>1.375</v>
      </c>
      <c r="G3031" s="4">
        <v>43355</v>
      </c>
      <c r="M3031" s="1"/>
      <c r="N3031" s="1"/>
      <c r="O3031" s="1"/>
      <c r="P3031" s="1"/>
      <c r="Q3031" s="1"/>
      <c r="R3031" s="1"/>
    </row>
    <row r="3032" spans="2:18">
      <c r="G3032" s="4"/>
      <c r="M3032" s="1"/>
      <c r="N3032" s="1"/>
      <c r="O3032" s="1"/>
      <c r="P3032" s="1"/>
      <c r="Q3032" s="1"/>
      <c r="R3032" s="1"/>
    </row>
    <row r="3033" spans="2:18" s="12" customFormat="1">
      <c r="B3033" s="12" t="s">
        <v>791</v>
      </c>
      <c r="C3033" s="13" t="s">
        <v>969</v>
      </c>
      <c r="D3033" s="13" t="s">
        <v>968</v>
      </c>
      <c r="E3033" s="15"/>
      <c r="F3033" s="15">
        <f>SUM(F3034:F3037)</f>
        <v>8.1</v>
      </c>
      <c r="G3033" s="14">
        <f>G3034</f>
        <v>44292</v>
      </c>
    </row>
    <row r="3034" spans="2:18">
      <c r="B3034" s="253" t="s">
        <v>7627</v>
      </c>
      <c r="C3034" s="2" t="s">
        <v>4</v>
      </c>
      <c r="D3034" s="2" t="s">
        <v>697</v>
      </c>
      <c r="E3034" s="3">
        <v>5.6</v>
      </c>
      <c r="F3034" s="3">
        <v>1</v>
      </c>
      <c r="G3034" s="4">
        <v>44292</v>
      </c>
      <c r="M3034" s="1"/>
      <c r="N3034" s="1"/>
      <c r="O3034" s="1"/>
      <c r="P3034" s="1"/>
      <c r="Q3034" s="1"/>
      <c r="R3034" s="1"/>
    </row>
    <row r="3035" spans="2:18">
      <c r="C3035" s="52" t="s">
        <v>7</v>
      </c>
      <c r="D3035" s="52" t="s">
        <v>2116</v>
      </c>
      <c r="E3035" s="3">
        <v>40</v>
      </c>
      <c r="F3035" s="3">
        <v>3</v>
      </c>
      <c r="G3035" s="4">
        <v>43720</v>
      </c>
      <c r="M3035" s="1"/>
      <c r="N3035" s="1"/>
      <c r="O3035" s="1"/>
      <c r="P3035" s="1"/>
      <c r="Q3035" s="1"/>
      <c r="R3035" s="1"/>
    </row>
    <row r="3036" spans="2:18">
      <c r="C3036" s="52" t="s">
        <v>5</v>
      </c>
      <c r="D3036" s="52" t="s">
        <v>2116</v>
      </c>
      <c r="E3036" s="3">
        <v>11.5</v>
      </c>
      <c r="F3036" s="3">
        <v>3</v>
      </c>
      <c r="G3036" s="4">
        <v>43355</v>
      </c>
      <c r="M3036" s="1"/>
      <c r="N3036" s="1"/>
      <c r="O3036" s="1"/>
      <c r="P3036" s="1"/>
      <c r="Q3036" s="1"/>
      <c r="R3036" s="1"/>
    </row>
    <row r="3037" spans="2:18">
      <c r="C3037" s="168" t="s">
        <v>4</v>
      </c>
      <c r="D3037" s="168" t="s">
        <v>2032</v>
      </c>
      <c r="E3037" s="3">
        <v>1.1000000000000001</v>
      </c>
      <c r="F3037" s="3">
        <v>1.1000000000000001</v>
      </c>
      <c r="G3037" s="4">
        <v>44133</v>
      </c>
      <c r="M3037" s="1"/>
      <c r="N3037" s="1"/>
      <c r="O3037" s="1"/>
      <c r="P3037" s="1"/>
      <c r="Q3037" s="1"/>
      <c r="R3037" s="1"/>
    </row>
    <row r="3038" spans="2:18">
      <c r="G3038" s="4"/>
      <c r="M3038" s="1"/>
      <c r="N3038" s="1"/>
      <c r="O3038" s="1"/>
      <c r="P3038" s="1"/>
      <c r="Q3038" s="1"/>
      <c r="R3038" s="1"/>
    </row>
    <row r="3039" spans="2:18" s="12" customFormat="1">
      <c r="B3039" s="12" t="s">
        <v>685</v>
      </c>
      <c r="C3039" s="13" t="s">
        <v>969</v>
      </c>
      <c r="D3039" s="13" t="s">
        <v>968</v>
      </c>
      <c r="E3039" s="15"/>
      <c r="F3039" s="15">
        <f>SUM(F3040:F3041)</f>
        <v>6.6666666666666661</v>
      </c>
      <c r="G3039" s="14">
        <f>G3040</f>
        <v>45027</v>
      </c>
      <c r="M3039" s="13"/>
      <c r="N3039" s="13"/>
      <c r="O3039" s="13"/>
      <c r="P3039" s="13"/>
      <c r="Q3039" s="13"/>
      <c r="R3039" s="13"/>
    </row>
    <row r="3040" spans="2:18">
      <c r="B3040" s="253" t="s">
        <v>7627</v>
      </c>
      <c r="C3040" s="2" t="s">
        <v>5</v>
      </c>
      <c r="D3040" s="2" t="s">
        <v>684</v>
      </c>
      <c r="E3040" s="3">
        <v>21</v>
      </c>
      <c r="F3040" s="3">
        <f>11/3</f>
        <v>3.6666666666666665</v>
      </c>
      <c r="G3040" s="4">
        <v>45027</v>
      </c>
    </row>
    <row r="3041" spans="2:18">
      <c r="C3041" s="2" t="s">
        <v>4</v>
      </c>
      <c r="D3041" s="2" t="s">
        <v>355</v>
      </c>
      <c r="E3041" s="3">
        <v>12</v>
      </c>
      <c r="F3041" s="3">
        <v>3</v>
      </c>
      <c r="G3041" s="4">
        <v>44271</v>
      </c>
    </row>
    <row r="3042" spans="2:18">
      <c r="G3042" s="4"/>
    </row>
    <row r="3043" spans="2:18" s="12" customFormat="1">
      <c r="B3043" s="12" t="s">
        <v>325</v>
      </c>
      <c r="C3043" s="13" t="s">
        <v>969</v>
      </c>
      <c r="D3043" s="13" t="s">
        <v>968</v>
      </c>
      <c r="E3043" s="15"/>
      <c r="F3043" s="15">
        <f>SUM(F3044:F3045)</f>
        <v>7</v>
      </c>
      <c r="G3043" s="14">
        <f>G3045</f>
        <v>44200</v>
      </c>
    </row>
    <row r="3044" spans="2:18">
      <c r="C3044" s="2" t="s">
        <v>5</v>
      </c>
      <c r="D3044" s="2" t="s">
        <v>318</v>
      </c>
      <c r="E3044" s="3">
        <v>16</v>
      </c>
      <c r="F3044" s="3">
        <v>2</v>
      </c>
      <c r="G3044" s="4">
        <v>43783</v>
      </c>
      <c r="L3044" s="1">
        <f>+F3044*5</f>
        <v>10</v>
      </c>
      <c r="M3044" s="1"/>
      <c r="N3044" s="1"/>
      <c r="O3044" s="1"/>
      <c r="P3044" s="1"/>
      <c r="Q3044" s="1"/>
      <c r="R3044" s="1"/>
    </row>
    <row r="3045" spans="2:18">
      <c r="C3045" s="2" t="s">
        <v>7</v>
      </c>
      <c r="D3045" s="2" t="s">
        <v>318</v>
      </c>
      <c r="E3045" s="3">
        <v>55</v>
      </c>
      <c r="F3045" s="3">
        <v>5</v>
      </c>
      <c r="G3045" s="4">
        <v>44200</v>
      </c>
      <c r="M3045" s="1"/>
      <c r="N3045" s="1"/>
      <c r="O3045" s="1"/>
      <c r="P3045" s="1"/>
      <c r="Q3045" s="1"/>
      <c r="R3045" s="1"/>
    </row>
    <row r="3046" spans="2:18">
      <c r="G3046" s="4"/>
      <c r="M3046" s="1"/>
      <c r="N3046" s="1"/>
      <c r="O3046" s="1"/>
      <c r="P3046" s="1"/>
      <c r="Q3046" s="1"/>
      <c r="R3046" s="1"/>
    </row>
    <row r="3047" spans="2:18" s="12" customFormat="1">
      <c r="B3047" s="12" t="s">
        <v>324</v>
      </c>
      <c r="C3047" s="13" t="s">
        <v>969</v>
      </c>
      <c r="D3047" s="13" t="s">
        <v>968</v>
      </c>
      <c r="E3047" s="15"/>
      <c r="F3047" s="15">
        <f>SUM(F3048:F3049)</f>
        <v>7</v>
      </c>
      <c r="G3047" s="14">
        <f>G3049</f>
        <v>44200</v>
      </c>
    </row>
    <row r="3048" spans="2:18">
      <c r="C3048" s="2" t="s">
        <v>5</v>
      </c>
      <c r="D3048" s="2" t="s">
        <v>318</v>
      </c>
      <c r="E3048" s="3">
        <v>16</v>
      </c>
      <c r="F3048" s="3">
        <v>2</v>
      </c>
      <c r="G3048" s="4">
        <v>43783</v>
      </c>
      <c r="L3048" s="1">
        <f>+F3048*5</f>
        <v>10</v>
      </c>
      <c r="M3048" s="1"/>
      <c r="N3048" s="1"/>
      <c r="O3048" s="1"/>
      <c r="P3048" s="1"/>
      <c r="Q3048" s="1"/>
      <c r="R3048" s="1"/>
    </row>
    <row r="3049" spans="2:18">
      <c r="C3049" s="2" t="s">
        <v>7</v>
      </c>
      <c r="D3049" s="2" t="s">
        <v>318</v>
      </c>
      <c r="E3049" s="3">
        <v>55</v>
      </c>
      <c r="F3049" s="3">
        <v>5</v>
      </c>
      <c r="G3049" s="4">
        <v>44200</v>
      </c>
      <c r="M3049" s="1"/>
      <c r="N3049" s="1"/>
      <c r="O3049" s="1"/>
      <c r="P3049" s="1"/>
      <c r="Q3049" s="1"/>
      <c r="R3049" s="1"/>
    </row>
    <row r="3050" spans="2:18">
      <c r="G3050" s="4"/>
      <c r="M3050" s="1"/>
      <c r="N3050" s="1"/>
      <c r="O3050" s="1"/>
      <c r="P3050" s="1"/>
      <c r="Q3050" s="1"/>
      <c r="R3050" s="1"/>
    </row>
    <row r="3051" spans="2:18" s="12" customFormat="1">
      <c r="B3051" s="12" t="s">
        <v>710</v>
      </c>
      <c r="C3051" s="13" t="s">
        <v>969</v>
      </c>
      <c r="D3051" s="13" t="s">
        <v>968</v>
      </c>
      <c r="E3051" s="15"/>
      <c r="F3051" s="15">
        <f>SUM(F3052:F3056)</f>
        <v>6.625</v>
      </c>
      <c r="G3051" s="14">
        <f>G3052</f>
        <v>45092</v>
      </c>
      <c r="M3051" s="13"/>
      <c r="N3051" s="13"/>
      <c r="O3051" s="13"/>
      <c r="P3051" s="13"/>
      <c r="Q3051" s="13"/>
      <c r="R3051" s="13"/>
    </row>
    <row r="3052" spans="2:18">
      <c r="B3052" s="253" t="s">
        <v>7627</v>
      </c>
      <c r="C3052" s="2" t="s">
        <v>4</v>
      </c>
      <c r="D3052" s="2" t="s">
        <v>709</v>
      </c>
      <c r="E3052" s="3">
        <v>5.5</v>
      </c>
      <c r="F3052" s="3">
        <v>3</v>
      </c>
      <c r="G3052" s="4">
        <v>45092</v>
      </c>
    </row>
    <row r="3053" spans="2:18">
      <c r="C3053" s="2" t="s">
        <v>4</v>
      </c>
      <c r="D3053" s="2" t="s">
        <v>341</v>
      </c>
      <c r="E3053" s="3">
        <v>3.5</v>
      </c>
      <c r="F3053" s="3">
        <v>1.25</v>
      </c>
      <c r="G3053" s="4">
        <v>44636</v>
      </c>
    </row>
    <row r="3054" spans="2:18">
      <c r="C3054" s="2" t="s">
        <v>4</v>
      </c>
      <c r="D3054" s="2" t="s">
        <v>336</v>
      </c>
      <c r="E3054" s="3">
        <v>3</v>
      </c>
      <c r="F3054" s="3">
        <f>1.5/4</f>
        <v>0.375</v>
      </c>
      <c r="G3054" s="4">
        <v>44327</v>
      </c>
    </row>
    <row r="3055" spans="2:18">
      <c r="C3055" s="2" t="s">
        <v>4</v>
      </c>
      <c r="D3055" s="2" t="s">
        <v>332</v>
      </c>
      <c r="E3055" s="3">
        <v>5.0999999999999996</v>
      </c>
      <c r="F3055" s="3">
        <v>1</v>
      </c>
      <c r="G3055" s="4">
        <v>43990</v>
      </c>
    </row>
    <row r="3056" spans="2:18">
      <c r="C3056" s="2" t="s">
        <v>4</v>
      </c>
      <c r="D3056" s="2" t="s">
        <v>329</v>
      </c>
      <c r="E3056" s="3">
        <v>5</v>
      </c>
      <c r="F3056" s="3">
        <v>1</v>
      </c>
      <c r="G3056" s="4">
        <v>43224</v>
      </c>
      <c r="L3056" s="1">
        <v>0</v>
      </c>
    </row>
    <row r="3057" spans="2:18">
      <c r="G3057" s="4"/>
    </row>
    <row r="3058" spans="2:18" s="12" customFormat="1">
      <c r="B3058" s="12" t="s">
        <v>6407</v>
      </c>
      <c r="C3058" s="13" t="s">
        <v>969</v>
      </c>
      <c r="D3058" s="13" t="s">
        <v>968</v>
      </c>
      <c r="E3058" s="15"/>
      <c r="F3058" s="15">
        <f>SUM(F3059:F3060)</f>
        <v>7</v>
      </c>
      <c r="G3058" s="14">
        <f>G3059</f>
        <v>44881</v>
      </c>
      <c r="M3058" s="13"/>
      <c r="N3058" s="13"/>
      <c r="O3058" s="13"/>
      <c r="P3058" s="13"/>
      <c r="Q3058" s="13"/>
      <c r="R3058" s="13"/>
    </row>
    <row r="3059" spans="2:18">
      <c r="B3059" s="152"/>
      <c r="C3059" s="153" t="s">
        <v>7</v>
      </c>
      <c r="D3059" s="153" t="s">
        <v>2037</v>
      </c>
      <c r="E3059" s="3">
        <v>30</v>
      </c>
      <c r="F3059" s="3">
        <f>20/4</f>
        <v>5</v>
      </c>
      <c r="G3059" s="4">
        <v>44881</v>
      </c>
    </row>
    <row r="3060" spans="2:18">
      <c r="C3060" s="2" t="s">
        <v>5</v>
      </c>
      <c r="D3060" s="2" t="s">
        <v>2037</v>
      </c>
      <c r="E3060" s="3">
        <v>11</v>
      </c>
      <c r="F3060" s="3">
        <v>2</v>
      </c>
      <c r="G3060" s="4">
        <v>44174</v>
      </c>
    </row>
    <row r="3061" spans="2:18">
      <c r="G3061" s="4"/>
    </row>
    <row r="3062" spans="2:18" s="12" customFormat="1">
      <c r="B3062" s="12" t="s">
        <v>4395</v>
      </c>
      <c r="C3062" s="13" t="s">
        <v>969</v>
      </c>
      <c r="D3062" s="13" t="s">
        <v>968</v>
      </c>
      <c r="E3062" s="15"/>
      <c r="F3062" s="15">
        <f>SUM(F3063:F3065)</f>
        <v>6.5</v>
      </c>
      <c r="G3062" s="14">
        <f>G3063</f>
        <v>44044</v>
      </c>
      <c r="M3062" s="13"/>
      <c r="N3062" s="13"/>
      <c r="O3062" s="13"/>
      <c r="P3062" s="13"/>
      <c r="Q3062" s="13"/>
      <c r="R3062" s="13"/>
    </row>
    <row r="3063" spans="2:18">
      <c r="C3063" s="2" t="s">
        <v>5</v>
      </c>
      <c r="D3063" s="2" t="s">
        <v>2129</v>
      </c>
      <c r="E3063" s="3">
        <v>20</v>
      </c>
      <c r="F3063" s="3">
        <f>15/6</f>
        <v>2.5</v>
      </c>
      <c r="G3063" s="4">
        <v>44044</v>
      </c>
    </row>
    <row r="3064" spans="2:18">
      <c r="C3064" s="2" t="s">
        <v>5</v>
      </c>
      <c r="D3064" s="2" t="s">
        <v>2129</v>
      </c>
      <c r="E3064" s="3">
        <v>20</v>
      </c>
      <c r="F3064" s="3">
        <f>12/4</f>
        <v>3</v>
      </c>
      <c r="G3064" s="4">
        <v>43647</v>
      </c>
    </row>
    <row r="3065" spans="2:18">
      <c r="C3065" s="2" t="s">
        <v>4</v>
      </c>
      <c r="D3065" s="2" t="s">
        <v>2129</v>
      </c>
      <c r="E3065" s="3">
        <v>3</v>
      </c>
      <c r="F3065" s="3">
        <v>1</v>
      </c>
      <c r="G3065" s="4">
        <v>42979</v>
      </c>
    </row>
    <row r="3066" spans="2:18">
      <c r="G3066" s="4"/>
    </row>
    <row r="3067" spans="2:18" s="12" customFormat="1">
      <c r="B3067" s="12" t="s">
        <v>634</v>
      </c>
      <c r="C3067" s="13" t="s">
        <v>969</v>
      </c>
      <c r="D3067" s="13" t="s">
        <v>968</v>
      </c>
      <c r="E3067" s="15"/>
      <c r="F3067" s="15">
        <f>SUM(F3068:F3071)</f>
        <v>7</v>
      </c>
      <c r="G3067" s="14">
        <f>G3068</f>
        <v>44984</v>
      </c>
      <c r="M3067" s="13"/>
      <c r="N3067" s="13"/>
      <c r="O3067" s="13"/>
      <c r="P3067" s="13"/>
      <c r="Q3067" s="13"/>
      <c r="R3067" s="13"/>
    </row>
    <row r="3068" spans="2:18">
      <c r="C3068" s="2" t="s">
        <v>5</v>
      </c>
      <c r="D3068" s="2" t="s">
        <v>632</v>
      </c>
      <c r="E3068" s="3">
        <v>10.5</v>
      </c>
      <c r="F3068" s="3">
        <v>4</v>
      </c>
      <c r="G3068" s="4">
        <v>44984</v>
      </c>
      <c r="M3068" s="1"/>
      <c r="N3068" s="1"/>
      <c r="O3068" s="1"/>
      <c r="P3068" s="1"/>
      <c r="Q3068" s="1"/>
      <c r="R3068" s="1"/>
    </row>
    <row r="3069" spans="2:18">
      <c r="C3069" s="2" t="s">
        <v>4</v>
      </c>
      <c r="D3069" s="2" t="s">
        <v>632</v>
      </c>
      <c r="E3069" s="3">
        <v>3</v>
      </c>
      <c r="F3069" s="3">
        <v>1</v>
      </c>
      <c r="G3069" s="4">
        <v>44539</v>
      </c>
      <c r="M3069" s="1"/>
      <c r="N3069" s="1"/>
      <c r="O3069" s="1"/>
      <c r="P3069" s="1"/>
      <c r="Q3069" s="1"/>
      <c r="R3069" s="1"/>
    </row>
    <row r="3070" spans="2:18">
      <c r="C3070" s="2" t="s">
        <v>4</v>
      </c>
      <c r="D3070" s="2" t="s">
        <v>632</v>
      </c>
      <c r="E3070" s="3">
        <v>2</v>
      </c>
      <c r="F3070" s="3">
        <v>1</v>
      </c>
      <c r="G3070" s="4">
        <v>44389</v>
      </c>
      <c r="M3070" s="1"/>
      <c r="N3070" s="1"/>
      <c r="O3070" s="1"/>
      <c r="P3070" s="1"/>
      <c r="Q3070" s="1"/>
      <c r="R3070" s="1"/>
    </row>
    <row r="3071" spans="2:18">
      <c r="C3071" s="2" t="s">
        <v>5</v>
      </c>
      <c r="D3071" s="2" t="s">
        <v>541</v>
      </c>
      <c r="E3071" s="3">
        <v>5</v>
      </c>
      <c r="F3071" s="3">
        <v>1</v>
      </c>
      <c r="G3071" s="4">
        <v>44514</v>
      </c>
      <c r="M3071" s="1"/>
      <c r="N3071" s="1"/>
      <c r="O3071" s="1"/>
      <c r="P3071" s="1"/>
      <c r="Q3071" s="1"/>
      <c r="R3071" s="1"/>
    </row>
    <row r="3072" spans="2:18">
      <c r="G3072" s="4"/>
      <c r="M3072" s="1"/>
      <c r="N3072" s="1"/>
      <c r="O3072" s="1"/>
      <c r="P3072" s="1"/>
      <c r="Q3072" s="1"/>
      <c r="R3072" s="1"/>
    </row>
    <row r="3073" spans="2:18" s="12" customFormat="1">
      <c r="B3073" s="12" t="s">
        <v>900</v>
      </c>
      <c r="C3073" s="13" t="s">
        <v>969</v>
      </c>
      <c r="D3073" s="13" t="s">
        <v>968</v>
      </c>
      <c r="E3073" s="15"/>
      <c r="F3073" s="15">
        <f>SUM(F3074:F3075)</f>
        <v>7</v>
      </c>
      <c r="G3073" s="14">
        <f>G3074</f>
        <v>44417</v>
      </c>
      <c r="M3073" s="13"/>
      <c r="N3073" s="13"/>
      <c r="O3073" s="13"/>
      <c r="P3073" s="13"/>
      <c r="Q3073" s="13"/>
      <c r="R3073" s="13"/>
    </row>
    <row r="3074" spans="2:18">
      <c r="C3074" s="2" t="s">
        <v>18</v>
      </c>
      <c r="D3074" s="2" t="s">
        <v>877</v>
      </c>
      <c r="E3074" s="3">
        <v>85</v>
      </c>
      <c r="F3074" s="3">
        <v>6</v>
      </c>
      <c r="G3074" s="4">
        <v>44417</v>
      </c>
    </row>
    <row r="3075" spans="2:18">
      <c r="C3075" s="177" t="s">
        <v>5</v>
      </c>
      <c r="D3075" s="177" t="s">
        <v>2030</v>
      </c>
      <c r="E3075" s="3">
        <v>9.3000000000000007</v>
      </c>
      <c r="F3075" s="3">
        <v>1</v>
      </c>
      <c r="G3075" s="4">
        <v>44229</v>
      </c>
    </row>
    <row r="3076" spans="2:18">
      <c r="G3076" s="4"/>
    </row>
    <row r="3077" spans="2:18" s="12" customFormat="1">
      <c r="B3077" s="12" t="s">
        <v>698</v>
      </c>
      <c r="C3077" s="13" t="s">
        <v>969</v>
      </c>
      <c r="D3077" s="13" t="s">
        <v>968</v>
      </c>
      <c r="E3077" s="15"/>
      <c r="F3077" s="15">
        <f>SUM(F3078:F3079)</f>
        <v>7</v>
      </c>
      <c r="G3077" s="14">
        <f>G3078</f>
        <v>44875</v>
      </c>
      <c r="M3077" s="13"/>
      <c r="N3077" s="13"/>
      <c r="O3077" s="13"/>
      <c r="P3077" s="13"/>
      <c r="Q3077" s="13"/>
      <c r="R3077" s="13"/>
    </row>
    <row r="3078" spans="2:18">
      <c r="C3078" s="2" t="s">
        <v>5</v>
      </c>
      <c r="D3078" s="2" t="s">
        <v>697</v>
      </c>
      <c r="E3078" s="3">
        <v>23.5</v>
      </c>
      <c r="F3078" s="3">
        <v>2</v>
      </c>
      <c r="G3078" s="4">
        <v>44875</v>
      </c>
    </row>
    <row r="3079" spans="2:18">
      <c r="C3079" s="2" t="s">
        <v>4</v>
      </c>
      <c r="D3079" s="2" t="s">
        <v>688</v>
      </c>
      <c r="E3079" s="3">
        <v>5</v>
      </c>
      <c r="F3079" s="3">
        <v>5</v>
      </c>
      <c r="G3079" s="4">
        <v>44562</v>
      </c>
    </row>
    <row r="3080" spans="2:18">
      <c r="G3080" s="4"/>
    </row>
    <row r="3081" spans="2:18" s="12" customFormat="1">
      <c r="B3081" s="12" t="s">
        <v>287</v>
      </c>
      <c r="C3081" s="13" t="s">
        <v>969</v>
      </c>
      <c r="D3081" s="13" t="s">
        <v>968</v>
      </c>
      <c r="E3081" s="15"/>
      <c r="F3081" s="15">
        <f>SUM(F3082:F3083)</f>
        <v>7</v>
      </c>
      <c r="G3081" s="14">
        <f>G3082</f>
        <v>44309</v>
      </c>
      <c r="M3081" s="13"/>
      <c r="N3081" s="13"/>
      <c r="O3081" s="13"/>
      <c r="P3081" s="13"/>
      <c r="Q3081" s="13"/>
      <c r="R3081" s="13"/>
    </row>
    <row r="3082" spans="2:18">
      <c r="B3082" s="12"/>
      <c r="C3082" s="2" t="s">
        <v>7</v>
      </c>
      <c r="D3082" s="2" t="s">
        <v>286</v>
      </c>
      <c r="E3082" s="3">
        <v>35</v>
      </c>
      <c r="F3082" s="3">
        <f>15/3</f>
        <v>5</v>
      </c>
      <c r="G3082" s="4">
        <v>44309</v>
      </c>
    </row>
    <row r="3083" spans="2:18">
      <c r="C3083" s="92" t="s">
        <v>5</v>
      </c>
      <c r="D3083" s="92" t="s">
        <v>5405</v>
      </c>
      <c r="E3083" s="3">
        <v>18.100000000000001</v>
      </c>
      <c r="F3083" s="3">
        <v>2</v>
      </c>
      <c r="G3083" s="4">
        <v>42719</v>
      </c>
    </row>
    <row r="3084" spans="2:18">
      <c r="G3084" s="4"/>
    </row>
    <row r="3085" spans="2:18" s="12" customFormat="1">
      <c r="B3085" s="12" t="s">
        <v>92</v>
      </c>
      <c r="C3085" s="13" t="s">
        <v>969</v>
      </c>
      <c r="D3085" s="13" t="s">
        <v>968</v>
      </c>
      <c r="E3085" s="15"/>
      <c r="F3085" s="15">
        <f>SUM(F3086:F3087)</f>
        <v>6.5</v>
      </c>
      <c r="G3085" s="14">
        <f>G3086</f>
        <v>44642</v>
      </c>
      <c r="M3085" s="13"/>
      <c r="N3085" s="13"/>
      <c r="O3085" s="13"/>
      <c r="P3085" s="13"/>
      <c r="Q3085" s="13"/>
      <c r="R3085" s="13"/>
    </row>
    <row r="3086" spans="2:18">
      <c r="C3086" s="2" t="s">
        <v>7</v>
      </c>
      <c r="D3086" s="2" t="s">
        <v>87</v>
      </c>
      <c r="E3086" s="3">
        <v>25</v>
      </c>
      <c r="F3086" s="3">
        <f>15/6</f>
        <v>2.5</v>
      </c>
      <c r="G3086" s="4">
        <v>44642</v>
      </c>
    </row>
    <row r="3087" spans="2:18">
      <c r="C3087" s="2" t="s">
        <v>5</v>
      </c>
      <c r="D3087" s="2" t="s">
        <v>87</v>
      </c>
      <c r="E3087" s="3">
        <v>13.5</v>
      </c>
      <c r="F3087" s="3">
        <v>4</v>
      </c>
      <c r="G3087" s="4">
        <v>43978</v>
      </c>
    </row>
    <row r="3088" spans="2:18">
      <c r="G3088" s="4"/>
    </row>
    <row r="3089" spans="2:18" s="12" customFormat="1">
      <c r="B3089" s="12" t="s">
        <v>290</v>
      </c>
      <c r="C3089" s="13" t="s">
        <v>969</v>
      </c>
      <c r="D3089" s="13" t="s">
        <v>968</v>
      </c>
      <c r="E3089" s="15"/>
      <c r="F3089" s="15">
        <f>SUM(F3090:F3091)</f>
        <v>6.5</v>
      </c>
      <c r="G3089" s="14">
        <f>G3090</f>
        <v>44474</v>
      </c>
      <c r="M3089" s="13"/>
      <c r="N3089" s="13"/>
      <c r="O3089" s="13"/>
      <c r="P3089" s="13"/>
      <c r="Q3089" s="13"/>
      <c r="R3089" s="13"/>
    </row>
    <row r="3090" spans="2:18">
      <c r="C3090" s="2" t="s">
        <v>5</v>
      </c>
      <c r="D3090" s="2" t="s">
        <v>289</v>
      </c>
      <c r="E3090" s="3">
        <v>30</v>
      </c>
      <c r="F3090" s="3">
        <f>20/5</f>
        <v>4</v>
      </c>
      <c r="G3090" s="4">
        <v>44474</v>
      </c>
    </row>
    <row r="3091" spans="2:18">
      <c r="C3091" s="2" t="s">
        <v>4</v>
      </c>
      <c r="D3091" s="2" t="s">
        <v>289</v>
      </c>
      <c r="E3091" s="3">
        <v>15</v>
      </c>
      <c r="F3091" s="3">
        <f>10/4</f>
        <v>2.5</v>
      </c>
      <c r="G3091" s="4">
        <v>43775</v>
      </c>
    </row>
    <row r="3092" spans="2:18">
      <c r="G3092" s="4"/>
    </row>
    <row r="3093" spans="2:18" s="12" customFormat="1">
      <c r="B3093" s="12" t="s">
        <v>687</v>
      </c>
      <c r="C3093" s="13" t="s">
        <v>969</v>
      </c>
      <c r="D3093" s="13" t="s">
        <v>968</v>
      </c>
      <c r="E3093" s="15"/>
      <c r="F3093" s="15">
        <f>SUM(F3094:F3095)</f>
        <v>7</v>
      </c>
      <c r="G3093" s="14">
        <f>G3094</f>
        <v>44601</v>
      </c>
      <c r="M3093" s="13"/>
      <c r="N3093" s="13"/>
      <c r="O3093" s="13"/>
      <c r="P3093" s="13"/>
      <c r="Q3093" s="13"/>
      <c r="R3093" s="13"/>
    </row>
    <row r="3094" spans="2:18">
      <c r="C3094" s="2" t="s">
        <v>4</v>
      </c>
      <c r="D3094" s="2" t="s">
        <v>686</v>
      </c>
      <c r="E3094" s="3">
        <v>30</v>
      </c>
      <c r="F3094" s="3">
        <v>5</v>
      </c>
      <c r="G3094" s="4">
        <v>44601</v>
      </c>
    </row>
    <row r="3095" spans="2:18">
      <c r="C3095" s="2" t="s">
        <v>4</v>
      </c>
      <c r="D3095" s="2" t="s">
        <v>654</v>
      </c>
      <c r="E3095" s="3">
        <v>12.8</v>
      </c>
      <c r="F3095" s="3">
        <v>2</v>
      </c>
      <c r="G3095" s="4">
        <v>44601</v>
      </c>
    </row>
    <row r="3096" spans="2:18">
      <c r="G3096" s="4"/>
    </row>
    <row r="3097" spans="2:18" s="12" customFormat="1">
      <c r="B3097" s="12" t="s">
        <v>467</v>
      </c>
      <c r="C3097" s="13" t="s">
        <v>969</v>
      </c>
      <c r="D3097" s="13" t="s">
        <v>968</v>
      </c>
      <c r="E3097" s="15"/>
      <c r="F3097" s="15">
        <f>SUM(F3098:F3099)</f>
        <v>5.5</v>
      </c>
      <c r="G3097" s="14">
        <f>G3098</f>
        <v>44727</v>
      </c>
    </row>
    <row r="3098" spans="2:18">
      <c r="C3098" s="2" t="s">
        <v>5</v>
      </c>
      <c r="D3098" s="2" t="s">
        <v>465</v>
      </c>
      <c r="E3098" s="3">
        <v>15.5</v>
      </c>
      <c r="F3098" s="3">
        <v>3</v>
      </c>
      <c r="G3098" s="4">
        <v>44727</v>
      </c>
      <c r="M3098" s="1"/>
      <c r="N3098" s="1"/>
      <c r="O3098" s="1"/>
      <c r="P3098" s="1"/>
      <c r="Q3098" s="1"/>
      <c r="R3098" s="1"/>
    </row>
    <row r="3099" spans="2:18">
      <c r="C3099" s="2" t="s">
        <v>7</v>
      </c>
      <c r="D3099" s="2" t="s">
        <v>87</v>
      </c>
      <c r="E3099" s="3">
        <v>25</v>
      </c>
      <c r="F3099" s="3">
        <f>15/6</f>
        <v>2.5</v>
      </c>
      <c r="G3099" s="4">
        <v>44642</v>
      </c>
      <c r="M3099" s="1"/>
      <c r="N3099" s="1"/>
      <c r="O3099" s="1"/>
      <c r="P3099" s="1"/>
      <c r="Q3099" s="1"/>
      <c r="R3099" s="1"/>
    </row>
    <row r="3100" spans="2:18">
      <c r="G3100" s="4"/>
      <c r="M3100" s="1"/>
      <c r="N3100" s="1"/>
      <c r="O3100" s="1"/>
      <c r="P3100" s="1"/>
      <c r="Q3100" s="1"/>
      <c r="R3100" s="1"/>
    </row>
    <row r="3101" spans="2:18">
      <c r="B3101" s="12" t="s">
        <v>971</v>
      </c>
      <c r="C3101" s="13" t="s">
        <v>969</v>
      </c>
      <c r="D3101" s="13" t="s">
        <v>968</v>
      </c>
      <c r="F3101" s="15">
        <f>SUM(F3102:F3105)</f>
        <v>6.166666666666667</v>
      </c>
      <c r="G3101" s="14">
        <f>G3103</f>
        <v>45062</v>
      </c>
    </row>
    <row r="3102" spans="2:18">
      <c r="C3102" s="2" t="s">
        <v>5</v>
      </c>
      <c r="D3102" s="2" t="s">
        <v>796</v>
      </c>
      <c r="E3102" s="3">
        <v>17.5</v>
      </c>
      <c r="F3102" s="3">
        <v>1</v>
      </c>
      <c r="G3102" s="4">
        <v>44614</v>
      </c>
    </row>
    <row r="3103" spans="2:18">
      <c r="C3103" s="2" t="s">
        <v>4</v>
      </c>
      <c r="D3103" s="2" t="s">
        <v>807</v>
      </c>
      <c r="E3103" s="3">
        <v>5</v>
      </c>
      <c r="F3103" s="3">
        <f>5/3</f>
        <v>1.6666666666666667</v>
      </c>
      <c r="G3103" s="4">
        <v>45062</v>
      </c>
    </row>
    <row r="3104" spans="2:18">
      <c r="C3104" s="2" t="s">
        <v>4</v>
      </c>
      <c r="D3104" s="2" t="s">
        <v>565</v>
      </c>
      <c r="E3104" s="3">
        <v>9</v>
      </c>
      <c r="F3104" s="3">
        <v>0.5</v>
      </c>
      <c r="G3104" s="4">
        <v>44859</v>
      </c>
    </row>
    <row r="3105" spans="2:18">
      <c r="C3105" s="177" t="s">
        <v>5</v>
      </c>
      <c r="D3105" s="177" t="s">
        <v>6679</v>
      </c>
      <c r="E3105" s="3">
        <v>21</v>
      </c>
      <c r="F3105" s="3">
        <v>3</v>
      </c>
      <c r="G3105" s="4">
        <v>44515</v>
      </c>
    </row>
    <row r="3106" spans="2:18">
      <c r="G3106" s="4"/>
    </row>
    <row r="3107" spans="2:18" s="12" customFormat="1">
      <c r="B3107" s="12" t="s">
        <v>404</v>
      </c>
      <c r="C3107" s="13" t="s">
        <v>969</v>
      </c>
      <c r="D3107" s="13" t="s">
        <v>968</v>
      </c>
      <c r="E3107" s="15"/>
      <c r="F3107" s="15">
        <f>SUM(F3108:F3109)</f>
        <v>6</v>
      </c>
      <c r="G3107" s="14">
        <f>G3108</f>
        <v>44538</v>
      </c>
    </row>
    <row r="3108" spans="2:18">
      <c r="C3108" s="2" t="s">
        <v>7</v>
      </c>
      <c r="D3108" s="2" t="s">
        <v>403</v>
      </c>
      <c r="E3108" s="3">
        <v>50</v>
      </c>
      <c r="F3108" s="3">
        <f>30/6</f>
        <v>5</v>
      </c>
      <c r="G3108" s="4">
        <v>44538</v>
      </c>
      <c r="M3108" s="1"/>
      <c r="N3108" s="1"/>
      <c r="O3108" s="1"/>
      <c r="P3108" s="1"/>
      <c r="Q3108" s="1"/>
      <c r="R3108" s="1"/>
    </row>
    <row r="3109" spans="2:18">
      <c r="C3109" s="2" t="s">
        <v>4</v>
      </c>
      <c r="D3109" s="2" t="s">
        <v>403</v>
      </c>
      <c r="E3109" s="3">
        <v>3.1</v>
      </c>
      <c r="F3109" s="3">
        <v>1</v>
      </c>
      <c r="G3109" s="4">
        <v>43580</v>
      </c>
      <c r="M3109" s="1"/>
      <c r="N3109" s="1"/>
      <c r="O3109" s="1"/>
      <c r="P3109" s="1"/>
      <c r="Q3109" s="1"/>
      <c r="R3109" s="1"/>
    </row>
    <row r="3110" spans="2:18">
      <c r="G3110" s="4"/>
      <c r="M3110" s="1"/>
      <c r="N3110" s="1"/>
      <c r="O3110" s="1"/>
      <c r="P3110" s="1"/>
      <c r="Q3110" s="1"/>
      <c r="R3110" s="1"/>
    </row>
    <row r="3111" spans="2:18" s="12" customFormat="1">
      <c r="B3111" s="12" t="s">
        <v>6554</v>
      </c>
      <c r="C3111" s="13" t="s">
        <v>969</v>
      </c>
      <c r="D3111" s="13" t="s">
        <v>968</v>
      </c>
      <c r="E3111" s="15"/>
      <c r="F3111" s="15">
        <f>SUM(F3112:F3113)</f>
        <v>6</v>
      </c>
      <c r="G3111" s="14">
        <f>G3112</f>
        <v>44572</v>
      </c>
      <c r="M3111" s="13"/>
      <c r="N3111" s="13"/>
      <c r="O3111" s="13"/>
      <c r="P3111" s="13"/>
      <c r="Q3111" s="13"/>
      <c r="R3111" s="13"/>
    </row>
    <row r="3112" spans="2:18">
      <c r="B3112" s="12"/>
      <c r="C3112" s="153" t="s">
        <v>7</v>
      </c>
      <c r="D3112" s="153" t="s">
        <v>2034</v>
      </c>
      <c r="E3112" s="3">
        <v>25</v>
      </c>
      <c r="F3112" s="3">
        <v>5</v>
      </c>
      <c r="G3112" s="4">
        <v>44572</v>
      </c>
    </row>
    <row r="3113" spans="2:18">
      <c r="C3113" s="153" t="s">
        <v>5</v>
      </c>
      <c r="D3113" s="153" t="s">
        <v>2034</v>
      </c>
      <c r="E3113" s="3">
        <v>5</v>
      </c>
      <c r="F3113" s="3">
        <v>1</v>
      </c>
      <c r="G3113" s="4">
        <v>43888</v>
      </c>
    </row>
    <row r="3114" spans="2:18">
      <c r="C3114" s="153"/>
      <c r="D3114" s="153"/>
      <c r="G3114" s="4"/>
    </row>
    <row r="3115" spans="2:18" s="12" customFormat="1">
      <c r="B3115" s="12" t="s">
        <v>556</v>
      </c>
      <c r="C3115" s="13" t="s">
        <v>969</v>
      </c>
      <c r="D3115" s="13" t="s">
        <v>968</v>
      </c>
      <c r="E3115" s="15"/>
      <c r="F3115" s="15">
        <f>SUM(F3116:F3119)</f>
        <v>5.5714285714285712</v>
      </c>
      <c r="G3115" s="14">
        <f>G3116</f>
        <v>45077</v>
      </c>
    </row>
    <row r="3116" spans="2:18">
      <c r="C3116" s="2" t="s">
        <v>7</v>
      </c>
      <c r="D3116" s="2" t="s">
        <v>548</v>
      </c>
      <c r="E3116" s="3">
        <v>20</v>
      </c>
      <c r="F3116" s="3">
        <f>12/6</f>
        <v>2</v>
      </c>
      <c r="G3116" s="4">
        <v>45077</v>
      </c>
      <c r="M3116" s="1"/>
      <c r="N3116" s="1"/>
      <c r="O3116" s="1"/>
      <c r="P3116" s="1"/>
      <c r="Q3116" s="1"/>
      <c r="R3116" s="1"/>
    </row>
    <row r="3117" spans="2:18">
      <c r="C3117" s="2" t="s">
        <v>5</v>
      </c>
      <c r="D3117" s="2" t="s">
        <v>548</v>
      </c>
      <c r="E3117" s="3">
        <v>10.5</v>
      </c>
      <c r="F3117" s="3">
        <f>5/5</f>
        <v>1</v>
      </c>
      <c r="G3117" s="4">
        <v>44341</v>
      </c>
      <c r="M3117" s="1"/>
      <c r="N3117" s="1"/>
      <c r="O3117" s="1"/>
      <c r="P3117" s="1"/>
      <c r="Q3117" s="1"/>
      <c r="R3117" s="1"/>
    </row>
    <row r="3118" spans="2:18">
      <c r="C3118" s="2" t="s">
        <v>5</v>
      </c>
      <c r="D3118" s="2" t="s">
        <v>87</v>
      </c>
      <c r="E3118" s="3">
        <v>14</v>
      </c>
      <c r="F3118" s="3">
        <v>2</v>
      </c>
      <c r="G3118" s="4">
        <v>43978</v>
      </c>
      <c r="M3118" s="1"/>
      <c r="N3118" s="1"/>
      <c r="O3118" s="1"/>
      <c r="P3118" s="1"/>
      <c r="Q3118" s="1"/>
      <c r="R3118" s="1"/>
    </row>
    <row r="3119" spans="2:18">
      <c r="C3119" s="2" t="s">
        <v>4</v>
      </c>
      <c r="D3119" s="2" t="s">
        <v>87</v>
      </c>
      <c r="E3119" s="3">
        <v>5.3</v>
      </c>
      <c r="F3119" s="3">
        <f>4/7</f>
        <v>0.5714285714285714</v>
      </c>
      <c r="G3119" s="4">
        <v>43398</v>
      </c>
      <c r="M3119" s="1"/>
      <c r="N3119" s="1"/>
      <c r="O3119" s="1"/>
      <c r="P3119" s="1"/>
      <c r="Q3119" s="1"/>
      <c r="R3119" s="1"/>
    </row>
    <row r="3120" spans="2:18">
      <c r="G3120" s="4"/>
      <c r="M3120" s="1"/>
      <c r="N3120" s="1"/>
      <c r="O3120" s="1"/>
      <c r="P3120" s="1"/>
      <c r="Q3120" s="1"/>
      <c r="R3120" s="1"/>
    </row>
    <row r="3121" spans="2:18" s="12" customFormat="1">
      <c r="B3121" s="12" t="s">
        <v>988</v>
      </c>
      <c r="C3121" s="13" t="s">
        <v>969</v>
      </c>
      <c r="D3121" s="13" t="s">
        <v>968</v>
      </c>
      <c r="E3121" s="15"/>
      <c r="F3121" s="15">
        <f>SUM(F3122:F3123)</f>
        <v>6.1428571428571423</v>
      </c>
      <c r="G3121" s="14">
        <f>G3122</f>
        <v>44691</v>
      </c>
      <c r="M3121" s="13"/>
      <c r="N3121" s="13"/>
      <c r="O3121" s="13"/>
      <c r="P3121" s="13"/>
      <c r="Q3121" s="13"/>
      <c r="R3121" s="13"/>
    </row>
    <row r="3122" spans="2:18">
      <c r="C3122" s="2" t="s">
        <v>4</v>
      </c>
      <c r="D3122" s="2" t="s">
        <v>678</v>
      </c>
      <c r="E3122" s="3">
        <v>15</v>
      </c>
      <c r="F3122" s="3">
        <f>15/7</f>
        <v>2.1428571428571428</v>
      </c>
      <c r="G3122" s="4">
        <v>44691</v>
      </c>
    </row>
    <row r="3123" spans="2:18">
      <c r="C3123" s="2" t="s">
        <v>7</v>
      </c>
      <c r="D3123" s="2" t="s">
        <v>310</v>
      </c>
      <c r="E3123" s="3">
        <v>40</v>
      </c>
      <c r="F3123" s="3">
        <v>4</v>
      </c>
      <c r="G3123" s="4">
        <v>43419</v>
      </c>
    </row>
    <row r="3124" spans="2:18">
      <c r="G3124" s="4"/>
    </row>
    <row r="3125" spans="2:18" s="12" customFormat="1">
      <c r="B3125" s="12" t="s">
        <v>987</v>
      </c>
      <c r="C3125" s="13" t="s">
        <v>969</v>
      </c>
      <c r="D3125" s="13" t="s">
        <v>968</v>
      </c>
      <c r="E3125" s="15"/>
      <c r="F3125" s="15">
        <f>SUM(F3126:F3127)</f>
        <v>5.75</v>
      </c>
      <c r="G3125" s="14">
        <f>G3126</f>
        <v>44615</v>
      </c>
      <c r="M3125" s="13"/>
      <c r="N3125" s="13"/>
      <c r="O3125" s="13"/>
      <c r="P3125" s="13"/>
      <c r="Q3125" s="13"/>
      <c r="R3125" s="13"/>
    </row>
    <row r="3126" spans="2:18">
      <c r="C3126" s="2" t="s">
        <v>5</v>
      </c>
      <c r="D3126" s="2" t="s">
        <v>986</v>
      </c>
      <c r="E3126" s="3">
        <v>25</v>
      </c>
      <c r="F3126" s="3">
        <f>15/4</f>
        <v>3.75</v>
      </c>
      <c r="G3126" s="4">
        <v>44615</v>
      </c>
    </row>
    <row r="3127" spans="2:18">
      <c r="C3127" s="2" t="s">
        <v>4</v>
      </c>
      <c r="D3127" s="2" t="s">
        <v>986</v>
      </c>
      <c r="E3127" s="3">
        <v>5</v>
      </c>
      <c r="F3127" s="3">
        <v>2</v>
      </c>
      <c r="G3127" s="4">
        <v>44292</v>
      </c>
    </row>
    <row r="3128" spans="2:18">
      <c r="G3128" s="4"/>
    </row>
    <row r="3129" spans="2:18" s="12" customFormat="1">
      <c r="B3129" s="12" t="s">
        <v>983</v>
      </c>
      <c r="C3129" s="13" t="s">
        <v>969</v>
      </c>
      <c r="D3129" s="13" t="s">
        <v>968</v>
      </c>
      <c r="E3129" s="15"/>
      <c r="F3129" s="15">
        <f>SUM(F3130:F3132)</f>
        <v>6</v>
      </c>
      <c r="G3129" s="14">
        <f>G3130</f>
        <v>44636</v>
      </c>
      <c r="M3129" s="13"/>
      <c r="N3129" s="13"/>
      <c r="O3129" s="13"/>
      <c r="P3129" s="13"/>
      <c r="Q3129" s="13"/>
      <c r="R3129" s="13"/>
    </row>
    <row r="3130" spans="2:18">
      <c r="C3130" s="2" t="s">
        <v>7</v>
      </c>
      <c r="D3130" s="2" t="s">
        <v>860</v>
      </c>
      <c r="E3130" s="3">
        <v>25</v>
      </c>
      <c r="F3130" s="3">
        <v>3</v>
      </c>
      <c r="G3130" s="4">
        <v>44636</v>
      </c>
    </row>
    <row r="3131" spans="2:18">
      <c r="C3131" s="2" t="s">
        <v>5</v>
      </c>
      <c r="D3131" s="2" t="s">
        <v>860</v>
      </c>
      <c r="E3131" s="3">
        <v>12</v>
      </c>
      <c r="F3131" s="3">
        <v>2</v>
      </c>
      <c r="G3131" s="4">
        <v>44179</v>
      </c>
    </row>
    <row r="3132" spans="2:18">
      <c r="C3132" s="2" t="s">
        <v>4</v>
      </c>
      <c r="D3132" s="2" t="s">
        <v>860</v>
      </c>
      <c r="E3132" s="3">
        <v>5.0999999999999996</v>
      </c>
      <c r="F3132" s="3">
        <v>1</v>
      </c>
      <c r="G3132" s="4">
        <v>44046</v>
      </c>
    </row>
    <row r="3133" spans="2:18">
      <c r="G3133" s="4"/>
    </row>
    <row r="3134" spans="2:18" s="12" customFormat="1">
      <c r="B3134" s="12" t="s">
        <v>629</v>
      </c>
      <c r="C3134" s="13" t="s">
        <v>969</v>
      </c>
      <c r="D3134" s="13" t="s">
        <v>968</v>
      </c>
      <c r="E3134" s="15"/>
      <c r="F3134" s="15">
        <f>SUM(F3135:F3137)</f>
        <v>6.2</v>
      </c>
      <c r="G3134" s="14">
        <f>G3135</f>
        <v>44825</v>
      </c>
    </row>
    <row r="3135" spans="2:18">
      <c r="C3135" s="2" t="s">
        <v>5</v>
      </c>
      <c r="D3135" s="2" t="s">
        <v>71</v>
      </c>
      <c r="E3135" s="3">
        <v>10</v>
      </c>
      <c r="F3135" s="3">
        <v>4</v>
      </c>
      <c r="G3135" s="4">
        <v>44825</v>
      </c>
      <c r="M3135" s="1"/>
      <c r="N3135" s="1"/>
      <c r="O3135" s="1"/>
      <c r="P3135" s="1"/>
      <c r="Q3135" s="1"/>
      <c r="R3135" s="1"/>
    </row>
    <row r="3136" spans="2:18">
      <c r="C3136" s="2" t="s">
        <v>4</v>
      </c>
      <c r="D3136" s="2" t="s">
        <v>71</v>
      </c>
      <c r="E3136" s="3">
        <v>1.5</v>
      </c>
      <c r="F3136" s="3">
        <v>1.5</v>
      </c>
      <c r="G3136" s="4">
        <v>44406</v>
      </c>
      <c r="M3136" s="1"/>
      <c r="N3136" s="1"/>
      <c r="O3136" s="1"/>
      <c r="P3136" s="1"/>
      <c r="Q3136" s="1"/>
      <c r="R3136" s="1"/>
    </row>
    <row r="3137" spans="2:18">
      <c r="C3137" s="2" t="s">
        <v>4</v>
      </c>
      <c r="D3137" s="2" t="s">
        <v>144</v>
      </c>
      <c r="E3137" s="3">
        <v>0.7</v>
      </c>
      <c r="F3137" s="3">
        <v>0.7</v>
      </c>
      <c r="G3137" s="4">
        <v>42553</v>
      </c>
      <c r="M3137" s="1"/>
      <c r="N3137" s="1"/>
      <c r="O3137" s="1"/>
      <c r="P3137" s="1"/>
      <c r="Q3137" s="1"/>
      <c r="R3137" s="1"/>
    </row>
    <row r="3138" spans="2:18">
      <c r="G3138" s="4"/>
      <c r="M3138" s="1"/>
      <c r="N3138" s="1"/>
      <c r="O3138" s="1"/>
      <c r="P3138" s="1"/>
      <c r="Q3138" s="1"/>
      <c r="R3138" s="1"/>
    </row>
    <row r="3139" spans="2:18" s="12" customFormat="1">
      <c r="B3139" s="12" t="s">
        <v>702</v>
      </c>
      <c r="C3139" s="13" t="s">
        <v>969</v>
      </c>
      <c r="D3139" s="13" t="s">
        <v>968</v>
      </c>
      <c r="E3139" s="15"/>
      <c r="F3139" s="15">
        <f>SUM(F3140:F3142)</f>
        <v>6.1</v>
      </c>
      <c r="G3139" s="14">
        <f>G3141</f>
        <v>44952</v>
      </c>
      <c r="M3139" s="13"/>
      <c r="N3139" s="13"/>
      <c r="O3139" s="13"/>
      <c r="P3139" s="13"/>
      <c r="Q3139" s="13"/>
      <c r="R3139" s="13"/>
    </row>
    <row r="3140" spans="2:18">
      <c r="C3140" s="2" t="s">
        <v>5</v>
      </c>
      <c r="D3140" s="2" t="s">
        <v>701</v>
      </c>
      <c r="E3140" s="3">
        <v>50</v>
      </c>
      <c r="F3140" s="3">
        <f>30/12</f>
        <v>2.5</v>
      </c>
      <c r="G3140" s="4">
        <v>44796</v>
      </c>
    </row>
    <row r="3141" spans="2:18">
      <c r="C3141" s="2" t="s">
        <v>5</v>
      </c>
      <c r="D3141" s="2" t="s">
        <v>666</v>
      </c>
      <c r="E3141" s="3">
        <v>12.7</v>
      </c>
      <c r="F3141" s="3">
        <f>8/5</f>
        <v>1.6</v>
      </c>
      <c r="G3141" s="4">
        <v>44952</v>
      </c>
    </row>
    <row r="3142" spans="2:18">
      <c r="C3142" s="2" t="s">
        <v>4</v>
      </c>
      <c r="D3142" s="2" t="s">
        <v>122</v>
      </c>
      <c r="E3142" s="3">
        <v>4.5</v>
      </c>
      <c r="F3142" s="3">
        <v>2</v>
      </c>
      <c r="G3142" s="4">
        <v>44434</v>
      </c>
    </row>
    <row r="3143" spans="2:18">
      <c r="G3143" s="4"/>
    </row>
    <row r="3144" spans="2:18" s="12" customFormat="1">
      <c r="B3144" s="12" t="s">
        <v>458</v>
      </c>
      <c r="C3144" s="13" t="s">
        <v>969</v>
      </c>
      <c r="D3144" s="13" t="s">
        <v>968</v>
      </c>
      <c r="E3144" s="15"/>
      <c r="F3144" s="15">
        <f>SUM(F3145:F3146)</f>
        <v>6</v>
      </c>
      <c r="G3144" s="14">
        <f>G3145</f>
        <v>44600</v>
      </c>
    </row>
    <row r="3145" spans="2:18">
      <c r="C3145" s="2" t="s">
        <v>7</v>
      </c>
      <c r="D3145" s="2" t="s">
        <v>456</v>
      </c>
      <c r="E3145" s="3">
        <v>26.8</v>
      </c>
      <c r="F3145" s="3">
        <v>4</v>
      </c>
      <c r="G3145" s="4">
        <v>44600</v>
      </c>
      <c r="M3145" s="1"/>
      <c r="N3145" s="1"/>
      <c r="O3145" s="1"/>
      <c r="P3145" s="1"/>
      <c r="Q3145" s="1"/>
      <c r="R3145" s="1"/>
    </row>
    <row r="3146" spans="2:18">
      <c r="C3146" s="2" t="s">
        <v>5</v>
      </c>
      <c r="D3146" s="2" t="s">
        <v>456</v>
      </c>
      <c r="E3146" s="3">
        <v>8.3000000000000007</v>
      </c>
      <c r="F3146" s="3">
        <v>2</v>
      </c>
      <c r="G3146" s="4">
        <v>44053</v>
      </c>
      <c r="M3146" s="1"/>
      <c r="N3146" s="1"/>
      <c r="O3146" s="1"/>
      <c r="P3146" s="1"/>
      <c r="Q3146" s="1"/>
      <c r="R3146" s="1"/>
    </row>
    <row r="3147" spans="2:18">
      <c r="G3147" s="4"/>
      <c r="M3147" s="1"/>
      <c r="N3147" s="1"/>
      <c r="O3147" s="1"/>
      <c r="P3147" s="1"/>
      <c r="Q3147" s="1"/>
      <c r="R3147" s="1"/>
    </row>
    <row r="3148" spans="2:18" s="12" customFormat="1">
      <c r="B3148" s="12" t="s">
        <v>17</v>
      </c>
      <c r="C3148" s="13" t="s">
        <v>969</v>
      </c>
      <c r="D3148" s="13" t="s">
        <v>968</v>
      </c>
      <c r="E3148" s="15"/>
      <c r="F3148" s="15">
        <f>SUM(F3149:F3151)</f>
        <v>6.4</v>
      </c>
      <c r="G3148" s="14">
        <f>G3149</f>
        <v>43031</v>
      </c>
      <c r="M3148" s="13"/>
      <c r="N3148" s="13"/>
      <c r="O3148" s="13"/>
      <c r="P3148" s="13"/>
      <c r="Q3148" s="13"/>
      <c r="R3148" s="13"/>
    </row>
    <row r="3149" spans="2:18">
      <c r="C3149" s="2" t="s">
        <v>7</v>
      </c>
      <c r="D3149" s="2" t="s">
        <v>15</v>
      </c>
      <c r="E3149" s="3">
        <v>28</v>
      </c>
      <c r="F3149" s="3">
        <v>4</v>
      </c>
      <c r="G3149" s="4">
        <v>43031</v>
      </c>
    </row>
    <row r="3150" spans="2:18">
      <c r="C3150" s="2" t="s">
        <v>5</v>
      </c>
      <c r="D3150" s="2" t="s">
        <v>15</v>
      </c>
      <c r="E3150" s="3">
        <v>10</v>
      </c>
      <c r="F3150" s="3">
        <v>2</v>
      </c>
      <c r="G3150" s="4">
        <v>42508</v>
      </c>
    </row>
    <row r="3151" spans="2:18">
      <c r="C3151" s="2" t="s">
        <v>4</v>
      </c>
      <c r="D3151" s="2" t="s">
        <v>15</v>
      </c>
      <c r="E3151" s="3">
        <v>1.8</v>
      </c>
      <c r="F3151" s="3">
        <v>0.4</v>
      </c>
      <c r="G3151" s="4">
        <v>41976</v>
      </c>
    </row>
    <row r="3152" spans="2:18">
      <c r="G3152" s="4"/>
    </row>
    <row r="3153" spans="2:18" s="12" customFormat="1">
      <c r="B3153" s="12" t="s">
        <v>737</v>
      </c>
      <c r="C3153" s="13" t="s">
        <v>969</v>
      </c>
      <c r="D3153" s="13" t="s">
        <v>968</v>
      </c>
      <c r="E3153" s="15"/>
      <c r="F3153" s="15">
        <f>SUM(F3154:F3155)</f>
        <v>5.8</v>
      </c>
      <c r="G3153" s="14">
        <f>G3154</f>
        <v>44755</v>
      </c>
    </row>
    <row r="3154" spans="2:18">
      <c r="C3154" s="2" t="s">
        <v>7</v>
      </c>
      <c r="D3154" s="2" t="s">
        <v>735</v>
      </c>
      <c r="E3154" s="3">
        <v>25</v>
      </c>
      <c r="F3154" s="3">
        <f>15/5</f>
        <v>3</v>
      </c>
      <c r="G3154" s="4">
        <v>44755</v>
      </c>
    </row>
    <row r="3155" spans="2:18">
      <c r="C3155" s="2" t="s">
        <v>5</v>
      </c>
      <c r="D3155" s="2" t="s">
        <v>735</v>
      </c>
      <c r="E3155" s="3">
        <v>21</v>
      </c>
      <c r="F3155" s="3">
        <f>14/5</f>
        <v>2.8</v>
      </c>
      <c r="G3155" s="4">
        <v>44489</v>
      </c>
    </row>
    <row r="3156" spans="2:18">
      <c r="G3156" s="4"/>
    </row>
    <row r="3157" spans="2:18" s="12" customFormat="1">
      <c r="B3157" s="12" t="s">
        <v>410</v>
      </c>
      <c r="C3157" s="13" t="s">
        <v>969</v>
      </c>
      <c r="D3157" s="13" t="s">
        <v>968</v>
      </c>
      <c r="E3157" s="15"/>
      <c r="F3157" s="15">
        <f>SUM(F3158:F3159)</f>
        <v>5.75</v>
      </c>
      <c r="G3157" s="14">
        <f>G3158</f>
        <v>44740</v>
      </c>
    </row>
    <row r="3158" spans="2:18">
      <c r="B3158" s="12"/>
      <c r="C3158" s="2" t="s">
        <v>5</v>
      </c>
      <c r="D3158" s="2" t="s">
        <v>408</v>
      </c>
      <c r="E3158" s="3">
        <v>10</v>
      </c>
      <c r="F3158" s="3">
        <f>7/4</f>
        <v>1.75</v>
      </c>
      <c r="G3158" s="4">
        <v>44740</v>
      </c>
      <c r="M3158" s="1"/>
      <c r="N3158" s="1"/>
      <c r="O3158" s="1"/>
      <c r="P3158" s="1"/>
      <c r="Q3158" s="1"/>
      <c r="R3158" s="1"/>
    </row>
    <row r="3159" spans="2:18">
      <c r="C3159" s="153" t="s">
        <v>7</v>
      </c>
      <c r="D3159" s="153" t="s">
        <v>2046</v>
      </c>
      <c r="E3159" s="3">
        <v>50</v>
      </c>
      <c r="F3159" s="3">
        <v>4</v>
      </c>
      <c r="G3159" s="4">
        <v>44252</v>
      </c>
      <c r="M3159" s="1"/>
      <c r="N3159" s="1"/>
      <c r="O3159" s="1"/>
      <c r="P3159" s="1"/>
      <c r="Q3159" s="1"/>
      <c r="R3159" s="1"/>
    </row>
    <row r="3160" spans="2:18">
      <c r="G3160" s="4"/>
      <c r="M3160" s="1"/>
      <c r="N3160" s="1"/>
      <c r="O3160" s="1"/>
      <c r="P3160" s="1"/>
      <c r="Q3160" s="1"/>
      <c r="R3160" s="1"/>
    </row>
    <row r="3161" spans="2:18" s="12" customFormat="1">
      <c r="B3161" s="12" t="s">
        <v>648</v>
      </c>
      <c r="C3161" s="13" t="s">
        <v>969</v>
      </c>
      <c r="D3161" s="13" t="s">
        <v>968</v>
      </c>
      <c r="E3161" s="15"/>
      <c r="F3161" s="15">
        <f>SUM(F3162:F3163)</f>
        <v>6</v>
      </c>
      <c r="G3161" s="14">
        <f>G3162</f>
        <v>44642</v>
      </c>
    </row>
    <row r="3162" spans="2:18">
      <c r="C3162" s="2" t="s">
        <v>5</v>
      </c>
      <c r="D3162" s="2" t="s">
        <v>646</v>
      </c>
      <c r="E3162" s="3">
        <v>13</v>
      </c>
      <c r="F3162" s="3">
        <v>5</v>
      </c>
      <c r="G3162" s="4">
        <v>44642</v>
      </c>
      <c r="M3162" s="1"/>
      <c r="N3162" s="1"/>
      <c r="O3162" s="1"/>
      <c r="P3162" s="1"/>
      <c r="Q3162" s="1"/>
      <c r="R3162" s="1"/>
    </row>
    <row r="3163" spans="2:18">
      <c r="C3163" s="2" t="s">
        <v>4</v>
      </c>
      <c r="D3163" s="2" t="s">
        <v>646</v>
      </c>
      <c r="E3163" s="3">
        <v>3.5</v>
      </c>
      <c r="F3163" s="3">
        <v>1</v>
      </c>
      <c r="G3163" s="4">
        <v>44124</v>
      </c>
      <c r="M3163" s="1"/>
      <c r="N3163" s="1"/>
      <c r="O3163" s="1"/>
      <c r="P3163" s="1"/>
      <c r="Q3163" s="1"/>
      <c r="R3163" s="1"/>
    </row>
    <row r="3164" spans="2:18">
      <c r="G3164" s="4"/>
      <c r="M3164" s="1"/>
      <c r="N3164" s="1"/>
      <c r="O3164" s="1"/>
      <c r="P3164" s="1"/>
      <c r="Q3164" s="1"/>
      <c r="R3164" s="1"/>
    </row>
    <row r="3165" spans="2:18" s="12" customFormat="1">
      <c r="B3165" s="12" t="s">
        <v>6543</v>
      </c>
      <c r="C3165" s="13" t="s">
        <v>969</v>
      </c>
      <c r="D3165" s="13" t="s">
        <v>968</v>
      </c>
      <c r="E3165" s="15"/>
      <c r="F3165" s="15">
        <f>SUM(F3166:F3167)</f>
        <v>6</v>
      </c>
      <c r="G3165" s="14">
        <f>G3166</f>
        <v>44518</v>
      </c>
      <c r="M3165" s="13"/>
      <c r="N3165" s="13"/>
      <c r="O3165" s="13"/>
      <c r="P3165" s="13"/>
      <c r="Q3165" s="13"/>
      <c r="R3165" s="13"/>
    </row>
    <row r="3166" spans="2:18">
      <c r="B3166" s="152"/>
      <c r="C3166" s="153" t="s">
        <v>7</v>
      </c>
      <c r="D3166" s="153" t="s">
        <v>2035</v>
      </c>
      <c r="E3166" s="3">
        <v>21</v>
      </c>
      <c r="F3166" s="3">
        <v>5</v>
      </c>
      <c r="G3166" s="4">
        <v>44518</v>
      </c>
    </row>
    <row r="3167" spans="2:18">
      <c r="C3167" s="153" t="s">
        <v>5</v>
      </c>
      <c r="D3167" s="153" t="s">
        <v>2035</v>
      </c>
      <c r="E3167" s="3">
        <v>9.1</v>
      </c>
      <c r="F3167" s="3">
        <v>1</v>
      </c>
      <c r="G3167" s="4">
        <v>42087</v>
      </c>
    </row>
    <row r="3168" spans="2:18">
      <c r="C3168" s="153"/>
      <c r="D3168" s="153"/>
      <c r="G3168" s="4"/>
    </row>
    <row r="3169" spans="2:18" s="12" customFormat="1">
      <c r="B3169" s="12" t="s">
        <v>543</v>
      </c>
      <c r="C3169" s="13" t="s">
        <v>969</v>
      </c>
      <c r="D3169" s="13" t="s">
        <v>968</v>
      </c>
      <c r="E3169" s="15"/>
      <c r="F3169" s="15">
        <f>SUM(F3170:F3173)</f>
        <v>5.5333333333333332</v>
      </c>
      <c r="G3169" s="14">
        <f>G3173</f>
        <v>44686</v>
      </c>
    </row>
    <row r="3170" spans="2:18">
      <c r="C3170" s="2" t="s">
        <v>5</v>
      </c>
      <c r="D3170" s="2" t="s">
        <v>542</v>
      </c>
      <c r="E3170" s="3">
        <v>14</v>
      </c>
      <c r="F3170" s="3">
        <f>8/5</f>
        <v>1.6</v>
      </c>
      <c r="G3170" s="4">
        <v>44447</v>
      </c>
      <c r="M3170" s="1"/>
      <c r="N3170" s="1"/>
      <c r="O3170" s="1"/>
      <c r="P3170" s="1"/>
      <c r="Q3170" s="1"/>
      <c r="R3170" s="1"/>
    </row>
    <row r="3171" spans="2:18">
      <c r="C3171" s="2" t="s">
        <v>5</v>
      </c>
      <c r="D3171" s="2" t="s">
        <v>542</v>
      </c>
      <c r="E3171" s="3">
        <v>12</v>
      </c>
      <c r="F3171" s="3">
        <f>8/5</f>
        <v>1.6</v>
      </c>
      <c r="G3171" s="4">
        <v>43532</v>
      </c>
      <c r="M3171" s="1"/>
      <c r="N3171" s="1"/>
      <c r="O3171" s="1"/>
      <c r="P3171" s="1"/>
      <c r="Q3171" s="1"/>
      <c r="R3171" s="1"/>
    </row>
    <row r="3172" spans="2:18">
      <c r="C3172" s="2" t="s">
        <v>5</v>
      </c>
      <c r="D3172" s="2" t="s">
        <v>541</v>
      </c>
      <c r="E3172" s="3">
        <v>5</v>
      </c>
      <c r="F3172" s="3">
        <v>1</v>
      </c>
      <c r="G3172" s="4">
        <v>44514</v>
      </c>
      <c r="M3172" s="1"/>
      <c r="N3172" s="1"/>
      <c r="O3172" s="1"/>
      <c r="P3172" s="1"/>
      <c r="Q3172" s="1"/>
      <c r="R3172" s="1"/>
    </row>
    <row r="3173" spans="2:18">
      <c r="C3173" s="241" t="s">
        <v>4</v>
      </c>
      <c r="D3173" s="241" t="s">
        <v>2013</v>
      </c>
      <c r="E3173" s="3">
        <v>11</v>
      </c>
      <c r="F3173" s="3">
        <f>8/6</f>
        <v>1.3333333333333333</v>
      </c>
      <c r="G3173" s="4">
        <v>44686</v>
      </c>
      <c r="M3173" s="1"/>
      <c r="N3173" s="1"/>
      <c r="O3173" s="1"/>
      <c r="P3173" s="1"/>
      <c r="Q3173" s="1"/>
      <c r="R3173" s="1"/>
    </row>
    <row r="3174" spans="2:18">
      <c r="C3174" s="331" t="s">
        <v>5</v>
      </c>
      <c r="D3174" s="331" t="s">
        <v>8304</v>
      </c>
      <c r="E3174" s="3">
        <v>8</v>
      </c>
      <c r="F3174" s="3">
        <f>5/4</f>
        <v>1.25</v>
      </c>
      <c r="G3174" s="4">
        <v>42747</v>
      </c>
      <c r="M3174" s="1"/>
      <c r="N3174" s="1"/>
      <c r="O3174" s="1"/>
      <c r="P3174" s="1"/>
      <c r="Q3174" s="1"/>
      <c r="R3174" s="1"/>
    </row>
    <row r="3175" spans="2:18">
      <c r="C3175" s="331" t="s">
        <v>4</v>
      </c>
      <c r="D3175" s="331" t="s">
        <v>8304</v>
      </c>
      <c r="E3175" s="3">
        <v>1.9</v>
      </c>
      <c r="F3175" s="324">
        <f>0.9/3</f>
        <v>0.3</v>
      </c>
      <c r="G3175" s="4">
        <v>42185</v>
      </c>
      <c r="M3175" s="1"/>
      <c r="N3175" s="1"/>
      <c r="O3175" s="1"/>
      <c r="P3175" s="1"/>
      <c r="Q3175" s="1"/>
      <c r="R3175" s="1"/>
    </row>
    <row r="3176" spans="2:18">
      <c r="G3176" s="4"/>
      <c r="M3176" s="1"/>
      <c r="N3176" s="1"/>
      <c r="O3176" s="1"/>
      <c r="P3176" s="1"/>
      <c r="Q3176" s="1"/>
      <c r="R3176" s="1"/>
    </row>
    <row r="3177" spans="2:18" s="12" customFormat="1">
      <c r="B3177" s="12" t="s">
        <v>977</v>
      </c>
      <c r="C3177" s="13" t="s">
        <v>969</v>
      </c>
      <c r="D3177" s="13" t="s">
        <v>968</v>
      </c>
      <c r="E3177" s="15"/>
      <c r="F3177" s="15">
        <f>SUM(F3178:F3181)</f>
        <v>6.2333333333333325</v>
      </c>
      <c r="G3177" s="14">
        <f>G3180</f>
        <v>44637</v>
      </c>
    </row>
    <row r="3178" spans="2:18">
      <c r="B3178" s="253" t="s">
        <v>7627</v>
      </c>
      <c r="C3178" s="2" t="s">
        <v>5</v>
      </c>
      <c r="D3178" s="2" t="s">
        <v>516</v>
      </c>
      <c r="E3178" s="3">
        <v>14.5</v>
      </c>
      <c r="F3178" s="3">
        <v>1.5</v>
      </c>
      <c r="G3178" s="4">
        <v>43389</v>
      </c>
      <c r="M3178" s="1"/>
      <c r="N3178" s="1"/>
      <c r="O3178" s="1"/>
      <c r="P3178" s="1"/>
      <c r="Q3178" s="1"/>
      <c r="R3178" s="1"/>
    </row>
    <row r="3179" spans="2:18">
      <c r="C3179" s="2" t="s">
        <v>4</v>
      </c>
      <c r="D3179" s="2" t="s">
        <v>516</v>
      </c>
      <c r="E3179" s="3">
        <v>4</v>
      </c>
      <c r="F3179" s="3">
        <f>4/3</f>
        <v>1.3333333333333333</v>
      </c>
      <c r="G3179" s="4">
        <v>42647</v>
      </c>
      <c r="M3179" s="1"/>
      <c r="N3179" s="1"/>
      <c r="O3179" s="1"/>
      <c r="P3179" s="1"/>
      <c r="Q3179" s="1"/>
      <c r="R3179" s="1"/>
    </row>
    <row r="3180" spans="2:18">
      <c r="C3180" s="2" t="s">
        <v>5</v>
      </c>
      <c r="D3180" s="2" t="s">
        <v>302</v>
      </c>
      <c r="E3180" s="3">
        <v>10</v>
      </c>
      <c r="F3180" s="3">
        <v>1.4</v>
      </c>
      <c r="G3180" s="4">
        <v>44637</v>
      </c>
      <c r="M3180" s="1"/>
      <c r="N3180" s="1"/>
      <c r="O3180" s="1"/>
      <c r="P3180" s="1"/>
      <c r="Q3180" s="1"/>
      <c r="R3180" s="1"/>
    </row>
    <row r="3181" spans="2:18">
      <c r="C3181" s="2" t="s">
        <v>4</v>
      </c>
      <c r="D3181" s="2" t="s">
        <v>302</v>
      </c>
      <c r="E3181" s="3">
        <v>4.5</v>
      </c>
      <c r="F3181" s="3">
        <v>2</v>
      </c>
      <c r="G3181" s="4">
        <v>44175</v>
      </c>
      <c r="M3181" s="1"/>
      <c r="N3181" s="1"/>
      <c r="O3181" s="1"/>
      <c r="P3181" s="1"/>
      <c r="Q3181" s="1"/>
      <c r="R3181" s="1"/>
    </row>
    <row r="3182" spans="2:18">
      <c r="G3182" s="4"/>
      <c r="M3182" s="1"/>
      <c r="N3182" s="1"/>
      <c r="O3182" s="1"/>
      <c r="P3182" s="1"/>
      <c r="Q3182" s="1"/>
      <c r="R3182" s="1"/>
    </row>
    <row r="3183" spans="2:18" s="12" customFormat="1">
      <c r="B3183" s="12" t="s">
        <v>811</v>
      </c>
      <c r="C3183" s="13" t="s">
        <v>969</v>
      </c>
      <c r="D3183" s="13" t="s">
        <v>968</v>
      </c>
      <c r="E3183" s="15"/>
      <c r="F3183" s="15">
        <f>SUM(F3184:F3187)</f>
        <v>6.4444444444444446</v>
      </c>
      <c r="G3183" s="14">
        <f>G3184</f>
        <v>44882</v>
      </c>
      <c r="M3183" s="13"/>
      <c r="N3183" s="13"/>
      <c r="O3183" s="13"/>
      <c r="P3183" s="13"/>
      <c r="Q3183" s="13"/>
      <c r="R3183" s="13"/>
    </row>
    <row r="3184" spans="2:18">
      <c r="C3184" s="2" t="s">
        <v>7</v>
      </c>
      <c r="D3184" s="2" t="s">
        <v>810</v>
      </c>
      <c r="E3184" s="3">
        <v>27</v>
      </c>
      <c r="F3184" s="3">
        <v>2</v>
      </c>
      <c r="G3184" s="4">
        <v>44882</v>
      </c>
    </row>
    <row r="3185" spans="2:18">
      <c r="C3185" s="140" t="s">
        <v>5</v>
      </c>
      <c r="D3185" s="140" t="s">
        <v>6291</v>
      </c>
      <c r="E3185" s="3">
        <v>25</v>
      </c>
      <c r="F3185" s="3">
        <v>3</v>
      </c>
      <c r="G3185" s="4">
        <v>44594</v>
      </c>
    </row>
    <row r="3186" spans="2:18">
      <c r="C3186" s="331" t="s">
        <v>4</v>
      </c>
      <c r="D3186" s="331" t="s">
        <v>8298</v>
      </c>
      <c r="E3186" s="3">
        <v>8</v>
      </c>
      <c r="F3186" s="3">
        <v>1</v>
      </c>
      <c r="G3186" s="4">
        <v>44482</v>
      </c>
    </row>
    <row r="3187" spans="2:18">
      <c r="C3187" s="394" t="s">
        <v>278</v>
      </c>
      <c r="D3187" s="394" t="s">
        <v>9775</v>
      </c>
      <c r="E3187" s="3">
        <v>6</v>
      </c>
      <c r="F3187" s="3">
        <f>4/9</f>
        <v>0.44444444444444442</v>
      </c>
      <c r="G3187" s="4">
        <v>44348</v>
      </c>
    </row>
    <row r="3188" spans="2:18">
      <c r="G3188" s="4"/>
    </row>
    <row r="3189" spans="2:18" s="12" customFormat="1">
      <c r="B3189" s="12" t="s">
        <v>442</v>
      </c>
      <c r="C3189" s="13" t="s">
        <v>969</v>
      </c>
      <c r="D3189" s="13" t="s">
        <v>968</v>
      </c>
      <c r="E3189" s="15"/>
      <c r="F3189" s="15">
        <f>SUM(F3190:F3191)</f>
        <v>4.5</v>
      </c>
      <c r="G3189" s="14">
        <f>G3190</f>
        <v>44602</v>
      </c>
    </row>
    <row r="3190" spans="2:18">
      <c r="C3190" s="2" t="s">
        <v>4</v>
      </c>
      <c r="D3190" s="2" t="s">
        <v>439</v>
      </c>
      <c r="E3190" s="3">
        <v>7</v>
      </c>
      <c r="F3190" s="3">
        <v>0.5</v>
      </c>
      <c r="G3190" s="4">
        <v>44602</v>
      </c>
      <c r="M3190" s="1"/>
      <c r="N3190" s="1"/>
      <c r="O3190" s="1"/>
      <c r="P3190" s="1"/>
      <c r="Q3190" s="1"/>
      <c r="R3190" s="1"/>
    </row>
    <row r="3191" spans="2:18">
      <c r="C3191" s="153" t="s">
        <v>7</v>
      </c>
      <c r="D3191" s="153" t="s">
        <v>2046</v>
      </c>
      <c r="E3191" s="3">
        <v>50</v>
      </c>
      <c r="F3191" s="3">
        <v>4</v>
      </c>
      <c r="G3191" s="4">
        <v>44252</v>
      </c>
      <c r="M3191" s="1"/>
      <c r="N3191" s="1"/>
      <c r="O3191" s="1"/>
      <c r="P3191" s="1"/>
      <c r="Q3191" s="1"/>
      <c r="R3191" s="1"/>
    </row>
    <row r="3192" spans="2:18">
      <c r="G3192" s="4"/>
      <c r="M3192" s="1"/>
      <c r="N3192" s="1"/>
      <c r="O3192" s="1"/>
      <c r="P3192" s="1"/>
      <c r="Q3192" s="1"/>
      <c r="R3192" s="1"/>
    </row>
    <row r="3193" spans="2:18" s="12" customFormat="1">
      <c r="B3193" s="12" t="s">
        <v>93</v>
      </c>
      <c r="C3193" s="13" t="s">
        <v>969</v>
      </c>
      <c r="D3193" s="13" t="s">
        <v>968</v>
      </c>
      <c r="E3193" s="15"/>
      <c r="F3193" s="15">
        <f>SUM(F3194:F3197)</f>
        <v>5.3630952380952381</v>
      </c>
      <c r="G3193" s="14">
        <f>G3194</f>
        <v>44642</v>
      </c>
      <c r="M3193" s="13"/>
      <c r="N3193" s="13"/>
      <c r="O3193" s="13"/>
      <c r="P3193" s="13"/>
      <c r="Q3193" s="13"/>
      <c r="R3193" s="13"/>
    </row>
    <row r="3194" spans="2:18">
      <c r="B3194" s="238" t="s">
        <v>7633</v>
      </c>
      <c r="C3194" s="2" t="s">
        <v>7</v>
      </c>
      <c r="D3194" s="2" t="s">
        <v>87</v>
      </c>
      <c r="E3194" s="3">
        <v>25</v>
      </c>
      <c r="F3194" s="3">
        <f>15/6</f>
        <v>2.5</v>
      </c>
      <c r="G3194" s="4">
        <v>44642</v>
      </c>
    </row>
    <row r="3195" spans="2:18">
      <c r="C3195" s="2" t="s">
        <v>5</v>
      </c>
      <c r="D3195" s="2" t="s">
        <v>87</v>
      </c>
      <c r="E3195" s="3">
        <v>13.5</v>
      </c>
      <c r="F3195" s="3">
        <f>10/6</f>
        <v>1.6666666666666667</v>
      </c>
      <c r="G3195" s="4">
        <v>43978</v>
      </c>
    </row>
    <row r="3196" spans="2:18">
      <c r="C3196" s="2" t="s">
        <v>4</v>
      </c>
      <c r="D3196" s="2" t="s">
        <v>87</v>
      </c>
      <c r="E3196" s="3">
        <v>5.3</v>
      </c>
      <c r="F3196" s="3">
        <f>4/7</f>
        <v>0.5714285714285714</v>
      </c>
      <c r="G3196" s="4">
        <v>43398</v>
      </c>
    </row>
    <row r="3197" spans="2:18">
      <c r="C3197" s="2" t="s">
        <v>4</v>
      </c>
      <c r="D3197" s="2" t="s">
        <v>87</v>
      </c>
      <c r="E3197" s="3">
        <v>4</v>
      </c>
      <c r="F3197" s="3">
        <f>2.5/4</f>
        <v>0.625</v>
      </c>
      <c r="G3197" s="4">
        <v>43122</v>
      </c>
    </row>
    <row r="3198" spans="2:18">
      <c r="G3198" s="4"/>
    </row>
    <row r="3199" spans="2:18" s="12" customFormat="1">
      <c r="B3199" s="12" t="s">
        <v>982</v>
      </c>
      <c r="C3199" s="13" t="s">
        <v>969</v>
      </c>
      <c r="D3199" s="13" t="s">
        <v>968</v>
      </c>
      <c r="E3199" s="15"/>
      <c r="F3199" s="15">
        <f>SUM(F3200:F3201)</f>
        <v>5</v>
      </c>
      <c r="G3199" s="14">
        <f>G3200</f>
        <v>44838</v>
      </c>
      <c r="M3199" s="13"/>
      <c r="N3199" s="13"/>
      <c r="O3199" s="13"/>
      <c r="P3199" s="13"/>
      <c r="Q3199" s="13"/>
      <c r="R3199" s="13"/>
    </row>
    <row r="3200" spans="2:18">
      <c r="C3200" s="2" t="s">
        <v>5</v>
      </c>
      <c r="D3200" s="2" t="s">
        <v>682</v>
      </c>
      <c r="E3200" s="3">
        <v>15</v>
      </c>
      <c r="F3200" s="3">
        <f>10/3</f>
        <v>3.3333333333333335</v>
      </c>
      <c r="G3200" s="4">
        <v>44838</v>
      </c>
    </row>
    <row r="3201" spans="2:18">
      <c r="C3201" s="2" t="s">
        <v>4</v>
      </c>
      <c r="D3201" s="2" t="s">
        <v>95</v>
      </c>
      <c r="E3201" s="3">
        <v>5</v>
      </c>
      <c r="F3201" s="3">
        <f>E3201/3</f>
        <v>1.6666666666666667</v>
      </c>
      <c r="G3201" s="4">
        <v>41940</v>
      </c>
    </row>
    <row r="3202" spans="2:18">
      <c r="G3202" s="4"/>
    </row>
    <row r="3203" spans="2:18" s="12" customFormat="1">
      <c r="B3203" s="12" t="s">
        <v>641</v>
      </c>
      <c r="C3203" s="13" t="s">
        <v>969</v>
      </c>
      <c r="D3203" s="13" t="s">
        <v>968</v>
      </c>
      <c r="E3203" s="15"/>
      <c r="F3203" s="15">
        <f>SUM(F3204:F3205)</f>
        <v>5</v>
      </c>
      <c r="G3203" s="14">
        <f>G3204</f>
        <v>44959</v>
      </c>
    </row>
    <row r="3204" spans="2:18">
      <c r="C3204" s="2" t="s">
        <v>5</v>
      </c>
      <c r="D3204" s="2" t="s">
        <v>640</v>
      </c>
      <c r="E3204" s="3">
        <v>11</v>
      </c>
      <c r="F3204" s="3">
        <v>4</v>
      </c>
      <c r="G3204" s="4">
        <v>44959</v>
      </c>
      <c r="M3204" s="1"/>
      <c r="N3204" s="1"/>
      <c r="O3204" s="1"/>
      <c r="P3204" s="1"/>
      <c r="Q3204" s="1"/>
      <c r="R3204" s="1"/>
    </row>
    <row r="3205" spans="2:18">
      <c r="C3205" s="2" t="s">
        <v>4</v>
      </c>
      <c r="D3205" s="2" t="s">
        <v>640</v>
      </c>
      <c r="E3205" s="3">
        <v>2.2000000000000002</v>
      </c>
      <c r="F3205" s="3">
        <v>1</v>
      </c>
      <c r="G3205" s="4">
        <v>44959</v>
      </c>
      <c r="M3205" s="1"/>
      <c r="N3205" s="1"/>
      <c r="O3205" s="1"/>
      <c r="P3205" s="1"/>
      <c r="Q3205" s="1"/>
      <c r="R3205" s="1"/>
    </row>
    <row r="3206" spans="2:18">
      <c r="G3206" s="4"/>
      <c r="M3206" s="1"/>
      <c r="N3206" s="1"/>
      <c r="O3206" s="1"/>
      <c r="P3206" s="1"/>
      <c r="Q3206" s="1"/>
      <c r="R3206" s="1"/>
    </row>
    <row r="3207" spans="2:18" s="12" customFormat="1">
      <c r="B3207" s="12" t="s">
        <v>981</v>
      </c>
      <c r="C3207" s="13" t="s">
        <v>969</v>
      </c>
      <c r="D3207" s="13" t="s">
        <v>968</v>
      </c>
      <c r="E3207" s="15"/>
      <c r="F3207" s="15">
        <f>SUM(F3208:F3209)</f>
        <v>4.833333333333333</v>
      </c>
      <c r="G3207" s="14">
        <f>G3208</f>
        <v>44893</v>
      </c>
      <c r="M3207" s="13"/>
      <c r="N3207" s="13"/>
      <c r="O3207" s="13"/>
      <c r="P3207" s="13"/>
      <c r="Q3207" s="13"/>
      <c r="R3207" s="13"/>
    </row>
    <row r="3208" spans="2:18">
      <c r="C3208" s="2" t="s">
        <v>5</v>
      </c>
      <c r="D3208" s="2" t="s">
        <v>779</v>
      </c>
      <c r="E3208" s="3">
        <v>33</v>
      </c>
      <c r="F3208" s="3">
        <f>13/3</f>
        <v>4.333333333333333</v>
      </c>
      <c r="G3208" s="4">
        <v>44893</v>
      </c>
    </row>
    <row r="3209" spans="2:18">
      <c r="C3209" s="2" t="s">
        <v>670</v>
      </c>
      <c r="D3209" s="2" t="s">
        <v>779</v>
      </c>
      <c r="E3209" s="3">
        <v>3</v>
      </c>
      <c r="F3209" s="3">
        <v>0.5</v>
      </c>
      <c r="G3209" s="4">
        <v>44183</v>
      </c>
    </row>
    <row r="3210" spans="2:18">
      <c r="G3210" s="4"/>
    </row>
    <row r="3211" spans="2:18" s="12" customFormat="1">
      <c r="B3211" s="12" t="s">
        <v>6360</v>
      </c>
      <c r="C3211" s="13" t="s">
        <v>969</v>
      </c>
      <c r="D3211" s="13" t="s">
        <v>968</v>
      </c>
      <c r="E3211" s="15"/>
      <c r="F3211" s="15">
        <f>SUM(F3212:F3214)</f>
        <v>5.25</v>
      </c>
      <c r="G3211" s="14">
        <f>G3212</f>
        <v>44252</v>
      </c>
      <c r="M3211" s="13"/>
      <c r="N3211" s="13"/>
      <c r="O3211" s="13"/>
      <c r="P3211" s="13"/>
      <c r="Q3211" s="13"/>
      <c r="R3211" s="13"/>
    </row>
    <row r="3212" spans="2:18">
      <c r="B3212" s="152"/>
      <c r="C3212" s="153" t="s">
        <v>7</v>
      </c>
      <c r="D3212" s="153" t="s">
        <v>2046</v>
      </c>
      <c r="E3212" s="3">
        <v>50</v>
      </c>
      <c r="F3212" s="3">
        <v>4</v>
      </c>
      <c r="G3212" s="4">
        <v>44252</v>
      </c>
    </row>
    <row r="3213" spans="2:18">
      <c r="B3213" s="152"/>
      <c r="C3213" s="177" t="s">
        <v>5</v>
      </c>
      <c r="D3213" s="177" t="s">
        <v>2030</v>
      </c>
      <c r="E3213" s="3">
        <v>9.3000000000000007</v>
      </c>
      <c r="F3213" s="3">
        <v>1</v>
      </c>
      <c r="G3213" s="4">
        <v>44229</v>
      </c>
    </row>
    <row r="3214" spans="2:18">
      <c r="B3214" s="152"/>
      <c r="C3214" s="177" t="s">
        <v>4</v>
      </c>
      <c r="D3214" s="177" t="s">
        <v>2030</v>
      </c>
      <c r="E3214" s="3">
        <v>2</v>
      </c>
      <c r="F3214" s="3">
        <f>1.5/6</f>
        <v>0.25</v>
      </c>
      <c r="G3214" s="4">
        <v>43522</v>
      </c>
    </row>
    <row r="3215" spans="2:18">
      <c r="B3215" s="152"/>
      <c r="C3215" s="177"/>
      <c r="D3215" s="177"/>
      <c r="G3215" s="4"/>
    </row>
    <row r="3216" spans="2:18" s="12" customFormat="1">
      <c r="B3216" s="12" t="s">
        <v>468</v>
      </c>
      <c r="C3216" s="13" t="s">
        <v>969</v>
      </c>
      <c r="D3216" s="13" t="s">
        <v>968</v>
      </c>
      <c r="E3216" s="15"/>
      <c r="F3216" s="15">
        <f>SUM(F3217:F3218)</f>
        <v>4.625</v>
      </c>
      <c r="G3216" s="14">
        <f>G3217</f>
        <v>44727</v>
      </c>
    </row>
    <row r="3217" spans="2:18">
      <c r="C3217" s="2" t="s">
        <v>5</v>
      </c>
      <c r="D3217" s="2" t="s">
        <v>465</v>
      </c>
      <c r="E3217" s="3">
        <v>15.5</v>
      </c>
      <c r="F3217" s="3">
        <v>1.625</v>
      </c>
      <c r="G3217" s="4">
        <v>44727</v>
      </c>
      <c r="M3217" s="1"/>
      <c r="N3217" s="1"/>
      <c r="O3217" s="1"/>
      <c r="P3217" s="1"/>
      <c r="Q3217" s="1"/>
      <c r="R3217" s="1"/>
    </row>
    <row r="3218" spans="2:18">
      <c r="C3218" s="2" t="s">
        <v>5</v>
      </c>
      <c r="D3218" s="2" t="s">
        <v>465</v>
      </c>
      <c r="E3218" s="3">
        <v>12</v>
      </c>
      <c r="F3218" s="3">
        <v>3</v>
      </c>
      <c r="G3218" s="4">
        <v>43948</v>
      </c>
      <c r="M3218" s="1"/>
      <c r="N3218" s="1"/>
      <c r="O3218" s="1"/>
      <c r="P3218" s="1"/>
      <c r="Q3218" s="1"/>
      <c r="R3218" s="1"/>
    </row>
    <row r="3219" spans="2:18">
      <c r="G3219" s="4"/>
      <c r="M3219" s="1"/>
      <c r="N3219" s="1"/>
      <c r="O3219" s="1"/>
      <c r="P3219" s="1"/>
      <c r="Q3219" s="1"/>
      <c r="R3219" s="1"/>
    </row>
    <row r="3220" spans="2:18" s="12" customFormat="1">
      <c r="B3220" s="12" t="s">
        <v>980</v>
      </c>
      <c r="C3220" s="13" t="s">
        <v>969</v>
      </c>
      <c r="D3220" s="13" t="s">
        <v>968</v>
      </c>
      <c r="E3220" s="15"/>
      <c r="F3220" s="15">
        <f>SUM(F3221:F3222)</f>
        <v>5</v>
      </c>
      <c r="G3220" s="14">
        <f>G3221</f>
        <v>44522</v>
      </c>
      <c r="M3220" s="13"/>
      <c r="N3220" s="13"/>
      <c r="O3220" s="13"/>
      <c r="P3220" s="13"/>
      <c r="Q3220" s="13"/>
      <c r="R3220" s="13"/>
    </row>
    <row r="3221" spans="2:18">
      <c r="C3221" s="2" t="s">
        <v>5</v>
      </c>
      <c r="D3221" s="2" t="s">
        <v>873</v>
      </c>
      <c r="E3221" s="3">
        <v>30</v>
      </c>
      <c r="F3221" s="3">
        <v>4</v>
      </c>
      <c r="G3221" s="4">
        <v>44522</v>
      </c>
    </row>
    <row r="3222" spans="2:18">
      <c r="C3222" s="2" t="s">
        <v>4</v>
      </c>
      <c r="D3222" s="2" t="s">
        <v>873</v>
      </c>
      <c r="E3222" s="3">
        <v>5.5</v>
      </c>
      <c r="F3222" s="3">
        <v>1</v>
      </c>
      <c r="G3222" s="4">
        <v>44096</v>
      </c>
    </row>
    <row r="3224" spans="2:18" s="12" customFormat="1">
      <c r="B3224" s="12" t="s">
        <v>979</v>
      </c>
      <c r="C3224" s="13" t="s">
        <v>969</v>
      </c>
      <c r="D3224" s="13" t="s">
        <v>968</v>
      </c>
      <c r="E3224" s="15"/>
      <c r="F3224" s="15">
        <f>SUM(F3225:F3226)</f>
        <v>4.833333333333333</v>
      </c>
      <c r="G3224" s="14">
        <f>G3225</f>
        <v>44893</v>
      </c>
      <c r="M3224" s="13"/>
      <c r="N3224" s="13"/>
      <c r="O3224" s="13"/>
      <c r="P3224" s="13"/>
      <c r="Q3224" s="13"/>
      <c r="R3224" s="13"/>
    </row>
    <row r="3225" spans="2:18">
      <c r="C3225" s="2" t="s">
        <v>5</v>
      </c>
      <c r="D3225" s="2" t="s">
        <v>779</v>
      </c>
      <c r="E3225" s="3">
        <v>33</v>
      </c>
      <c r="F3225" s="3">
        <f>13/3</f>
        <v>4.333333333333333</v>
      </c>
      <c r="G3225" s="4">
        <v>44893</v>
      </c>
    </row>
    <row r="3226" spans="2:18">
      <c r="C3226" s="2" t="s">
        <v>670</v>
      </c>
      <c r="D3226" s="2" t="s">
        <v>779</v>
      </c>
      <c r="E3226" s="3">
        <v>3</v>
      </c>
      <c r="F3226" s="3">
        <v>0.5</v>
      </c>
      <c r="G3226" s="4">
        <v>44183</v>
      </c>
    </row>
    <row r="3227" spans="2:18">
      <c r="C3227" s="2" t="s">
        <v>4</v>
      </c>
      <c r="D3227" s="2" t="s">
        <v>302</v>
      </c>
      <c r="E3227" s="3">
        <v>1.8</v>
      </c>
      <c r="F3227" s="3">
        <v>0.2</v>
      </c>
      <c r="G3227" s="4">
        <v>42690</v>
      </c>
    </row>
    <row r="3228" spans="2:18">
      <c r="G3228" s="4"/>
    </row>
    <row r="3229" spans="2:18" s="12" customFormat="1">
      <c r="B3229" s="12" t="s">
        <v>815</v>
      </c>
      <c r="C3229" s="13" t="s">
        <v>969</v>
      </c>
      <c r="D3229" s="13" t="s">
        <v>968</v>
      </c>
      <c r="E3229" s="15"/>
      <c r="F3229" s="15">
        <f>SUM(F3230:F3231)</f>
        <v>5</v>
      </c>
      <c r="G3229" s="14">
        <f>G3231</f>
        <v>44866</v>
      </c>
      <c r="M3229" s="13"/>
      <c r="N3229" s="13"/>
      <c r="O3229" s="13"/>
      <c r="P3229" s="13"/>
      <c r="Q3229" s="13"/>
      <c r="R3229" s="13"/>
    </row>
    <row r="3230" spans="2:18">
      <c r="C3230" s="2" t="s">
        <v>5</v>
      </c>
      <c r="D3230" s="2" t="s">
        <v>642</v>
      </c>
      <c r="E3230" s="3">
        <v>12</v>
      </c>
      <c r="F3230" s="3">
        <f>6/3</f>
        <v>2</v>
      </c>
      <c r="G3230" s="4">
        <v>44860</v>
      </c>
    </row>
    <row r="3231" spans="2:18">
      <c r="C3231" s="2" t="s">
        <v>5</v>
      </c>
      <c r="D3231" s="2" t="s">
        <v>2025</v>
      </c>
      <c r="E3231" s="3">
        <v>18</v>
      </c>
      <c r="F3231" s="3">
        <v>3</v>
      </c>
      <c r="G3231" s="4">
        <v>44866</v>
      </c>
    </row>
    <row r="3232" spans="2:18">
      <c r="G3232" s="4"/>
    </row>
    <row r="3233" spans="2:18" s="12" customFormat="1">
      <c r="B3233" s="12" t="s">
        <v>487</v>
      </c>
      <c r="C3233" s="13" t="s">
        <v>969</v>
      </c>
      <c r="D3233" s="13" t="s">
        <v>968</v>
      </c>
      <c r="E3233" s="15"/>
      <c r="F3233" s="15">
        <f>SUM(F3234:F3236)</f>
        <v>4.9000000000000004</v>
      </c>
      <c r="G3233" s="14">
        <f>G3234</f>
        <v>44516</v>
      </c>
    </row>
    <row r="3234" spans="2:18">
      <c r="C3234" s="2" t="s">
        <v>5</v>
      </c>
      <c r="D3234" s="2" t="s">
        <v>483</v>
      </c>
      <c r="E3234" s="3">
        <v>13</v>
      </c>
      <c r="F3234" s="3">
        <v>1.4</v>
      </c>
      <c r="G3234" s="4">
        <v>44516</v>
      </c>
      <c r="M3234" s="1"/>
      <c r="N3234" s="1"/>
      <c r="O3234" s="1"/>
      <c r="P3234" s="1"/>
      <c r="Q3234" s="1"/>
      <c r="R3234" s="1"/>
    </row>
    <row r="3235" spans="2:18">
      <c r="C3235" s="2" t="s">
        <v>4</v>
      </c>
      <c r="D3235" s="2" t="s">
        <v>483</v>
      </c>
      <c r="E3235" s="3">
        <v>2.5</v>
      </c>
      <c r="F3235" s="3">
        <v>1.5</v>
      </c>
      <c r="G3235" s="4">
        <v>44305</v>
      </c>
      <c r="M3235" s="1"/>
      <c r="N3235" s="1"/>
      <c r="O3235" s="1"/>
      <c r="P3235" s="1"/>
      <c r="Q3235" s="1"/>
      <c r="R3235" s="1"/>
    </row>
    <row r="3236" spans="2:18">
      <c r="C3236" s="2" t="s">
        <v>4</v>
      </c>
      <c r="D3236" s="2" t="s">
        <v>481</v>
      </c>
      <c r="E3236" s="3">
        <v>2</v>
      </c>
      <c r="F3236" s="3">
        <v>2</v>
      </c>
      <c r="G3236" s="4">
        <v>44332</v>
      </c>
      <c r="M3236" s="1"/>
      <c r="N3236" s="1"/>
      <c r="O3236" s="1"/>
      <c r="P3236" s="1"/>
      <c r="Q3236" s="1"/>
      <c r="R3236" s="1"/>
    </row>
    <row r="3238" spans="2:18" s="12" customFormat="1">
      <c r="B3238" s="12" t="s">
        <v>645</v>
      </c>
      <c r="C3238" s="13" t="s">
        <v>969</v>
      </c>
      <c r="D3238" s="13" t="s">
        <v>968</v>
      </c>
      <c r="E3238" s="15"/>
      <c r="F3238" s="15">
        <f>SUM(F3239:F3240)</f>
        <v>5.166666666666667</v>
      </c>
      <c r="G3238" s="14">
        <f>G3239</f>
        <v>44825</v>
      </c>
    </row>
    <row r="3239" spans="2:18">
      <c r="C3239" s="2" t="s">
        <v>5</v>
      </c>
      <c r="D3239" s="2" t="s">
        <v>644</v>
      </c>
      <c r="E3239" s="3">
        <v>12.5</v>
      </c>
      <c r="F3239" s="3">
        <f>E3239/3</f>
        <v>4.166666666666667</v>
      </c>
      <c r="G3239" s="4">
        <v>44825</v>
      </c>
      <c r="M3239" s="1"/>
      <c r="N3239" s="1"/>
      <c r="O3239" s="1"/>
      <c r="P3239" s="1"/>
      <c r="Q3239" s="1"/>
      <c r="R3239" s="1"/>
    </row>
    <row r="3240" spans="2:18">
      <c r="C3240" s="2" t="s">
        <v>5</v>
      </c>
      <c r="D3240" s="2" t="s">
        <v>520</v>
      </c>
      <c r="E3240" s="3">
        <v>7</v>
      </c>
      <c r="F3240" s="3">
        <v>1</v>
      </c>
      <c r="G3240" s="4">
        <v>42885</v>
      </c>
      <c r="M3240" s="1"/>
      <c r="N3240" s="1"/>
      <c r="O3240" s="1"/>
      <c r="P3240" s="1"/>
      <c r="Q3240" s="1"/>
      <c r="R3240" s="1"/>
    </row>
    <row r="3241" spans="2:18">
      <c r="G3241" s="4"/>
      <c r="M3241" s="1"/>
      <c r="N3241" s="1"/>
      <c r="O3241" s="1"/>
      <c r="P3241" s="1"/>
      <c r="Q3241" s="1"/>
      <c r="R3241" s="1"/>
    </row>
    <row r="3242" spans="2:18" s="12" customFormat="1">
      <c r="B3242" s="12" t="s">
        <v>466</v>
      </c>
      <c r="C3242" s="13" t="s">
        <v>969</v>
      </c>
      <c r="D3242" s="13" t="s">
        <v>968</v>
      </c>
      <c r="E3242" s="15"/>
      <c r="F3242" s="15">
        <f>SUM(F3243:F3244)</f>
        <v>4.625</v>
      </c>
      <c r="G3242" s="14">
        <f>+G3245</f>
        <v>44827</v>
      </c>
    </row>
    <row r="3243" spans="2:18">
      <c r="C3243" s="2" t="s">
        <v>5</v>
      </c>
      <c r="D3243" s="2" t="s">
        <v>465</v>
      </c>
      <c r="E3243" s="3">
        <v>15.5</v>
      </c>
      <c r="F3243" s="3">
        <v>1.625</v>
      </c>
      <c r="G3243" s="4">
        <v>44727</v>
      </c>
      <c r="M3243" s="1"/>
      <c r="N3243" s="1"/>
      <c r="O3243" s="1"/>
      <c r="P3243" s="1"/>
      <c r="Q3243" s="1"/>
      <c r="R3243" s="1"/>
    </row>
    <row r="3244" spans="2:18">
      <c r="C3244" s="2" t="s">
        <v>5</v>
      </c>
      <c r="D3244" s="2" t="s">
        <v>465</v>
      </c>
      <c r="E3244" s="3">
        <v>12</v>
      </c>
      <c r="F3244" s="3">
        <v>3</v>
      </c>
      <c r="G3244" s="4">
        <v>43948</v>
      </c>
      <c r="M3244" s="1"/>
      <c r="N3244" s="1"/>
      <c r="O3244" s="1"/>
      <c r="P3244" s="1"/>
      <c r="Q3244" s="1"/>
      <c r="R3244" s="1"/>
    </row>
    <row r="3245" spans="2:18">
      <c r="C3245" s="394" t="s">
        <v>4</v>
      </c>
      <c r="D3245" s="394" t="s">
        <v>9734</v>
      </c>
      <c r="E3245" s="3">
        <v>4</v>
      </c>
      <c r="F3245" s="3">
        <v>1.5</v>
      </c>
      <c r="G3245" s="4">
        <v>44827</v>
      </c>
      <c r="M3245" s="1"/>
      <c r="N3245" s="1"/>
      <c r="O3245" s="1"/>
      <c r="P3245" s="1"/>
      <c r="Q3245" s="1"/>
      <c r="R3245" s="1"/>
    </row>
    <row r="3247" spans="2:18" s="12" customFormat="1">
      <c r="B3247" s="12" t="s">
        <v>553</v>
      </c>
      <c r="C3247" s="13" t="s">
        <v>969</v>
      </c>
      <c r="D3247" s="13" t="s">
        <v>968</v>
      </c>
      <c r="E3247" s="15"/>
      <c r="F3247" s="15">
        <f>SUM(F3248:F3250)</f>
        <v>5</v>
      </c>
      <c r="G3247" s="14">
        <f>G3248</f>
        <v>45077</v>
      </c>
    </row>
    <row r="3248" spans="2:18">
      <c r="C3248" s="2" t="s">
        <v>7</v>
      </c>
      <c r="D3248" s="2" t="s">
        <v>548</v>
      </c>
      <c r="E3248" s="3">
        <v>20</v>
      </c>
      <c r="F3248" s="3">
        <f>12/6</f>
        <v>2</v>
      </c>
      <c r="G3248" s="4">
        <v>45077</v>
      </c>
      <c r="M3248" s="1"/>
      <c r="N3248" s="1"/>
      <c r="O3248" s="1"/>
      <c r="P3248" s="1"/>
      <c r="Q3248" s="1"/>
      <c r="R3248" s="1"/>
    </row>
    <row r="3249" spans="2:18">
      <c r="C3249" s="2" t="s">
        <v>5</v>
      </c>
      <c r="D3249" s="2" t="s">
        <v>548</v>
      </c>
      <c r="E3249" s="3">
        <v>10.5</v>
      </c>
      <c r="F3249" s="3">
        <f>5/5</f>
        <v>1</v>
      </c>
      <c r="G3249" s="4">
        <v>44341</v>
      </c>
      <c r="M3249" s="1"/>
      <c r="N3249" s="1"/>
      <c r="O3249" s="1"/>
      <c r="P3249" s="1"/>
      <c r="Q3249" s="1"/>
      <c r="R3249" s="1"/>
    </row>
    <row r="3250" spans="2:18">
      <c r="C3250" s="2" t="s">
        <v>4</v>
      </c>
      <c r="D3250" s="2" t="s">
        <v>548</v>
      </c>
      <c r="E3250" s="3">
        <v>4</v>
      </c>
      <c r="F3250" s="3">
        <v>2</v>
      </c>
      <c r="G3250" s="4">
        <v>43671</v>
      </c>
      <c r="M3250" s="1"/>
      <c r="N3250" s="1"/>
      <c r="O3250" s="1"/>
      <c r="P3250" s="1"/>
      <c r="Q3250" s="1"/>
      <c r="R3250" s="1"/>
    </row>
    <row r="3251" spans="2:18">
      <c r="G3251" s="4"/>
      <c r="M3251" s="1"/>
      <c r="N3251" s="1"/>
      <c r="O3251" s="1"/>
      <c r="P3251" s="1"/>
      <c r="Q3251" s="1"/>
      <c r="R3251" s="1"/>
    </row>
    <row r="3252" spans="2:18" s="12" customFormat="1">
      <c r="B3252" s="12" t="s">
        <v>145</v>
      </c>
      <c r="C3252" s="13" t="s">
        <v>969</v>
      </c>
      <c r="D3252" s="13" t="s">
        <v>968</v>
      </c>
      <c r="E3252" s="15"/>
      <c r="F3252" s="15">
        <f>SUM(F3253:F3254)</f>
        <v>5.4</v>
      </c>
      <c r="G3252" s="14">
        <f>G3254</f>
        <v>44165</v>
      </c>
      <c r="M3252" s="13"/>
      <c r="N3252" s="13"/>
      <c r="O3252" s="13"/>
      <c r="P3252" s="13"/>
      <c r="Q3252" s="13"/>
      <c r="R3252" s="13"/>
    </row>
    <row r="3253" spans="2:18">
      <c r="C3253" s="2" t="s">
        <v>4</v>
      </c>
      <c r="D3253" s="2" t="s">
        <v>144</v>
      </c>
      <c r="E3253" s="3">
        <v>1.6</v>
      </c>
      <c r="F3253" s="3">
        <f>E3253/4</f>
        <v>0.4</v>
      </c>
      <c r="G3253" s="4">
        <v>43060</v>
      </c>
    </row>
    <row r="3254" spans="2:18">
      <c r="C3254" s="2" t="s">
        <v>5</v>
      </c>
      <c r="D3254" s="2" t="s">
        <v>64</v>
      </c>
      <c r="E3254" s="3">
        <v>50</v>
      </c>
      <c r="F3254" s="3">
        <v>5</v>
      </c>
      <c r="G3254" s="4">
        <v>44165</v>
      </c>
    </row>
    <row r="3255" spans="2:18">
      <c r="G3255" s="4"/>
    </row>
    <row r="3256" spans="2:18" s="12" customFormat="1">
      <c r="B3256" s="12" t="s">
        <v>683</v>
      </c>
      <c r="C3256" s="13" t="s">
        <v>969</v>
      </c>
      <c r="D3256" s="13" t="s">
        <v>968</v>
      </c>
      <c r="E3256" s="15"/>
      <c r="F3256" s="15">
        <f>SUM(F3257:F3259)</f>
        <v>5.3333333333333339</v>
      </c>
      <c r="G3256" s="14">
        <f>G3257</f>
        <v>44838</v>
      </c>
      <c r="M3256" s="13"/>
      <c r="N3256" s="13"/>
      <c r="O3256" s="13"/>
      <c r="P3256" s="13"/>
      <c r="Q3256" s="13"/>
      <c r="R3256" s="13"/>
    </row>
    <row r="3257" spans="2:18">
      <c r="C3257" s="2" t="s">
        <v>5</v>
      </c>
      <c r="D3257" s="2" t="s">
        <v>682</v>
      </c>
      <c r="E3257" s="3">
        <v>15</v>
      </c>
      <c r="F3257" s="3">
        <f>10/3</f>
        <v>3.3333333333333335</v>
      </c>
      <c r="G3257" s="4">
        <v>44838</v>
      </c>
    </row>
    <row r="3258" spans="2:18">
      <c r="C3258" s="2" t="s">
        <v>4</v>
      </c>
      <c r="D3258" s="2" t="s">
        <v>596</v>
      </c>
      <c r="E3258" s="3">
        <v>6</v>
      </c>
      <c r="F3258" s="3">
        <v>1</v>
      </c>
      <c r="G3258" s="4">
        <v>44781</v>
      </c>
    </row>
    <row r="3259" spans="2:18">
      <c r="C3259" s="2" t="s">
        <v>4</v>
      </c>
      <c r="D3259" s="2" t="s">
        <v>2017</v>
      </c>
      <c r="E3259" s="3">
        <v>4</v>
      </c>
      <c r="F3259" s="3">
        <v>1</v>
      </c>
      <c r="G3259" s="4">
        <v>44097</v>
      </c>
    </row>
    <row r="3260" spans="2:18">
      <c r="G3260" s="4"/>
    </row>
    <row r="3261" spans="2:18" s="12" customFormat="1">
      <c r="B3261" s="12" t="s">
        <v>978</v>
      </c>
      <c r="C3261" s="13" t="s">
        <v>969</v>
      </c>
      <c r="D3261" s="13" t="s">
        <v>968</v>
      </c>
      <c r="E3261" s="15"/>
      <c r="F3261" s="15">
        <f>SUM(F3262:F3263)</f>
        <v>5</v>
      </c>
      <c r="G3261" s="14">
        <f>G3262</f>
        <v>44636</v>
      </c>
      <c r="M3261" s="13"/>
      <c r="N3261" s="13"/>
      <c r="O3261" s="13"/>
      <c r="P3261" s="13"/>
      <c r="Q3261" s="13"/>
      <c r="R3261" s="13"/>
    </row>
    <row r="3262" spans="2:18">
      <c r="C3262" s="2" t="s">
        <v>7</v>
      </c>
      <c r="D3262" s="2" t="s">
        <v>860</v>
      </c>
      <c r="E3262" s="3">
        <v>25</v>
      </c>
      <c r="F3262" s="3">
        <v>3</v>
      </c>
      <c r="G3262" s="4">
        <v>44636</v>
      </c>
    </row>
    <row r="3263" spans="2:18">
      <c r="C3263" s="2" t="s">
        <v>5</v>
      </c>
      <c r="D3263" s="2" t="s">
        <v>860</v>
      </c>
      <c r="E3263" s="3">
        <v>12.2</v>
      </c>
      <c r="F3263" s="3">
        <v>2</v>
      </c>
      <c r="G3263" s="4">
        <v>44179</v>
      </c>
    </row>
    <row r="3264" spans="2:18">
      <c r="G3264" s="4"/>
    </row>
    <row r="3265" spans="2:18" s="12" customFormat="1">
      <c r="B3265" s="12" t="s">
        <v>854</v>
      </c>
      <c r="C3265" s="13" t="s">
        <v>969</v>
      </c>
      <c r="D3265" s="13" t="s">
        <v>968</v>
      </c>
      <c r="E3265" s="15"/>
      <c r="F3265" s="15">
        <f>SUM(F3266:F3267)</f>
        <v>3.5714285714285716</v>
      </c>
      <c r="G3265" s="14">
        <f>G3267</f>
        <v>44866</v>
      </c>
      <c r="M3265" s="13"/>
      <c r="N3265" s="13"/>
      <c r="O3265" s="13"/>
      <c r="P3265" s="13"/>
      <c r="Q3265" s="13"/>
      <c r="R3265" s="13"/>
    </row>
    <row r="3266" spans="2:18">
      <c r="C3266" s="2" t="s">
        <v>5</v>
      </c>
      <c r="D3266" s="2" t="s">
        <v>730</v>
      </c>
      <c r="E3266" s="3">
        <v>25</v>
      </c>
      <c r="F3266" s="3">
        <f>18/7</f>
        <v>2.5714285714285716</v>
      </c>
      <c r="G3266" s="4">
        <v>44757</v>
      </c>
    </row>
    <row r="3267" spans="2:18">
      <c r="C3267" s="177" t="s">
        <v>4</v>
      </c>
      <c r="D3267" s="177" t="s">
        <v>6754</v>
      </c>
      <c r="E3267" s="3">
        <v>10</v>
      </c>
      <c r="F3267" s="3">
        <v>1</v>
      </c>
      <c r="G3267" s="4">
        <v>44866</v>
      </c>
      <c r="I3267" s="1">
        <v>65</v>
      </c>
      <c r="J3267" s="1">
        <v>350</v>
      </c>
    </row>
    <row r="3268" spans="2:18">
      <c r="G3268" s="4"/>
    </row>
    <row r="3269" spans="2:18" s="12" customFormat="1">
      <c r="B3269" s="12" t="s">
        <v>518</v>
      </c>
      <c r="C3269" s="13" t="s">
        <v>969</v>
      </c>
      <c r="D3269" s="13" t="s">
        <v>968</v>
      </c>
      <c r="E3269" s="15"/>
      <c r="F3269" s="15">
        <f>SUM(F3270:F3271)</f>
        <v>3.5</v>
      </c>
      <c r="G3269" s="14">
        <f>G3270</f>
        <v>43389</v>
      </c>
    </row>
    <row r="3270" spans="2:18">
      <c r="C3270" s="2" t="s">
        <v>5</v>
      </c>
      <c r="D3270" s="2" t="s">
        <v>516</v>
      </c>
      <c r="E3270" s="3">
        <v>14.5</v>
      </c>
      <c r="F3270" s="3">
        <v>1.5</v>
      </c>
      <c r="G3270" s="4">
        <v>43389</v>
      </c>
      <c r="M3270" s="1"/>
      <c r="N3270" s="1"/>
      <c r="O3270" s="1"/>
      <c r="P3270" s="1"/>
      <c r="Q3270" s="1"/>
      <c r="R3270" s="1"/>
    </row>
    <row r="3271" spans="2:18">
      <c r="C3271" s="92" t="s">
        <v>5</v>
      </c>
      <c r="D3271" s="92" t="s">
        <v>5405</v>
      </c>
      <c r="E3271" s="3">
        <v>18.100000000000001</v>
      </c>
      <c r="F3271" s="3">
        <f>10/5</f>
        <v>2</v>
      </c>
      <c r="G3271" s="4">
        <v>42719</v>
      </c>
      <c r="J3271" s="1">
        <v>2000</v>
      </c>
      <c r="M3271" s="1"/>
      <c r="N3271" s="1"/>
      <c r="O3271" s="1"/>
      <c r="P3271" s="1"/>
      <c r="Q3271" s="1"/>
      <c r="R3271" s="1"/>
    </row>
    <row r="3272" spans="2:18">
      <c r="G3272" s="4"/>
      <c r="M3272" s="1"/>
      <c r="N3272" s="1"/>
      <c r="O3272" s="1"/>
      <c r="P3272" s="1"/>
      <c r="Q3272" s="1"/>
      <c r="R3272" s="1"/>
    </row>
    <row r="3273" spans="2:18" s="12" customFormat="1">
      <c r="B3273" s="12" t="s">
        <v>717</v>
      </c>
      <c r="C3273" s="13" t="s">
        <v>969</v>
      </c>
      <c r="D3273" s="13" t="s">
        <v>968</v>
      </c>
      <c r="E3273" s="15"/>
      <c r="F3273" s="15">
        <f>SUM(F3274:F3275)</f>
        <v>4</v>
      </c>
      <c r="G3273" s="14">
        <f>G3274</f>
        <v>44110</v>
      </c>
      <c r="M3273" s="13"/>
      <c r="N3273" s="13"/>
      <c r="O3273" s="13"/>
      <c r="P3273" s="13"/>
      <c r="Q3273" s="13"/>
      <c r="R3273" s="13"/>
    </row>
    <row r="3274" spans="2:18">
      <c r="C3274" s="2" t="s">
        <v>5</v>
      </c>
      <c r="D3274" s="2" t="s">
        <v>716</v>
      </c>
      <c r="E3274" s="3">
        <v>10</v>
      </c>
      <c r="F3274" s="3">
        <v>2</v>
      </c>
      <c r="G3274" s="4">
        <v>44110</v>
      </c>
    </row>
    <row r="3275" spans="2:18">
      <c r="C3275" s="2" t="s">
        <v>4</v>
      </c>
      <c r="D3275" s="2" t="s">
        <v>716</v>
      </c>
      <c r="E3275" s="3">
        <v>5</v>
      </c>
      <c r="F3275" s="3">
        <v>2</v>
      </c>
      <c r="G3275" s="4">
        <v>43423</v>
      </c>
    </row>
    <row r="3276" spans="2:18">
      <c r="G3276" s="4"/>
    </row>
    <row r="3277" spans="2:18" s="12" customFormat="1">
      <c r="B3277" s="12" t="s">
        <v>595</v>
      </c>
      <c r="C3277" s="13" t="s">
        <v>969</v>
      </c>
      <c r="D3277" s="13" t="s">
        <v>968</v>
      </c>
      <c r="E3277" s="15"/>
      <c r="F3277" s="15">
        <f>SUM(F3278:F3279)</f>
        <v>4.3999999999999995</v>
      </c>
      <c r="G3277" s="14">
        <f>G3278</f>
        <v>44964</v>
      </c>
    </row>
    <row r="3278" spans="2:18">
      <c r="C3278" s="2" t="s">
        <v>4</v>
      </c>
      <c r="D3278" s="2" t="s">
        <v>593</v>
      </c>
      <c r="E3278" s="3">
        <v>6.8</v>
      </c>
      <c r="F3278" s="3">
        <v>3.8</v>
      </c>
      <c r="G3278" s="4">
        <v>44964</v>
      </c>
      <c r="M3278" s="1"/>
      <c r="N3278" s="1"/>
      <c r="O3278" s="1"/>
      <c r="P3278" s="1"/>
      <c r="Q3278" s="1"/>
      <c r="R3278" s="1"/>
    </row>
    <row r="3279" spans="2:18">
      <c r="C3279" s="2" t="s">
        <v>4</v>
      </c>
      <c r="D3279" s="2" t="s">
        <v>593</v>
      </c>
      <c r="E3279" s="3">
        <v>1.6</v>
      </c>
      <c r="F3279" s="3">
        <v>0.6</v>
      </c>
      <c r="G3279" s="4">
        <v>44197</v>
      </c>
      <c r="M3279" s="1"/>
      <c r="N3279" s="1"/>
      <c r="O3279" s="1"/>
      <c r="P3279" s="1"/>
      <c r="Q3279" s="1"/>
      <c r="R3279" s="1"/>
    </row>
    <row r="3280" spans="2:18">
      <c r="G3280" s="4"/>
      <c r="M3280" s="1"/>
      <c r="N3280" s="1"/>
      <c r="O3280" s="1"/>
      <c r="P3280" s="1"/>
      <c r="Q3280" s="1"/>
      <c r="R3280" s="1"/>
    </row>
    <row r="3281" spans="2:18" s="12" customFormat="1">
      <c r="B3281" s="12" t="s">
        <v>647</v>
      </c>
      <c r="C3281" s="13" t="s">
        <v>969</v>
      </c>
      <c r="D3281" s="13" t="s">
        <v>968</v>
      </c>
      <c r="E3281" s="15"/>
      <c r="F3281" s="15">
        <f>SUM(F3282:F3283)</f>
        <v>3.5</v>
      </c>
      <c r="G3281" s="14">
        <f>G3282</f>
        <v>44642</v>
      </c>
    </row>
    <row r="3282" spans="2:18">
      <c r="C3282" s="2" t="s">
        <v>5</v>
      </c>
      <c r="D3282" s="2" t="s">
        <v>646</v>
      </c>
      <c r="E3282" s="3">
        <v>13</v>
      </c>
      <c r="F3282" s="3">
        <f>8/4</f>
        <v>2</v>
      </c>
      <c r="G3282" s="4">
        <v>44642</v>
      </c>
      <c r="M3282" s="1"/>
      <c r="N3282" s="1"/>
      <c r="O3282" s="1"/>
      <c r="P3282" s="1"/>
      <c r="Q3282" s="1"/>
      <c r="R3282" s="1"/>
    </row>
    <row r="3283" spans="2:18">
      <c r="C3283" s="2" t="s">
        <v>4</v>
      </c>
      <c r="D3283" s="2" t="s">
        <v>646</v>
      </c>
      <c r="E3283" s="3">
        <v>3.5</v>
      </c>
      <c r="F3283" s="3">
        <v>1.5</v>
      </c>
      <c r="G3283" s="4">
        <v>44124</v>
      </c>
      <c r="M3283" s="1"/>
      <c r="N3283" s="1"/>
      <c r="O3283" s="1"/>
      <c r="P3283" s="1"/>
      <c r="Q3283" s="1"/>
      <c r="R3283" s="1"/>
    </row>
    <row r="3284" spans="2:18">
      <c r="G3284" s="4"/>
      <c r="M3284" s="1"/>
      <c r="N3284" s="1"/>
      <c r="O3284" s="1"/>
      <c r="P3284" s="1"/>
      <c r="Q3284" s="1"/>
      <c r="R3284" s="1"/>
    </row>
    <row r="3285" spans="2:18" s="12" customFormat="1">
      <c r="B3285" s="12" t="s">
        <v>976</v>
      </c>
      <c r="C3285" s="13" t="s">
        <v>969</v>
      </c>
      <c r="D3285" s="13" t="s">
        <v>968</v>
      </c>
      <c r="E3285" s="15"/>
      <c r="F3285" s="15">
        <f>SUM(F3286:F3287)</f>
        <v>4.0999999999999996</v>
      </c>
      <c r="G3285" s="14">
        <f>G3286</f>
        <v>44796</v>
      </c>
      <c r="M3285" s="13"/>
      <c r="N3285" s="13"/>
      <c r="O3285" s="13"/>
      <c r="P3285" s="13"/>
      <c r="Q3285" s="13"/>
      <c r="R3285" s="13"/>
    </row>
    <row r="3286" spans="2:18">
      <c r="C3286" s="2" t="s">
        <v>5</v>
      </c>
      <c r="D3286" s="2" t="s">
        <v>701</v>
      </c>
      <c r="E3286" s="3">
        <v>50</v>
      </c>
      <c r="F3286" s="3">
        <f>30/12</f>
        <v>2.5</v>
      </c>
      <c r="G3286" s="4">
        <v>44796</v>
      </c>
    </row>
    <row r="3287" spans="2:18">
      <c r="C3287" s="2" t="s">
        <v>4</v>
      </c>
      <c r="D3287" s="2" t="s">
        <v>701</v>
      </c>
      <c r="E3287" s="3">
        <v>12.5</v>
      </c>
      <c r="F3287" s="3">
        <f>8/5</f>
        <v>1.6</v>
      </c>
      <c r="G3287" s="4">
        <v>44623</v>
      </c>
    </row>
    <row r="3289" spans="2:18" s="12" customFormat="1">
      <c r="B3289" s="12" t="s">
        <v>4871</v>
      </c>
      <c r="C3289" s="13" t="s">
        <v>969</v>
      </c>
      <c r="D3289" s="13" t="s">
        <v>968</v>
      </c>
      <c r="E3289" s="15"/>
      <c r="F3289" s="15">
        <f>SUM(F3290:F3291)</f>
        <v>4.375</v>
      </c>
      <c r="G3289" s="14">
        <f>G3290</f>
        <v>43720</v>
      </c>
      <c r="M3289" s="13"/>
      <c r="N3289" s="13"/>
      <c r="O3289" s="13"/>
      <c r="P3289" s="13"/>
      <c r="Q3289" s="13"/>
      <c r="R3289" s="13"/>
    </row>
    <row r="3290" spans="2:18">
      <c r="B3290" s="51"/>
      <c r="C3290" s="52" t="s">
        <v>7</v>
      </c>
      <c r="D3290" s="52" t="s">
        <v>2116</v>
      </c>
      <c r="E3290" s="3">
        <v>40</v>
      </c>
      <c r="F3290" s="3">
        <f>30/10</f>
        <v>3</v>
      </c>
      <c r="G3290" s="4">
        <v>43720</v>
      </c>
      <c r="J3290" s="1">
        <v>3400</v>
      </c>
    </row>
    <row r="3291" spans="2:18">
      <c r="C3291" s="52" t="s">
        <v>5</v>
      </c>
      <c r="D3291" s="52" t="s">
        <v>2116</v>
      </c>
      <c r="E3291" s="3">
        <v>11.5</v>
      </c>
      <c r="F3291" s="3">
        <f>5.5/4</f>
        <v>1.375</v>
      </c>
      <c r="G3291" s="4">
        <v>43355</v>
      </c>
      <c r="J3291" s="1">
        <v>3400</v>
      </c>
    </row>
    <row r="3292" spans="2:18">
      <c r="C3292" s="52"/>
      <c r="D3292" s="52"/>
      <c r="G3292" s="4"/>
    </row>
    <row r="3293" spans="2:18" s="12" customFormat="1">
      <c r="B3293" s="12" t="s">
        <v>727</v>
      </c>
      <c r="C3293" s="13" t="s">
        <v>969</v>
      </c>
      <c r="D3293" s="13" t="s">
        <v>968</v>
      </c>
      <c r="E3293" s="15"/>
      <c r="F3293" s="15">
        <f>SUM(F3294:F3295)</f>
        <v>3.6666666666666665</v>
      </c>
      <c r="G3293" s="14">
        <f>G3294</f>
        <v>44676</v>
      </c>
    </row>
    <row r="3294" spans="2:18">
      <c r="C3294" s="2" t="s">
        <v>5</v>
      </c>
      <c r="D3294" s="2" t="s">
        <v>725</v>
      </c>
      <c r="E3294" s="3">
        <v>20</v>
      </c>
      <c r="F3294" s="3">
        <f>13/6</f>
        <v>2.1666666666666665</v>
      </c>
      <c r="G3294" s="4">
        <v>44676</v>
      </c>
    </row>
    <row r="3295" spans="2:18">
      <c r="C3295" s="2" t="s">
        <v>4</v>
      </c>
      <c r="D3295" s="2" t="s">
        <v>725</v>
      </c>
      <c r="E3295" s="3">
        <v>5</v>
      </c>
      <c r="F3295" s="3">
        <v>1.5</v>
      </c>
      <c r="G3295" s="4">
        <v>44060</v>
      </c>
    </row>
    <row r="3297" spans="2:18" s="12" customFormat="1">
      <c r="B3297" s="12" t="s">
        <v>729</v>
      </c>
      <c r="C3297" s="13" t="s">
        <v>969</v>
      </c>
      <c r="D3297" s="13" t="s">
        <v>968</v>
      </c>
      <c r="E3297" s="15"/>
      <c r="F3297" s="15">
        <f>SUM(F3298:F3299)</f>
        <v>3.6666666666666665</v>
      </c>
      <c r="G3297" s="14">
        <f>G3298</f>
        <v>44676</v>
      </c>
    </row>
    <row r="3298" spans="2:18">
      <c r="C3298" s="2" t="s">
        <v>5</v>
      </c>
      <c r="D3298" s="2" t="s">
        <v>725</v>
      </c>
      <c r="E3298" s="3">
        <v>20</v>
      </c>
      <c r="F3298" s="3">
        <f>13/6</f>
        <v>2.1666666666666665</v>
      </c>
      <c r="G3298" s="4">
        <v>44676</v>
      </c>
    </row>
    <row r="3299" spans="2:18">
      <c r="C3299" s="2" t="s">
        <v>4</v>
      </c>
      <c r="D3299" s="2" t="s">
        <v>725</v>
      </c>
      <c r="E3299" s="3">
        <v>5</v>
      </c>
      <c r="F3299" s="3">
        <v>1.5</v>
      </c>
      <c r="G3299" s="4">
        <v>44060</v>
      </c>
    </row>
    <row r="3300" spans="2:18">
      <c r="G3300" s="4"/>
    </row>
    <row r="3301" spans="2:18" s="12" customFormat="1">
      <c r="B3301" s="12" t="s">
        <v>328</v>
      </c>
      <c r="C3301" s="13" t="s">
        <v>969</v>
      </c>
      <c r="D3301" s="13" t="s">
        <v>968</v>
      </c>
      <c r="E3301" s="15"/>
      <c r="F3301" s="15">
        <f>SUM(F3302:F3303)</f>
        <v>3.588888888888889</v>
      </c>
      <c r="G3301" s="14">
        <f>G3302</f>
        <v>43031</v>
      </c>
    </row>
    <row r="3302" spans="2:18">
      <c r="C3302" s="2" t="s">
        <v>4</v>
      </c>
      <c r="D3302" s="2" t="s">
        <v>318</v>
      </c>
      <c r="E3302" s="3">
        <v>3.2</v>
      </c>
      <c r="F3302" s="3">
        <v>3.2</v>
      </c>
      <c r="G3302" s="4">
        <v>43031</v>
      </c>
      <c r="L3302" s="1">
        <f>+F3302*20</f>
        <v>64</v>
      </c>
      <c r="M3302" s="1"/>
      <c r="N3302" s="1"/>
      <c r="O3302" s="1"/>
      <c r="P3302" s="1"/>
      <c r="Q3302" s="1"/>
      <c r="R3302" s="1"/>
    </row>
    <row r="3303" spans="2:18">
      <c r="C3303" s="2" t="s">
        <v>4</v>
      </c>
      <c r="D3303" s="2" t="s">
        <v>258</v>
      </c>
      <c r="E3303" s="3">
        <v>3.5</v>
      </c>
      <c r="F3303" s="3">
        <f>+E3303/9</f>
        <v>0.3888888888888889</v>
      </c>
      <c r="G3303" s="4">
        <v>42979</v>
      </c>
      <c r="M3303" s="1"/>
      <c r="N3303" s="1"/>
      <c r="O3303" s="1"/>
      <c r="P3303" s="1"/>
      <c r="Q3303" s="1"/>
      <c r="R3303" s="1"/>
    </row>
    <row r="3304" spans="2:18">
      <c r="G3304" s="4"/>
      <c r="M3304" s="1"/>
      <c r="N3304" s="1"/>
      <c r="O3304" s="1"/>
      <c r="P3304" s="1"/>
      <c r="Q3304" s="1"/>
      <c r="R3304" s="1"/>
    </row>
    <row r="3305" spans="2:18">
      <c r="B3305" s="12" t="s">
        <v>975</v>
      </c>
      <c r="C3305" s="13" t="s">
        <v>969</v>
      </c>
      <c r="D3305" s="13" t="s">
        <v>968</v>
      </c>
      <c r="F3305" s="15">
        <f>F3306+F3307</f>
        <v>3.5</v>
      </c>
      <c r="G3305" s="14">
        <f>G3307</f>
        <v>44392</v>
      </c>
    </row>
    <row r="3306" spans="2:18">
      <c r="C3306" s="2" t="s">
        <v>5</v>
      </c>
      <c r="D3306" s="2" t="s">
        <v>962</v>
      </c>
      <c r="E3306" s="3">
        <v>5</v>
      </c>
      <c r="F3306" s="3">
        <v>1</v>
      </c>
      <c r="G3306" s="4">
        <v>43251</v>
      </c>
    </row>
    <row r="3307" spans="2:18">
      <c r="C3307" s="2" t="s">
        <v>5</v>
      </c>
      <c r="D3307" s="2" t="s">
        <v>695</v>
      </c>
      <c r="E3307" s="3">
        <v>20</v>
      </c>
      <c r="F3307" s="3">
        <v>2.5</v>
      </c>
      <c r="G3307" s="4">
        <v>44392</v>
      </c>
    </row>
    <row r="3308" spans="2:18">
      <c r="C3308" s="2" t="s">
        <v>5</v>
      </c>
      <c r="D3308" s="2" t="s">
        <v>692</v>
      </c>
      <c r="E3308" s="3">
        <v>8</v>
      </c>
      <c r="F3308" s="3">
        <v>1</v>
      </c>
      <c r="G3308" s="4">
        <v>43249</v>
      </c>
    </row>
    <row r="3309" spans="2:18">
      <c r="G3309" s="4"/>
    </row>
    <row r="3310" spans="2:18" s="12" customFormat="1">
      <c r="B3310" s="12" t="s">
        <v>731</v>
      </c>
      <c r="C3310" s="13" t="s">
        <v>969</v>
      </c>
      <c r="D3310" s="13" t="s">
        <v>968</v>
      </c>
      <c r="E3310" s="15"/>
      <c r="F3310" s="15">
        <f>SUM(F3311:F3313)</f>
        <v>4.3214285714285712</v>
      </c>
      <c r="G3310" s="14">
        <f>G3311</f>
        <v>44757</v>
      </c>
      <c r="M3310" s="13"/>
      <c r="N3310" s="13"/>
      <c r="O3310" s="13"/>
      <c r="P3310" s="13"/>
      <c r="Q3310" s="13"/>
      <c r="R3310" s="13"/>
    </row>
    <row r="3311" spans="2:18">
      <c r="C3311" s="2" t="s">
        <v>5</v>
      </c>
      <c r="D3311" s="2" t="s">
        <v>730</v>
      </c>
      <c r="E3311" s="3">
        <v>25</v>
      </c>
      <c r="F3311" s="3">
        <f>18/7</f>
        <v>2.5714285714285716</v>
      </c>
      <c r="G3311" s="4">
        <v>44757</v>
      </c>
    </row>
    <row r="3312" spans="2:18">
      <c r="C3312" s="2" t="s">
        <v>4</v>
      </c>
      <c r="D3312" s="2" t="s">
        <v>730</v>
      </c>
      <c r="E3312" s="3">
        <v>4</v>
      </c>
      <c r="F3312" s="3">
        <v>1</v>
      </c>
      <c r="G3312" s="4">
        <v>44340</v>
      </c>
    </row>
    <row r="3313" spans="2:18">
      <c r="C3313" s="2" t="s">
        <v>4</v>
      </c>
      <c r="D3313" s="2" t="s">
        <v>730</v>
      </c>
      <c r="E3313" s="3">
        <v>1.5</v>
      </c>
      <c r="F3313" s="3">
        <v>0.75</v>
      </c>
      <c r="G3313" s="4">
        <v>43979</v>
      </c>
    </row>
    <row r="3314" spans="2:18">
      <c r="G3314" s="4"/>
    </row>
    <row r="3315" spans="2:18" s="12" customFormat="1">
      <c r="B3315" s="12" t="s">
        <v>974</v>
      </c>
      <c r="C3315" s="13" t="s">
        <v>969</v>
      </c>
      <c r="D3315" s="13" t="s">
        <v>968</v>
      </c>
      <c r="E3315" s="15"/>
      <c r="F3315" s="15">
        <f>SUM(F3316:F3317)</f>
        <v>4</v>
      </c>
      <c r="G3315" s="14">
        <f>G3316</f>
        <v>45070</v>
      </c>
      <c r="M3315" s="13"/>
      <c r="N3315" s="13"/>
      <c r="O3315" s="13"/>
      <c r="P3315" s="13"/>
      <c r="Q3315" s="13"/>
      <c r="R3315" s="13"/>
    </row>
    <row r="3316" spans="2:18">
      <c r="C3316" s="2" t="s">
        <v>5</v>
      </c>
      <c r="D3316" s="2" t="s">
        <v>783</v>
      </c>
      <c r="E3316" s="3">
        <v>10.9</v>
      </c>
      <c r="F3316" s="3">
        <f>8/8</f>
        <v>1</v>
      </c>
      <c r="G3316" s="4">
        <v>45070</v>
      </c>
    </row>
    <row r="3317" spans="2:18">
      <c r="C3317" s="2" t="s">
        <v>5</v>
      </c>
      <c r="D3317" s="2" t="s">
        <v>703</v>
      </c>
      <c r="E3317" s="3">
        <v>6</v>
      </c>
      <c r="F3317" s="3">
        <v>3</v>
      </c>
      <c r="G3317" s="4">
        <v>44917</v>
      </c>
    </row>
    <row r="3318" spans="2:18">
      <c r="G3318" s="4"/>
    </row>
    <row r="3319" spans="2:18" s="12" customFormat="1">
      <c r="B3319" s="12" t="s">
        <v>728</v>
      </c>
      <c r="C3319" s="13" t="s">
        <v>969</v>
      </c>
      <c r="D3319" s="13" t="s">
        <v>968</v>
      </c>
      <c r="E3319" s="15"/>
      <c r="F3319" s="15">
        <f>SUM(F3320:F3321)</f>
        <v>3.6666666666666665</v>
      </c>
      <c r="G3319" s="14">
        <f>G3320</f>
        <v>44676</v>
      </c>
    </row>
    <row r="3320" spans="2:18">
      <c r="C3320" s="2" t="s">
        <v>5</v>
      </c>
      <c r="D3320" s="2" t="s">
        <v>725</v>
      </c>
      <c r="E3320" s="3">
        <v>20</v>
      </c>
      <c r="F3320" s="3">
        <f>13/6</f>
        <v>2.1666666666666665</v>
      </c>
      <c r="G3320" s="4">
        <v>44676</v>
      </c>
    </row>
    <row r="3321" spans="2:18">
      <c r="C3321" s="2" t="s">
        <v>4</v>
      </c>
      <c r="D3321" s="2" t="s">
        <v>725</v>
      </c>
      <c r="E3321" s="3">
        <v>5</v>
      </c>
      <c r="F3321" s="3">
        <v>1.5</v>
      </c>
      <c r="G3321" s="4">
        <v>44060</v>
      </c>
    </row>
    <row r="3322" spans="2:18">
      <c r="G3322" s="4"/>
    </row>
    <row r="3323" spans="2:18" s="12" customFormat="1">
      <c r="B3323" s="12" t="s">
        <v>973</v>
      </c>
      <c r="C3323" s="13" t="s">
        <v>969</v>
      </c>
      <c r="D3323" s="13" t="s">
        <v>968</v>
      </c>
      <c r="E3323" s="15"/>
      <c r="F3323" s="15">
        <f>SUM(F3324:F3328)</f>
        <v>3.6749999999999998</v>
      </c>
      <c r="G3323" s="14">
        <f>G3324</f>
        <v>44341</v>
      </c>
      <c r="M3323" s="13"/>
      <c r="N3323" s="13"/>
      <c r="O3323" s="13"/>
      <c r="P3323" s="13"/>
      <c r="Q3323" s="13"/>
      <c r="R3323" s="13"/>
    </row>
    <row r="3324" spans="2:18">
      <c r="C3324" s="2" t="s">
        <v>5</v>
      </c>
      <c r="D3324" s="2" t="s">
        <v>548</v>
      </c>
      <c r="E3324" s="3">
        <v>10.5</v>
      </c>
      <c r="F3324" s="3">
        <f>5/5</f>
        <v>1</v>
      </c>
      <c r="G3324" s="4">
        <v>44341</v>
      </c>
    </row>
    <row r="3325" spans="2:18">
      <c r="C3325" s="2" t="s">
        <v>4</v>
      </c>
      <c r="D3325" s="2" t="s">
        <v>548</v>
      </c>
      <c r="E3325" s="3">
        <v>4</v>
      </c>
      <c r="F3325" s="3">
        <v>1</v>
      </c>
      <c r="G3325" s="4">
        <v>43671</v>
      </c>
    </row>
    <row r="3326" spans="2:18">
      <c r="C3326" s="2" t="s">
        <v>278</v>
      </c>
      <c r="D3326" s="2" t="s">
        <v>548</v>
      </c>
      <c r="E3326" s="3">
        <v>0.5</v>
      </c>
      <c r="F3326" s="3">
        <v>0.1</v>
      </c>
      <c r="G3326" s="4">
        <v>43262</v>
      </c>
    </row>
    <row r="3327" spans="2:18">
      <c r="C3327" s="2" t="s">
        <v>4</v>
      </c>
      <c r="D3327" s="2" t="s">
        <v>336</v>
      </c>
      <c r="E3327" s="3">
        <v>3</v>
      </c>
      <c r="F3327" s="3">
        <f>1.5/4</f>
        <v>0.375</v>
      </c>
      <c r="G3327" s="4">
        <v>44327</v>
      </c>
    </row>
    <row r="3328" spans="2:18">
      <c r="C3328" s="2" t="s">
        <v>278</v>
      </c>
      <c r="D3328" s="2" t="s">
        <v>336</v>
      </c>
      <c r="E3328" s="3">
        <v>1.2</v>
      </c>
      <c r="F3328" s="3">
        <v>1.2</v>
      </c>
      <c r="G3328" s="4">
        <v>42744</v>
      </c>
    </row>
    <row r="3329" spans="2:18">
      <c r="G3329" s="4"/>
    </row>
    <row r="3330" spans="2:18" s="12" customFormat="1">
      <c r="B3330" s="12" t="s">
        <v>6293</v>
      </c>
      <c r="C3330" s="13" t="s">
        <v>969</v>
      </c>
      <c r="D3330" s="13" t="s">
        <v>968</v>
      </c>
      <c r="E3330" s="15"/>
      <c r="F3330" s="15">
        <f>SUM(F3331:F3332)</f>
        <v>3.5</v>
      </c>
      <c r="G3330" s="14">
        <f>G3331</f>
        <v>44594</v>
      </c>
      <c r="M3330" s="13"/>
      <c r="N3330" s="13"/>
      <c r="O3330" s="13"/>
      <c r="P3330" s="13"/>
      <c r="Q3330" s="13"/>
      <c r="R3330" s="13"/>
    </row>
    <row r="3331" spans="2:18">
      <c r="B3331" s="134"/>
      <c r="C3331" s="140" t="s">
        <v>5</v>
      </c>
      <c r="D3331" s="140" t="s">
        <v>6291</v>
      </c>
      <c r="E3331" s="3">
        <v>25</v>
      </c>
      <c r="F3331" s="3">
        <v>3</v>
      </c>
      <c r="G3331" s="4">
        <v>44594</v>
      </c>
    </row>
    <row r="3332" spans="2:18">
      <c r="B3332" s="134"/>
      <c r="C3332" s="140" t="s">
        <v>4</v>
      </c>
      <c r="D3332" s="140" t="s">
        <v>6291</v>
      </c>
      <c r="E3332" s="3">
        <v>5</v>
      </c>
      <c r="F3332" s="3">
        <v>0.5</v>
      </c>
      <c r="G3332" s="4">
        <v>43335</v>
      </c>
    </row>
    <row r="3333" spans="2:18">
      <c r="B3333" s="134"/>
      <c r="C3333" s="140"/>
      <c r="D3333" s="140"/>
      <c r="G3333" s="4"/>
    </row>
    <row r="3334" spans="2:18" s="12" customFormat="1">
      <c r="B3334" s="12" t="s">
        <v>6672</v>
      </c>
      <c r="C3334" s="13" t="s">
        <v>969</v>
      </c>
      <c r="D3334" s="13" t="s">
        <v>968</v>
      </c>
      <c r="E3334" s="15"/>
      <c r="F3334" s="15">
        <f>SUM(F3335:F3336)</f>
        <v>4</v>
      </c>
      <c r="G3334" s="14">
        <f>G3335</f>
        <v>44917</v>
      </c>
      <c r="M3334" s="13"/>
      <c r="N3334" s="13"/>
      <c r="O3334" s="13"/>
      <c r="P3334" s="13"/>
      <c r="Q3334" s="13"/>
      <c r="R3334" s="13"/>
    </row>
    <row r="3335" spans="2:18">
      <c r="C3335" s="2" t="s">
        <v>5</v>
      </c>
      <c r="D3335" s="2" t="s">
        <v>703</v>
      </c>
      <c r="E3335" s="3">
        <v>6</v>
      </c>
      <c r="F3335" s="3">
        <v>1</v>
      </c>
      <c r="G3335" s="4">
        <v>44917</v>
      </c>
    </row>
    <row r="3336" spans="2:18">
      <c r="C3336" s="2" t="s">
        <v>4</v>
      </c>
      <c r="D3336" s="2" t="s">
        <v>703</v>
      </c>
      <c r="E3336" s="3">
        <v>5.9</v>
      </c>
      <c r="F3336" s="3">
        <v>3</v>
      </c>
      <c r="G3336" s="4">
        <v>44180</v>
      </c>
    </row>
    <row r="3337" spans="2:18">
      <c r="G3337" s="4"/>
    </row>
    <row r="3338" spans="2:18" s="12" customFormat="1">
      <c r="B3338" s="12" t="s">
        <v>671</v>
      </c>
      <c r="C3338" s="13" t="s">
        <v>969</v>
      </c>
      <c r="D3338" s="13" t="s">
        <v>968</v>
      </c>
      <c r="E3338" s="15"/>
      <c r="F3338" s="15">
        <f>SUM(F3339:F3340)</f>
        <v>3.62</v>
      </c>
      <c r="G3338" s="14">
        <f>G3339</f>
        <v>44705</v>
      </c>
    </row>
    <row r="3339" spans="2:18">
      <c r="C3339" s="2" t="s">
        <v>5</v>
      </c>
      <c r="D3339" s="2" t="s">
        <v>669</v>
      </c>
      <c r="E3339" s="3">
        <v>14</v>
      </c>
      <c r="F3339" s="3">
        <v>3</v>
      </c>
      <c r="G3339" s="4">
        <v>44705</v>
      </c>
      <c r="M3339" s="1"/>
      <c r="N3339" s="1"/>
      <c r="O3339" s="1"/>
      <c r="P3339" s="1"/>
      <c r="Q3339" s="1"/>
      <c r="R3339" s="1"/>
    </row>
    <row r="3340" spans="2:18">
      <c r="C3340" s="2" t="s">
        <v>670</v>
      </c>
      <c r="D3340" s="2" t="s">
        <v>669</v>
      </c>
      <c r="E3340" s="3">
        <v>0.62</v>
      </c>
      <c r="F3340" s="3">
        <v>0.62</v>
      </c>
      <c r="G3340" s="4">
        <v>44105</v>
      </c>
      <c r="M3340" s="1"/>
      <c r="N3340" s="1"/>
      <c r="O3340" s="1"/>
      <c r="P3340" s="1"/>
      <c r="Q3340" s="1"/>
      <c r="R3340" s="1"/>
    </row>
    <row r="3341" spans="2:18">
      <c r="G3341" s="4"/>
      <c r="M3341" s="1"/>
      <c r="N3341" s="1"/>
      <c r="O3341" s="1"/>
      <c r="P3341" s="1"/>
      <c r="Q3341" s="1"/>
      <c r="R3341" s="1"/>
    </row>
    <row r="3342" spans="2:18">
      <c r="B3342" s="12" t="s">
        <v>790</v>
      </c>
      <c r="C3342" s="13" t="s">
        <v>969</v>
      </c>
      <c r="D3342" s="13" t="s">
        <v>968</v>
      </c>
      <c r="F3342" s="15">
        <f>SUM(F3343:F3345)</f>
        <v>5</v>
      </c>
      <c r="G3342" s="14">
        <f>G3344</f>
        <v>44515</v>
      </c>
      <c r="M3342" s="1"/>
      <c r="N3342" s="1"/>
      <c r="O3342" s="1"/>
      <c r="P3342" s="1"/>
      <c r="Q3342" s="1"/>
      <c r="R3342" s="1"/>
    </row>
    <row r="3343" spans="2:18">
      <c r="B3343" s="12"/>
      <c r="C3343" s="2" t="s">
        <v>4</v>
      </c>
      <c r="D3343" s="2" t="s">
        <v>697</v>
      </c>
      <c r="E3343" s="3">
        <v>5.6</v>
      </c>
      <c r="F3343" s="3">
        <v>1</v>
      </c>
      <c r="G3343" s="4">
        <v>44292</v>
      </c>
      <c r="M3343" s="1"/>
      <c r="N3343" s="1"/>
      <c r="O3343" s="1"/>
      <c r="P3343" s="1"/>
      <c r="Q3343" s="1"/>
      <c r="R3343" s="1"/>
    </row>
    <row r="3344" spans="2:18">
      <c r="C3344" s="177" t="s">
        <v>5</v>
      </c>
      <c r="D3344" s="177" t="s">
        <v>6679</v>
      </c>
      <c r="E3344" s="3">
        <v>21</v>
      </c>
      <c r="F3344" s="3">
        <v>3</v>
      </c>
      <c r="G3344" s="4">
        <v>44515</v>
      </c>
      <c r="M3344" s="1"/>
      <c r="N3344" s="1"/>
      <c r="O3344" s="1"/>
      <c r="P3344" s="1"/>
      <c r="Q3344" s="1"/>
      <c r="R3344" s="1"/>
    </row>
    <row r="3345" spans="2:18">
      <c r="C3345" s="331" t="s">
        <v>4</v>
      </c>
      <c r="D3345" s="331" t="s">
        <v>8298</v>
      </c>
      <c r="E3345" s="3">
        <v>8</v>
      </c>
      <c r="F3345" s="3">
        <v>1</v>
      </c>
      <c r="G3345" s="4">
        <v>44482</v>
      </c>
      <c r="M3345" s="1"/>
      <c r="N3345" s="1"/>
      <c r="O3345" s="1"/>
      <c r="P3345" s="1"/>
      <c r="Q3345" s="1"/>
      <c r="R3345" s="1"/>
    </row>
    <row r="3346" spans="2:18">
      <c r="G3346" s="4"/>
      <c r="M3346" s="1"/>
      <c r="N3346" s="1"/>
      <c r="O3346" s="1"/>
      <c r="P3346" s="1"/>
      <c r="Q3346" s="1"/>
      <c r="R3346" s="1"/>
    </row>
    <row r="3347" spans="2:18" s="12" customFormat="1">
      <c r="B3347" s="12" t="s">
        <v>674</v>
      </c>
      <c r="C3347" s="13" t="s">
        <v>969</v>
      </c>
      <c r="D3347" s="13" t="s">
        <v>968</v>
      </c>
      <c r="E3347" s="15"/>
      <c r="F3347" s="15">
        <f>SUM(F3348:F3349)</f>
        <v>3.5</v>
      </c>
      <c r="G3347" s="14">
        <f>G3348</f>
        <v>44389</v>
      </c>
      <c r="M3347" s="13"/>
      <c r="N3347" s="13"/>
      <c r="O3347" s="13"/>
      <c r="P3347" s="13"/>
      <c r="Q3347" s="13"/>
      <c r="R3347" s="13"/>
    </row>
    <row r="3348" spans="2:18">
      <c r="C3348" s="2" t="s">
        <v>5</v>
      </c>
      <c r="D3348" s="2" t="s">
        <v>672</v>
      </c>
      <c r="E3348" s="3">
        <v>14.5</v>
      </c>
      <c r="F3348" s="3">
        <v>2.5</v>
      </c>
      <c r="G3348" s="4">
        <v>44389</v>
      </c>
      <c r="M3348" s="1"/>
      <c r="N3348" s="1"/>
      <c r="O3348" s="1"/>
      <c r="P3348" s="1"/>
      <c r="Q3348" s="1"/>
      <c r="R3348" s="1"/>
    </row>
    <row r="3349" spans="2:18">
      <c r="C3349" s="2" t="s">
        <v>4</v>
      </c>
      <c r="D3349" s="2" t="s">
        <v>672</v>
      </c>
      <c r="E3349" s="3">
        <v>3</v>
      </c>
      <c r="F3349" s="3">
        <v>1</v>
      </c>
      <c r="G3349" s="4">
        <v>43993</v>
      </c>
      <c r="M3349" s="1"/>
      <c r="N3349" s="1"/>
      <c r="O3349" s="1"/>
      <c r="P3349" s="1"/>
      <c r="Q3349" s="1"/>
      <c r="R3349" s="1"/>
    </row>
    <row r="3350" spans="2:18">
      <c r="G3350" s="4"/>
      <c r="M3350" s="1"/>
      <c r="N3350" s="1"/>
      <c r="O3350" s="1"/>
      <c r="P3350" s="1"/>
      <c r="Q3350" s="1"/>
      <c r="R3350" s="1"/>
    </row>
    <row r="3351" spans="2:18" s="12" customFormat="1">
      <c r="B3351" s="12" t="s">
        <v>764</v>
      </c>
      <c r="C3351" s="13" t="s">
        <v>969</v>
      </c>
      <c r="D3351" s="13" t="s">
        <v>968</v>
      </c>
      <c r="E3351" s="15"/>
      <c r="F3351" s="15">
        <f>SUM(F3352:F3353)</f>
        <v>3.5</v>
      </c>
      <c r="G3351" s="14">
        <f>G3353</f>
        <v>44510</v>
      </c>
    </row>
    <row r="3352" spans="2:18">
      <c r="C3352" s="2" t="s">
        <v>278</v>
      </c>
      <c r="D3352" s="2" t="s">
        <v>763</v>
      </c>
      <c r="E3352" s="3">
        <v>1</v>
      </c>
      <c r="F3352" s="3">
        <v>0.5</v>
      </c>
      <c r="G3352" s="4">
        <v>44287</v>
      </c>
      <c r="M3352" s="1"/>
      <c r="N3352" s="1"/>
      <c r="O3352" s="1"/>
      <c r="P3352" s="1"/>
      <c r="Q3352" s="1"/>
      <c r="R3352" s="1"/>
    </row>
    <row r="3353" spans="2:18">
      <c r="C3353" s="2" t="s">
        <v>5</v>
      </c>
      <c r="D3353" s="2" t="s">
        <v>110</v>
      </c>
      <c r="E3353" s="3">
        <v>25</v>
      </c>
      <c r="F3353" s="3">
        <v>3</v>
      </c>
      <c r="G3353" s="4">
        <v>44510</v>
      </c>
      <c r="M3353" s="1"/>
      <c r="N3353" s="1"/>
      <c r="O3353" s="1"/>
      <c r="P3353" s="1"/>
      <c r="Q3353" s="1"/>
      <c r="R3353" s="1"/>
    </row>
    <row r="3354" spans="2:18">
      <c r="G3354" s="4"/>
      <c r="M3354" s="1"/>
      <c r="N3354" s="1"/>
      <c r="O3354" s="1"/>
      <c r="P3354" s="1"/>
      <c r="Q3354" s="1"/>
      <c r="R3354" s="1"/>
    </row>
    <row r="3355" spans="2:18" s="12" customFormat="1">
      <c r="B3355" s="12" t="s">
        <v>118</v>
      </c>
      <c r="C3355" s="13" t="s">
        <v>969</v>
      </c>
      <c r="D3355" s="13" t="s">
        <v>968</v>
      </c>
      <c r="E3355" s="15"/>
      <c r="F3355" s="15">
        <f>SUM(F3356:F3357)</f>
        <v>4.3333333333333339</v>
      </c>
      <c r="G3355" s="14">
        <f>G3356</f>
        <v>44510</v>
      </c>
      <c r="M3355" s="13"/>
      <c r="N3355" s="13"/>
      <c r="O3355" s="13"/>
      <c r="P3355" s="13"/>
      <c r="Q3355" s="13"/>
      <c r="R3355" s="13"/>
    </row>
    <row r="3356" spans="2:18">
      <c r="C3356" s="2" t="s">
        <v>5</v>
      </c>
      <c r="D3356" s="2" t="s">
        <v>110</v>
      </c>
      <c r="E3356" s="3">
        <v>25</v>
      </c>
      <c r="F3356" s="3">
        <f>17/6</f>
        <v>2.8333333333333335</v>
      </c>
      <c r="G3356" s="4">
        <v>44510</v>
      </c>
    </row>
    <row r="3357" spans="2:18">
      <c r="C3357" s="2" t="s">
        <v>4</v>
      </c>
      <c r="D3357" s="2" t="s">
        <v>110</v>
      </c>
      <c r="E3357" s="3">
        <v>8</v>
      </c>
      <c r="F3357" s="3">
        <v>1.5</v>
      </c>
      <c r="G3357" s="4">
        <v>44063</v>
      </c>
    </row>
    <row r="3358" spans="2:18">
      <c r="G3358" s="4"/>
    </row>
    <row r="3359" spans="2:18" s="12" customFormat="1">
      <c r="B3359" s="12" t="s">
        <v>6671</v>
      </c>
      <c r="C3359" s="13" t="s">
        <v>969</v>
      </c>
      <c r="D3359" s="13" t="s">
        <v>968</v>
      </c>
      <c r="E3359" s="15"/>
      <c r="F3359" s="15">
        <f>SUM(F3360:F3361)</f>
        <v>3.588888888888889</v>
      </c>
      <c r="G3359" s="14">
        <f>G3360</f>
        <v>43031</v>
      </c>
    </row>
    <row r="3360" spans="2:18">
      <c r="C3360" s="2" t="s">
        <v>4</v>
      </c>
      <c r="D3360" s="2" t="s">
        <v>318</v>
      </c>
      <c r="E3360" s="3">
        <v>3.2</v>
      </c>
      <c r="F3360" s="3">
        <v>3.2</v>
      </c>
      <c r="G3360" s="4">
        <v>43031</v>
      </c>
      <c r="L3360" s="1">
        <f>+F3360*20</f>
        <v>64</v>
      </c>
      <c r="M3360" s="1"/>
      <c r="N3360" s="1"/>
      <c r="O3360" s="1"/>
      <c r="P3360" s="1"/>
      <c r="Q3360" s="1"/>
      <c r="R3360" s="1"/>
    </row>
    <row r="3361" spans="2:19">
      <c r="C3361" s="2" t="s">
        <v>4</v>
      </c>
      <c r="D3361" s="2" t="s">
        <v>258</v>
      </c>
      <c r="E3361" s="3">
        <v>3.5</v>
      </c>
      <c r="F3361" s="3">
        <f>+E3361/9</f>
        <v>0.3888888888888889</v>
      </c>
      <c r="G3361" s="4">
        <v>42979</v>
      </c>
      <c r="M3361" s="1"/>
      <c r="N3361" s="1"/>
      <c r="O3361" s="1"/>
      <c r="P3361" s="1"/>
      <c r="Q3361" s="1"/>
      <c r="R3361" s="1"/>
    </row>
    <row r="3362" spans="2:19">
      <c r="G3362" s="4"/>
      <c r="M3362" s="1"/>
      <c r="N3362" s="1"/>
      <c r="O3362" s="1"/>
      <c r="P3362" s="1"/>
      <c r="Q3362" s="1"/>
      <c r="R3362" s="1"/>
    </row>
    <row r="3363" spans="2:19" s="12" customFormat="1">
      <c r="B3363" s="12" t="s">
        <v>554</v>
      </c>
      <c r="C3363" s="13" t="s">
        <v>969</v>
      </c>
      <c r="D3363" s="13" t="s">
        <v>968</v>
      </c>
      <c r="E3363" s="15"/>
      <c r="F3363" s="15">
        <f>SUM(F3364:F3365)</f>
        <v>3.75</v>
      </c>
      <c r="G3363" s="14">
        <f>G3364</f>
        <v>45077</v>
      </c>
    </row>
    <row r="3364" spans="2:19">
      <c r="C3364" s="2" t="s">
        <v>7</v>
      </c>
      <c r="D3364" s="2" t="s">
        <v>548</v>
      </c>
      <c r="E3364" s="3">
        <v>20</v>
      </c>
      <c r="F3364" s="3">
        <f>12/6</f>
        <v>2</v>
      </c>
      <c r="G3364" s="4">
        <v>45077</v>
      </c>
      <c r="M3364" s="1"/>
      <c r="N3364" s="1"/>
      <c r="O3364" s="1"/>
      <c r="P3364" s="1"/>
      <c r="Q3364" s="1"/>
      <c r="R3364" s="1"/>
    </row>
    <row r="3365" spans="2:19">
      <c r="C3365" s="2" t="s">
        <v>5</v>
      </c>
      <c r="D3365" s="2" t="s">
        <v>408</v>
      </c>
      <c r="E3365" s="3">
        <v>10</v>
      </c>
      <c r="F3365" s="3">
        <f>7/4</f>
        <v>1.75</v>
      </c>
      <c r="G3365" s="4">
        <v>44740</v>
      </c>
      <c r="M3365" s="1"/>
      <c r="N3365" s="1"/>
      <c r="O3365" s="1"/>
      <c r="P3365" s="1"/>
      <c r="Q3365" s="1"/>
      <c r="R3365" s="1"/>
    </row>
    <row r="3366" spans="2:19">
      <c r="G3366" s="4"/>
      <c r="M3366" s="1"/>
      <c r="N3366" s="1"/>
      <c r="O3366" s="1"/>
      <c r="P3366" s="1"/>
      <c r="Q3366" s="1"/>
      <c r="R3366" s="1"/>
    </row>
    <row r="3367" spans="2:19" s="12" customFormat="1">
      <c r="B3367" s="12" t="s">
        <v>299</v>
      </c>
      <c r="C3367" s="13" t="s">
        <v>969</v>
      </c>
      <c r="D3367" s="13" t="s">
        <v>968</v>
      </c>
      <c r="E3367" s="15"/>
      <c r="F3367" s="15">
        <f>SUM(F3368:F3369)</f>
        <v>2.625</v>
      </c>
      <c r="G3367" s="14">
        <f>G3368</f>
        <v>44314</v>
      </c>
      <c r="M3367" s="13"/>
      <c r="N3367" s="13"/>
      <c r="O3367" s="13"/>
      <c r="P3367" s="13"/>
      <c r="Q3367" s="13"/>
      <c r="R3367" s="13"/>
    </row>
    <row r="3368" spans="2:19">
      <c r="C3368" s="2" t="s">
        <v>5</v>
      </c>
      <c r="D3368" s="2" t="s">
        <v>298</v>
      </c>
      <c r="E3368" s="3">
        <v>15</v>
      </c>
      <c r="F3368" s="3">
        <v>2</v>
      </c>
      <c r="G3368" s="4">
        <v>44314</v>
      </c>
      <c r="S3368" s="1" t="s">
        <v>297</v>
      </c>
    </row>
    <row r="3369" spans="2:19">
      <c r="C3369" s="2" t="s">
        <v>4</v>
      </c>
      <c r="D3369" s="2" t="s">
        <v>110</v>
      </c>
      <c r="E3369" s="3">
        <v>8</v>
      </c>
      <c r="F3369" s="3">
        <f>5/8</f>
        <v>0.625</v>
      </c>
      <c r="G3369" s="4">
        <v>44063</v>
      </c>
    </row>
    <row r="3370" spans="2:19">
      <c r="G3370" s="4"/>
    </row>
    <row r="3371" spans="2:19" s="12" customFormat="1">
      <c r="B3371" s="12" t="s">
        <v>6657</v>
      </c>
      <c r="C3371" s="13" t="s">
        <v>969</v>
      </c>
      <c r="D3371" s="13" t="s">
        <v>968</v>
      </c>
      <c r="E3371" s="15"/>
      <c r="F3371" s="15">
        <f>SUM(F3372:F3374)</f>
        <v>3.25</v>
      </c>
      <c r="G3371" s="14">
        <f>G3372</f>
        <v>44825</v>
      </c>
      <c r="M3371" s="13"/>
      <c r="N3371" s="13"/>
      <c r="O3371" s="13"/>
      <c r="P3371" s="13"/>
      <c r="Q3371" s="13"/>
      <c r="R3371" s="13"/>
    </row>
    <row r="3372" spans="2:19">
      <c r="B3372" s="173"/>
      <c r="C3372" s="174" t="s">
        <v>7</v>
      </c>
      <c r="D3372" s="174" t="s">
        <v>2030</v>
      </c>
      <c r="E3372" s="3">
        <v>16</v>
      </c>
      <c r="F3372" s="3">
        <v>2</v>
      </c>
      <c r="G3372" s="4">
        <v>44825</v>
      </c>
    </row>
    <row r="3373" spans="2:19">
      <c r="B3373" s="173"/>
      <c r="C3373" s="177" t="s">
        <v>5</v>
      </c>
      <c r="D3373" s="174" t="s">
        <v>2030</v>
      </c>
      <c r="E3373" s="3">
        <v>9.3000000000000007</v>
      </c>
      <c r="F3373" s="178">
        <v>1</v>
      </c>
      <c r="G3373" s="4">
        <v>44229</v>
      </c>
    </row>
    <row r="3374" spans="2:19">
      <c r="B3374" s="173"/>
      <c r="C3374" s="177" t="s">
        <v>4</v>
      </c>
      <c r="D3374" s="174" t="s">
        <v>2030</v>
      </c>
      <c r="E3374" s="3">
        <v>2</v>
      </c>
      <c r="F3374" s="3">
        <f>1.5/6</f>
        <v>0.25</v>
      </c>
      <c r="G3374" s="4">
        <v>43522</v>
      </c>
    </row>
    <row r="3375" spans="2:19">
      <c r="B3375" s="173"/>
      <c r="C3375" s="177"/>
      <c r="D3375" s="174"/>
      <c r="G3375" s="4"/>
    </row>
    <row r="3376" spans="2:19" s="12" customFormat="1">
      <c r="B3376" s="12" t="s">
        <v>775</v>
      </c>
      <c r="C3376" s="13" t="s">
        <v>969</v>
      </c>
      <c r="D3376" s="13" t="s">
        <v>968</v>
      </c>
      <c r="E3376" s="15"/>
      <c r="F3376" s="15">
        <f>SUM(F3377:F3379)</f>
        <v>2.86</v>
      </c>
      <c r="G3376" s="14">
        <f>G3377</f>
        <v>44677</v>
      </c>
    </row>
    <row r="3377" spans="2:18">
      <c r="C3377" s="2" t="s">
        <v>4</v>
      </c>
      <c r="D3377" s="2" t="s">
        <v>649</v>
      </c>
      <c r="E3377" s="3">
        <v>8</v>
      </c>
      <c r="F3377" s="3">
        <v>1</v>
      </c>
      <c r="G3377" s="4">
        <v>44677</v>
      </c>
      <c r="M3377" s="1"/>
      <c r="N3377" s="1"/>
      <c r="O3377" s="1"/>
      <c r="P3377" s="1"/>
      <c r="Q3377" s="1"/>
      <c r="R3377" s="1"/>
    </row>
    <row r="3378" spans="2:18">
      <c r="C3378" s="153" t="s">
        <v>5</v>
      </c>
      <c r="D3378" s="153" t="s">
        <v>2039</v>
      </c>
      <c r="E3378" s="3">
        <v>18</v>
      </c>
      <c r="F3378" s="3">
        <v>1</v>
      </c>
      <c r="G3378" s="4">
        <v>43445</v>
      </c>
      <c r="M3378" s="1"/>
      <c r="N3378" s="1"/>
      <c r="O3378" s="1"/>
      <c r="P3378" s="1"/>
      <c r="Q3378" s="1"/>
      <c r="R3378" s="1"/>
    </row>
    <row r="3379" spans="2:18">
      <c r="C3379" s="153" t="s">
        <v>4</v>
      </c>
      <c r="D3379" s="153" t="s">
        <v>2039</v>
      </c>
      <c r="E3379" s="3">
        <v>4.3</v>
      </c>
      <c r="F3379" s="3">
        <f>E3379/5</f>
        <v>0.86</v>
      </c>
      <c r="G3379" s="4">
        <v>43157</v>
      </c>
      <c r="M3379" s="1"/>
      <c r="N3379" s="1"/>
      <c r="O3379" s="1"/>
      <c r="P3379" s="1"/>
      <c r="Q3379" s="1"/>
      <c r="R3379" s="1"/>
    </row>
    <row r="3380" spans="2:18">
      <c r="G3380" s="4"/>
      <c r="M3380" s="1"/>
      <c r="N3380" s="1"/>
      <c r="O3380" s="1"/>
      <c r="P3380" s="1"/>
      <c r="Q3380" s="1"/>
      <c r="R3380" s="1"/>
    </row>
    <row r="3381" spans="2:18" s="12" customFormat="1">
      <c r="B3381" s="12" t="s">
        <v>117</v>
      </c>
      <c r="C3381" s="13" t="s">
        <v>969</v>
      </c>
      <c r="D3381" s="13" t="s">
        <v>968</v>
      </c>
      <c r="E3381" s="15"/>
      <c r="F3381" s="15">
        <f>SUM(F3382:F3383)</f>
        <v>3.4583333333333335</v>
      </c>
      <c r="G3381" s="14">
        <f>G3382</f>
        <v>44510</v>
      </c>
      <c r="M3381" s="13"/>
      <c r="N3381" s="13"/>
      <c r="O3381" s="13"/>
      <c r="P3381" s="13"/>
      <c r="Q3381" s="13"/>
      <c r="R3381" s="13"/>
    </row>
    <row r="3382" spans="2:18">
      <c r="C3382" s="2" t="s">
        <v>5</v>
      </c>
      <c r="D3382" s="2" t="s">
        <v>110</v>
      </c>
      <c r="E3382" s="3">
        <v>25</v>
      </c>
      <c r="F3382" s="3">
        <f>17/6</f>
        <v>2.8333333333333335</v>
      </c>
      <c r="G3382" s="4">
        <v>44510</v>
      </c>
    </row>
    <row r="3383" spans="2:18">
      <c r="C3383" s="2" t="s">
        <v>4</v>
      </c>
      <c r="D3383" s="2" t="s">
        <v>110</v>
      </c>
      <c r="E3383" s="3">
        <v>8</v>
      </c>
      <c r="F3383" s="3">
        <f t="shared" ref="F3383" si="1">5/8</f>
        <v>0.625</v>
      </c>
      <c r="G3383" s="4">
        <v>44063</v>
      </c>
    </row>
    <row r="3384" spans="2:18">
      <c r="G3384" s="4"/>
    </row>
    <row r="3385" spans="2:18" s="12" customFormat="1">
      <c r="B3385" s="12" t="s">
        <v>704</v>
      </c>
      <c r="C3385" s="13" t="s">
        <v>969</v>
      </c>
      <c r="D3385" s="13" t="s">
        <v>968</v>
      </c>
      <c r="E3385" s="15"/>
      <c r="F3385" s="15">
        <f>SUM(F3386:F3387)</f>
        <v>2.8</v>
      </c>
      <c r="G3385" s="14">
        <f>G3386</f>
        <v>44917</v>
      </c>
      <c r="M3385" s="13"/>
      <c r="N3385" s="13"/>
      <c r="O3385" s="13"/>
      <c r="P3385" s="13"/>
      <c r="Q3385" s="13"/>
      <c r="R3385" s="13"/>
    </row>
    <row r="3386" spans="2:18">
      <c r="C3386" s="2" t="s">
        <v>5</v>
      </c>
      <c r="D3386" s="2" t="s">
        <v>703</v>
      </c>
      <c r="E3386" s="3">
        <v>6</v>
      </c>
      <c r="F3386" s="3">
        <v>1</v>
      </c>
      <c r="G3386" s="4">
        <v>44917</v>
      </c>
    </row>
    <row r="3387" spans="2:18">
      <c r="C3387" s="2" t="s">
        <v>4</v>
      </c>
      <c r="D3387" s="2" t="s">
        <v>703</v>
      </c>
      <c r="E3387" s="3">
        <v>3.6</v>
      </c>
      <c r="F3387" s="3">
        <v>1.8</v>
      </c>
      <c r="G3387" s="4">
        <v>43361</v>
      </c>
    </row>
    <row r="3388" spans="2:18">
      <c r="G3388" s="4"/>
    </row>
    <row r="3389" spans="2:18" s="12" customFormat="1">
      <c r="B3389" s="12" t="s">
        <v>544</v>
      </c>
      <c r="C3389" s="13" t="s">
        <v>969</v>
      </c>
      <c r="D3389" s="13" t="s">
        <v>968</v>
      </c>
      <c r="E3389" s="15"/>
      <c r="F3389" s="15">
        <f>SUM(F3390:F3391)</f>
        <v>3.2</v>
      </c>
      <c r="G3389" s="14">
        <f>G3390</f>
        <v>44447</v>
      </c>
    </row>
    <row r="3390" spans="2:18">
      <c r="C3390" s="2" t="s">
        <v>5</v>
      </c>
      <c r="D3390" s="2" t="s">
        <v>542</v>
      </c>
      <c r="E3390" s="3">
        <v>14</v>
      </c>
      <c r="F3390" s="3">
        <f>8/5</f>
        <v>1.6</v>
      </c>
      <c r="G3390" s="4">
        <v>44447</v>
      </c>
      <c r="M3390" s="1"/>
      <c r="N3390" s="1"/>
      <c r="O3390" s="1"/>
      <c r="P3390" s="1"/>
      <c r="Q3390" s="1"/>
      <c r="R3390" s="1"/>
    </row>
    <row r="3391" spans="2:18">
      <c r="C3391" s="2" t="s">
        <v>5</v>
      </c>
      <c r="D3391" s="2" t="s">
        <v>542</v>
      </c>
      <c r="E3391" s="3">
        <v>12</v>
      </c>
      <c r="F3391" s="3">
        <f>8/5</f>
        <v>1.6</v>
      </c>
      <c r="G3391" s="4">
        <v>43532</v>
      </c>
      <c r="M3391" s="1"/>
      <c r="N3391" s="1"/>
      <c r="O3391" s="1"/>
      <c r="P3391" s="1"/>
      <c r="Q3391" s="1"/>
      <c r="R3391" s="1"/>
    </row>
    <row r="3392" spans="2:18">
      <c r="G3392" s="4"/>
      <c r="M3392" s="1"/>
      <c r="N3392" s="1"/>
      <c r="O3392" s="1"/>
      <c r="P3392" s="1"/>
      <c r="Q3392" s="1"/>
      <c r="R3392" s="1"/>
    </row>
    <row r="3393" spans="2:18" s="12" customFormat="1">
      <c r="B3393" s="12" t="s">
        <v>675</v>
      </c>
      <c r="C3393" s="13" t="s">
        <v>969</v>
      </c>
      <c r="D3393" s="13" t="s">
        <v>968</v>
      </c>
      <c r="E3393" s="15"/>
      <c r="F3393" s="15">
        <f>SUM(F3394:F3395)</f>
        <v>3</v>
      </c>
      <c r="G3393" s="14">
        <f>G3394</f>
        <v>44389</v>
      </c>
      <c r="M3393" s="13"/>
      <c r="N3393" s="13"/>
      <c r="O3393" s="13"/>
      <c r="P3393" s="13"/>
      <c r="Q3393" s="13"/>
      <c r="R3393" s="13"/>
    </row>
    <row r="3394" spans="2:18">
      <c r="C3394" s="2" t="s">
        <v>5</v>
      </c>
      <c r="D3394" s="2" t="s">
        <v>672</v>
      </c>
      <c r="E3394" s="3">
        <v>14.5</v>
      </c>
      <c r="F3394" s="3">
        <v>2.5</v>
      </c>
      <c r="G3394" s="4">
        <v>44389</v>
      </c>
      <c r="M3394" s="1"/>
      <c r="N3394" s="1"/>
      <c r="O3394" s="1"/>
      <c r="P3394" s="1"/>
      <c r="Q3394" s="1"/>
      <c r="R3394" s="1"/>
    </row>
    <row r="3395" spans="2:18">
      <c r="C3395" s="2" t="s">
        <v>4</v>
      </c>
      <c r="D3395" s="2" t="s">
        <v>672</v>
      </c>
      <c r="E3395" s="3">
        <v>3</v>
      </c>
      <c r="F3395" s="3">
        <v>0.5</v>
      </c>
      <c r="G3395" s="4">
        <v>43993</v>
      </c>
      <c r="M3395" s="1"/>
      <c r="N3395" s="1"/>
      <c r="O3395" s="1"/>
      <c r="P3395" s="1"/>
      <c r="Q3395" s="1"/>
      <c r="R3395" s="1"/>
    </row>
    <row r="3396" spans="2:18">
      <c r="G3396" s="4"/>
      <c r="M3396" s="1"/>
      <c r="N3396" s="1"/>
      <c r="O3396" s="1"/>
      <c r="P3396" s="1"/>
      <c r="Q3396" s="1"/>
      <c r="R3396" s="1"/>
    </row>
    <row r="3397" spans="2:18" s="12" customFormat="1">
      <c r="B3397" s="12" t="s">
        <v>6656</v>
      </c>
      <c r="C3397" s="13" t="s">
        <v>969</v>
      </c>
      <c r="D3397" s="13" t="s">
        <v>968</v>
      </c>
      <c r="E3397" s="15"/>
      <c r="F3397" s="15">
        <f>SUM(F3398:F3399)</f>
        <v>3</v>
      </c>
      <c r="G3397" s="14">
        <f>G3398</f>
        <v>44825</v>
      </c>
      <c r="M3397" s="13"/>
      <c r="N3397" s="13"/>
      <c r="O3397" s="13"/>
      <c r="P3397" s="13"/>
      <c r="Q3397" s="13"/>
      <c r="R3397" s="13"/>
    </row>
    <row r="3398" spans="2:18">
      <c r="B3398" s="173"/>
      <c r="C3398" s="174" t="s">
        <v>7</v>
      </c>
      <c r="D3398" s="174" t="s">
        <v>2030</v>
      </c>
      <c r="E3398" s="3">
        <v>16</v>
      </c>
      <c r="F3398" s="3">
        <v>2</v>
      </c>
      <c r="G3398" s="4">
        <v>44825</v>
      </c>
    </row>
    <row r="3399" spans="2:18">
      <c r="B3399" s="173"/>
      <c r="C3399" s="177" t="s">
        <v>5</v>
      </c>
      <c r="D3399" s="174" t="s">
        <v>2030</v>
      </c>
      <c r="E3399" s="3">
        <v>9.3000000000000007</v>
      </c>
      <c r="F3399" s="178">
        <v>1</v>
      </c>
      <c r="G3399" s="4">
        <v>44229</v>
      </c>
    </row>
    <row r="3400" spans="2:18">
      <c r="B3400" s="173"/>
      <c r="C3400" s="177"/>
      <c r="D3400" s="174"/>
      <c r="F3400" s="178"/>
      <c r="G3400" s="4"/>
    </row>
    <row r="3401" spans="2:18" s="12" customFormat="1">
      <c r="B3401" s="12" t="s">
        <v>733</v>
      </c>
      <c r="C3401" s="13" t="s">
        <v>969</v>
      </c>
      <c r="D3401" s="13" t="s">
        <v>968</v>
      </c>
      <c r="E3401" s="15"/>
      <c r="F3401" s="15">
        <f>SUM(F3402:F3403)</f>
        <v>3.0714285714285716</v>
      </c>
      <c r="G3401" s="14">
        <f>G3402</f>
        <v>44757</v>
      </c>
    </row>
    <row r="3402" spans="2:18">
      <c r="C3402" s="2" t="s">
        <v>5</v>
      </c>
      <c r="D3402" s="2" t="s">
        <v>730</v>
      </c>
      <c r="E3402" s="3">
        <v>25</v>
      </c>
      <c r="F3402" s="3">
        <f>18/7</f>
        <v>2.5714285714285716</v>
      </c>
      <c r="G3402" s="4">
        <v>44757</v>
      </c>
    </row>
    <row r="3403" spans="2:18">
      <c r="C3403" s="2" t="s">
        <v>4</v>
      </c>
      <c r="D3403" s="2" t="s">
        <v>730</v>
      </c>
      <c r="E3403" s="3">
        <v>4</v>
      </c>
      <c r="F3403" s="3">
        <v>0.5</v>
      </c>
      <c r="G3403" s="4">
        <v>44340</v>
      </c>
    </row>
    <row r="3405" spans="2:18" s="12" customFormat="1">
      <c r="B3405" s="12" t="s">
        <v>673</v>
      </c>
      <c r="C3405" s="13" t="s">
        <v>969</v>
      </c>
      <c r="D3405" s="13" t="s">
        <v>968</v>
      </c>
      <c r="E3405" s="15"/>
      <c r="F3405" s="15">
        <f>SUM(F3406:F3408)</f>
        <v>3.3</v>
      </c>
      <c r="G3405" s="14">
        <f>G3406</f>
        <v>44389</v>
      </c>
      <c r="M3405" s="13"/>
      <c r="N3405" s="13"/>
      <c r="O3405" s="13"/>
      <c r="P3405" s="13"/>
      <c r="Q3405" s="13"/>
      <c r="R3405" s="13"/>
    </row>
    <row r="3406" spans="2:18">
      <c r="C3406" s="2" t="s">
        <v>5</v>
      </c>
      <c r="D3406" s="2" t="s">
        <v>672</v>
      </c>
      <c r="E3406" s="3">
        <v>14.5</v>
      </c>
      <c r="F3406" s="3">
        <v>2.5</v>
      </c>
      <c r="G3406" s="4">
        <v>44389</v>
      </c>
      <c r="M3406" s="1"/>
      <c r="N3406" s="1"/>
      <c r="O3406" s="1"/>
      <c r="P3406" s="1"/>
      <c r="Q3406" s="1"/>
      <c r="R3406" s="1"/>
    </row>
    <row r="3407" spans="2:18">
      <c r="C3407" s="2" t="s">
        <v>4</v>
      </c>
      <c r="D3407" s="2" t="s">
        <v>672</v>
      </c>
      <c r="E3407" s="3">
        <v>3</v>
      </c>
      <c r="F3407" s="3">
        <v>0.5</v>
      </c>
      <c r="G3407" s="4">
        <v>43993</v>
      </c>
      <c r="M3407" s="1"/>
      <c r="N3407" s="1"/>
      <c r="O3407" s="1"/>
      <c r="P3407" s="1"/>
      <c r="Q3407" s="1"/>
      <c r="R3407" s="1"/>
    </row>
    <row r="3408" spans="2:18">
      <c r="C3408" s="140" t="s">
        <v>4</v>
      </c>
      <c r="D3408" s="140" t="s">
        <v>2057</v>
      </c>
      <c r="E3408" s="3">
        <v>2.2999999999999998</v>
      </c>
      <c r="F3408" s="3">
        <v>0.3</v>
      </c>
      <c r="G3408" s="4">
        <v>43195</v>
      </c>
      <c r="M3408" s="1"/>
      <c r="N3408" s="1"/>
      <c r="O3408" s="1"/>
      <c r="P3408" s="1"/>
      <c r="Q3408" s="1"/>
      <c r="R3408" s="1"/>
    </row>
    <row r="3409" spans="2:18">
      <c r="G3409" s="4"/>
      <c r="M3409" s="1"/>
      <c r="N3409" s="1"/>
      <c r="O3409" s="1"/>
      <c r="P3409" s="1"/>
      <c r="Q3409" s="1"/>
      <c r="R3409" s="1"/>
    </row>
    <row r="3410" spans="2:18" s="12" customFormat="1">
      <c r="B3410" s="12" t="s">
        <v>639</v>
      </c>
      <c r="C3410" s="13" t="s">
        <v>969</v>
      </c>
      <c r="D3410" s="13" t="s">
        <v>968</v>
      </c>
      <c r="E3410" s="15"/>
      <c r="F3410" s="15">
        <f>SUM(F3411:F3416)</f>
        <v>2.52</v>
      </c>
      <c r="G3410" s="14">
        <f>G3415</f>
        <v>44152</v>
      </c>
    </row>
    <row r="3411" spans="2:18">
      <c r="C3411" s="2" t="s">
        <v>278</v>
      </c>
      <c r="D3411" s="2" t="s">
        <v>638</v>
      </c>
      <c r="E3411" s="3">
        <v>0.1</v>
      </c>
      <c r="F3411" s="3">
        <v>0.1</v>
      </c>
      <c r="G3411" s="4">
        <v>43499</v>
      </c>
      <c r="M3411" s="1"/>
      <c r="N3411" s="1"/>
      <c r="O3411" s="1"/>
      <c r="P3411" s="1"/>
      <c r="Q3411" s="1"/>
      <c r="R3411" s="1"/>
    </row>
    <row r="3412" spans="2:18">
      <c r="C3412" s="2" t="s">
        <v>278</v>
      </c>
      <c r="D3412" s="2" t="s">
        <v>637</v>
      </c>
      <c r="E3412" s="3">
        <v>0.12</v>
      </c>
      <c r="F3412" s="3">
        <v>0.12</v>
      </c>
      <c r="G3412" s="4">
        <v>44082</v>
      </c>
      <c r="M3412" s="1"/>
      <c r="N3412" s="1"/>
      <c r="O3412" s="1"/>
      <c r="P3412" s="1"/>
      <c r="Q3412" s="1"/>
      <c r="R3412" s="1"/>
    </row>
    <row r="3413" spans="2:18">
      <c r="C3413" s="2" t="s">
        <v>278</v>
      </c>
      <c r="D3413" s="2" t="s">
        <v>341</v>
      </c>
      <c r="G3413" s="4"/>
      <c r="M3413" s="1"/>
      <c r="N3413" s="1"/>
      <c r="O3413" s="1"/>
      <c r="P3413" s="1"/>
      <c r="Q3413" s="1"/>
      <c r="R3413" s="1"/>
    </row>
    <row r="3414" spans="2:18">
      <c r="C3414" s="140" t="s">
        <v>4</v>
      </c>
      <c r="D3414" s="140" t="s">
        <v>2057</v>
      </c>
      <c r="E3414" s="3">
        <v>2.2999999999999998</v>
      </c>
      <c r="F3414" s="3">
        <v>0.3</v>
      </c>
      <c r="G3414" s="4">
        <v>43195</v>
      </c>
      <c r="M3414" s="1"/>
      <c r="N3414" s="1"/>
      <c r="O3414" s="1"/>
      <c r="P3414" s="1"/>
      <c r="Q3414" s="1"/>
      <c r="R3414" s="1"/>
    </row>
    <row r="3415" spans="2:18">
      <c r="C3415" s="241" t="s">
        <v>5</v>
      </c>
      <c r="D3415" s="241" t="s">
        <v>2012</v>
      </c>
      <c r="E3415" s="3">
        <v>9</v>
      </c>
      <c r="F3415" s="3">
        <v>1</v>
      </c>
      <c r="G3415" s="4">
        <v>44152</v>
      </c>
      <c r="M3415" s="1"/>
      <c r="N3415" s="1"/>
      <c r="O3415" s="1"/>
      <c r="P3415" s="1"/>
      <c r="Q3415" s="1"/>
      <c r="R3415" s="1"/>
    </row>
    <row r="3416" spans="2:18">
      <c r="C3416" s="241" t="s">
        <v>4</v>
      </c>
      <c r="D3416" s="241" t="s">
        <v>2012</v>
      </c>
      <c r="E3416" s="3">
        <v>4</v>
      </c>
      <c r="F3416" s="3">
        <v>1</v>
      </c>
      <c r="G3416" s="4">
        <v>43481</v>
      </c>
      <c r="M3416" s="1"/>
      <c r="N3416" s="1"/>
      <c r="O3416" s="1"/>
      <c r="P3416" s="1"/>
      <c r="Q3416" s="1"/>
      <c r="R3416" s="1"/>
    </row>
    <row r="3417" spans="2:18">
      <c r="G3417" s="4"/>
      <c r="M3417" s="1"/>
      <c r="N3417" s="1"/>
      <c r="O3417" s="1"/>
      <c r="P3417" s="1"/>
      <c r="Q3417" s="1"/>
      <c r="R3417" s="1"/>
    </row>
    <row r="3418" spans="2:18" s="12" customFormat="1">
      <c r="B3418" s="12" t="s">
        <v>353</v>
      </c>
      <c r="C3418" s="13" t="s">
        <v>969</v>
      </c>
      <c r="D3418" s="13" t="s">
        <v>968</v>
      </c>
      <c r="E3418" s="15"/>
      <c r="F3418" s="15">
        <f>SUM(F3419:F3420)</f>
        <v>3</v>
      </c>
      <c r="G3418" s="14">
        <f>G3419</f>
        <v>44861</v>
      </c>
    </row>
    <row r="3419" spans="2:18">
      <c r="C3419" s="2" t="s">
        <v>7</v>
      </c>
      <c r="D3419" s="2" t="s">
        <v>351</v>
      </c>
      <c r="E3419" s="3">
        <v>22</v>
      </c>
      <c r="F3419" s="3">
        <v>2</v>
      </c>
      <c r="G3419" s="4">
        <v>44861</v>
      </c>
      <c r="M3419" s="1"/>
      <c r="N3419" s="1"/>
      <c r="O3419" s="1"/>
      <c r="P3419" s="1"/>
      <c r="Q3419" s="1"/>
      <c r="R3419" s="1"/>
    </row>
    <row r="3420" spans="2:18">
      <c r="C3420" s="2" t="s">
        <v>5</v>
      </c>
      <c r="D3420" s="2" t="s">
        <v>351</v>
      </c>
      <c r="E3420" s="3">
        <v>15</v>
      </c>
      <c r="F3420" s="3">
        <v>1</v>
      </c>
      <c r="G3420" s="4">
        <v>44487</v>
      </c>
      <c r="M3420" s="1"/>
      <c r="N3420" s="1"/>
      <c r="O3420" s="1"/>
      <c r="P3420" s="1"/>
      <c r="Q3420" s="1"/>
      <c r="R3420" s="1"/>
    </row>
    <row r="3421" spans="2:18">
      <c r="G3421" s="4"/>
      <c r="M3421" s="1"/>
      <c r="N3421" s="1"/>
      <c r="O3421" s="1"/>
      <c r="P3421" s="1"/>
      <c r="Q3421" s="1"/>
      <c r="R3421" s="1"/>
    </row>
    <row r="3422" spans="2:18" s="12" customFormat="1">
      <c r="B3422" s="12" t="s">
        <v>732</v>
      </c>
      <c r="C3422" s="13" t="s">
        <v>969</v>
      </c>
      <c r="D3422" s="13" t="s">
        <v>968</v>
      </c>
      <c r="E3422" s="15"/>
      <c r="F3422" s="15">
        <f>SUM(F3423:F3424)</f>
        <v>3.0714285714285716</v>
      </c>
      <c r="G3422" s="14">
        <f>G3423</f>
        <v>44757</v>
      </c>
    </row>
    <row r="3423" spans="2:18">
      <c r="C3423" s="2" t="s">
        <v>5</v>
      </c>
      <c r="D3423" s="2" t="s">
        <v>730</v>
      </c>
      <c r="E3423" s="3">
        <v>25</v>
      </c>
      <c r="F3423" s="3">
        <f>18/7</f>
        <v>2.5714285714285716</v>
      </c>
      <c r="G3423" s="4">
        <v>44757</v>
      </c>
    </row>
    <row r="3424" spans="2:18">
      <c r="C3424" s="2" t="s">
        <v>4</v>
      </c>
      <c r="D3424" s="2" t="s">
        <v>730</v>
      </c>
      <c r="E3424" s="3">
        <v>4</v>
      </c>
      <c r="F3424" s="3">
        <v>0.5</v>
      </c>
      <c r="G3424" s="4">
        <v>44340</v>
      </c>
    </row>
    <row r="3425" spans="2:18">
      <c r="G3425" s="4"/>
    </row>
    <row r="3426" spans="2:18" s="12" customFormat="1">
      <c r="B3426" s="12" t="s">
        <v>726</v>
      </c>
      <c r="C3426" s="13" t="s">
        <v>969</v>
      </c>
      <c r="D3426" s="13" t="s">
        <v>968</v>
      </c>
      <c r="E3426" s="15"/>
      <c r="F3426" s="15">
        <f>SUM(F3427:F3428)</f>
        <v>2.6666666666666665</v>
      </c>
      <c r="G3426" s="14">
        <f>G3427</f>
        <v>44676</v>
      </c>
      <c r="M3426" s="13"/>
      <c r="N3426" s="13"/>
      <c r="O3426" s="13"/>
      <c r="P3426" s="13"/>
      <c r="Q3426" s="13"/>
      <c r="R3426" s="13"/>
    </row>
    <row r="3427" spans="2:18">
      <c r="C3427" s="2" t="s">
        <v>5</v>
      </c>
      <c r="D3427" s="2" t="s">
        <v>725</v>
      </c>
      <c r="E3427" s="3">
        <v>20</v>
      </c>
      <c r="F3427" s="3">
        <f>13/6</f>
        <v>2.1666666666666665</v>
      </c>
      <c r="G3427" s="4">
        <v>44676</v>
      </c>
    </row>
    <row r="3428" spans="2:18">
      <c r="C3428" s="2" t="s">
        <v>4</v>
      </c>
      <c r="D3428" s="2" t="s">
        <v>725</v>
      </c>
      <c r="E3428" s="3">
        <v>5</v>
      </c>
      <c r="F3428" s="3">
        <v>0.5</v>
      </c>
      <c r="G3428" s="4">
        <v>44060</v>
      </c>
    </row>
    <row r="3429" spans="2:18">
      <c r="G3429" s="4"/>
    </row>
    <row r="3430" spans="2:18" s="12" customFormat="1">
      <c r="B3430" s="12" t="s">
        <v>6</v>
      </c>
      <c r="C3430" s="13" t="s">
        <v>969</v>
      </c>
      <c r="D3430" s="13" t="s">
        <v>968</v>
      </c>
      <c r="E3430" s="15"/>
      <c r="F3430" s="15">
        <f>SUM(F3431:F3432)</f>
        <v>2.6666666666666665</v>
      </c>
      <c r="G3430" s="14">
        <f>G3431</f>
        <v>42828</v>
      </c>
      <c r="M3430" s="13"/>
      <c r="N3430" s="13"/>
      <c r="O3430" s="13"/>
      <c r="P3430" s="13"/>
      <c r="Q3430" s="13"/>
      <c r="R3430" s="13"/>
    </row>
    <row r="3431" spans="2:18">
      <c r="C3431" s="2" t="s">
        <v>5</v>
      </c>
      <c r="D3431" s="2" t="s">
        <v>3</v>
      </c>
      <c r="E3431" s="3">
        <v>10.5</v>
      </c>
      <c r="F3431" s="3">
        <v>2</v>
      </c>
      <c r="G3431" s="4">
        <v>42828</v>
      </c>
      <c r="J3431" s="1">
        <v>2200</v>
      </c>
    </row>
    <row r="3432" spans="2:18">
      <c r="C3432" s="2" t="s">
        <v>4</v>
      </c>
      <c r="D3432" s="2" t="s">
        <v>3</v>
      </c>
      <c r="E3432" s="3">
        <v>2</v>
      </c>
      <c r="F3432" s="3">
        <f>+E3432/3</f>
        <v>0.66666666666666663</v>
      </c>
      <c r="G3432" s="4">
        <v>42521</v>
      </c>
      <c r="J3432" s="1">
        <v>2200</v>
      </c>
    </row>
    <row r="3433" spans="2:18">
      <c r="G3433" s="4"/>
    </row>
    <row r="3434" spans="2:18" s="12" customFormat="1">
      <c r="B3434" s="12" t="s">
        <v>972</v>
      </c>
      <c r="C3434" s="13" t="s">
        <v>969</v>
      </c>
      <c r="D3434" s="13" t="s">
        <v>968</v>
      </c>
      <c r="E3434" s="15"/>
      <c r="F3434" s="15">
        <f>SUM(F3435:F3436)</f>
        <v>2.7142857142857144</v>
      </c>
      <c r="G3434" s="14">
        <f>G3435</f>
        <v>43816</v>
      </c>
      <c r="M3434" s="13"/>
      <c r="N3434" s="13"/>
      <c r="O3434" s="13"/>
      <c r="P3434" s="13"/>
      <c r="Q3434" s="13"/>
      <c r="R3434" s="13"/>
    </row>
    <row r="3435" spans="2:18">
      <c r="C3435" s="2" t="s">
        <v>5</v>
      </c>
      <c r="D3435" s="2" t="s">
        <v>832</v>
      </c>
      <c r="E3435" s="3">
        <v>20</v>
      </c>
      <c r="F3435" s="3">
        <f>12/6</f>
        <v>2</v>
      </c>
      <c r="G3435" s="4">
        <v>43816</v>
      </c>
    </row>
    <row r="3436" spans="2:18">
      <c r="C3436" s="2" t="s">
        <v>4</v>
      </c>
      <c r="D3436" s="2" t="s">
        <v>424</v>
      </c>
      <c r="E3436" s="3">
        <v>7</v>
      </c>
      <c r="F3436" s="3">
        <v>0.7142857142857143</v>
      </c>
      <c r="G3436" s="4">
        <v>43046</v>
      </c>
    </row>
    <row r="3437" spans="2:18">
      <c r="G3437" s="4"/>
    </row>
    <row r="3438" spans="2:18" s="12" customFormat="1">
      <c r="B3438" s="12" t="s">
        <v>90</v>
      </c>
      <c r="C3438" s="13" t="s">
        <v>969</v>
      </c>
      <c r="D3438" s="13" t="s">
        <v>968</v>
      </c>
      <c r="E3438" s="15"/>
      <c r="F3438" s="15">
        <f>SUM(F3439:F3440)</f>
        <v>2.2380952380952381</v>
      </c>
      <c r="G3438" s="14">
        <f>G3439</f>
        <v>43978</v>
      </c>
      <c r="M3438" s="13"/>
      <c r="N3438" s="13"/>
      <c r="O3438" s="13"/>
      <c r="P3438" s="13"/>
      <c r="Q3438" s="13"/>
      <c r="R3438" s="13"/>
    </row>
    <row r="3439" spans="2:18">
      <c r="C3439" s="2" t="s">
        <v>5</v>
      </c>
      <c r="D3439" s="2" t="s">
        <v>87</v>
      </c>
      <c r="E3439" s="3">
        <v>13.5</v>
      </c>
      <c r="F3439" s="3">
        <f>10/6</f>
        <v>1.6666666666666667</v>
      </c>
      <c r="G3439" s="4">
        <v>43978</v>
      </c>
    </row>
    <row r="3440" spans="2:18">
      <c r="C3440" s="2" t="s">
        <v>4</v>
      </c>
      <c r="D3440" s="2" t="s">
        <v>87</v>
      </c>
      <c r="E3440" s="3">
        <v>5.3</v>
      </c>
      <c r="F3440" s="3">
        <f>4/7</f>
        <v>0.5714285714285714</v>
      </c>
      <c r="G3440" s="4">
        <v>43398</v>
      </c>
    </row>
    <row r="3441" spans="2:18">
      <c r="G3441" s="4"/>
    </row>
    <row r="3442" spans="2:18" s="12" customFormat="1">
      <c r="B3442" s="12" t="s">
        <v>6387</v>
      </c>
      <c r="C3442" s="13" t="s">
        <v>969</v>
      </c>
      <c r="D3442" s="13" t="s">
        <v>968</v>
      </c>
      <c r="E3442" s="15"/>
      <c r="F3442" s="15">
        <f>SUM(F3443:F3444)</f>
        <v>1.8599999999999999</v>
      </c>
      <c r="G3442" s="14">
        <f>G3443</f>
        <v>43445</v>
      </c>
      <c r="M3442" s="13"/>
      <c r="N3442" s="13"/>
      <c r="O3442" s="13"/>
      <c r="P3442" s="13"/>
      <c r="Q3442" s="13"/>
      <c r="R3442" s="13"/>
    </row>
    <row r="3443" spans="2:18">
      <c r="B3443" s="152"/>
      <c r="C3443" s="2" t="s">
        <v>5</v>
      </c>
      <c r="D3443" s="2" t="s">
        <v>2039</v>
      </c>
      <c r="E3443" s="3">
        <v>18</v>
      </c>
      <c r="F3443" s="3">
        <v>1</v>
      </c>
      <c r="G3443" s="4">
        <v>43445</v>
      </c>
    </row>
    <row r="3444" spans="2:18">
      <c r="B3444" s="152"/>
      <c r="C3444" s="153" t="s">
        <v>4</v>
      </c>
      <c r="D3444" s="2" t="s">
        <v>2039</v>
      </c>
      <c r="E3444" s="3">
        <v>4.3</v>
      </c>
      <c r="F3444" s="3">
        <f>E3444/5</f>
        <v>0.86</v>
      </c>
      <c r="G3444" s="4">
        <v>43157</v>
      </c>
    </row>
    <row r="3445" spans="2:18">
      <c r="B3445" s="152"/>
      <c r="G3445" s="4"/>
    </row>
    <row r="3446" spans="2:18" s="12" customFormat="1">
      <c r="B3446" s="12" t="s">
        <v>91</v>
      </c>
      <c r="C3446" s="13" t="s">
        <v>969</v>
      </c>
      <c r="D3446" s="13" t="s">
        <v>968</v>
      </c>
      <c r="E3446" s="15"/>
      <c r="F3446" s="15">
        <f>SUM(F3447:F3448)</f>
        <v>2.2380952380952381</v>
      </c>
      <c r="G3446" s="14">
        <f>G3447</f>
        <v>43978</v>
      </c>
      <c r="M3446" s="13"/>
      <c r="N3446" s="13"/>
      <c r="O3446" s="13"/>
      <c r="P3446" s="13"/>
      <c r="Q3446" s="13"/>
      <c r="R3446" s="13"/>
    </row>
    <row r="3447" spans="2:18">
      <c r="C3447" s="2" t="s">
        <v>5</v>
      </c>
      <c r="D3447" s="2" t="s">
        <v>87</v>
      </c>
      <c r="E3447" s="3">
        <v>13.5</v>
      </c>
      <c r="F3447" s="3">
        <f>10/6</f>
        <v>1.6666666666666667</v>
      </c>
      <c r="G3447" s="4">
        <v>43978</v>
      </c>
    </row>
    <row r="3448" spans="2:18">
      <c r="C3448" s="2" t="s">
        <v>4</v>
      </c>
      <c r="D3448" s="2" t="s">
        <v>87</v>
      </c>
      <c r="E3448" s="3">
        <v>5.3</v>
      </c>
      <c r="F3448" s="3">
        <f>4/7</f>
        <v>0.5714285714285714</v>
      </c>
      <c r="G3448" s="4">
        <v>43398</v>
      </c>
    </row>
    <row r="3449" spans="2:18">
      <c r="G3449" s="4"/>
    </row>
    <row r="3450" spans="2:18" s="12" customFormat="1">
      <c r="B3450" s="12" t="s">
        <v>263</v>
      </c>
      <c r="C3450" s="13" t="s">
        <v>969</v>
      </c>
      <c r="D3450" s="13" t="s">
        <v>968</v>
      </c>
      <c r="E3450" s="15"/>
      <c r="F3450" s="15">
        <f>SUM(F3451:F3452)</f>
        <v>2.0555555555555558</v>
      </c>
      <c r="G3450" s="14">
        <f>G3451</f>
        <v>43690</v>
      </c>
      <c r="M3450" s="13"/>
      <c r="N3450" s="13"/>
      <c r="O3450" s="13"/>
      <c r="P3450" s="13"/>
      <c r="Q3450" s="13"/>
      <c r="R3450" s="13"/>
    </row>
    <row r="3451" spans="2:18">
      <c r="C3451" s="2" t="s">
        <v>5</v>
      </c>
      <c r="D3451" s="2" t="s">
        <v>258</v>
      </c>
      <c r="E3451" s="3">
        <v>14</v>
      </c>
      <c r="F3451" s="3">
        <v>1.6666666666666667</v>
      </c>
      <c r="G3451" s="4">
        <v>43690</v>
      </c>
    </row>
    <row r="3452" spans="2:18">
      <c r="C3452" s="2" t="s">
        <v>4</v>
      </c>
      <c r="D3452" s="2" t="s">
        <v>258</v>
      </c>
      <c r="E3452" s="3">
        <v>3.5</v>
      </c>
      <c r="F3452" s="3">
        <f>+E3452/9</f>
        <v>0.3888888888888889</v>
      </c>
      <c r="G3452" s="4">
        <v>42979</v>
      </c>
    </row>
    <row r="3453" spans="2:18">
      <c r="G3453" s="4"/>
    </row>
    <row r="3454" spans="2:18" s="12" customFormat="1">
      <c r="B3454" s="12" t="s">
        <v>713</v>
      </c>
      <c r="C3454" s="13" t="s">
        <v>969</v>
      </c>
      <c r="D3454" s="13" t="s">
        <v>968</v>
      </c>
      <c r="E3454" s="15"/>
      <c r="F3454" s="15">
        <f>SUM(F3455:F3456)</f>
        <v>2</v>
      </c>
      <c r="G3454" s="14">
        <f>G3455</f>
        <v>44679</v>
      </c>
      <c r="M3454" s="13"/>
      <c r="N3454" s="13"/>
      <c r="O3454" s="13"/>
      <c r="P3454" s="13"/>
      <c r="Q3454" s="13"/>
      <c r="R3454" s="13"/>
    </row>
    <row r="3455" spans="2:18">
      <c r="C3455" s="2" t="s">
        <v>5</v>
      </c>
      <c r="D3455" s="2" t="s">
        <v>663</v>
      </c>
      <c r="E3455" s="3">
        <v>17</v>
      </c>
      <c r="F3455" s="3">
        <v>1.5</v>
      </c>
      <c r="G3455" s="4">
        <v>44679</v>
      </c>
    </row>
    <row r="3456" spans="2:18">
      <c r="C3456" s="2" t="s">
        <v>4</v>
      </c>
      <c r="D3456" s="2" t="s">
        <v>663</v>
      </c>
      <c r="E3456" s="3">
        <v>4.5</v>
      </c>
      <c r="F3456" s="3">
        <v>0.5</v>
      </c>
      <c r="G3456" s="4">
        <v>44415</v>
      </c>
    </row>
    <row r="3457" spans="2:18">
      <c r="G3457" s="4"/>
    </row>
    <row r="3458" spans="2:18" s="12" customFormat="1">
      <c r="B3458" s="12" t="s">
        <v>6204</v>
      </c>
      <c r="C3458" s="13" t="s">
        <v>969</v>
      </c>
      <c r="D3458" s="13" t="s">
        <v>968</v>
      </c>
      <c r="E3458" s="15"/>
      <c r="F3458" s="15">
        <f>SUM(F3459:F3460)</f>
        <v>1.8</v>
      </c>
      <c r="G3458" s="14">
        <f>G3459</f>
        <v>43943</v>
      </c>
      <c r="M3458" s="13"/>
      <c r="N3458" s="13"/>
      <c r="O3458" s="13"/>
      <c r="P3458" s="13"/>
      <c r="Q3458" s="13"/>
      <c r="R3458" s="13"/>
    </row>
    <row r="3459" spans="2:18">
      <c r="B3459" s="134"/>
      <c r="C3459" s="140" t="s">
        <v>4</v>
      </c>
      <c r="D3459" s="140" t="s">
        <v>2057</v>
      </c>
      <c r="E3459" s="3">
        <v>4.5</v>
      </c>
      <c r="F3459" s="3">
        <v>1.5</v>
      </c>
      <c r="G3459" s="4">
        <v>43943</v>
      </c>
    </row>
    <row r="3460" spans="2:18">
      <c r="B3460" s="134"/>
      <c r="C3460" s="140" t="s">
        <v>4</v>
      </c>
      <c r="D3460" s="140" t="s">
        <v>2057</v>
      </c>
      <c r="E3460" s="3">
        <v>2.2999999999999998</v>
      </c>
      <c r="F3460" s="3">
        <v>0.3</v>
      </c>
      <c r="G3460" s="4">
        <v>43195</v>
      </c>
    </row>
    <row r="3461" spans="2:18">
      <c r="B3461" s="134"/>
      <c r="C3461" s="140"/>
      <c r="D3461" s="140"/>
      <c r="G3461" s="4"/>
    </row>
    <row r="3462" spans="2:18" s="12" customFormat="1">
      <c r="B3462" s="12" t="s">
        <v>600</v>
      </c>
      <c r="C3462" s="13" t="s">
        <v>969</v>
      </c>
      <c r="D3462" s="13" t="s">
        <v>968</v>
      </c>
      <c r="E3462" s="15"/>
      <c r="F3462" s="15">
        <f>SUM(F3463:F3464)</f>
        <v>1.5</v>
      </c>
      <c r="G3462" s="14">
        <f>G3464</f>
        <v>43335</v>
      </c>
    </row>
    <row r="3463" spans="2:18">
      <c r="C3463" s="2" t="s">
        <v>5</v>
      </c>
      <c r="D3463" s="2" t="s">
        <v>599</v>
      </c>
      <c r="E3463" s="3">
        <v>8</v>
      </c>
      <c r="F3463" s="3">
        <v>1</v>
      </c>
      <c r="G3463" s="4">
        <v>43249</v>
      </c>
      <c r="M3463" s="1"/>
      <c r="N3463" s="1"/>
      <c r="O3463" s="1"/>
      <c r="P3463" s="1"/>
      <c r="Q3463" s="1"/>
      <c r="R3463" s="1"/>
    </row>
    <row r="3464" spans="2:18">
      <c r="C3464" s="140" t="s">
        <v>4</v>
      </c>
      <c r="D3464" s="140" t="s">
        <v>6299</v>
      </c>
      <c r="E3464" s="3">
        <v>5</v>
      </c>
      <c r="F3464" s="3">
        <v>0.5</v>
      </c>
      <c r="G3464" s="4">
        <v>43335</v>
      </c>
      <c r="M3464" s="1"/>
      <c r="N3464" s="1"/>
      <c r="O3464" s="1"/>
      <c r="P3464" s="1"/>
      <c r="Q3464" s="1"/>
      <c r="R3464" s="1"/>
    </row>
    <row r="3465" spans="2:18">
      <c r="C3465" s="140"/>
      <c r="D3465" s="140"/>
      <c r="G3465" s="4"/>
      <c r="M3465" s="1"/>
      <c r="N3465" s="1"/>
      <c r="O3465" s="1"/>
      <c r="P3465" s="1"/>
      <c r="Q3465" s="1"/>
      <c r="R3465" s="1"/>
    </row>
    <row r="3466" spans="2:18" s="12" customFormat="1">
      <c r="B3466" s="12" t="s">
        <v>440</v>
      </c>
      <c r="C3466" s="13" t="s">
        <v>969</v>
      </c>
      <c r="D3466" s="13" t="s">
        <v>968</v>
      </c>
      <c r="E3466" s="15"/>
      <c r="F3466" s="15">
        <f>SUM(F3467:F3468)</f>
        <v>1.6</v>
      </c>
      <c r="G3466" s="14">
        <f>G3467</f>
        <v>44602</v>
      </c>
    </row>
    <row r="3467" spans="2:18">
      <c r="C3467" s="2" t="s">
        <v>4</v>
      </c>
      <c r="D3467" s="2" t="s">
        <v>439</v>
      </c>
      <c r="E3467" s="3">
        <v>7</v>
      </c>
      <c r="F3467" s="3">
        <v>0.5</v>
      </c>
      <c r="G3467" s="4">
        <v>44602</v>
      </c>
      <c r="M3467" s="1"/>
      <c r="N3467" s="1"/>
      <c r="O3467" s="1"/>
      <c r="P3467" s="1"/>
      <c r="Q3467" s="1"/>
      <c r="R3467" s="1"/>
    </row>
    <row r="3468" spans="2:18">
      <c r="C3468" s="2" t="s">
        <v>278</v>
      </c>
      <c r="D3468" s="2" t="s">
        <v>439</v>
      </c>
      <c r="E3468" s="3">
        <v>1.1000000000000001</v>
      </c>
      <c r="F3468" s="3">
        <v>1.1000000000000001</v>
      </c>
      <c r="G3468" s="4">
        <v>44061</v>
      </c>
      <c r="M3468" s="1"/>
      <c r="N3468" s="1"/>
      <c r="O3468" s="1"/>
      <c r="P3468" s="1"/>
      <c r="Q3468" s="1"/>
      <c r="R3468" s="1"/>
    </row>
    <row r="3469" spans="2:18">
      <c r="G3469" s="4"/>
      <c r="M3469" s="1"/>
      <c r="N3469" s="1"/>
      <c r="O3469" s="1"/>
      <c r="P3469" s="1"/>
      <c r="Q3469" s="1"/>
      <c r="R3469" s="1"/>
    </row>
    <row r="3470" spans="2:18" s="12" customFormat="1">
      <c r="B3470" s="12" t="s">
        <v>577</v>
      </c>
      <c r="C3470" s="13" t="s">
        <v>969</v>
      </c>
      <c r="D3470" s="13" t="s">
        <v>968</v>
      </c>
      <c r="E3470" s="15"/>
      <c r="F3470" s="15">
        <f>SUM(F3471:F3472)</f>
        <v>1.5</v>
      </c>
      <c r="G3470" s="14">
        <f>G3472</f>
        <v>45037</v>
      </c>
    </row>
    <row r="3471" spans="2:18">
      <c r="C3471" s="2" t="s">
        <v>4</v>
      </c>
      <c r="D3471" s="2" t="s">
        <v>573</v>
      </c>
      <c r="E3471" s="3">
        <v>10</v>
      </c>
      <c r="F3471" s="3">
        <v>1</v>
      </c>
      <c r="G3471" s="4">
        <v>44887</v>
      </c>
      <c r="M3471" s="1"/>
      <c r="N3471" s="1"/>
      <c r="O3471" s="1"/>
      <c r="P3471" s="1"/>
      <c r="Q3471" s="1"/>
      <c r="R3471" s="1"/>
    </row>
    <row r="3472" spans="2:18">
      <c r="C3472" s="2" t="s">
        <v>4</v>
      </c>
      <c r="D3472" s="2" t="s">
        <v>509</v>
      </c>
      <c r="E3472" s="3">
        <v>3</v>
      </c>
      <c r="F3472" s="3">
        <v>0.5</v>
      </c>
      <c r="G3472" s="4">
        <v>45037</v>
      </c>
      <c r="M3472" s="1"/>
      <c r="N3472" s="1"/>
      <c r="O3472" s="1"/>
      <c r="P3472" s="1"/>
      <c r="Q3472" s="1"/>
      <c r="R3472" s="1"/>
    </row>
    <row r="3473" spans="2:18">
      <c r="G3473" s="4"/>
      <c r="M3473" s="1"/>
      <c r="N3473" s="1"/>
      <c r="O3473" s="1"/>
      <c r="P3473" s="1"/>
      <c r="Q3473" s="1"/>
      <c r="R3473" s="1"/>
    </row>
    <row r="3474" spans="2:18" s="12" customFormat="1">
      <c r="B3474" s="12" t="s">
        <v>486</v>
      </c>
      <c r="C3474" s="13" t="s">
        <v>969</v>
      </c>
      <c r="D3474" s="13" t="s">
        <v>968</v>
      </c>
      <c r="E3474" s="15"/>
      <c r="F3474" s="15">
        <f>SUM(F3475:F3478)</f>
        <v>7.0111111111111111</v>
      </c>
      <c r="G3474" s="14">
        <f>G3475</f>
        <v>44516</v>
      </c>
    </row>
    <row r="3475" spans="2:18">
      <c r="C3475" s="2" t="s">
        <v>5</v>
      </c>
      <c r="D3475" s="2" t="s">
        <v>483</v>
      </c>
      <c r="E3475" s="3">
        <v>13</v>
      </c>
      <c r="F3475" s="3">
        <v>1.4</v>
      </c>
      <c r="G3475" s="4">
        <v>44516</v>
      </c>
      <c r="M3475" s="1"/>
      <c r="N3475" s="1"/>
      <c r="O3475" s="1"/>
      <c r="P3475" s="1"/>
      <c r="Q3475" s="1"/>
      <c r="R3475" s="1"/>
    </row>
    <row r="3476" spans="2:18">
      <c r="C3476" s="55" t="s">
        <v>5</v>
      </c>
      <c r="D3476" s="55" t="s">
        <v>4995</v>
      </c>
      <c r="E3476" s="3">
        <v>3</v>
      </c>
      <c r="F3476" s="3">
        <f>2/3</f>
        <v>0.66666666666666663</v>
      </c>
      <c r="G3476" s="4">
        <v>42220</v>
      </c>
      <c r="M3476" s="1"/>
      <c r="N3476" s="1"/>
      <c r="O3476" s="1"/>
      <c r="P3476" s="1"/>
      <c r="Q3476" s="1"/>
      <c r="R3476" s="1"/>
    </row>
    <row r="3477" spans="2:18">
      <c r="C3477" s="153" t="s">
        <v>7</v>
      </c>
      <c r="D3477" s="153" t="s">
        <v>2046</v>
      </c>
      <c r="E3477" s="3">
        <v>50</v>
      </c>
      <c r="F3477" s="3">
        <f>40/9</f>
        <v>4.4444444444444446</v>
      </c>
      <c r="G3477" s="4">
        <v>44252</v>
      </c>
      <c r="M3477" s="1"/>
      <c r="N3477" s="1"/>
      <c r="O3477" s="1"/>
      <c r="P3477" s="1"/>
      <c r="Q3477" s="1"/>
      <c r="R3477" s="1"/>
    </row>
    <row r="3478" spans="2:18">
      <c r="C3478" s="153" t="s">
        <v>4</v>
      </c>
      <c r="D3478" s="153" t="s">
        <v>2046</v>
      </c>
      <c r="E3478" s="3">
        <v>3</v>
      </c>
      <c r="F3478" s="3">
        <f>2/4</f>
        <v>0.5</v>
      </c>
      <c r="G3478" s="4">
        <v>42628</v>
      </c>
      <c r="M3478" s="1"/>
      <c r="N3478" s="1"/>
      <c r="O3478" s="1"/>
      <c r="P3478" s="1"/>
      <c r="Q3478" s="1"/>
      <c r="R3478" s="1"/>
    </row>
    <row r="3479" spans="2:18">
      <c r="G3479" s="4"/>
      <c r="M3479" s="1"/>
      <c r="N3479" s="1"/>
      <c r="O3479" s="1"/>
      <c r="P3479" s="1"/>
      <c r="Q3479" s="1"/>
      <c r="R3479" s="1"/>
    </row>
    <row r="3480" spans="2:18" s="12" customFormat="1">
      <c r="B3480" s="12" t="s">
        <v>711</v>
      </c>
      <c r="C3480" s="13" t="s">
        <v>969</v>
      </c>
      <c r="D3480" s="13" t="s">
        <v>968</v>
      </c>
      <c r="E3480" s="15"/>
      <c r="F3480" s="15">
        <f>SUM(F3481:F3482)</f>
        <v>2</v>
      </c>
      <c r="G3480" s="14">
        <f>G3481</f>
        <v>44679</v>
      </c>
      <c r="M3480" s="13"/>
      <c r="N3480" s="13"/>
      <c r="O3480" s="13"/>
      <c r="P3480" s="13"/>
      <c r="Q3480" s="13"/>
      <c r="R3480" s="13"/>
    </row>
    <row r="3481" spans="2:18">
      <c r="C3481" s="2" t="s">
        <v>5</v>
      </c>
      <c r="D3481" s="2" t="s">
        <v>663</v>
      </c>
      <c r="E3481" s="3">
        <v>17</v>
      </c>
      <c r="F3481" s="3">
        <v>1.5</v>
      </c>
      <c r="G3481" s="4">
        <v>44679</v>
      </c>
    </row>
    <row r="3482" spans="2:18">
      <c r="C3482" s="2" t="s">
        <v>4</v>
      </c>
      <c r="D3482" s="2" t="s">
        <v>663</v>
      </c>
      <c r="E3482" s="3">
        <v>4.5</v>
      </c>
      <c r="F3482" s="3">
        <v>0.5</v>
      </c>
      <c r="G3482" s="4">
        <v>44415</v>
      </c>
    </row>
    <row r="3483" spans="2:18">
      <c r="G3483" s="4"/>
    </row>
    <row r="3484" spans="2:18" s="12" customFormat="1">
      <c r="B3484" s="12" t="s">
        <v>712</v>
      </c>
      <c r="C3484" s="13" t="s">
        <v>969</v>
      </c>
      <c r="D3484" s="13" t="s">
        <v>968</v>
      </c>
      <c r="E3484" s="15"/>
      <c r="F3484" s="15">
        <f>SUM(F3485:F3486)</f>
        <v>2</v>
      </c>
      <c r="G3484" s="14">
        <f>G3485</f>
        <v>44679</v>
      </c>
      <c r="M3484" s="13"/>
      <c r="N3484" s="13"/>
      <c r="O3484" s="13"/>
      <c r="P3484" s="13"/>
      <c r="Q3484" s="13"/>
      <c r="R3484" s="13"/>
    </row>
    <row r="3485" spans="2:18">
      <c r="C3485" s="2" t="s">
        <v>5</v>
      </c>
      <c r="D3485" s="2" t="s">
        <v>663</v>
      </c>
      <c r="E3485" s="3">
        <v>17</v>
      </c>
      <c r="F3485" s="3">
        <v>1.5</v>
      </c>
      <c r="G3485" s="4">
        <v>44679</v>
      </c>
    </row>
    <row r="3486" spans="2:18">
      <c r="C3486" s="2" t="s">
        <v>4</v>
      </c>
      <c r="D3486" s="2" t="s">
        <v>663</v>
      </c>
      <c r="E3486" s="3">
        <v>4.5</v>
      </c>
      <c r="F3486" s="3">
        <v>0.5</v>
      </c>
      <c r="G3486" s="4">
        <v>44415</v>
      </c>
    </row>
    <row r="3487" spans="2:18">
      <c r="G3487" s="4"/>
    </row>
    <row r="3488" spans="2:18" s="12" customFormat="1">
      <c r="B3488" s="12" t="s">
        <v>714</v>
      </c>
      <c r="C3488" s="13" t="s">
        <v>969</v>
      </c>
      <c r="D3488" s="13" t="s">
        <v>968</v>
      </c>
      <c r="E3488" s="15"/>
      <c r="F3488" s="15">
        <f>SUM(F3489:F3490)</f>
        <v>2</v>
      </c>
      <c r="G3488" s="14">
        <f>G3489</f>
        <v>44679</v>
      </c>
      <c r="M3488" s="13"/>
      <c r="N3488" s="13"/>
      <c r="O3488" s="13"/>
      <c r="P3488" s="13"/>
      <c r="Q3488" s="13"/>
      <c r="R3488" s="13"/>
    </row>
    <row r="3489" spans="2:18">
      <c r="C3489" s="2" t="s">
        <v>5</v>
      </c>
      <c r="D3489" s="2" t="s">
        <v>663</v>
      </c>
      <c r="E3489" s="3">
        <v>17</v>
      </c>
      <c r="F3489" s="3">
        <v>1.5</v>
      </c>
      <c r="G3489" s="4">
        <v>44679</v>
      </c>
    </row>
    <row r="3490" spans="2:18">
      <c r="C3490" s="2" t="s">
        <v>4</v>
      </c>
      <c r="D3490" s="2" t="s">
        <v>663</v>
      </c>
      <c r="E3490" s="3">
        <v>4.5</v>
      </c>
      <c r="F3490" s="3">
        <v>0.5</v>
      </c>
      <c r="G3490" s="4">
        <v>44415</v>
      </c>
    </row>
    <row r="3491" spans="2:18">
      <c r="G3491" s="4"/>
    </row>
    <row r="3492" spans="2:18" s="12" customFormat="1">
      <c r="B3492" s="12" t="s">
        <v>774</v>
      </c>
      <c r="C3492" s="13" t="s">
        <v>969</v>
      </c>
      <c r="D3492" s="13" t="s">
        <v>968</v>
      </c>
      <c r="E3492" s="15"/>
      <c r="F3492" s="15">
        <f>SUM(F3493:F3495)</f>
        <v>3</v>
      </c>
      <c r="G3492" s="14">
        <f>G3493</f>
        <v>44488</v>
      </c>
    </row>
    <row r="3493" spans="2:18">
      <c r="C3493" s="2" t="s">
        <v>4</v>
      </c>
      <c r="D3493" s="2" t="s">
        <v>773</v>
      </c>
      <c r="E3493" s="3">
        <v>5.5</v>
      </c>
      <c r="F3493" s="3">
        <v>1</v>
      </c>
      <c r="G3493" s="4">
        <v>44488</v>
      </c>
      <c r="M3493" s="1"/>
      <c r="N3493" s="1"/>
      <c r="O3493" s="1"/>
      <c r="P3493" s="1"/>
      <c r="Q3493" s="1"/>
      <c r="R3493" s="1"/>
    </row>
    <row r="3494" spans="2:18">
      <c r="C3494" s="140" t="s">
        <v>4</v>
      </c>
      <c r="D3494" s="140" t="s">
        <v>6269</v>
      </c>
      <c r="E3494" s="3">
        <v>3.5</v>
      </c>
      <c r="F3494" s="3">
        <v>1</v>
      </c>
      <c r="G3494" s="4">
        <v>43831</v>
      </c>
      <c r="M3494" s="1"/>
      <c r="N3494" s="1"/>
      <c r="O3494" s="1"/>
      <c r="P3494" s="1"/>
      <c r="Q3494" s="1"/>
      <c r="R3494" s="1"/>
    </row>
    <row r="3495" spans="2:18">
      <c r="C3495" s="140" t="s">
        <v>4</v>
      </c>
      <c r="D3495" s="140" t="s">
        <v>2015</v>
      </c>
      <c r="E3495" s="3">
        <v>3</v>
      </c>
      <c r="F3495" s="3">
        <v>1</v>
      </c>
      <c r="G3495" s="4">
        <v>44452</v>
      </c>
      <c r="M3495" s="1"/>
      <c r="N3495" s="1"/>
      <c r="O3495" s="1"/>
      <c r="P3495" s="1"/>
      <c r="Q3495" s="1"/>
      <c r="R3495" s="1"/>
    </row>
    <row r="3496" spans="2:18">
      <c r="C3496" s="140"/>
      <c r="D3496" s="140"/>
      <c r="G3496" s="4"/>
      <c r="M3496" s="1"/>
      <c r="N3496" s="1"/>
      <c r="O3496" s="1"/>
      <c r="P3496" s="1"/>
      <c r="Q3496" s="1"/>
      <c r="R3496" s="1"/>
    </row>
    <row r="3497" spans="2:18" s="12" customFormat="1">
      <c r="B3497" s="12" t="s">
        <v>293</v>
      </c>
      <c r="C3497" s="13" t="s">
        <v>969</v>
      </c>
      <c r="D3497" s="13" t="s">
        <v>968</v>
      </c>
      <c r="E3497" s="15"/>
      <c r="F3497" s="15">
        <f>SUM(F3498:F3499)</f>
        <v>1.8050000000000002</v>
      </c>
      <c r="G3497" s="14">
        <f>G3498</f>
        <v>42458</v>
      </c>
      <c r="M3497" s="13"/>
      <c r="N3497" s="13"/>
      <c r="O3497" s="13"/>
      <c r="P3497" s="13"/>
      <c r="Q3497" s="13"/>
      <c r="R3497" s="13"/>
    </row>
    <row r="3498" spans="2:18">
      <c r="C3498" s="2" t="s">
        <v>7</v>
      </c>
      <c r="D3498" s="2" t="s">
        <v>292</v>
      </c>
      <c r="E3498" s="3">
        <v>6.9</v>
      </c>
      <c r="F3498" s="3">
        <f>E3498/5</f>
        <v>1.3800000000000001</v>
      </c>
      <c r="G3498" s="4">
        <v>42458</v>
      </c>
    </row>
    <row r="3499" spans="2:18">
      <c r="C3499" s="2" t="s">
        <v>5</v>
      </c>
      <c r="D3499" s="2" t="s">
        <v>292</v>
      </c>
      <c r="E3499" s="3">
        <v>2.7</v>
      </c>
      <c r="F3499" s="3">
        <f>1.7/4</f>
        <v>0.42499999999999999</v>
      </c>
      <c r="G3499" s="4">
        <v>42139</v>
      </c>
    </row>
    <row r="3500" spans="2:18">
      <c r="G3500" s="4"/>
    </row>
    <row r="3501" spans="2:18" s="12" customFormat="1">
      <c r="B3501" s="12" t="s">
        <v>715</v>
      </c>
      <c r="C3501" s="13" t="s">
        <v>969</v>
      </c>
      <c r="D3501" s="13" t="s">
        <v>968</v>
      </c>
      <c r="E3501" s="15"/>
      <c r="F3501" s="15">
        <f>SUM(F3502:F3503)</f>
        <v>2</v>
      </c>
      <c r="G3501" s="14">
        <f>G3502</f>
        <v>44679</v>
      </c>
      <c r="M3501" s="13"/>
      <c r="N3501" s="13"/>
      <c r="O3501" s="13"/>
      <c r="P3501" s="13"/>
      <c r="Q3501" s="13"/>
      <c r="R3501" s="13"/>
    </row>
    <row r="3502" spans="2:18">
      <c r="C3502" s="2" t="s">
        <v>5</v>
      </c>
      <c r="D3502" s="2" t="s">
        <v>663</v>
      </c>
      <c r="E3502" s="3">
        <v>17</v>
      </c>
      <c r="F3502" s="3">
        <v>1.5</v>
      </c>
      <c r="G3502" s="4">
        <v>44679</v>
      </c>
    </row>
    <row r="3503" spans="2:18">
      <c r="C3503" s="2" t="s">
        <v>4</v>
      </c>
      <c r="D3503" s="2" t="s">
        <v>663</v>
      </c>
      <c r="E3503" s="3">
        <v>4.5</v>
      </c>
      <c r="F3503" s="3">
        <v>0.5</v>
      </c>
      <c r="G3503" s="4">
        <v>44415</v>
      </c>
    </row>
    <row r="3504" spans="2:18">
      <c r="G3504" s="4"/>
    </row>
    <row r="3505" spans="2:18" s="12" customFormat="1">
      <c r="B3505" s="12" t="s">
        <v>6398</v>
      </c>
      <c r="C3505" s="13" t="s">
        <v>969</v>
      </c>
      <c r="D3505" s="13" t="s">
        <v>968</v>
      </c>
      <c r="E3505" s="15"/>
      <c r="F3505" s="15">
        <f>SUM(F3506:F3507)</f>
        <v>1.7</v>
      </c>
      <c r="G3505" s="14">
        <f>G3506</f>
        <v>44179</v>
      </c>
      <c r="M3505" s="13"/>
      <c r="N3505" s="13"/>
      <c r="O3505" s="13"/>
      <c r="P3505" s="13"/>
      <c r="Q3505" s="13"/>
      <c r="R3505" s="13"/>
    </row>
    <row r="3506" spans="2:18">
      <c r="B3506" s="152"/>
      <c r="C3506" s="153" t="s">
        <v>5</v>
      </c>
      <c r="D3506" s="153" t="s">
        <v>6395</v>
      </c>
      <c r="E3506" s="3">
        <v>8</v>
      </c>
      <c r="F3506" s="3">
        <f>6/5</f>
        <v>1.2</v>
      </c>
      <c r="G3506" s="4">
        <v>44179</v>
      </c>
    </row>
    <row r="3507" spans="2:18">
      <c r="B3507" s="152"/>
      <c r="C3507" s="153" t="s">
        <v>4</v>
      </c>
      <c r="D3507" s="153" t="s">
        <v>6395</v>
      </c>
      <c r="E3507" s="3">
        <v>2</v>
      </c>
      <c r="F3507" s="3">
        <f>E3507/4</f>
        <v>0.5</v>
      </c>
      <c r="G3507" s="4">
        <v>43430</v>
      </c>
    </row>
    <row r="3508" spans="2:18">
      <c r="B3508" s="152"/>
      <c r="C3508" s="153"/>
      <c r="D3508" s="153"/>
      <c r="G3508" s="4"/>
    </row>
    <row r="3509" spans="2:18" s="12" customFormat="1">
      <c r="B3509" s="12" t="s">
        <v>88</v>
      </c>
      <c r="C3509" s="13" t="s">
        <v>969</v>
      </c>
      <c r="D3509" s="13" t="s">
        <v>968</v>
      </c>
      <c r="E3509" s="15"/>
      <c r="F3509" s="15">
        <f>SUM(F3510:F3513)</f>
        <v>1.9464285714285714</v>
      </c>
      <c r="G3509" s="14">
        <f>G3513</f>
        <v>43522</v>
      </c>
      <c r="M3509" s="13"/>
      <c r="N3509" s="13"/>
      <c r="O3509" s="13"/>
      <c r="P3509" s="13"/>
      <c r="Q3509" s="13"/>
      <c r="R3509" s="13"/>
    </row>
    <row r="3510" spans="2:18">
      <c r="C3510" s="2" t="s">
        <v>4</v>
      </c>
      <c r="D3510" s="2" t="s">
        <v>87</v>
      </c>
      <c r="E3510" s="3">
        <v>5.3</v>
      </c>
      <c r="F3510" s="3">
        <f>4/7</f>
        <v>0.5714285714285714</v>
      </c>
      <c r="G3510" s="4">
        <v>43398</v>
      </c>
    </row>
    <row r="3511" spans="2:18">
      <c r="C3511" s="2" t="s">
        <v>4</v>
      </c>
      <c r="D3511" s="2" t="s">
        <v>87</v>
      </c>
      <c r="E3511" s="3">
        <v>4</v>
      </c>
      <c r="F3511" s="3">
        <f>2.5/4</f>
        <v>0.625</v>
      </c>
      <c r="G3511" s="4">
        <v>43122</v>
      </c>
    </row>
    <row r="3512" spans="2:18">
      <c r="C3512" s="140" t="s">
        <v>4</v>
      </c>
      <c r="D3512" s="140" t="s">
        <v>6299</v>
      </c>
      <c r="E3512" s="3">
        <v>5</v>
      </c>
      <c r="F3512" s="3">
        <v>0.5</v>
      </c>
      <c r="G3512" s="4">
        <v>43335</v>
      </c>
    </row>
    <row r="3513" spans="2:18">
      <c r="C3513" s="177" t="s">
        <v>4</v>
      </c>
      <c r="D3513" s="177" t="s">
        <v>2030</v>
      </c>
      <c r="E3513" s="3">
        <v>2</v>
      </c>
      <c r="F3513" s="3">
        <f>1.5/6</f>
        <v>0.25</v>
      </c>
      <c r="G3513" s="4">
        <v>43522</v>
      </c>
    </row>
    <row r="3514" spans="2:18">
      <c r="G3514" s="4"/>
    </row>
    <row r="3515" spans="2:18" s="12" customFormat="1">
      <c r="B3515" s="12" t="s">
        <v>755</v>
      </c>
      <c r="C3515" s="13" t="s">
        <v>969</v>
      </c>
      <c r="D3515" s="13" t="s">
        <v>968</v>
      </c>
      <c r="E3515" s="15"/>
      <c r="F3515" s="15">
        <f>SUM(F3516:F3517)</f>
        <v>1</v>
      </c>
      <c r="G3515" s="14">
        <f>G3517</f>
        <v>44434</v>
      </c>
    </row>
    <row r="3516" spans="2:18">
      <c r="C3516" s="2" t="s">
        <v>4</v>
      </c>
      <c r="D3516" s="2" t="s">
        <v>672</v>
      </c>
      <c r="E3516" s="3">
        <v>3</v>
      </c>
      <c r="F3516" s="3">
        <v>0.5</v>
      </c>
      <c r="G3516" s="4">
        <v>43993</v>
      </c>
      <c r="M3516" s="1"/>
      <c r="N3516" s="1"/>
      <c r="O3516" s="1"/>
      <c r="P3516" s="1"/>
      <c r="Q3516" s="1"/>
      <c r="R3516" s="1"/>
    </row>
    <row r="3517" spans="2:18">
      <c r="C3517" s="2" t="s">
        <v>4</v>
      </c>
      <c r="D3517" s="2" t="s">
        <v>122</v>
      </c>
      <c r="E3517" s="3">
        <v>4.5</v>
      </c>
      <c r="F3517" s="3">
        <v>0.5</v>
      </c>
      <c r="G3517" s="4">
        <v>44434</v>
      </c>
      <c r="M3517" s="1"/>
      <c r="N3517" s="1"/>
      <c r="O3517" s="1"/>
      <c r="P3517" s="1"/>
      <c r="Q3517" s="1"/>
      <c r="R3517" s="1"/>
    </row>
    <row r="3518" spans="2:18">
      <c r="G3518" s="4"/>
      <c r="M3518" s="1"/>
      <c r="N3518" s="1"/>
      <c r="O3518" s="1"/>
      <c r="P3518" s="1"/>
      <c r="Q3518" s="1"/>
      <c r="R3518" s="1"/>
    </row>
    <row r="3519" spans="2:18" s="12" customFormat="1">
      <c r="B3519" s="12" t="s">
        <v>155</v>
      </c>
      <c r="C3519" s="13" t="s">
        <v>969</v>
      </c>
      <c r="D3519" s="13" t="s">
        <v>968</v>
      </c>
      <c r="E3519" s="15"/>
      <c r="F3519" s="15">
        <f>SUM(F3520:F3522)</f>
        <v>1.2000000000000002</v>
      </c>
      <c r="G3519" s="14">
        <f>G3521</f>
        <v>42370</v>
      </c>
      <c r="M3519" s="13"/>
      <c r="N3519" s="13"/>
      <c r="O3519" s="13"/>
      <c r="P3519" s="13"/>
      <c r="Q3519" s="13"/>
      <c r="R3519" s="13"/>
    </row>
    <row r="3520" spans="2:18">
      <c r="C3520" s="2" t="s">
        <v>4</v>
      </c>
      <c r="D3520" s="2" t="s">
        <v>154</v>
      </c>
      <c r="E3520" s="3">
        <v>4</v>
      </c>
      <c r="F3520" s="3">
        <v>1</v>
      </c>
      <c r="G3520" s="4">
        <v>42023</v>
      </c>
    </row>
    <row r="3521" spans="2:18">
      <c r="C3521" s="2" t="s">
        <v>4</v>
      </c>
      <c r="D3521" s="2" t="s">
        <v>15</v>
      </c>
      <c r="E3521" s="3">
        <v>0.1</v>
      </c>
      <c r="F3521" s="3">
        <v>0.1</v>
      </c>
      <c r="G3521" s="4">
        <v>42370</v>
      </c>
    </row>
    <row r="3522" spans="2:18">
      <c r="C3522" s="2" t="s">
        <v>4</v>
      </c>
      <c r="D3522" s="2" t="s">
        <v>15</v>
      </c>
      <c r="E3522" s="3">
        <v>0.1</v>
      </c>
      <c r="F3522" s="3">
        <v>0.1</v>
      </c>
      <c r="G3522" s="4">
        <v>41549</v>
      </c>
    </row>
    <row r="3523" spans="2:18">
      <c r="G3523" s="4"/>
    </row>
    <row r="3524" spans="2:18" s="12" customFormat="1">
      <c r="B3524" s="12" t="s">
        <v>970</v>
      </c>
      <c r="C3524" s="13" t="s">
        <v>969</v>
      </c>
      <c r="D3524" s="13" t="s">
        <v>968</v>
      </c>
      <c r="E3524" s="15"/>
      <c r="F3524" s="15">
        <f>SUM(F3525:F3526)</f>
        <v>1.4</v>
      </c>
      <c r="G3524" s="14">
        <f>G3525</f>
        <v>44994</v>
      </c>
      <c r="M3524" s="13"/>
      <c r="N3524" s="13"/>
      <c r="O3524" s="13"/>
      <c r="P3524" s="13"/>
      <c r="Q3524" s="13"/>
      <c r="R3524" s="13"/>
    </row>
    <row r="3525" spans="2:18">
      <c r="C3525" s="2" t="s">
        <v>4</v>
      </c>
      <c r="D3525" s="2" t="s">
        <v>745</v>
      </c>
      <c r="E3525" s="3">
        <v>2.8</v>
      </c>
      <c r="F3525" s="3">
        <v>1</v>
      </c>
      <c r="G3525" s="4">
        <v>44994</v>
      </c>
    </row>
    <row r="3526" spans="2:18">
      <c r="C3526" s="2" t="s">
        <v>4</v>
      </c>
      <c r="D3526" s="2" t="s">
        <v>745</v>
      </c>
      <c r="E3526" s="3">
        <v>2.6</v>
      </c>
      <c r="F3526" s="3">
        <f>1.6/4</f>
        <v>0.4</v>
      </c>
      <c r="G3526" s="4">
        <v>44147</v>
      </c>
    </row>
    <row r="3528" spans="2:18" s="12" customFormat="1">
      <c r="B3528" s="12" t="s">
        <v>388</v>
      </c>
      <c r="C3528" s="13" t="s">
        <v>969</v>
      </c>
      <c r="D3528" s="13" t="s">
        <v>968</v>
      </c>
      <c r="E3528" s="15"/>
      <c r="F3528" s="15">
        <f>SUM(F3529:F3530)</f>
        <v>1.355</v>
      </c>
      <c r="G3528" s="14">
        <f>G3529</f>
        <v>42156</v>
      </c>
    </row>
    <row r="3529" spans="2:18">
      <c r="C3529" s="2" t="s">
        <v>5</v>
      </c>
      <c r="D3529" s="2" t="s">
        <v>386</v>
      </c>
      <c r="E3529" s="3">
        <v>5.5</v>
      </c>
      <c r="F3529" s="3">
        <v>1</v>
      </c>
      <c r="G3529" s="4">
        <v>42156</v>
      </c>
      <c r="M3529" s="1"/>
      <c r="N3529" s="1"/>
      <c r="O3529" s="1"/>
      <c r="P3529" s="1"/>
      <c r="Q3529" s="1"/>
      <c r="R3529" s="1"/>
    </row>
    <row r="3530" spans="2:18">
      <c r="C3530" s="2" t="s">
        <v>4</v>
      </c>
      <c r="D3530" s="2" t="s">
        <v>386</v>
      </c>
      <c r="E3530" s="3">
        <v>0.71</v>
      </c>
      <c r="F3530" s="3">
        <f>+E3530/2</f>
        <v>0.35499999999999998</v>
      </c>
      <c r="G3530" s="4">
        <v>41730</v>
      </c>
      <c r="M3530" s="1"/>
      <c r="N3530" s="1"/>
      <c r="O3530" s="1"/>
      <c r="P3530" s="1"/>
      <c r="Q3530" s="1"/>
      <c r="R3530" s="1"/>
    </row>
    <row r="3531" spans="2:18">
      <c r="G3531" s="4"/>
      <c r="M3531" s="1"/>
      <c r="N3531" s="1"/>
      <c r="O3531" s="1"/>
      <c r="P3531" s="1"/>
      <c r="Q3531" s="1"/>
      <c r="R3531" s="1"/>
    </row>
    <row r="3532" spans="2:18" s="12" customFormat="1">
      <c r="B3532" s="12" t="s">
        <v>621</v>
      </c>
      <c r="C3532" s="13" t="s">
        <v>969</v>
      </c>
      <c r="D3532" s="13" t="s">
        <v>968</v>
      </c>
      <c r="E3532" s="15"/>
      <c r="F3532" s="15">
        <f>SUM(F3533:F3536)</f>
        <v>1.6944444444444444</v>
      </c>
      <c r="G3532" s="14">
        <f>G3533</f>
        <v>45021</v>
      </c>
    </row>
    <row r="3533" spans="2:18">
      <c r="C3533" s="2" t="s">
        <v>278</v>
      </c>
      <c r="D3533" s="2" t="s">
        <v>620</v>
      </c>
      <c r="E3533" s="3">
        <v>0.5</v>
      </c>
      <c r="F3533" s="3">
        <v>0.5</v>
      </c>
      <c r="G3533" s="4">
        <v>45021</v>
      </c>
      <c r="M3533" s="1"/>
      <c r="N3533" s="1"/>
      <c r="O3533" s="1"/>
      <c r="P3533" s="1"/>
      <c r="Q3533" s="1"/>
      <c r="R3533" s="1"/>
    </row>
    <row r="3534" spans="2:18">
      <c r="C3534" s="2" t="s">
        <v>278</v>
      </c>
      <c r="D3534" s="2" t="s">
        <v>341</v>
      </c>
      <c r="E3534" s="3">
        <v>0.75</v>
      </c>
      <c r="F3534" s="3">
        <f>E3534/3</f>
        <v>0.25</v>
      </c>
      <c r="G3534" s="4">
        <v>44043</v>
      </c>
      <c r="M3534" s="1"/>
      <c r="N3534" s="1"/>
      <c r="O3534" s="1"/>
      <c r="P3534" s="1"/>
      <c r="Q3534" s="1"/>
      <c r="R3534" s="1"/>
    </row>
    <row r="3535" spans="2:18">
      <c r="C3535" s="153" t="s">
        <v>4</v>
      </c>
      <c r="D3535" s="153" t="s">
        <v>2046</v>
      </c>
      <c r="E3535" s="3">
        <v>3</v>
      </c>
      <c r="F3535" s="3">
        <f>2/4</f>
        <v>0.5</v>
      </c>
      <c r="G3535" s="4">
        <v>42628</v>
      </c>
      <c r="M3535" s="1"/>
      <c r="N3535" s="1"/>
      <c r="O3535" s="1"/>
      <c r="P3535" s="1"/>
      <c r="Q3535" s="1"/>
      <c r="R3535" s="1"/>
    </row>
    <row r="3536" spans="2:18">
      <c r="C3536" s="394" t="s">
        <v>278</v>
      </c>
      <c r="D3536" s="394" t="s">
        <v>9775</v>
      </c>
      <c r="E3536" s="3">
        <v>6</v>
      </c>
      <c r="F3536" s="3">
        <f>4/9</f>
        <v>0.44444444444444442</v>
      </c>
      <c r="G3536" s="4">
        <v>44348</v>
      </c>
      <c r="M3536" s="1"/>
      <c r="N3536" s="1"/>
      <c r="O3536" s="1"/>
      <c r="P3536" s="1"/>
      <c r="Q3536" s="1"/>
      <c r="R3536" s="1"/>
    </row>
    <row r="3537" spans="2:18">
      <c r="G3537" s="4"/>
      <c r="M3537" s="1"/>
      <c r="N3537" s="1"/>
      <c r="O3537" s="1"/>
      <c r="P3537" s="1"/>
      <c r="Q3537" s="1"/>
      <c r="R3537" s="1"/>
    </row>
    <row r="3538" spans="2:18" s="12" customFormat="1">
      <c r="B3538" s="12" t="s">
        <v>700</v>
      </c>
      <c r="C3538" s="13" t="s">
        <v>969</v>
      </c>
      <c r="D3538" s="13" t="s">
        <v>968</v>
      </c>
      <c r="E3538" s="15"/>
      <c r="F3538" s="15">
        <f>SUM(F3539:F3540)</f>
        <v>0.68333333333333335</v>
      </c>
      <c r="G3538" s="14">
        <f>G3539</f>
        <v>44469</v>
      </c>
      <c r="M3538" s="13"/>
      <c r="N3538" s="13"/>
      <c r="O3538" s="13"/>
      <c r="P3538" s="13"/>
      <c r="Q3538" s="13"/>
      <c r="R3538" s="13"/>
    </row>
    <row r="3539" spans="2:18">
      <c r="C3539" s="2" t="s">
        <v>4</v>
      </c>
      <c r="D3539" s="2" t="s">
        <v>699</v>
      </c>
      <c r="E3539" s="3">
        <v>2.5</v>
      </c>
      <c r="F3539" s="3">
        <f>2/6</f>
        <v>0.33333333333333331</v>
      </c>
      <c r="G3539" s="4">
        <v>44469</v>
      </c>
    </row>
    <row r="3540" spans="2:18">
      <c r="C3540" s="2" t="s">
        <v>4</v>
      </c>
      <c r="D3540" s="2" t="s">
        <v>347</v>
      </c>
      <c r="E3540" s="3">
        <v>3.5</v>
      </c>
      <c r="F3540" s="3">
        <f>E3540/10</f>
        <v>0.35</v>
      </c>
      <c r="G3540" s="4">
        <v>43046</v>
      </c>
      <c r="L3540" s="1">
        <v>0</v>
      </c>
    </row>
    <row r="3541" spans="2:18">
      <c r="C3541" s="140" t="s">
        <v>4</v>
      </c>
      <c r="D3541" s="140" t="s">
        <v>6299</v>
      </c>
      <c r="E3541" s="3">
        <v>5</v>
      </c>
      <c r="F3541" s="3">
        <v>0.5</v>
      </c>
      <c r="G3541" s="4">
        <v>43335</v>
      </c>
    </row>
    <row r="3542" spans="2:18">
      <c r="G3542" s="4"/>
    </row>
    <row r="3543" spans="2:18" s="12" customFormat="1">
      <c r="B3543" s="12" t="s">
        <v>551</v>
      </c>
      <c r="C3543" s="13" t="s">
        <v>969</v>
      </c>
      <c r="D3543" s="13" t="s">
        <v>968</v>
      </c>
      <c r="E3543" s="15"/>
      <c r="F3543" s="15">
        <f>SUM(F3544:F3546)</f>
        <v>1.6949999999999998</v>
      </c>
      <c r="G3543" s="14">
        <f>+G3546</f>
        <v>44482</v>
      </c>
    </row>
    <row r="3544" spans="2:18">
      <c r="C3544" s="2" t="s">
        <v>278</v>
      </c>
      <c r="D3544" s="2" t="s">
        <v>548</v>
      </c>
      <c r="E3544" s="3">
        <v>0.5</v>
      </c>
      <c r="F3544" s="3">
        <v>0.1</v>
      </c>
      <c r="G3544" s="4">
        <v>43262</v>
      </c>
      <c r="M3544" s="1"/>
      <c r="N3544" s="1"/>
      <c r="O3544" s="1"/>
      <c r="P3544" s="1"/>
      <c r="Q3544" s="1"/>
      <c r="R3544" s="1"/>
    </row>
    <row r="3545" spans="2:18">
      <c r="C3545" s="2" t="s">
        <v>550</v>
      </c>
      <c r="D3545" s="2" t="s">
        <v>3</v>
      </c>
      <c r="E3545" s="3">
        <v>0.59499999999999997</v>
      </c>
      <c r="F3545" s="3">
        <v>0.59499999999999997</v>
      </c>
      <c r="G3545" s="4">
        <v>42278</v>
      </c>
      <c r="M3545" s="1"/>
      <c r="N3545" s="1"/>
      <c r="O3545" s="1"/>
      <c r="P3545" s="1"/>
      <c r="Q3545" s="1"/>
      <c r="R3545" s="1"/>
    </row>
    <row r="3546" spans="2:18">
      <c r="C3546" s="331" t="s">
        <v>4</v>
      </c>
      <c r="D3546" s="331" t="s">
        <v>8298</v>
      </c>
      <c r="E3546" s="3">
        <v>8</v>
      </c>
      <c r="F3546" s="3">
        <v>1</v>
      </c>
      <c r="G3546" s="4">
        <v>44482</v>
      </c>
      <c r="M3546" s="1"/>
      <c r="N3546" s="1"/>
      <c r="O3546" s="1"/>
      <c r="P3546" s="1"/>
      <c r="Q3546" s="1"/>
      <c r="R3546" s="1"/>
    </row>
    <row r="3547" spans="2:18">
      <c r="G3547" s="4"/>
      <c r="M3547" s="1"/>
      <c r="N3547" s="1"/>
      <c r="O3547" s="1"/>
      <c r="P3547" s="1"/>
      <c r="Q3547" s="1"/>
      <c r="R3547" s="1"/>
    </row>
    <row r="3548" spans="2:18" s="12" customFormat="1">
      <c r="B3548" s="12" t="s">
        <v>514</v>
      </c>
      <c r="C3548" s="13" t="s">
        <v>969</v>
      </c>
      <c r="D3548" s="13" t="s">
        <v>968</v>
      </c>
      <c r="E3548" s="15"/>
      <c r="F3548" s="15">
        <f>SUM(F3549:F3550)</f>
        <v>0.8</v>
      </c>
      <c r="G3548" s="14">
        <f>G3549</f>
        <v>45037</v>
      </c>
    </row>
    <row r="3549" spans="2:18">
      <c r="C3549" s="2" t="s">
        <v>4</v>
      </c>
      <c r="D3549" s="2" t="s">
        <v>509</v>
      </c>
      <c r="E3549" s="3">
        <v>3</v>
      </c>
      <c r="F3549" s="3">
        <v>0.5</v>
      </c>
      <c r="G3549" s="4">
        <v>45037</v>
      </c>
      <c r="M3549" s="1"/>
      <c r="N3549" s="1"/>
      <c r="O3549" s="1"/>
      <c r="P3549" s="1"/>
      <c r="Q3549" s="1"/>
      <c r="R3549" s="1"/>
    </row>
    <row r="3550" spans="2:18">
      <c r="C3550" s="2" t="s">
        <v>278</v>
      </c>
      <c r="D3550" s="2" t="s">
        <v>509</v>
      </c>
      <c r="E3550" s="3">
        <v>1.2</v>
      </c>
      <c r="F3550" s="3">
        <v>0.3</v>
      </c>
      <c r="G3550" s="4">
        <v>44545</v>
      </c>
      <c r="M3550" s="1"/>
      <c r="N3550" s="1"/>
      <c r="O3550" s="1"/>
      <c r="P3550" s="1"/>
      <c r="Q3550" s="1"/>
      <c r="R3550" s="1"/>
    </row>
    <row r="3551" spans="2:18">
      <c r="G3551" s="4"/>
      <c r="M3551" s="1"/>
      <c r="N3551" s="1"/>
      <c r="O3551" s="1"/>
      <c r="P3551" s="1"/>
      <c r="Q3551" s="1"/>
      <c r="R3551" s="1"/>
    </row>
    <row r="3552" spans="2:18" s="12" customFormat="1">
      <c r="B3552" s="12" t="s">
        <v>382</v>
      </c>
      <c r="C3552" s="13" t="s">
        <v>969</v>
      </c>
      <c r="D3552" s="13" t="s">
        <v>968</v>
      </c>
      <c r="E3552" s="15"/>
      <c r="F3552" s="15">
        <f>SUM(F3553:F3554)</f>
        <v>1.1000000000000001</v>
      </c>
      <c r="G3552" s="14">
        <f>G3554</f>
        <v>44054</v>
      </c>
    </row>
    <row r="3553" spans="2:18">
      <c r="C3553" s="2" t="s">
        <v>4</v>
      </c>
      <c r="D3553" s="2" t="s">
        <v>381</v>
      </c>
      <c r="E3553" s="3">
        <v>8.5</v>
      </c>
      <c r="F3553" s="3">
        <v>1</v>
      </c>
      <c r="G3553" s="4">
        <v>43796</v>
      </c>
      <c r="M3553" s="1"/>
      <c r="N3553" s="1"/>
      <c r="O3553" s="1"/>
      <c r="P3553" s="1"/>
      <c r="Q3553" s="1"/>
      <c r="R3553" s="1"/>
    </row>
    <row r="3554" spans="2:18">
      <c r="C3554" s="2" t="s">
        <v>278</v>
      </c>
      <c r="D3554" s="2" t="s">
        <v>277</v>
      </c>
      <c r="E3554" s="3">
        <v>0.2</v>
      </c>
      <c r="F3554" s="3">
        <v>0.1</v>
      </c>
      <c r="G3554" s="4">
        <v>44054</v>
      </c>
      <c r="M3554" s="1"/>
      <c r="N3554" s="1"/>
      <c r="O3554" s="1"/>
      <c r="P3554" s="1"/>
      <c r="Q3554" s="1"/>
      <c r="R3554" s="1"/>
    </row>
    <row r="3555" spans="2:18">
      <c r="G3555" s="4"/>
      <c r="M3555" s="1"/>
      <c r="N3555" s="1"/>
      <c r="O3555" s="1"/>
      <c r="P3555" s="1"/>
      <c r="Q3555" s="1"/>
      <c r="R3555" s="1"/>
    </row>
    <row r="3556" spans="2:18" s="12" customFormat="1">
      <c r="B3556" s="12" t="s">
        <v>6667</v>
      </c>
      <c r="C3556" s="13" t="s">
        <v>969</v>
      </c>
      <c r="D3556" s="13" t="s">
        <v>968</v>
      </c>
      <c r="E3556" s="15"/>
      <c r="F3556" s="15">
        <f>SUM(F3557:F3558)</f>
        <v>1.25</v>
      </c>
      <c r="G3556" s="14">
        <f>G3557</f>
        <v>44229</v>
      </c>
      <c r="M3556" s="13"/>
      <c r="N3556" s="13"/>
      <c r="O3556" s="13"/>
      <c r="P3556" s="13"/>
      <c r="Q3556" s="13"/>
      <c r="R3556" s="13"/>
    </row>
    <row r="3557" spans="2:18">
      <c r="B3557" s="176"/>
      <c r="C3557" s="177" t="s">
        <v>5</v>
      </c>
      <c r="D3557" s="174" t="s">
        <v>2030</v>
      </c>
      <c r="E3557" s="3">
        <v>9.3000000000000007</v>
      </c>
      <c r="F3557" s="178">
        <v>1</v>
      </c>
      <c r="G3557" s="4">
        <v>44229</v>
      </c>
    </row>
    <row r="3558" spans="2:18">
      <c r="B3558" s="176"/>
      <c r="C3558" s="177" t="s">
        <v>4</v>
      </c>
      <c r="D3558" s="174" t="s">
        <v>2030</v>
      </c>
      <c r="E3558" s="3">
        <v>2</v>
      </c>
      <c r="F3558" s="3">
        <f>1.5/6</f>
        <v>0.25</v>
      </c>
      <c r="G3558" s="4">
        <v>43522</v>
      </c>
    </row>
    <row r="3559" spans="2:18">
      <c r="B3559" s="176"/>
      <c r="C3559" s="177"/>
      <c r="D3559" s="174"/>
      <c r="G3559" s="4"/>
    </row>
    <row r="3560" spans="2:18" s="12" customFormat="1">
      <c r="B3560" s="12" t="s">
        <v>749</v>
      </c>
      <c r="C3560" s="13" t="s">
        <v>969</v>
      </c>
      <c r="D3560" s="13" t="s">
        <v>968</v>
      </c>
      <c r="E3560" s="15"/>
      <c r="F3560" s="15">
        <f>SUM(F3561:F3562)</f>
        <v>1</v>
      </c>
      <c r="G3560" s="14">
        <f>G3561</f>
        <v>43580</v>
      </c>
    </row>
    <row r="3561" spans="2:18">
      <c r="C3561" s="2" t="s">
        <v>4</v>
      </c>
      <c r="D3561" s="2" t="s">
        <v>403</v>
      </c>
      <c r="E3561" s="3">
        <v>3.1</v>
      </c>
      <c r="F3561" s="3">
        <v>0.5</v>
      </c>
      <c r="G3561" s="4">
        <v>43580</v>
      </c>
      <c r="M3561" s="1"/>
      <c r="N3561" s="1"/>
      <c r="O3561" s="1"/>
      <c r="P3561" s="1"/>
      <c r="Q3561" s="1"/>
      <c r="R3561" s="1"/>
    </row>
    <row r="3562" spans="2:18">
      <c r="C3562" s="2" t="s">
        <v>4</v>
      </c>
      <c r="D3562" s="2" t="s">
        <v>2129</v>
      </c>
      <c r="E3562" s="3">
        <v>3</v>
      </c>
      <c r="F3562" s="3">
        <f>0.5</f>
        <v>0.5</v>
      </c>
      <c r="G3562" s="4">
        <v>42979</v>
      </c>
      <c r="M3562" s="1"/>
      <c r="N3562" s="1"/>
      <c r="O3562" s="1"/>
      <c r="P3562" s="1"/>
      <c r="Q3562" s="1"/>
      <c r="R3562" s="1"/>
    </row>
    <row r="3563" spans="2:18">
      <c r="G3563" s="4"/>
      <c r="M3563" s="1"/>
      <c r="N3563" s="1"/>
      <c r="O3563" s="1"/>
      <c r="P3563" s="1"/>
      <c r="Q3563" s="1"/>
      <c r="R3563" s="1"/>
    </row>
    <row r="3564" spans="2:18">
      <c r="B3564" s="12" t="s">
        <v>944</v>
      </c>
      <c r="C3564" s="13" t="s">
        <v>969</v>
      </c>
      <c r="D3564" s="13" t="s">
        <v>968</v>
      </c>
      <c r="F3564" s="15">
        <f>SUM(F3565:F3566)</f>
        <v>54.130434782608695</v>
      </c>
      <c r="G3564" s="14">
        <f>G3565</f>
        <v>44852</v>
      </c>
      <c r="I3564" s="5"/>
      <c r="J3564" s="5"/>
    </row>
    <row r="3565" spans="2:18">
      <c r="C3565" s="2" t="s">
        <v>5</v>
      </c>
      <c r="D3565" s="2" t="s">
        <v>763</v>
      </c>
      <c r="E3565" s="3">
        <v>125</v>
      </c>
      <c r="F3565" s="3">
        <v>15</v>
      </c>
      <c r="G3565" s="4">
        <v>44852</v>
      </c>
    </row>
    <row r="3566" spans="2:18">
      <c r="C3566" s="265" t="s">
        <v>504</v>
      </c>
      <c r="D3566" s="265" t="s">
        <v>1006</v>
      </c>
      <c r="E3566" s="3">
        <v>1000</v>
      </c>
      <c r="F3566" s="3">
        <f>900/23</f>
        <v>39.130434782608695</v>
      </c>
      <c r="G3566" s="4">
        <v>44228</v>
      </c>
      <c r="I3566" s="1">
        <v>27000</v>
      </c>
      <c r="J3566" s="1">
        <v>42500</v>
      </c>
    </row>
    <row r="3567" spans="2:18">
      <c r="G3567" s="4"/>
    </row>
    <row r="3568" spans="2:18">
      <c r="B3568" s="12" t="s">
        <v>545</v>
      </c>
      <c r="C3568" s="13" t="s">
        <v>969</v>
      </c>
      <c r="D3568" s="13" t="s">
        <v>968</v>
      </c>
      <c r="F3568" s="15">
        <f>SUM(F3569:F3572)</f>
        <v>76.666666666666671</v>
      </c>
      <c r="G3568" s="14">
        <f>G3570</f>
        <v>45125</v>
      </c>
    </row>
    <row r="3569" spans="2:18">
      <c r="C3569" s="2" t="s">
        <v>7</v>
      </c>
      <c r="D3569" s="2" t="s">
        <v>542</v>
      </c>
      <c r="E3569" s="3">
        <v>40</v>
      </c>
      <c r="F3569" s="3">
        <v>15</v>
      </c>
      <c r="G3569" s="4">
        <v>44811</v>
      </c>
      <c r="M3569" s="1"/>
      <c r="N3569" s="1"/>
      <c r="O3569" s="1"/>
      <c r="P3569" s="1"/>
      <c r="Q3569" s="1"/>
      <c r="R3569" s="1"/>
    </row>
    <row r="3570" spans="2:18">
      <c r="C3570" s="331" t="s">
        <v>9</v>
      </c>
      <c r="D3570" s="331" t="s">
        <v>8304</v>
      </c>
      <c r="E3570" s="3">
        <v>65</v>
      </c>
      <c r="F3570" s="3">
        <f>E3570/3</f>
        <v>21.666666666666668</v>
      </c>
      <c r="G3570" s="4">
        <v>45125</v>
      </c>
      <c r="M3570" s="1"/>
      <c r="N3570" s="1"/>
      <c r="O3570" s="1"/>
      <c r="P3570" s="1"/>
      <c r="Q3570" s="1"/>
      <c r="R3570" s="1"/>
    </row>
    <row r="3571" spans="2:18">
      <c r="C3571" s="331" t="s">
        <v>8</v>
      </c>
      <c r="D3571" s="331" t="s">
        <v>8304</v>
      </c>
      <c r="E3571" s="3">
        <v>60</v>
      </c>
      <c r="F3571" s="3">
        <v>30</v>
      </c>
      <c r="G3571" s="4">
        <v>44363</v>
      </c>
      <c r="M3571" s="1"/>
      <c r="N3571" s="1"/>
      <c r="O3571" s="1"/>
      <c r="P3571" s="1"/>
      <c r="Q3571" s="1"/>
      <c r="R3571" s="1"/>
    </row>
    <row r="3572" spans="2:18">
      <c r="C3572" s="331" t="s">
        <v>18</v>
      </c>
      <c r="D3572" s="331" t="s">
        <v>8304</v>
      </c>
      <c r="E3572" s="3">
        <v>25</v>
      </c>
      <c r="F3572" s="3">
        <v>10</v>
      </c>
      <c r="G3572" s="4">
        <v>43888</v>
      </c>
      <c r="M3572" s="1"/>
      <c r="N3572" s="1"/>
      <c r="O3572" s="1"/>
      <c r="P3572" s="1"/>
      <c r="Q3572" s="1"/>
      <c r="R3572" s="1"/>
    </row>
    <row r="3573" spans="2:18">
      <c r="G3573" s="4"/>
      <c r="M3573" s="1"/>
      <c r="N3573" s="1"/>
      <c r="O3573" s="1"/>
      <c r="P3573" s="1"/>
      <c r="Q3573" s="1"/>
      <c r="R3573" s="1"/>
    </row>
    <row r="3574" spans="2:18">
      <c r="B3574" s="12" t="s">
        <v>4840</v>
      </c>
      <c r="C3574" s="13" t="s">
        <v>969</v>
      </c>
      <c r="D3574" s="13" t="s">
        <v>968</v>
      </c>
      <c r="F3574" s="15">
        <f>+F3575+F3576</f>
        <v>16.285714285714285</v>
      </c>
      <c r="G3574" s="14">
        <f>+G3576</f>
        <v>45063</v>
      </c>
      <c r="M3574" s="1"/>
      <c r="N3574" s="1"/>
      <c r="O3574" s="1"/>
      <c r="P3574" s="1"/>
      <c r="Q3574" s="1"/>
      <c r="R3574" s="1"/>
    </row>
    <row r="3575" spans="2:18">
      <c r="B3575" s="51"/>
      <c r="C3575" s="52" t="s">
        <v>18</v>
      </c>
      <c r="D3575" s="52" t="s">
        <v>2118</v>
      </c>
      <c r="E3575" s="3">
        <v>300</v>
      </c>
      <c r="F3575" s="3">
        <f t="shared" ref="F3575:F3747" si="2">200/14</f>
        <v>14.285714285714286</v>
      </c>
      <c r="G3575" s="4">
        <v>44300</v>
      </c>
      <c r="I3575" s="1">
        <v>700</v>
      </c>
      <c r="J3575" s="1">
        <v>700</v>
      </c>
    </row>
    <row r="3576" spans="2:18">
      <c r="B3576" s="51"/>
      <c r="C3576" s="241" t="s">
        <v>5</v>
      </c>
      <c r="D3576" s="241" t="s">
        <v>2008</v>
      </c>
      <c r="E3576" s="3">
        <v>11.5</v>
      </c>
      <c r="F3576" s="3">
        <f>6/3</f>
        <v>2</v>
      </c>
      <c r="G3576" s="4">
        <v>45063</v>
      </c>
    </row>
    <row r="3577" spans="2:18">
      <c r="B3577" s="51"/>
      <c r="C3577" s="52"/>
      <c r="D3577" s="52"/>
      <c r="G3577" s="4"/>
    </row>
    <row r="3578" spans="2:18">
      <c r="B3578" s="12" t="s">
        <v>919</v>
      </c>
      <c r="C3578" s="13" t="s">
        <v>969</v>
      </c>
      <c r="D3578" s="13" t="s">
        <v>968</v>
      </c>
      <c r="F3578" s="15">
        <f>+F3579+F3580</f>
        <v>40.833333333333336</v>
      </c>
      <c r="G3578" s="14">
        <f>+G3580</f>
        <v>45230</v>
      </c>
    </row>
    <row r="3579" spans="2:18">
      <c r="C3579" s="2" t="s">
        <v>7</v>
      </c>
      <c r="D3579" s="2" t="s">
        <v>907</v>
      </c>
      <c r="E3579" s="3">
        <v>97.4</v>
      </c>
      <c r="F3579" s="3">
        <f>47/6</f>
        <v>7.833333333333333</v>
      </c>
      <c r="G3579" s="4">
        <v>45041</v>
      </c>
    </row>
    <row r="3580" spans="2:18">
      <c r="C3580" s="265" t="s">
        <v>53</v>
      </c>
      <c r="D3580" s="265" t="s">
        <v>3</v>
      </c>
      <c r="E3580" s="3">
        <v>200</v>
      </c>
      <c r="F3580" s="3">
        <v>33</v>
      </c>
      <c r="G3580" s="4">
        <v>45230</v>
      </c>
      <c r="I3580" s="1">
        <v>2500</v>
      </c>
      <c r="J3580" s="1">
        <v>2500</v>
      </c>
    </row>
    <row r="3581" spans="2:18">
      <c r="G3581" s="4"/>
    </row>
    <row r="3582" spans="2:18">
      <c r="B3582" s="12" t="s">
        <v>614</v>
      </c>
      <c r="C3582" s="13" t="s">
        <v>969</v>
      </c>
      <c r="D3582" s="13" t="s">
        <v>968</v>
      </c>
      <c r="F3582" s="15">
        <f>+F3583+F3584</f>
        <v>13.755555555555556</v>
      </c>
      <c r="G3582" s="14">
        <f>+G3584</f>
        <v>45124</v>
      </c>
    </row>
    <row r="3583" spans="2:18">
      <c r="C3583" s="2" t="s">
        <v>9</v>
      </c>
      <c r="D3583" s="2" t="s">
        <v>606</v>
      </c>
      <c r="E3583" s="3">
        <v>132</v>
      </c>
      <c r="F3583" s="3">
        <f>72/10</f>
        <v>7.2</v>
      </c>
      <c r="G3583" s="4">
        <v>44215</v>
      </c>
      <c r="I3583" s="1">
        <v>1400</v>
      </c>
      <c r="J3583" s="1">
        <v>1200</v>
      </c>
      <c r="M3583" s="1"/>
      <c r="N3583" s="1"/>
      <c r="O3583" s="1"/>
      <c r="P3583" s="1"/>
      <c r="Q3583" s="1"/>
      <c r="R3583" s="1"/>
    </row>
    <row r="3584" spans="2:18">
      <c r="C3584" s="265" t="s">
        <v>7929</v>
      </c>
      <c r="D3584" s="2" t="s">
        <v>606</v>
      </c>
      <c r="E3584" s="3">
        <v>59</v>
      </c>
      <c r="F3584" s="3">
        <f>59/9</f>
        <v>6.5555555555555554</v>
      </c>
      <c r="G3584" s="4">
        <v>45124</v>
      </c>
      <c r="I3584" s="1">
        <v>1200</v>
      </c>
      <c r="J3584" s="1">
        <v>1200</v>
      </c>
      <c r="M3584" s="1"/>
      <c r="N3584" s="1"/>
      <c r="O3584" s="1"/>
      <c r="P3584" s="1"/>
      <c r="Q3584" s="1"/>
      <c r="R3584" s="1"/>
    </row>
    <row r="3585" spans="2:18">
      <c r="C3585" s="265"/>
      <c r="G3585" s="4"/>
      <c r="M3585" s="1"/>
      <c r="N3585" s="1"/>
      <c r="O3585" s="1"/>
      <c r="P3585" s="1"/>
      <c r="Q3585" s="1"/>
      <c r="R3585" s="1"/>
    </row>
    <row r="3586" spans="2:18">
      <c r="B3586" s="12" t="s">
        <v>910</v>
      </c>
      <c r="C3586" s="13" t="s">
        <v>969</v>
      </c>
      <c r="D3586" s="13" t="s">
        <v>968</v>
      </c>
      <c r="F3586" s="15">
        <f>+F3587+F3588</f>
        <v>7.666666666666667</v>
      </c>
      <c r="G3586" s="14">
        <f>+G3587</f>
        <v>44539</v>
      </c>
    </row>
    <row r="3587" spans="2:18">
      <c r="C3587" s="2" t="s">
        <v>5</v>
      </c>
      <c r="D3587" s="2" t="s">
        <v>907</v>
      </c>
      <c r="E3587" s="3">
        <v>80</v>
      </c>
      <c r="F3587" s="3">
        <f t="shared" ref="F3587:F3870" si="3">40/6</f>
        <v>6.666666666666667</v>
      </c>
      <c r="G3587" s="4">
        <v>44539</v>
      </c>
    </row>
    <row r="3588" spans="2:18">
      <c r="C3588" s="331" t="s">
        <v>4</v>
      </c>
      <c r="D3588" s="331" t="s">
        <v>8298</v>
      </c>
      <c r="E3588" s="3">
        <v>8</v>
      </c>
      <c r="F3588" s="3">
        <v>1</v>
      </c>
      <c r="G3588" s="4">
        <v>44482</v>
      </c>
    </row>
    <row r="3589" spans="2:18">
      <c r="G3589" s="4"/>
    </row>
    <row r="3590" spans="2:18">
      <c r="B3590" s="1" t="s">
        <v>58</v>
      </c>
      <c r="C3590" s="2" t="s">
        <v>5</v>
      </c>
      <c r="D3590" s="2" t="s">
        <v>57</v>
      </c>
      <c r="E3590" s="3">
        <v>29.5</v>
      </c>
      <c r="F3590" s="3">
        <f>E3590-24</f>
        <v>5.5</v>
      </c>
      <c r="G3590" s="4">
        <v>43410</v>
      </c>
    </row>
    <row r="3591" spans="2:18">
      <c r="C3591" s="2" t="s">
        <v>4</v>
      </c>
      <c r="D3591" s="2" t="s">
        <v>7292</v>
      </c>
      <c r="E3591" s="3">
        <v>3</v>
      </c>
      <c r="F3591" s="3">
        <v>1</v>
      </c>
      <c r="G3591" s="4">
        <v>44452</v>
      </c>
    </row>
    <row r="3592" spans="2:18">
      <c r="G3592" s="4"/>
    </row>
    <row r="3593" spans="2:18">
      <c r="B3593" s="264" t="s">
        <v>7900</v>
      </c>
      <c r="C3593" s="153" t="s">
        <v>7</v>
      </c>
      <c r="D3593" s="153" t="s">
        <v>2041</v>
      </c>
      <c r="E3593" s="3">
        <v>42</v>
      </c>
      <c r="F3593" s="3">
        <f>22/4</f>
        <v>5.5</v>
      </c>
      <c r="G3593" s="4">
        <v>44831</v>
      </c>
    </row>
    <row r="3594" spans="2:18">
      <c r="B3594" s="264"/>
      <c r="C3594" s="265" t="s">
        <v>504</v>
      </c>
      <c r="D3594" s="265" t="s">
        <v>1006</v>
      </c>
      <c r="E3594" s="3">
        <v>1000</v>
      </c>
      <c r="F3594" s="3">
        <f>900/23</f>
        <v>39.130434782608695</v>
      </c>
      <c r="G3594" s="4">
        <v>44228</v>
      </c>
      <c r="I3594" s="1">
        <v>27000</v>
      </c>
      <c r="J3594" s="1">
        <v>42500</v>
      </c>
    </row>
    <row r="3595" spans="2:18">
      <c r="B3595" s="152"/>
      <c r="C3595" s="153"/>
      <c r="D3595" s="153"/>
      <c r="G3595" s="4"/>
    </row>
    <row r="3596" spans="2:18">
      <c r="B3596" s="238" t="s">
        <v>7396</v>
      </c>
      <c r="C3596" s="2" t="s">
        <v>4</v>
      </c>
      <c r="D3596" s="2" t="s">
        <v>887</v>
      </c>
      <c r="E3596" s="3">
        <v>20</v>
      </c>
      <c r="F3596" s="3">
        <v>5</v>
      </c>
      <c r="G3596" s="4">
        <v>44614</v>
      </c>
    </row>
    <row r="3597" spans="2:18">
      <c r="C3597" s="241" t="s">
        <v>4</v>
      </c>
      <c r="D3597" s="241" t="s">
        <v>2013</v>
      </c>
      <c r="E3597" s="3">
        <v>11</v>
      </c>
      <c r="F3597" s="3">
        <f>8/6</f>
        <v>1.3333333333333333</v>
      </c>
      <c r="G3597" s="4">
        <v>44686</v>
      </c>
    </row>
    <row r="3598" spans="2:18">
      <c r="G3598" s="4"/>
    </row>
    <row r="3599" spans="2:18">
      <c r="B3599" s="1" t="s">
        <v>875</v>
      </c>
      <c r="C3599" s="2" t="s">
        <v>5</v>
      </c>
      <c r="D3599" s="2" t="s">
        <v>644</v>
      </c>
      <c r="E3599" s="3">
        <v>12.5</v>
      </c>
      <c r="F3599" s="3">
        <f>E3599/3</f>
        <v>4.166666666666667</v>
      </c>
      <c r="G3599" s="4">
        <v>44825</v>
      </c>
    </row>
    <row r="3600" spans="2:18">
      <c r="C3600" s="241" t="s">
        <v>4</v>
      </c>
      <c r="D3600" s="241" t="s">
        <v>2013</v>
      </c>
      <c r="E3600" s="3">
        <v>11</v>
      </c>
      <c r="F3600" s="3">
        <v>3</v>
      </c>
      <c r="G3600" s="247">
        <v>44686</v>
      </c>
    </row>
    <row r="3601" spans="2:9">
      <c r="G3601" s="4"/>
    </row>
    <row r="3602" spans="2:9">
      <c r="B3602" s="1" t="s">
        <v>149</v>
      </c>
      <c r="C3602" s="2" t="s">
        <v>7</v>
      </c>
      <c r="D3602" s="2" t="s">
        <v>148</v>
      </c>
      <c r="E3602" s="3">
        <v>10</v>
      </c>
      <c r="F3602" s="6" t="s">
        <v>147</v>
      </c>
      <c r="G3602" s="4">
        <v>42355</v>
      </c>
    </row>
    <row r="3603" spans="2:9">
      <c r="C3603" s="241" t="s">
        <v>5</v>
      </c>
      <c r="D3603" s="241" t="s">
        <v>2012</v>
      </c>
      <c r="E3603" s="3">
        <v>9</v>
      </c>
      <c r="F3603" s="6">
        <v>1</v>
      </c>
      <c r="G3603" s="4">
        <v>44152</v>
      </c>
    </row>
    <row r="3604" spans="2:9">
      <c r="C3604" s="241" t="s">
        <v>4</v>
      </c>
      <c r="D3604" s="241" t="s">
        <v>2012</v>
      </c>
      <c r="E3604" s="3">
        <v>4</v>
      </c>
      <c r="F3604" s="6">
        <v>1</v>
      </c>
      <c r="G3604" s="4">
        <v>43481</v>
      </c>
    </row>
    <row r="3605" spans="2:9">
      <c r="F3605" s="6"/>
      <c r="G3605" s="4"/>
    </row>
    <row r="3606" spans="2:9">
      <c r="B3606" s="1" t="s">
        <v>285</v>
      </c>
      <c r="C3606" s="2" t="s">
        <v>4</v>
      </c>
      <c r="D3606" s="2" t="s">
        <v>283</v>
      </c>
      <c r="E3606" s="3">
        <v>2.1</v>
      </c>
      <c r="F3606" s="3">
        <v>1.1000000000000001</v>
      </c>
      <c r="G3606" s="4">
        <v>44565</v>
      </c>
    </row>
    <row r="3607" spans="2:9">
      <c r="C3607" s="241" t="s">
        <v>5</v>
      </c>
      <c r="D3607" s="241" t="s">
        <v>7426</v>
      </c>
      <c r="E3607" s="3">
        <v>10</v>
      </c>
      <c r="F3607" s="3">
        <v>4</v>
      </c>
      <c r="G3607" s="4">
        <v>44384</v>
      </c>
    </row>
    <row r="3608" spans="2:9">
      <c r="G3608" s="4"/>
    </row>
    <row r="3609" spans="2:9">
      <c r="B3609" s="1" t="s">
        <v>284</v>
      </c>
      <c r="C3609" s="2" t="s">
        <v>4</v>
      </c>
      <c r="D3609" s="2" t="s">
        <v>283</v>
      </c>
      <c r="E3609" s="3">
        <v>2.1</v>
      </c>
      <c r="F3609" s="3">
        <v>1</v>
      </c>
      <c r="G3609" s="4">
        <v>44565</v>
      </c>
    </row>
    <row r="3610" spans="2:9">
      <c r="C3610" s="241" t="s">
        <v>5</v>
      </c>
      <c r="D3610" s="241" t="s">
        <v>7426</v>
      </c>
      <c r="E3610" s="3">
        <v>10</v>
      </c>
      <c r="F3610" s="3">
        <v>2</v>
      </c>
      <c r="G3610" s="4">
        <v>44384</v>
      </c>
    </row>
    <row r="3611" spans="2:9">
      <c r="G3611" s="4"/>
    </row>
    <row r="3612" spans="2:9">
      <c r="B3612" s="152" t="s">
        <v>6388</v>
      </c>
      <c r="C3612" s="2" t="s">
        <v>5</v>
      </c>
      <c r="D3612" s="2" t="s">
        <v>2039</v>
      </c>
      <c r="E3612" s="3">
        <v>18</v>
      </c>
      <c r="F3612" s="3">
        <v>1</v>
      </c>
      <c r="G3612" s="4">
        <v>43445</v>
      </c>
    </row>
    <row r="3613" spans="2:9">
      <c r="B3613" s="152"/>
      <c r="C3613" s="331" t="s">
        <v>4</v>
      </c>
      <c r="D3613" s="331" t="s">
        <v>9424</v>
      </c>
      <c r="E3613" s="3">
        <v>20</v>
      </c>
      <c r="F3613" s="3">
        <f>16/10</f>
        <v>1.6</v>
      </c>
      <c r="G3613" s="4">
        <v>45061</v>
      </c>
    </row>
    <row r="3614" spans="2:9">
      <c r="B3614" s="152"/>
      <c r="C3614" s="331"/>
      <c r="D3614" s="331"/>
      <c r="G3614" s="4"/>
    </row>
    <row r="3615" spans="2:9">
      <c r="B3615" s="1" t="s">
        <v>967</v>
      </c>
      <c r="C3615" s="2" t="s">
        <v>7</v>
      </c>
      <c r="D3615" s="2" t="s">
        <v>964</v>
      </c>
      <c r="E3615" s="3">
        <v>580</v>
      </c>
      <c r="F3615" s="3">
        <v>580</v>
      </c>
      <c r="G3615" s="4">
        <v>44680</v>
      </c>
      <c r="I3615" s="238" t="s">
        <v>7407</v>
      </c>
    </row>
    <row r="3616" spans="2:9">
      <c r="B3616" s="1" t="s">
        <v>243</v>
      </c>
      <c r="C3616" s="2" t="s">
        <v>8</v>
      </c>
      <c r="D3616" s="2" t="s">
        <v>232</v>
      </c>
      <c r="E3616" s="3">
        <v>750</v>
      </c>
      <c r="F3616" s="3">
        <v>300</v>
      </c>
      <c r="G3616" s="4">
        <v>43593</v>
      </c>
    </row>
    <row r="3617" spans="2:11">
      <c r="B3617" s="1" t="s">
        <v>31</v>
      </c>
      <c r="C3617" s="2" t="s">
        <v>5</v>
      </c>
      <c r="D3617" s="2" t="s">
        <v>29</v>
      </c>
      <c r="E3617" s="3">
        <f>1600/7</f>
        <v>228.57142857142858</v>
      </c>
      <c r="F3617" s="3">
        <v>160</v>
      </c>
      <c r="G3617" s="4">
        <v>45078</v>
      </c>
      <c r="I3617" s="5">
        <v>1000</v>
      </c>
      <c r="J3617" s="5">
        <v>1000</v>
      </c>
    </row>
    <row r="3618" spans="2:11">
      <c r="B3618" s="1" t="s">
        <v>79</v>
      </c>
      <c r="C3618" s="2" t="s">
        <v>53</v>
      </c>
      <c r="D3618" s="2" t="s">
        <v>74</v>
      </c>
      <c r="E3618" s="3">
        <v>250</v>
      </c>
      <c r="F3618" s="3">
        <v>150</v>
      </c>
      <c r="G3618" s="4">
        <v>44510</v>
      </c>
      <c r="I3618" s="5">
        <v>3800</v>
      </c>
      <c r="J3618" s="5">
        <v>3800</v>
      </c>
      <c r="K3618" s="5">
        <f>(E3618/(I3618+E3618))*J3618*(F3618/E3618)</f>
        <v>140.74074074074073</v>
      </c>
    </row>
    <row r="3619" spans="2:11">
      <c r="B3619" s="1" t="s">
        <v>244</v>
      </c>
      <c r="C3619" s="2" t="s">
        <v>8</v>
      </c>
      <c r="D3619" s="2" t="s">
        <v>232</v>
      </c>
      <c r="E3619" s="3">
        <v>750</v>
      </c>
      <c r="F3619" s="3">
        <f>450/4</f>
        <v>112.5</v>
      </c>
      <c r="G3619" s="4">
        <v>43593</v>
      </c>
      <c r="I3619" s="5"/>
      <c r="J3619" s="5"/>
    </row>
    <row r="3620" spans="2:11">
      <c r="B3620" s="91" t="s">
        <v>5640</v>
      </c>
      <c r="C3620" s="92" t="s">
        <v>5</v>
      </c>
      <c r="D3620" s="92" t="s">
        <v>2083</v>
      </c>
      <c r="E3620" s="3">
        <v>110</v>
      </c>
      <c r="F3620" s="3">
        <v>110</v>
      </c>
      <c r="G3620" s="4">
        <v>44509</v>
      </c>
      <c r="I3620" s="5"/>
      <c r="J3620" s="5"/>
    </row>
    <row r="3621" spans="2:11">
      <c r="B3621" s="1" t="s">
        <v>252</v>
      </c>
      <c r="C3621" s="2" t="s">
        <v>18</v>
      </c>
      <c r="D3621" s="2" t="s">
        <v>245</v>
      </c>
      <c r="E3621" s="3">
        <v>820</v>
      </c>
      <c r="F3621" s="3">
        <f>600/6</f>
        <v>100</v>
      </c>
      <c r="G3621" s="4">
        <v>43223</v>
      </c>
      <c r="I3621" s="5"/>
      <c r="J3621" s="5"/>
    </row>
    <row r="3622" spans="2:11">
      <c r="B3622" s="1" t="s">
        <v>251</v>
      </c>
      <c r="C3622" s="2" t="s">
        <v>18</v>
      </c>
      <c r="D3622" s="2" t="s">
        <v>245</v>
      </c>
      <c r="E3622" s="3">
        <v>820</v>
      </c>
      <c r="F3622" s="3">
        <f>600/6</f>
        <v>100</v>
      </c>
      <c r="G3622" s="4">
        <v>43223</v>
      </c>
      <c r="I3622" s="5"/>
      <c r="J3622" s="5"/>
    </row>
    <row r="3623" spans="2:11">
      <c r="B3623" s="1" t="s">
        <v>250</v>
      </c>
      <c r="C3623" s="2" t="s">
        <v>18</v>
      </c>
      <c r="D3623" s="2" t="s">
        <v>245</v>
      </c>
      <c r="E3623" s="3">
        <v>820</v>
      </c>
      <c r="F3623" s="3">
        <f>600/6</f>
        <v>100</v>
      </c>
      <c r="G3623" s="4">
        <v>43223</v>
      </c>
      <c r="I3623" s="5"/>
      <c r="J3623" s="5"/>
    </row>
    <row r="3624" spans="2:11">
      <c r="B3624" s="1" t="s">
        <v>230</v>
      </c>
      <c r="C3624" s="2" t="s">
        <v>8</v>
      </c>
      <c r="D3624" s="2" t="s">
        <v>211</v>
      </c>
      <c r="E3624" s="3">
        <v>700</v>
      </c>
      <c r="F3624" s="3">
        <v>100</v>
      </c>
      <c r="G3624" s="4">
        <v>44218</v>
      </c>
      <c r="I3624" s="5"/>
      <c r="J3624" s="5"/>
    </row>
    <row r="3625" spans="2:11">
      <c r="B3625" s="1" t="s">
        <v>229</v>
      </c>
      <c r="C3625" s="2" t="s">
        <v>8</v>
      </c>
      <c r="D3625" s="2" t="s">
        <v>211</v>
      </c>
      <c r="E3625" s="3">
        <v>700</v>
      </c>
      <c r="F3625" s="3">
        <v>100</v>
      </c>
      <c r="G3625" s="4">
        <v>44218</v>
      </c>
      <c r="I3625" s="5"/>
      <c r="J3625" s="5"/>
    </row>
    <row r="3626" spans="2:11">
      <c r="G3626" s="4"/>
      <c r="I3626" s="5"/>
      <c r="J3626" s="5"/>
    </row>
    <row r="3627" spans="2:11">
      <c r="G3627" s="4"/>
      <c r="I3627" s="5"/>
      <c r="J3627" s="5"/>
    </row>
    <row r="3628" spans="2:11">
      <c r="G3628" s="4"/>
      <c r="I3628" s="5"/>
      <c r="J3628" s="5"/>
    </row>
    <row r="3629" spans="2:11">
      <c r="B3629" s="1" t="s">
        <v>188</v>
      </c>
      <c r="C3629" s="2" t="s">
        <v>9</v>
      </c>
      <c r="D3629" s="2" t="s">
        <v>176</v>
      </c>
      <c r="E3629" s="3">
        <v>392</v>
      </c>
      <c r="F3629" s="3">
        <f>E3629/5</f>
        <v>78.400000000000006</v>
      </c>
      <c r="G3629" s="4">
        <v>43280</v>
      </c>
      <c r="I3629" s="5">
        <v>1200</v>
      </c>
      <c r="J3629" s="5"/>
    </row>
    <row r="3630" spans="2:11">
      <c r="B3630" s="1" t="s">
        <v>187</v>
      </c>
      <c r="C3630" s="2" t="s">
        <v>9</v>
      </c>
      <c r="D3630" s="2" t="s">
        <v>176</v>
      </c>
      <c r="E3630" s="3">
        <v>392</v>
      </c>
      <c r="F3630" s="3">
        <f>E3630/5</f>
        <v>78.400000000000006</v>
      </c>
      <c r="G3630" s="4">
        <v>43280</v>
      </c>
      <c r="I3630" s="5">
        <v>1200</v>
      </c>
      <c r="J3630" s="5"/>
    </row>
    <row r="3631" spans="2:11">
      <c r="B3631" s="1" t="s">
        <v>186</v>
      </c>
      <c r="C3631" s="2" t="s">
        <v>9</v>
      </c>
      <c r="D3631" s="2" t="s">
        <v>176</v>
      </c>
      <c r="E3631" s="3">
        <v>392</v>
      </c>
      <c r="F3631" s="3">
        <f>E3631/5</f>
        <v>78.400000000000006</v>
      </c>
      <c r="G3631" s="4">
        <v>43280</v>
      </c>
      <c r="I3631" s="5">
        <v>1200</v>
      </c>
      <c r="J3631" s="5"/>
    </row>
    <row r="3632" spans="2:11">
      <c r="B3632" s="1" t="s">
        <v>185</v>
      </c>
      <c r="C3632" s="2" t="s">
        <v>9</v>
      </c>
      <c r="D3632" s="2" t="s">
        <v>176</v>
      </c>
      <c r="E3632" s="3">
        <v>392</v>
      </c>
      <c r="F3632" s="3">
        <f>E3632/5</f>
        <v>78.400000000000006</v>
      </c>
      <c r="G3632" s="4">
        <v>43280</v>
      </c>
      <c r="I3632" s="5">
        <v>1200</v>
      </c>
      <c r="J3632" s="5"/>
    </row>
    <row r="3633" spans="2:10">
      <c r="B3633" s="1" t="s">
        <v>254</v>
      </c>
      <c r="C3633" s="2" t="s">
        <v>18</v>
      </c>
      <c r="D3633" s="2" t="s">
        <v>253</v>
      </c>
      <c r="E3633" s="3">
        <v>500</v>
      </c>
      <c r="F3633" s="3">
        <v>75</v>
      </c>
      <c r="G3633" s="4">
        <v>44144</v>
      </c>
      <c r="I3633" s="5"/>
      <c r="J3633" s="5"/>
    </row>
    <row r="3634" spans="2:10">
      <c r="G3634" s="4"/>
      <c r="I3634" s="5"/>
      <c r="J3634" s="5"/>
    </row>
    <row r="3635" spans="2:10">
      <c r="B3635" s="1" t="s">
        <v>256</v>
      </c>
      <c r="C3635" s="2" t="s">
        <v>8</v>
      </c>
      <c r="D3635" s="2" t="s">
        <v>253</v>
      </c>
      <c r="E3635" s="3">
        <v>600</v>
      </c>
      <c r="F3635" s="3">
        <f>500/8</f>
        <v>62.5</v>
      </c>
      <c r="G3635" s="4">
        <v>44502</v>
      </c>
      <c r="I3635" s="5"/>
      <c r="J3635" s="5"/>
    </row>
    <row r="3636" spans="2:10">
      <c r="G3636" s="4"/>
      <c r="I3636" s="5"/>
      <c r="J3636" s="5"/>
    </row>
    <row r="3637" spans="2:10">
      <c r="B3637" s="1" t="s">
        <v>30</v>
      </c>
      <c r="C3637" s="2" t="s">
        <v>5</v>
      </c>
      <c r="D3637" s="2" t="s">
        <v>29</v>
      </c>
      <c r="E3637" s="3">
        <f>1600/7</f>
        <v>228.57142857142858</v>
      </c>
      <c r="F3637" s="3">
        <f>109/2</f>
        <v>54.5</v>
      </c>
      <c r="G3637" s="4">
        <v>45078</v>
      </c>
      <c r="I3637" s="5">
        <v>1000</v>
      </c>
      <c r="J3637" s="5">
        <v>1000</v>
      </c>
    </row>
    <row r="3638" spans="2:10">
      <c r="B3638" s="1" t="s">
        <v>86</v>
      </c>
      <c r="C3638" s="2" t="s">
        <v>18</v>
      </c>
      <c r="D3638" s="2" t="s">
        <v>80</v>
      </c>
      <c r="E3638" s="3">
        <v>257</v>
      </c>
      <c r="F3638" s="3">
        <v>50</v>
      </c>
      <c r="G3638" s="4">
        <v>44201</v>
      </c>
      <c r="I3638" s="5">
        <v>1286</v>
      </c>
      <c r="J3638" s="5"/>
    </row>
    <row r="3639" spans="2:10">
      <c r="B3639" s="1" t="s">
        <v>2</v>
      </c>
      <c r="C3639" s="2" t="s">
        <v>1</v>
      </c>
      <c r="D3639" s="2" t="s">
        <v>0</v>
      </c>
      <c r="E3639" s="3">
        <v>300</v>
      </c>
      <c r="F3639" s="3">
        <v>50</v>
      </c>
      <c r="G3639" s="4">
        <v>45044</v>
      </c>
      <c r="I3639" s="5">
        <v>28700</v>
      </c>
      <c r="J3639" s="5">
        <v>28700</v>
      </c>
    </row>
    <row r="3640" spans="2:10">
      <c r="B3640" s="1" t="s">
        <v>4360</v>
      </c>
      <c r="C3640" s="2" t="s">
        <v>9</v>
      </c>
      <c r="D3640" s="2" t="s">
        <v>3934</v>
      </c>
      <c r="E3640" s="3">
        <v>50</v>
      </c>
      <c r="F3640" s="3">
        <v>50</v>
      </c>
      <c r="G3640" s="4">
        <v>44321</v>
      </c>
      <c r="I3640" s="5"/>
      <c r="J3640" s="5"/>
    </row>
    <row r="3641" spans="2:10">
      <c r="B3641" s="1" t="s">
        <v>238</v>
      </c>
      <c r="C3641" s="2" t="s">
        <v>18</v>
      </c>
      <c r="D3641" s="2" t="s">
        <v>232</v>
      </c>
      <c r="E3641" s="3">
        <v>460</v>
      </c>
      <c r="F3641" s="3">
        <f>160/4</f>
        <v>40</v>
      </c>
      <c r="G3641" s="4">
        <v>43040</v>
      </c>
      <c r="I3641" s="5"/>
      <c r="J3641" s="5"/>
    </row>
    <row r="3642" spans="2:10">
      <c r="B3642" s="1" t="s">
        <v>237</v>
      </c>
      <c r="C3642" s="2" t="s">
        <v>18</v>
      </c>
      <c r="D3642" s="2" t="s">
        <v>232</v>
      </c>
      <c r="E3642" s="3">
        <v>460</v>
      </c>
      <c r="F3642" s="3">
        <f>160/4</f>
        <v>40</v>
      </c>
      <c r="G3642" s="4">
        <v>43040</v>
      </c>
      <c r="I3642" s="5"/>
      <c r="J3642" s="5"/>
    </row>
    <row r="3643" spans="2:10">
      <c r="B3643" s="1" t="s">
        <v>235</v>
      </c>
      <c r="C3643" s="2" t="s">
        <v>18</v>
      </c>
      <c r="D3643" s="2" t="s">
        <v>232</v>
      </c>
      <c r="E3643" s="3">
        <v>100</v>
      </c>
      <c r="F3643" s="3">
        <v>40</v>
      </c>
      <c r="G3643" s="4">
        <v>42735</v>
      </c>
      <c r="I3643" s="5"/>
      <c r="J3643" s="5"/>
    </row>
    <row r="3644" spans="2:10">
      <c r="B3644" s="1" t="s">
        <v>4326</v>
      </c>
      <c r="C3644" s="2" t="s">
        <v>8</v>
      </c>
      <c r="D3644" s="2" t="s">
        <v>2134</v>
      </c>
      <c r="E3644" s="3">
        <v>200</v>
      </c>
      <c r="F3644" s="3">
        <v>40</v>
      </c>
      <c r="G3644" s="4">
        <v>44237</v>
      </c>
      <c r="I3644" s="5"/>
      <c r="J3644" s="5"/>
    </row>
    <row r="3645" spans="2:10">
      <c r="B3645" s="1" t="s">
        <v>196</v>
      </c>
      <c r="C3645" s="2" t="s">
        <v>53</v>
      </c>
      <c r="D3645" s="2" t="s">
        <v>176</v>
      </c>
      <c r="E3645" s="3">
        <v>475</v>
      </c>
      <c r="F3645" s="3">
        <f t="shared" ref="F3645:F3651" si="4">E3645/12</f>
        <v>39.583333333333336</v>
      </c>
      <c r="G3645" s="4">
        <v>44278</v>
      </c>
      <c r="I3645" s="5"/>
      <c r="J3645" s="5"/>
    </row>
    <row r="3646" spans="2:10">
      <c r="B3646" s="1" t="s">
        <v>195</v>
      </c>
      <c r="C3646" s="2" t="s">
        <v>53</v>
      </c>
      <c r="D3646" s="2" t="s">
        <v>176</v>
      </c>
      <c r="E3646" s="3">
        <v>475</v>
      </c>
      <c r="F3646" s="3">
        <f t="shared" si="4"/>
        <v>39.583333333333336</v>
      </c>
      <c r="G3646" s="4">
        <v>44278</v>
      </c>
      <c r="I3646" s="5"/>
      <c r="J3646" s="5"/>
    </row>
    <row r="3647" spans="2:10">
      <c r="B3647" s="176" t="s">
        <v>6801</v>
      </c>
      <c r="C3647" s="2" t="s">
        <v>53</v>
      </c>
      <c r="D3647" s="2" t="s">
        <v>176</v>
      </c>
      <c r="E3647" s="3">
        <v>475</v>
      </c>
      <c r="F3647" s="3">
        <f t="shared" si="4"/>
        <v>39.583333333333336</v>
      </c>
      <c r="G3647" s="4">
        <v>44278</v>
      </c>
      <c r="I3647" s="5"/>
      <c r="J3647" s="5"/>
    </row>
    <row r="3648" spans="2:10">
      <c r="B3648" s="1" t="s">
        <v>194</v>
      </c>
      <c r="C3648" s="2" t="s">
        <v>53</v>
      </c>
      <c r="D3648" s="2" t="s">
        <v>176</v>
      </c>
      <c r="E3648" s="3">
        <v>475</v>
      </c>
      <c r="F3648" s="3">
        <f t="shared" si="4"/>
        <v>39.583333333333336</v>
      </c>
      <c r="G3648" s="4">
        <v>44278</v>
      </c>
      <c r="I3648" s="5"/>
      <c r="J3648" s="5"/>
    </row>
    <row r="3649" spans="2:18">
      <c r="B3649" s="1" t="s">
        <v>191</v>
      </c>
      <c r="C3649" s="2" t="s">
        <v>53</v>
      </c>
      <c r="D3649" s="2" t="s">
        <v>176</v>
      </c>
      <c r="E3649" s="3">
        <v>475</v>
      </c>
      <c r="F3649" s="3">
        <f t="shared" si="4"/>
        <v>39.583333333333336</v>
      </c>
      <c r="G3649" s="4">
        <v>44278</v>
      </c>
      <c r="I3649" s="5"/>
      <c r="J3649" s="5"/>
    </row>
    <row r="3650" spans="2:18">
      <c r="B3650" s="1" t="s">
        <v>190</v>
      </c>
      <c r="C3650" s="2" t="s">
        <v>53</v>
      </c>
      <c r="D3650" s="2" t="s">
        <v>176</v>
      </c>
      <c r="E3650" s="3">
        <v>475</v>
      </c>
      <c r="F3650" s="3">
        <f t="shared" si="4"/>
        <v>39.583333333333336</v>
      </c>
      <c r="G3650" s="4">
        <v>44278</v>
      </c>
      <c r="I3650" s="5"/>
      <c r="J3650" s="5"/>
    </row>
    <row r="3651" spans="2:18">
      <c r="B3651" s="1" t="s">
        <v>189</v>
      </c>
      <c r="C3651" s="2" t="s">
        <v>53</v>
      </c>
      <c r="D3651" s="2" t="s">
        <v>176</v>
      </c>
      <c r="E3651" s="3">
        <v>475</v>
      </c>
      <c r="F3651" s="3">
        <f t="shared" si="4"/>
        <v>39.583333333333336</v>
      </c>
      <c r="G3651" s="4">
        <v>44278</v>
      </c>
      <c r="I3651" s="5"/>
      <c r="J3651" s="5"/>
    </row>
    <row r="3652" spans="2:18">
      <c r="B3652" s="1" t="s">
        <v>221</v>
      </c>
      <c r="C3652" s="2" t="s">
        <v>18</v>
      </c>
      <c r="D3652" s="2" t="s">
        <v>211</v>
      </c>
      <c r="E3652" s="3">
        <v>230</v>
      </c>
      <c r="F3652" s="3">
        <f>E3652/6</f>
        <v>38.333333333333336</v>
      </c>
      <c r="G3652" s="4">
        <v>43923</v>
      </c>
      <c r="I3652" s="5"/>
      <c r="J3652" s="5"/>
    </row>
    <row r="3653" spans="2:18">
      <c r="B3653" s="1" t="s">
        <v>219</v>
      </c>
      <c r="C3653" s="2" t="s">
        <v>18</v>
      </c>
      <c r="D3653" s="2" t="s">
        <v>211</v>
      </c>
      <c r="E3653" s="3">
        <v>230</v>
      </c>
      <c r="F3653" s="3">
        <f>E3653/6</f>
        <v>38.333333333333336</v>
      </c>
      <c r="G3653" s="4">
        <v>43923</v>
      </c>
      <c r="I3653" s="5"/>
      <c r="J3653" s="5"/>
    </row>
    <row r="3654" spans="2:18">
      <c r="B3654" s="1" t="s">
        <v>67</v>
      </c>
      <c r="C3654" s="2" t="s">
        <v>5</v>
      </c>
      <c r="D3654" s="2" t="s">
        <v>64</v>
      </c>
      <c r="E3654" s="3">
        <f>500/7</f>
        <v>71.428571428571431</v>
      </c>
      <c r="F3654" s="3">
        <f>E3654/2</f>
        <v>35.714285714285715</v>
      </c>
      <c r="G3654" s="4">
        <v>44315</v>
      </c>
      <c r="I3654" s="5"/>
      <c r="J3654" s="5"/>
    </row>
    <row r="3655" spans="2:18">
      <c r="B3655" s="1" t="s">
        <v>159</v>
      </c>
      <c r="C3655" s="2" t="s">
        <v>9</v>
      </c>
      <c r="D3655" s="2" t="s">
        <v>154</v>
      </c>
      <c r="E3655" s="3">
        <v>400</v>
      </c>
      <c r="F3655" s="3">
        <f>320/9</f>
        <v>35.555555555555557</v>
      </c>
      <c r="G3655" s="4">
        <v>44413</v>
      </c>
      <c r="I3655" s="5">
        <v>4200</v>
      </c>
      <c r="J3655" s="5"/>
    </row>
    <row r="3656" spans="2:18">
      <c r="B3656" s="1" t="s">
        <v>171</v>
      </c>
      <c r="C3656" s="2" t="s">
        <v>18</v>
      </c>
      <c r="D3656" s="2" t="s">
        <v>161</v>
      </c>
      <c r="E3656" s="3">
        <v>267</v>
      </c>
      <c r="F3656" s="3">
        <f>167/5</f>
        <v>33.4</v>
      </c>
      <c r="G3656" s="4">
        <v>44140</v>
      </c>
      <c r="I3656" s="5">
        <v>5000</v>
      </c>
      <c r="J3656" s="5">
        <v>8400</v>
      </c>
    </row>
    <row r="3657" spans="2:18">
      <c r="B3657" s="1" t="s">
        <v>228</v>
      </c>
      <c r="C3657" s="2" t="s">
        <v>8</v>
      </c>
      <c r="D3657" s="2" t="s">
        <v>211</v>
      </c>
      <c r="E3657" s="3">
        <v>700</v>
      </c>
      <c r="F3657" s="3">
        <f t="shared" ref="F3657:F3662" si="5">400/12</f>
        <v>33.333333333333336</v>
      </c>
      <c r="G3657" s="4">
        <v>44218</v>
      </c>
      <c r="I3657" s="5"/>
      <c r="J3657" s="5"/>
    </row>
    <row r="3658" spans="2:18">
      <c r="B3658" s="1" t="s">
        <v>227</v>
      </c>
      <c r="C3658" s="2" t="s">
        <v>8</v>
      </c>
      <c r="D3658" s="2" t="s">
        <v>211</v>
      </c>
      <c r="E3658" s="3">
        <v>700</v>
      </c>
      <c r="F3658" s="3">
        <f t="shared" si="5"/>
        <v>33.333333333333336</v>
      </c>
      <c r="G3658" s="4">
        <v>44218</v>
      </c>
      <c r="I3658" s="5"/>
      <c r="J3658" s="5"/>
    </row>
    <row r="3659" spans="2:18">
      <c r="B3659" s="1" t="s">
        <v>226</v>
      </c>
      <c r="C3659" s="2" t="s">
        <v>8</v>
      </c>
      <c r="D3659" s="2" t="s">
        <v>211</v>
      </c>
      <c r="E3659" s="3">
        <v>700</v>
      </c>
      <c r="F3659" s="3">
        <f t="shared" si="5"/>
        <v>33.333333333333336</v>
      </c>
      <c r="G3659" s="4">
        <v>44218</v>
      </c>
      <c r="I3659" s="5"/>
      <c r="J3659" s="5"/>
    </row>
    <row r="3660" spans="2:18">
      <c r="B3660" s="1" t="s">
        <v>224</v>
      </c>
      <c r="C3660" s="2" t="s">
        <v>8</v>
      </c>
      <c r="D3660" s="2" t="s">
        <v>211</v>
      </c>
      <c r="E3660" s="3">
        <v>700</v>
      </c>
      <c r="F3660" s="3">
        <f t="shared" si="5"/>
        <v>33.333333333333336</v>
      </c>
      <c r="G3660" s="4">
        <v>44218</v>
      </c>
      <c r="I3660" s="5"/>
      <c r="J3660" s="5"/>
    </row>
    <row r="3661" spans="2:18">
      <c r="B3661" s="1" t="s">
        <v>223</v>
      </c>
      <c r="C3661" s="2" t="s">
        <v>8</v>
      </c>
      <c r="D3661" s="2" t="s">
        <v>211</v>
      </c>
      <c r="E3661" s="3">
        <v>700</v>
      </c>
      <c r="F3661" s="3">
        <f t="shared" si="5"/>
        <v>33.333333333333336</v>
      </c>
      <c r="G3661" s="4">
        <v>44218</v>
      </c>
      <c r="I3661" s="5"/>
      <c r="J3661" s="5"/>
    </row>
    <row r="3662" spans="2:18">
      <c r="B3662" s="1" t="s">
        <v>222</v>
      </c>
      <c r="C3662" s="2" t="s">
        <v>8</v>
      </c>
      <c r="D3662" s="2" t="s">
        <v>211</v>
      </c>
      <c r="E3662" s="3">
        <v>700</v>
      </c>
      <c r="F3662" s="3">
        <f t="shared" si="5"/>
        <v>33.333333333333336</v>
      </c>
      <c r="G3662" s="4">
        <v>44218</v>
      </c>
      <c r="I3662" s="5"/>
      <c r="J3662" s="5"/>
    </row>
    <row r="3663" spans="2:18">
      <c r="B3663" s="1" t="s">
        <v>415</v>
      </c>
      <c r="C3663" s="2" t="s">
        <v>18</v>
      </c>
      <c r="D3663" s="2" t="s">
        <v>414</v>
      </c>
      <c r="E3663" s="3">
        <v>65</v>
      </c>
      <c r="F3663" s="3">
        <v>32.5</v>
      </c>
      <c r="G3663" s="4">
        <v>43789</v>
      </c>
      <c r="M3663" s="1"/>
      <c r="N3663" s="1"/>
      <c r="O3663" s="1"/>
      <c r="P3663" s="1"/>
      <c r="Q3663" s="1"/>
      <c r="R3663" s="1"/>
    </row>
    <row r="3664" spans="2:18">
      <c r="B3664" s="1" t="s">
        <v>507</v>
      </c>
      <c r="C3664" s="2" t="s">
        <v>504</v>
      </c>
      <c r="D3664" s="2" t="s">
        <v>489</v>
      </c>
      <c r="E3664" s="3">
        <v>250</v>
      </c>
      <c r="F3664" s="3">
        <f>150/5</f>
        <v>30</v>
      </c>
      <c r="G3664" s="4">
        <v>44376</v>
      </c>
      <c r="M3664" s="1"/>
      <c r="N3664" s="1"/>
      <c r="O3664" s="1"/>
      <c r="P3664" s="1"/>
      <c r="Q3664" s="1"/>
      <c r="R3664" s="1"/>
    </row>
    <row r="3665" spans="2:18">
      <c r="B3665" s="1" t="s">
        <v>506</v>
      </c>
      <c r="C3665" s="2" t="s">
        <v>504</v>
      </c>
      <c r="D3665" s="2" t="s">
        <v>489</v>
      </c>
      <c r="E3665" s="3">
        <v>250</v>
      </c>
      <c r="F3665" s="3">
        <f>150/5</f>
        <v>30</v>
      </c>
      <c r="G3665" s="4">
        <v>44376</v>
      </c>
      <c r="M3665" s="1"/>
      <c r="N3665" s="1"/>
      <c r="O3665" s="1"/>
      <c r="P3665" s="1"/>
      <c r="Q3665" s="1"/>
      <c r="R3665" s="1"/>
    </row>
    <row r="3666" spans="2:18">
      <c r="G3666" s="4"/>
      <c r="M3666" s="1"/>
      <c r="N3666" s="1"/>
      <c r="O3666" s="1"/>
      <c r="P3666" s="1"/>
      <c r="Q3666" s="1"/>
      <c r="R3666" s="1"/>
    </row>
    <row r="3667" spans="2:18">
      <c r="B3667" s="1" t="s">
        <v>373</v>
      </c>
      <c r="C3667" s="2" t="s">
        <v>7</v>
      </c>
      <c r="D3667" s="2" t="s">
        <v>363</v>
      </c>
      <c r="E3667" s="3">
        <v>120</v>
      </c>
      <c r="F3667" s="3">
        <v>30</v>
      </c>
      <c r="G3667" s="4">
        <v>44602</v>
      </c>
      <c r="M3667" s="1"/>
      <c r="N3667" s="1"/>
      <c r="O3667" s="1"/>
      <c r="P3667" s="1"/>
      <c r="Q3667" s="1"/>
      <c r="R3667" s="1"/>
    </row>
    <row r="3668" spans="2:18">
      <c r="B3668" s="1" t="s">
        <v>203</v>
      </c>
      <c r="C3668" s="2" t="s">
        <v>7</v>
      </c>
      <c r="D3668" s="2" t="s">
        <v>197</v>
      </c>
      <c r="E3668" s="3">
        <v>120</v>
      </c>
      <c r="F3668" s="3">
        <v>30</v>
      </c>
      <c r="G3668" s="4">
        <v>43391</v>
      </c>
    </row>
    <row r="3669" spans="2:18">
      <c r="B3669" s="1" t="s">
        <v>201</v>
      </c>
      <c r="C3669" s="2" t="s">
        <v>7</v>
      </c>
      <c r="D3669" s="2" t="s">
        <v>197</v>
      </c>
      <c r="E3669" s="3">
        <v>120</v>
      </c>
      <c r="F3669" s="3">
        <v>30</v>
      </c>
      <c r="G3669" s="4">
        <v>43391</v>
      </c>
    </row>
    <row r="3670" spans="2:18">
      <c r="B3670" s="1" t="s">
        <v>73</v>
      </c>
      <c r="C3670" s="2" t="s">
        <v>7</v>
      </c>
      <c r="D3670" s="2" t="s">
        <v>64</v>
      </c>
      <c r="E3670" s="3">
        <f>1600/7</f>
        <v>228.57142857142858</v>
      </c>
      <c r="F3670" s="3">
        <v>30</v>
      </c>
      <c r="G3670" s="4">
        <v>44550</v>
      </c>
    </row>
    <row r="3671" spans="2:18">
      <c r="B3671" s="1" t="s">
        <v>70</v>
      </c>
      <c r="C3671" s="2" t="s">
        <v>7</v>
      </c>
      <c r="D3671" s="2" t="s">
        <v>64</v>
      </c>
      <c r="E3671" s="3">
        <f>1600/7</f>
        <v>228.57142857142858</v>
      </c>
      <c r="F3671" s="3">
        <v>30</v>
      </c>
      <c r="G3671" s="4">
        <v>44550</v>
      </c>
    </row>
    <row r="3672" spans="2:18">
      <c r="B3672" s="1" t="s">
        <v>68</v>
      </c>
      <c r="C3672" s="2" t="s">
        <v>7</v>
      </c>
      <c r="D3672" s="2" t="s">
        <v>64</v>
      </c>
      <c r="E3672" s="3">
        <f>1600/7</f>
        <v>228.57142857142858</v>
      </c>
      <c r="F3672" s="3">
        <v>30</v>
      </c>
      <c r="G3672" s="4">
        <v>44550</v>
      </c>
    </row>
    <row r="3673" spans="2:18">
      <c r="B3673" s="1" t="s">
        <v>21</v>
      </c>
      <c r="C3673" s="2" t="s">
        <v>8</v>
      </c>
      <c r="D3673" s="2" t="s">
        <v>15</v>
      </c>
      <c r="E3673" s="3">
        <v>220</v>
      </c>
      <c r="F3673" s="3">
        <v>30</v>
      </c>
      <c r="G3673" s="4">
        <v>44502</v>
      </c>
      <c r="I3673" s="1">
        <v>794</v>
      </c>
      <c r="J3673" s="1">
        <v>794</v>
      </c>
    </row>
    <row r="3674" spans="2:18">
      <c r="B3674" s="1" t="s">
        <v>4378</v>
      </c>
      <c r="C3674" s="2" t="s">
        <v>7</v>
      </c>
      <c r="D3674" s="2" t="s">
        <v>2130</v>
      </c>
      <c r="E3674" s="3">
        <f>1300/7</f>
        <v>185.71428571428572</v>
      </c>
      <c r="F3674" s="3">
        <v>30</v>
      </c>
      <c r="G3674" s="4">
        <v>44648</v>
      </c>
    </row>
    <row r="3675" spans="2:18">
      <c r="B3675" s="1" t="s">
        <v>4379</v>
      </c>
      <c r="C3675" s="2" t="s">
        <v>7</v>
      </c>
      <c r="D3675" s="2" t="s">
        <v>2130</v>
      </c>
      <c r="E3675" s="3">
        <f>1300/7</f>
        <v>185.71428571428572</v>
      </c>
      <c r="F3675" s="3">
        <v>30</v>
      </c>
      <c r="G3675" s="4">
        <v>44648</v>
      </c>
    </row>
    <row r="3676" spans="2:18">
      <c r="B3676" s="54" t="s">
        <v>4999</v>
      </c>
      <c r="C3676" s="55" t="s">
        <v>53</v>
      </c>
      <c r="D3676" s="55" t="s">
        <v>4995</v>
      </c>
      <c r="E3676" s="3">
        <v>100</v>
      </c>
      <c r="F3676" s="3">
        <v>30</v>
      </c>
      <c r="G3676" s="4">
        <v>44474</v>
      </c>
    </row>
    <row r="3677" spans="2:18">
      <c r="B3677" s="1" t="s">
        <v>4364</v>
      </c>
      <c r="C3677" s="2" t="s">
        <v>504</v>
      </c>
      <c r="D3677" s="2" t="s">
        <v>3934</v>
      </c>
      <c r="E3677" s="3">
        <v>56</v>
      </c>
      <c r="F3677" s="3">
        <f>E3677/2</f>
        <v>28</v>
      </c>
      <c r="G3677" s="4">
        <v>41183</v>
      </c>
    </row>
    <row r="3678" spans="2:18">
      <c r="B3678" s="1" t="s">
        <v>960</v>
      </c>
      <c r="C3678" s="2" t="s">
        <v>7</v>
      </c>
      <c r="D3678" s="2" t="s">
        <v>430</v>
      </c>
      <c r="E3678" s="3">
        <v>26</v>
      </c>
      <c r="F3678" s="3">
        <v>26</v>
      </c>
      <c r="G3678" s="4">
        <v>44594</v>
      </c>
    </row>
    <row r="3679" spans="2:18">
      <c r="B3679" s="1" t="s">
        <v>959</v>
      </c>
      <c r="C3679" s="2" t="s">
        <v>4</v>
      </c>
      <c r="D3679" s="2" t="s">
        <v>936</v>
      </c>
      <c r="E3679" s="3">
        <v>100</v>
      </c>
      <c r="F3679" s="3">
        <v>25</v>
      </c>
      <c r="G3679" s="4">
        <v>44846</v>
      </c>
    </row>
    <row r="3680" spans="2:18">
      <c r="G3680" s="4"/>
    </row>
    <row r="3681" spans="2:18">
      <c r="B3681" s="1" t="s">
        <v>958</v>
      </c>
      <c r="C3681" s="265" t="s">
        <v>1040</v>
      </c>
      <c r="D3681" s="2" t="s">
        <v>957</v>
      </c>
      <c r="E3681" s="3">
        <v>141</v>
      </c>
      <c r="F3681" s="3">
        <v>30</v>
      </c>
      <c r="G3681" s="4">
        <v>45106</v>
      </c>
      <c r="I3681" s="1">
        <v>1400</v>
      </c>
      <c r="J3681" s="1">
        <v>1400</v>
      </c>
    </row>
    <row r="3682" spans="2:18">
      <c r="G3682" s="4"/>
    </row>
    <row r="3683" spans="2:18">
      <c r="G3683" s="4"/>
    </row>
    <row r="3684" spans="2:18">
      <c r="G3684" s="4"/>
    </row>
    <row r="3685" spans="2:18">
      <c r="B3685" s="1" t="s">
        <v>532</v>
      </c>
      <c r="C3685" s="2" t="s">
        <v>8</v>
      </c>
      <c r="D3685" s="2" t="s">
        <v>520</v>
      </c>
      <c r="E3685" s="3">
        <v>100</v>
      </c>
      <c r="F3685" s="3">
        <v>25</v>
      </c>
      <c r="G3685" s="4">
        <v>44419</v>
      </c>
      <c r="M3685" s="1"/>
      <c r="N3685" s="1"/>
      <c r="O3685" s="1"/>
      <c r="P3685" s="1"/>
      <c r="Q3685" s="1"/>
      <c r="R3685" s="1"/>
    </row>
    <row r="3686" spans="2:18">
      <c r="B3686" s="54" t="s">
        <v>4977</v>
      </c>
      <c r="C3686" s="55" t="s">
        <v>9</v>
      </c>
      <c r="D3686" s="55" t="s">
        <v>2112</v>
      </c>
      <c r="E3686" s="3">
        <v>100</v>
      </c>
      <c r="F3686" s="3">
        <v>25</v>
      </c>
      <c r="G3686" s="4">
        <v>44507</v>
      </c>
      <c r="I3686" s="1">
        <v>1600</v>
      </c>
      <c r="J3686" s="1">
        <v>1600</v>
      </c>
    </row>
    <row r="3687" spans="2:18">
      <c r="B3687" s="1" t="s">
        <v>44</v>
      </c>
      <c r="C3687" s="2" t="s">
        <v>9</v>
      </c>
      <c r="D3687" s="2" t="s">
        <v>39</v>
      </c>
      <c r="E3687" s="3">
        <v>230</v>
      </c>
      <c r="F3687" s="3">
        <f>170/7</f>
        <v>24.285714285714285</v>
      </c>
      <c r="G3687" s="4">
        <v>44984</v>
      </c>
      <c r="I3687" s="1">
        <v>2000</v>
      </c>
      <c r="J3687" s="1">
        <v>2000</v>
      </c>
    </row>
    <row r="3688" spans="2:18">
      <c r="B3688" s="1" t="s">
        <v>43</v>
      </c>
      <c r="C3688" s="2" t="s">
        <v>9</v>
      </c>
      <c r="D3688" s="2" t="s">
        <v>39</v>
      </c>
      <c r="E3688" s="3">
        <v>230</v>
      </c>
      <c r="F3688" s="3">
        <f>170/7</f>
        <v>24.285714285714285</v>
      </c>
      <c r="G3688" s="4">
        <v>44984</v>
      </c>
      <c r="I3688" s="1">
        <v>2000</v>
      </c>
      <c r="J3688" s="1">
        <v>2000</v>
      </c>
    </row>
    <row r="3689" spans="2:18">
      <c r="B3689" s="1" t="s">
        <v>956</v>
      </c>
      <c r="C3689" s="2" t="s">
        <v>18</v>
      </c>
      <c r="D3689" s="2" t="s">
        <v>952</v>
      </c>
      <c r="E3689" s="3">
        <v>270</v>
      </c>
      <c r="F3689" s="3">
        <v>24</v>
      </c>
      <c r="G3689" s="4">
        <v>45048</v>
      </c>
    </row>
    <row r="3690" spans="2:18">
      <c r="B3690" s="1" t="s">
        <v>954</v>
      </c>
      <c r="C3690" s="2" t="s">
        <v>18</v>
      </c>
      <c r="D3690" s="2" t="s">
        <v>952</v>
      </c>
      <c r="E3690" s="3">
        <v>270</v>
      </c>
      <c r="F3690" s="3">
        <v>24</v>
      </c>
      <c r="G3690" s="4">
        <v>45048</v>
      </c>
    </row>
    <row r="3691" spans="2:18">
      <c r="B3691" s="1" t="s">
        <v>953</v>
      </c>
      <c r="C3691" s="2" t="s">
        <v>18</v>
      </c>
      <c r="D3691" s="2" t="s">
        <v>952</v>
      </c>
      <c r="E3691" s="3">
        <v>270</v>
      </c>
      <c r="F3691" s="3">
        <v>24</v>
      </c>
      <c r="G3691" s="4">
        <v>45048</v>
      </c>
    </row>
    <row r="3692" spans="2:18">
      <c r="B3692" s="1" t="s">
        <v>206</v>
      </c>
      <c r="C3692" s="2" t="s">
        <v>18</v>
      </c>
      <c r="D3692" s="2" t="s">
        <v>197</v>
      </c>
      <c r="E3692" s="3">
        <v>500</v>
      </c>
      <c r="F3692" s="3">
        <f>200/9</f>
        <v>22.222222222222221</v>
      </c>
      <c r="G3692" s="4">
        <v>44274</v>
      </c>
    </row>
    <row r="3693" spans="2:18">
      <c r="G3693" s="4"/>
    </row>
    <row r="3694" spans="2:18">
      <c r="B3694" s="1" t="s">
        <v>951</v>
      </c>
      <c r="C3694" s="2" t="s">
        <v>7</v>
      </c>
      <c r="D3694" s="2" t="s">
        <v>949</v>
      </c>
      <c r="E3694" s="3">
        <v>350</v>
      </c>
      <c r="F3694" s="3">
        <v>20</v>
      </c>
      <c r="G3694" s="4">
        <v>44999</v>
      </c>
    </row>
    <row r="3695" spans="2:18">
      <c r="B3695" s="1" t="s">
        <v>950</v>
      </c>
      <c r="C3695" s="2" t="s">
        <v>7</v>
      </c>
      <c r="D3695" s="2" t="s">
        <v>949</v>
      </c>
      <c r="E3695" s="3">
        <v>350</v>
      </c>
      <c r="F3695" s="3">
        <v>20</v>
      </c>
      <c r="G3695" s="4">
        <v>44999</v>
      </c>
    </row>
    <row r="3696" spans="2:18">
      <c r="B3696" s="1" t="s">
        <v>948</v>
      </c>
      <c r="C3696" s="2" t="s">
        <v>4</v>
      </c>
      <c r="D3696" s="2" t="s">
        <v>912</v>
      </c>
      <c r="E3696" s="3">
        <v>42</v>
      </c>
      <c r="F3696" s="3">
        <v>20</v>
      </c>
      <c r="G3696" s="4">
        <v>44882</v>
      </c>
    </row>
    <row r="3697" spans="2:18">
      <c r="B3697" s="1" t="s">
        <v>547</v>
      </c>
      <c r="C3697" s="2" t="s">
        <v>5</v>
      </c>
      <c r="D3697" s="2" t="s">
        <v>546</v>
      </c>
      <c r="E3697" s="3">
        <v>58</v>
      </c>
      <c r="F3697" s="3">
        <v>20</v>
      </c>
      <c r="G3697" s="4">
        <v>45104</v>
      </c>
      <c r="M3697" s="1"/>
      <c r="N3697" s="1"/>
      <c r="O3697" s="1"/>
      <c r="P3697" s="1"/>
      <c r="Q3697" s="1"/>
      <c r="R3697" s="1"/>
    </row>
    <row r="3698" spans="2:18">
      <c r="B3698" s="1" t="s">
        <v>392</v>
      </c>
      <c r="C3698" s="2" t="s">
        <v>18</v>
      </c>
      <c r="D3698" s="2" t="s">
        <v>386</v>
      </c>
      <c r="E3698" s="3">
        <v>110</v>
      </c>
      <c r="F3698" s="3">
        <v>20</v>
      </c>
      <c r="G3698" s="4">
        <v>43690</v>
      </c>
      <c r="M3698" s="1"/>
      <c r="N3698" s="1"/>
      <c r="O3698" s="1"/>
      <c r="P3698" s="1"/>
      <c r="Q3698" s="1"/>
      <c r="R3698" s="1"/>
    </row>
    <row r="3699" spans="2:18">
      <c r="B3699" s="1" t="s">
        <v>4320</v>
      </c>
      <c r="C3699" s="2" t="s">
        <v>8</v>
      </c>
      <c r="D3699" s="2" t="s">
        <v>2134</v>
      </c>
      <c r="E3699" s="3">
        <v>220</v>
      </c>
      <c r="F3699" s="3">
        <v>20</v>
      </c>
      <c r="G3699" s="4">
        <v>44287</v>
      </c>
    </row>
    <row r="3700" spans="2:18">
      <c r="B3700" s="1" t="s">
        <v>166</v>
      </c>
      <c r="C3700" s="2" t="s">
        <v>5</v>
      </c>
      <c r="D3700" s="2" t="s">
        <v>161</v>
      </c>
      <c r="E3700" s="3">
        <v>112</v>
      </c>
      <c r="F3700" s="3">
        <v>20</v>
      </c>
      <c r="G3700" s="4">
        <v>43115</v>
      </c>
      <c r="J3700" s="1">
        <v>8400</v>
      </c>
    </row>
    <row r="3701" spans="2:18">
      <c r="B3701" s="1" t="s">
        <v>143</v>
      </c>
      <c r="C3701" s="2" t="s">
        <v>8</v>
      </c>
      <c r="D3701" s="2" t="s">
        <v>131</v>
      </c>
      <c r="E3701" s="3">
        <v>135</v>
      </c>
      <c r="F3701" s="3">
        <v>20</v>
      </c>
      <c r="G3701" s="4">
        <v>44880</v>
      </c>
    </row>
    <row r="3702" spans="2:18">
      <c r="B3702" s="1" t="s">
        <v>137</v>
      </c>
      <c r="C3702" s="2" t="s">
        <v>18</v>
      </c>
      <c r="D3702" s="2" t="s">
        <v>131</v>
      </c>
      <c r="E3702" s="3">
        <v>73</v>
      </c>
      <c r="F3702" s="3">
        <v>20</v>
      </c>
      <c r="G3702" s="4">
        <v>44565</v>
      </c>
      <c r="J3702" s="1">
        <v>615</v>
      </c>
    </row>
    <row r="3703" spans="2:18">
      <c r="B3703" s="1" t="s">
        <v>136</v>
      </c>
      <c r="C3703" s="2" t="s">
        <v>18</v>
      </c>
      <c r="D3703" s="2" t="s">
        <v>131</v>
      </c>
      <c r="E3703" s="3">
        <v>73</v>
      </c>
      <c r="F3703" s="3">
        <v>20</v>
      </c>
      <c r="G3703" s="4">
        <v>44565</v>
      </c>
    </row>
    <row r="3704" spans="2:18">
      <c r="B3704" s="1" t="s">
        <v>4319</v>
      </c>
      <c r="C3704" s="2" t="s">
        <v>8</v>
      </c>
      <c r="D3704" s="2" t="s">
        <v>2134</v>
      </c>
      <c r="E3704" s="3">
        <v>220</v>
      </c>
      <c r="F3704" s="3">
        <f>140/7</f>
        <v>20</v>
      </c>
      <c r="G3704" s="4">
        <v>44287</v>
      </c>
    </row>
    <row r="3705" spans="2:18">
      <c r="B3705" s="1" t="s">
        <v>4321</v>
      </c>
      <c r="C3705" s="2" t="s">
        <v>8</v>
      </c>
      <c r="D3705" s="2" t="s">
        <v>2134</v>
      </c>
      <c r="E3705" s="3">
        <v>220</v>
      </c>
      <c r="F3705" s="3">
        <f>140/7</f>
        <v>20</v>
      </c>
      <c r="G3705" s="4">
        <v>44287</v>
      </c>
    </row>
    <row r="3706" spans="2:18">
      <c r="B3706" s="1" t="s">
        <v>4322</v>
      </c>
      <c r="C3706" s="2" t="s">
        <v>8</v>
      </c>
      <c r="D3706" s="2" t="s">
        <v>2134</v>
      </c>
      <c r="E3706" s="3">
        <v>220</v>
      </c>
      <c r="F3706" s="3">
        <f>140/7</f>
        <v>20</v>
      </c>
      <c r="G3706" s="4">
        <v>44287</v>
      </c>
    </row>
    <row r="3707" spans="2:18">
      <c r="B3707" s="1" t="s">
        <v>4323</v>
      </c>
      <c r="C3707" s="2" t="s">
        <v>8</v>
      </c>
      <c r="D3707" s="2" t="s">
        <v>2134</v>
      </c>
      <c r="E3707" s="3">
        <v>220</v>
      </c>
      <c r="F3707" s="3">
        <f>140/7</f>
        <v>20</v>
      </c>
      <c r="G3707" s="4">
        <v>44287</v>
      </c>
    </row>
    <row r="3708" spans="2:18">
      <c r="B3708" s="1" t="s">
        <v>4324</v>
      </c>
      <c r="C3708" s="2" t="s">
        <v>8</v>
      </c>
      <c r="D3708" s="2" t="s">
        <v>2134</v>
      </c>
      <c r="E3708" s="3">
        <v>220</v>
      </c>
      <c r="F3708" s="3">
        <f>140/7</f>
        <v>20</v>
      </c>
      <c r="G3708" s="4">
        <v>44287</v>
      </c>
    </row>
    <row r="3709" spans="2:18">
      <c r="B3709" s="1" t="s">
        <v>4328</v>
      </c>
      <c r="C3709" s="2" t="s">
        <v>8</v>
      </c>
      <c r="D3709" s="2" t="s">
        <v>2134</v>
      </c>
      <c r="E3709" s="3">
        <v>200</v>
      </c>
      <c r="F3709" s="3">
        <f>160/8</f>
        <v>20</v>
      </c>
      <c r="G3709" s="4">
        <v>44237</v>
      </c>
    </row>
    <row r="3710" spans="2:18">
      <c r="B3710" s="1" t="s">
        <v>4329</v>
      </c>
      <c r="C3710" s="2" t="s">
        <v>8</v>
      </c>
      <c r="D3710" s="2" t="s">
        <v>2134</v>
      </c>
      <c r="E3710" s="3">
        <v>200</v>
      </c>
      <c r="F3710" s="3">
        <f>160/8</f>
        <v>20</v>
      </c>
      <c r="G3710" s="4">
        <v>44237</v>
      </c>
    </row>
    <row r="3711" spans="2:18">
      <c r="B3711" s="1" t="s">
        <v>4330</v>
      </c>
      <c r="C3711" s="2" t="s">
        <v>8</v>
      </c>
      <c r="D3711" s="2" t="s">
        <v>2134</v>
      </c>
      <c r="E3711" s="3">
        <v>200</v>
      </c>
      <c r="F3711" s="3">
        <f>160/8</f>
        <v>20</v>
      </c>
      <c r="G3711" s="4">
        <v>44237</v>
      </c>
    </row>
    <row r="3712" spans="2:18">
      <c r="B3712" s="1" t="s">
        <v>4331</v>
      </c>
      <c r="C3712" s="2" t="s">
        <v>8</v>
      </c>
      <c r="D3712" s="2" t="s">
        <v>2134</v>
      </c>
      <c r="E3712" s="3">
        <v>200</v>
      </c>
      <c r="F3712" s="3">
        <f>160/8</f>
        <v>20</v>
      </c>
      <c r="G3712" s="4">
        <v>44237</v>
      </c>
    </row>
    <row r="3713" spans="2:18">
      <c r="B3713" s="134" t="s">
        <v>6200</v>
      </c>
      <c r="C3713" s="140" t="s">
        <v>7</v>
      </c>
      <c r="D3713" s="140" t="s">
        <v>2057</v>
      </c>
      <c r="E3713" s="3">
        <v>50</v>
      </c>
      <c r="F3713" s="3">
        <v>20</v>
      </c>
      <c r="G3713" s="4">
        <v>44518</v>
      </c>
    </row>
    <row r="3714" spans="2:18">
      <c r="B3714" s="134" t="s">
        <v>6268</v>
      </c>
      <c r="C3714" s="140" t="s">
        <v>7</v>
      </c>
      <c r="D3714" s="140" t="s">
        <v>6269</v>
      </c>
      <c r="E3714" s="3">
        <v>52.2</v>
      </c>
      <c r="F3714" s="3">
        <v>20</v>
      </c>
      <c r="G3714" s="4">
        <v>44476</v>
      </c>
    </row>
    <row r="3715" spans="2:18">
      <c r="B3715" s="1" t="s">
        <v>946</v>
      </c>
      <c r="C3715" s="2" t="s">
        <v>9</v>
      </c>
      <c r="D3715" s="2" t="s">
        <v>803</v>
      </c>
      <c r="E3715" s="3">
        <v>325</v>
      </c>
      <c r="F3715" s="3">
        <v>18.5</v>
      </c>
      <c r="G3715" s="4">
        <v>44299</v>
      </c>
    </row>
    <row r="3716" spans="2:18">
      <c r="B3716" s="1" t="s">
        <v>35</v>
      </c>
      <c r="C3716" s="2" t="s">
        <v>18</v>
      </c>
      <c r="D3716" s="2" t="s">
        <v>32</v>
      </c>
      <c r="E3716" s="3">
        <v>230</v>
      </c>
      <c r="F3716" s="3">
        <f>110/7</f>
        <v>15.714285714285714</v>
      </c>
      <c r="G3716" s="4">
        <v>43634</v>
      </c>
      <c r="I3716" s="1">
        <v>770</v>
      </c>
      <c r="J3716" s="1">
        <v>770</v>
      </c>
    </row>
    <row r="3717" spans="2:18">
      <c r="B3717" s="1" t="s">
        <v>34</v>
      </c>
      <c r="C3717" s="2" t="s">
        <v>18</v>
      </c>
      <c r="D3717" s="2" t="s">
        <v>32</v>
      </c>
      <c r="E3717" s="3">
        <v>230</v>
      </c>
      <c r="F3717" s="3">
        <f>110/7</f>
        <v>15.714285714285714</v>
      </c>
      <c r="G3717" s="4">
        <v>43634</v>
      </c>
      <c r="I3717" s="1">
        <v>770</v>
      </c>
      <c r="J3717" s="1">
        <v>770</v>
      </c>
    </row>
    <row r="3718" spans="2:18">
      <c r="B3718" s="1" t="s">
        <v>463</v>
      </c>
      <c r="C3718" s="2" t="s">
        <v>7</v>
      </c>
      <c r="D3718" s="2" t="s">
        <v>461</v>
      </c>
      <c r="E3718" s="3">
        <v>25.7</v>
      </c>
      <c r="F3718" s="3">
        <v>15.7</v>
      </c>
      <c r="G3718" s="4">
        <v>43837</v>
      </c>
      <c r="M3718" s="1"/>
      <c r="N3718" s="1"/>
      <c r="O3718" s="1"/>
      <c r="P3718" s="1"/>
      <c r="Q3718" s="1"/>
      <c r="R3718" s="1"/>
    </row>
    <row r="3719" spans="2:18">
      <c r="B3719" s="1" t="s">
        <v>218</v>
      </c>
      <c r="C3719" s="2" t="s">
        <v>18</v>
      </c>
      <c r="D3719" s="2" t="s">
        <v>211</v>
      </c>
      <c r="E3719" s="3">
        <v>140</v>
      </c>
      <c r="F3719" s="3">
        <f t="shared" ref="F3719:F3725" si="6">E3719/9</f>
        <v>15.555555555555555</v>
      </c>
      <c r="G3719" s="4">
        <v>43453</v>
      </c>
    </row>
    <row r="3720" spans="2:18">
      <c r="B3720" s="1" t="s">
        <v>217</v>
      </c>
      <c r="C3720" s="2" t="s">
        <v>18</v>
      </c>
      <c r="D3720" s="2" t="s">
        <v>211</v>
      </c>
      <c r="E3720" s="3">
        <v>140</v>
      </c>
      <c r="F3720" s="3">
        <f t="shared" si="6"/>
        <v>15.555555555555555</v>
      </c>
      <c r="G3720" s="4">
        <v>43453</v>
      </c>
    </row>
    <row r="3721" spans="2:18">
      <c r="B3721" s="1" t="s">
        <v>216</v>
      </c>
      <c r="C3721" s="2" t="s">
        <v>18</v>
      </c>
      <c r="D3721" s="2" t="s">
        <v>211</v>
      </c>
      <c r="E3721" s="3">
        <v>140</v>
      </c>
      <c r="F3721" s="3">
        <f t="shared" si="6"/>
        <v>15.555555555555555</v>
      </c>
      <c r="G3721" s="4">
        <v>43453</v>
      </c>
    </row>
    <row r="3722" spans="2:18">
      <c r="B3722" s="1" t="s">
        <v>215</v>
      </c>
      <c r="C3722" s="2" t="s">
        <v>18</v>
      </c>
      <c r="D3722" s="2" t="s">
        <v>211</v>
      </c>
      <c r="E3722" s="3">
        <v>140</v>
      </c>
      <c r="F3722" s="3">
        <f t="shared" si="6"/>
        <v>15.555555555555555</v>
      </c>
      <c r="G3722" s="4">
        <v>43453</v>
      </c>
    </row>
    <row r="3723" spans="2:18">
      <c r="B3723" s="1" t="s">
        <v>214</v>
      </c>
      <c r="C3723" s="2" t="s">
        <v>18</v>
      </c>
      <c r="D3723" s="2" t="s">
        <v>211</v>
      </c>
      <c r="E3723" s="3">
        <v>140</v>
      </c>
      <c r="F3723" s="3">
        <f t="shared" si="6"/>
        <v>15.555555555555555</v>
      </c>
      <c r="G3723" s="4">
        <v>43453</v>
      </c>
    </row>
    <row r="3724" spans="2:18">
      <c r="B3724" s="1" t="s">
        <v>213</v>
      </c>
      <c r="C3724" s="2" t="s">
        <v>18</v>
      </c>
      <c r="D3724" s="2" t="s">
        <v>211</v>
      </c>
      <c r="E3724" s="3">
        <v>140</v>
      </c>
      <c r="F3724" s="3">
        <f t="shared" si="6"/>
        <v>15.555555555555555</v>
      </c>
      <c r="G3724" s="4">
        <v>43453</v>
      </c>
    </row>
    <row r="3725" spans="2:18">
      <c r="B3725" s="1" t="s">
        <v>212</v>
      </c>
      <c r="C3725" s="2" t="s">
        <v>18</v>
      </c>
      <c r="D3725" s="2" t="s">
        <v>211</v>
      </c>
      <c r="E3725" s="3">
        <v>140</v>
      </c>
      <c r="F3725" s="3">
        <f t="shared" si="6"/>
        <v>15.555555555555555</v>
      </c>
      <c r="G3725" s="4">
        <v>43453</v>
      </c>
    </row>
    <row r="3726" spans="2:18">
      <c r="B3726" s="1" t="s">
        <v>945</v>
      </c>
      <c r="C3726" s="2" t="s">
        <v>5</v>
      </c>
      <c r="D3726" s="2" t="s">
        <v>763</v>
      </c>
      <c r="E3726" s="3">
        <v>125</v>
      </c>
      <c r="F3726" s="3">
        <v>15</v>
      </c>
      <c r="G3726" s="4">
        <v>44852</v>
      </c>
    </row>
    <row r="3727" spans="2:18">
      <c r="G3727" s="4"/>
    </row>
    <row r="3728" spans="2:18">
      <c r="B3728" s="1" t="s">
        <v>943</v>
      </c>
      <c r="C3728" s="2" t="s">
        <v>5</v>
      </c>
      <c r="D3728" s="2" t="s">
        <v>928</v>
      </c>
      <c r="E3728" s="3">
        <v>25</v>
      </c>
      <c r="F3728" s="3">
        <v>15</v>
      </c>
      <c r="G3728" s="4">
        <v>44944</v>
      </c>
    </row>
    <row r="3729" spans="2:18">
      <c r="G3729" s="4"/>
    </row>
    <row r="3730" spans="2:18">
      <c r="B3730" s="1" t="s">
        <v>540</v>
      </c>
      <c r="C3730" s="2" t="s">
        <v>18</v>
      </c>
      <c r="D3730" s="2" t="s">
        <v>533</v>
      </c>
      <c r="E3730" s="3">
        <v>45</v>
      </c>
      <c r="F3730" s="3">
        <v>15</v>
      </c>
      <c r="G3730" s="4">
        <v>44159</v>
      </c>
      <c r="M3730" s="1"/>
      <c r="N3730" s="1"/>
      <c r="O3730" s="1"/>
      <c r="P3730" s="1"/>
      <c r="Q3730" s="1"/>
      <c r="R3730" s="1"/>
    </row>
    <row r="3731" spans="2:18">
      <c r="B3731" s="1" t="s">
        <v>455</v>
      </c>
      <c r="C3731" s="2" t="s">
        <v>7</v>
      </c>
      <c r="D3731" s="2" t="s">
        <v>454</v>
      </c>
      <c r="E3731" s="3">
        <v>25</v>
      </c>
      <c r="F3731" s="3">
        <v>15</v>
      </c>
      <c r="G3731" s="4">
        <v>43972</v>
      </c>
      <c r="M3731" s="1"/>
      <c r="N3731" s="1"/>
      <c r="O3731" s="1"/>
      <c r="P3731" s="1"/>
      <c r="Q3731" s="1"/>
      <c r="R3731" s="1"/>
    </row>
    <row r="3732" spans="2:18">
      <c r="B3732" s="1" t="s">
        <v>407</v>
      </c>
      <c r="C3732" s="2" t="s">
        <v>18</v>
      </c>
      <c r="D3732" s="2" t="s">
        <v>403</v>
      </c>
      <c r="E3732" s="3">
        <v>90</v>
      </c>
      <c r="F3732" s="3">
        <v>15</v>
      </c>
      <c r="G3732" s="4">
        <v>45090</v>
      </c>
      <c r="M3732" s="1"/>
      <c r="N3732" s="1"/>
      <c r="O3732" s="1"/>
      <c r="P3732" s="1"/>
      <c r="Q3732" s="1"/>
      <c r="R3732" s="1"/>
    </row>
    <row r="3733" spans="2:18">
      <c r="B3733" s="1" t="s">
        <v>60</v>
      </c>
      <c r="C3733" s="2" t="s">
        <v>18</v>
      </c>
      <c r="D3733" s="2" t="s">
        <v>57</v>
      </c>
      <c r="E3733" s="3">
        <v>100</v>
      </c>
      <c r="F3733" s="3">
        <f>75/5</f>
        <v>15</v>
      </c>
      <c r="G3733" s="4">
        <v>44650</v>
      </c>
    </row>
    <row r="3734" spans="2:18">
      <c r="B3734" s="1" t="s">
        <v>59</v>
      </c>
      <c r="C3734" s="2" t="s">
        <v>18</v>
      </c>
      <c r="D3734" s="2" t="s">
        <v>57</v>
      </c>
      <c r="E3734" s="3">
        <v>100</v>
      </c>
      <c r="F3734" s="3">
        <f>75/5</f>
        <v>15</v>
      </c>
      <c r="G3734" s="4">
        <v>44650</v>
      </c>
    </row>
    <row r="3735" spans="2:18">
      <c r="B3735" s="1" t="s">
        <v>42</v>
      </c>
      <c r="C3735" s="2" t="s">
        <v>18</v>
      </c>
      <c r="D3735" s="2" t="s">
        <v>39</v>
      </c>
      <c r="E3735" s="3">
        <v>100</v>
      </c>
      <c r="F3735" s="3">
        <v>15</v>
      </c>
      <c r="G3735" s="4">
        <v>44025</v>
      </c>
      <c r="J3735" s="1">
        <v>2000</v>
      </c>
    </row>
    <row r="3736" spans="2:18">
      <c r="B3736" s="1" t="s">
        <v>4358</v>
      </c>
      <c r="C3736" s="2" t="s">
        <v>8</v>
      </c>
      <c r="D3736" s="2" t="s">
        <v>3934</v>
      </c>
      <c r="E3736" s="3">
        <v>90</v>
      </c>
      <c r="F3736" s="3">
        <f>45/3</f>
        <v>15</v>
      </c>
      <c r="G3736" s="4">
        <v>40354</v>
      </c>
      <c r="I3736" s="1">
        <v>645</v>
      </c>
      <c r="J3736" s="1">
        <v>32500</v>
      </c>
    </row>
    <row r="3737" spans="2:18">
      <c r="B3737" s="91" t="s">
        <v>5230</v>
      </c>
      <c r="C3737" s="92" t="s">
        <v>18</v>
      </c>
      <c r="D3737" s="92" t="s">
        <v>5231</v>
      </c>
      <c r="E3737" s="3">
        <v>115</v>
      </c>
      <c r="F3737" s="3">
        <v>15</v>
      </c>
      <c r="G3737" s="4">
        <v>44469</v>
      </c>
    </row>
    <row r="3738" spans="2:18">
      <c r="B3738" s="51"/>
      <c r="C3738" s="52"/>
      <c r="D3738" s="52"/>
      <c r="G3738" s="4"/>
    </row>
    <row r="3739" spans="2:18">
      <c r="B3739" s="51" t="s">
        <v>4841</v>
      </c>
      <c r="C3739" s="52" t="s">
        <v>18</v>
      </c>
      <c r="D3739" s="52" t="s">
        <v>2118</v>
      </c>
      <c r="E3739" s="3">
        <v>300</v>
      </c>
      <c r="F3739" s="3">
        <f t="shared" si="2"/>
        <v>14.285714285714286</v>
      </c>
      <c r="G3739" s="4">
        <v>44300</v>
      </c>
      <c r="I3739" s="1">
        <v>700</v>
      </c>
      <c r="J3739" s="1">
        <v>700</v>
      </c>
    </row>
    <row r="3740" spans="2:18">
      <c r="B3740" s="51" t="s">
        <v>4842</v>
      </c>
      <c r="C3740" s="52" t="s">
        <v>18</v>
      </c>
      <c r="D3740" s="52" t="s">
        <v>2118</v>
      </c>
      <c r="E3740" s="3">
        <v>300</v>
      </c>
      <c r="F3740" s="3">
        <f t="shared" si="2"/>
        <v>14.285714285714286</v>
      </c>
      <c r="G3740" s="4">
        <v>44300</v>
      </c>
      <c r="I3740" s="1">
        <v>700</v>
      </c>
      <c r="J3740" s="1">
        <v>700</v>
      </c>
    </row>
    <row r="3741" spans="2:18">
      <c r="B3741" s="51" t="s">
        <v>2279</v>
      </c>
      <c r="C3741" s="52" t="s">
        <v>18</v>
      </c>
      <c r="D3741" s="52" t="s">
        <v>2118</v>
      </c>
      <c r="E3741" s="3">
        <v>300</v>
      </c>
      <c r="F3741" s="3">
        <f t="shared" si="2"/>
        <v>14.285714285714286</v>
      </c>
      <c r="G3741" s="4">
        <v>44300</v>
      </c>
      <c r="I3741" s="1">
        <v>700</v>
      </c>
      <c r="J3741" s="1">
        <v>700</v>
      </c>
    </row>
    <row r="3742" spans="2:18">
      <c r="B3742" s="51" t="s">
        <v>4843</v>
      </c>
      <c r="C3742" s="52" t="s">
        <v>18</v>
      </c>
      <c r="D3742" s="52" t="s">
        <v>2118</v>
      </c>
      <c r="E3742" s="3">
        <v>300</v>
      </c>
      <c r="F3742" s="3">
        <f t="shared" si="2"/>
        <v>14.285714285714286</v>
      </c>
      <c r="G3742" s="4">
        <v>44300</v>
      </c>
      <c r="I3742" s="1">
        <v>700</v>
      </c>
      <c r="J3742" s="1">
        <v>700</v>
      </c>
    </row>
    <row r="3743" spans="2:18">
      <c r="B3743" s="51" t="s">
        <v>4844</v>
      </c>
      <c r="C3743" s="52" t="s">
        <v>18</v>
      </c>
      <c r="D3743" s="52" t="s">
        <v>2118</v>
      </c>
      <c r="E3743" s="3">
        <v>300</v>
      </c>
      <c r="F3743" s="3">
        <f t="shared" si="2"/>
        <v>14.285714285714286</v>
      </c>
      <c r="G3743" s="4">
        <v>44300</v>
      </c>
      <c r="I3743" s="1">
        <v>700</v>
      </c>
      <c r="J3743" s="1">
        <v>700</v>
      </c>
    </row>
    <row r="3744" spans="2:18">
      <c r="B3744" s="51" t="s">
        <v>4845</v>
      </c>
      <c r="C3744" s="52" t="s">
        <v>18</v>
      </c>
      <c r="D3744" s="52" t="s">
        <v>2118</v>
      </c>
      <c r="E3744" s="3">
        <v>300</v>
      </c>
      <c r="F3744" s="3">
        <f t="shared" si="2"/>
        <v>14.285714285714286</v>
      </c>
      <c r="G3744" s="4">
        <v>44300</v>
      </c>
      <c r="I3744" s="1">
        <v>700</v>
      </c>
      <c r="J3744" s="1">
        <v>700</v>
      </c>
    </row>
    <row r="3745" spans="2:18">
      <c r="B3745" s="51" t="s">
        <v>4846</v>
      </c>
      <c r="C3745" s="52" t="s">
        <v>18</v>
      </c>
      <c r="D3745" s="52" t="s">
        <v>2118</v>
      </c>
      <c r="E3745" s="3">
        <v>300</v>
      </c>
      <c r="F3745" s="3">
        <f t="shared" si="2"/>
        <v>14.285714285714286</v>
      </c>
      <c r="G3745" s="4">
        <v>44300</v>
      </c>
      <c r="I3745" s="1">
        <v>700</v>
      </c>
      <c r="J3745" s="1">
        <v>700</v>
      </c>
    </row>
    <row r="3746" spans="2:18">
      <c r="B3746" s="51" t="s">
        <v>4847</v>
      </c>
      <c r="C3746" s="52" t="s">
        <v>18</v>
      </c>
      <c r="D3746" s="52" t="s">
        <v>2118</v>
      </c>
      <c r="E3746" s="3">
        <v>300</v>
      </c>
      <c r="F3746" s="3">
        <f t="shared" si="2"/>
        <v>14.285714285714286</v>
      </c>
      <c r="G3746" s="4">
        <v>44300</v>
      </c>
      <c r="I3746" s="1">
        <v>700</v>
      </c>
      <c r="J3746" s="1">
        <v>700</v>
      </c>
    </row>
    <row r="3747" spans="2:18">
      <c r="B3747" s="51" t="s">
        <v>4848</v>
      </c>
      <c r="C3747" s="52" t="s">
        <v>18</v>
      </c>
      <c r="D3747" s="52" t="s">
        <v>2118</v>
      </c>
      <c r="E3747" s="3">
        <v>300</v>
      </c>
      <c r="F3747" s="3">
        <f t="shared" si="2"/>
        <v>14.285714285714286</v>
      </c>
      <c r="G3747" s="4">
        <v>44300</v>
      </c>
      <c r="I3747" s="1">
        <v>700</v>
      </c>
      <c r="J3747" s="1">
        <v>700</v>
      </c>
    </row>
    <row r="3748" spans="2:18">
      <c r="B3748" s="1" t="s">
        <v>51</v>
      </c>
      <c r="C3748" s="2" t="s">
        <v>8</v>
      </c>
      <c r="D3748" s="2" t="s">
        <v>47</v>
      </c>
      <c r="E3748" s="3">
        <v>145</v>
      </c>
      <c r="F3748" s="3">
        <f>85/6</f>
        <v>14.166666666666666</v>
      </c>
      <c r="G3748" s="4">
        <v>43228</v>
      </c>
      <c r="I3748" s="1">
        <v>855</v>
      </c>
      <c r="J3748" s="1">
        <v>4100</v>
      </c>
    </row>
    <row r="3749" spans="2:18">
      <c r="B3749" s="1" t="s">
        <v>50</v>
      </c>
      <c r="C3749" s="2" t="s">
        <v>8</v>
      </c>
      <c r="D3749" s="2" t="s">
        <v>47</v>
      </c>
      <c r="E3749" s="3">
        <v>145</v>
      </c>
      <c r="F3749" s="3">
        <f>85/6</f>
        <v>14.166666666666666</v>
      </c>
      <c r="G3749" s="4">
        <v>43228</v>
      </c>
      <c r="I3749" s="1">
        <v>855</v>
      </c>
      <c r="J3749" s="1">
        <v>4100</v>
      </c>
    </row>
    <row r="3750" spans="2:18">
      <c r="B3750" s="1" t="s">
        <v>942</v>
      </c>
      <c r="C3750" s="2" t="s">
        <v>5</v>
      </c>
      <c r="D3750" s="2" t="s">
        <v>873</v>
      </c>
      <c r="E3750" s="3">
        <v>30</v>
      </c>
      <c r="F3750" s="3">
        <v>14</v>
      </c>
      <c r="G3750" s="4">
        <v>44522</v>
      </c>
    </row>
    <row r="3751" spans="2:18">
      <c r="B3751" s="1" t="s">
        <v>494</v>
      </c>
      <c r="C3751" s="2" t="s">
        <v>9</v>
      </c>
      <c r="D3751" s="2" t="s">
        <v>489</v>
      </c>
      <c r="E3751" s="3">
        <v>206</v>
      </c>
      <c r="F3751" s="3">
        <v>14</v>
      </c>
      <c r="G3751" s="4">
        <v>43725</v>
      </c>
      <c r="M3751" s="1"/>
      <c r="N3751" s="1"/>
      <c r="O3751" s="1"/>
      <c r="P3751" s="1"/>
      <c r="Q3751" s="1"/>
      <c r="R3751" s="1"/>
    </row>
    <row r="3752" spans="2:18">
      <c r="B3752" s="1" t="s">
        <v>492</v>
      </c>
      <c r="C3752" s="2" t="s">
        <v>9</v>
      </c>
      <c r="D3752" s="2" t="s">
        <v>489</v>
      </c>
      <c r="E3752" s="3">
        <v>206</v>
      </c>
      <c r="F3752" s="3">
        <v>14</v>
      </c>
      <c r="G3752" s="4">
        <v>43725</v>
      </c>
      <c r="M3752" s="1"/>
      <c r="N3752" s="1"/>
      <c r="O3752" s="1"/>
      <c r="P3752" s="1"/>
      <c r="Q3752" s="1"/>
      <c r="R3752" s="1"/>
    </row>
    <row r="3753" spans="2:18">
      <c r="B3753" s="1" t="s">
        <v>311</v>
      </c>
      <c r="C3753" s="2" t="s">
        <v>18</v>
      </c>
      <c r="D3753" s="2" t="s">
        <v>310</v>
      </c>
      <c r="E3753" s="3">
        <v>110</v>
      </c>
      <c r="F3753" s="3">
        <v>14</v>
      </c>
      <c r="G3753" s="4">
        <v>44369</v>
      </c>
      <c r="M3753" s="1"/>
      <c r="N3753" s="1"/>
      <c r="O3753" s="1"/>
      <c r="P3753" s="1"/>
      <c r="Q3753" s="1"/>
      <c r="R3753" s="1"/>
    </row>
    <row r="3754" spans="2:18">
      <c r="B3754" s="1" t="s">
        <v>173</v>
      </c>
      <c r="C3754" s="2" t="s">
        <v>18</v>
      </c>
      <c r="D3754" s="2" t="s">
        <v>161</v>
      </c>
      <c r="E3754" s="3">
        <v>100</v>
      </c>
      <c r="F3754" s="3">
        <v>14</v>
      </c>
      <c r="G3754" s="4">
        <v>44235</v>
      </c>
      <c r="I3754" s="1">
        <v>5200</v>
      </c>
      <c r="J3754" s="1">
        <v>8400</v>
      </c>
    </row>
    <row r="3755" spans="2:18">
      <c r="B3755" s="1" t="s">
        <v>77</v>
      </c>
      <c r="C3755" s="2" t="s">
        <v>8</v>
      </c>
      <c r="D3755" s="2" t="s">
        <v>74</v>
      </c>
      <c r="E3755" s="3">
        <v>81</v>
      </c>
      <c r="F3755" s="3">
        <f>+E3755/6</f>
        <v>13.5</v>
      </c>
      <c r="G3755" s="4">
        <v>43418</v>
      </c>
      <c r="I3755" s="1">
        <v>1700</v>
      </c>
      <c r="J3755" s="1">
        <v>3800</v>
      </c>
      <c r="K3755" s="5">
        <f>(E3755/(I3755+E3755))*J3755*(F3755/E3755)</f>
        <v>28.804042672655811</v>
      </c>
    </row>
    <row r="3756" spans="2:18">
      <c r="B3756" s="1" t="s">
        <v>940</v>
      </c>
      <c r="C3756" s="2" t="s">
        <v>18</v>
      </c>
      <c r="D3756" s="2" t="s">
        <v>398</v>
      </c>
      <c r="E3756" s="3">
        <v>13</v>
      </c>
      <c r="F3756" s="3">
        <v>13</v>
      </c>
      <c r="G3756" s="4">
        <v>45090</v>
      </c>
    </row>
    <row r="3757" spans="2:18">
      <c r="B3757" s="1" t="s">
        <v>938</v>
      </c>
      <c r="C3757" s="2" t="s">
        <v>4</v>
      </c>
      <c r="D3757" s="2" t="s">
        <v>936</v>
      </c>
      <c r="E3757" s="3">
        <v>100</v>
      </c>
      <c r="F3757" s="3">
        <v>12.5</v>
      </c>
      <c r="G3757" s="4">
        <v>44846</v>
      </c>
    </row>
    <row r="3758" spans="2:18">
      <c r="B3758" s="1" t="s">
        <v>937</v>
      </c>
      <c r="C3758" s="2" t="s">
        <v>4</v>
      </c>
      <c r="D3758" s="2" t="s">
        <v>936</v>
      </c>
      <c r="E3758" s="3">
        <v>100</v>
      </c>
      <c r="F3758" s="3">
        <v>12.5</v>
      </c>
      <c r="G3758" s="4">
        <v>44846</v>
      </c>
    </row>
    <row r="3759" spans="2:18">
      <c r="B3759" s="1" t="s">
        <v>531</v>
      </c>
      <c r="C3759" s="2" t="s">
        <v>8</v>
      </c>
      <c r="D3759" s="2" t="s">
        <v>520</v>
      </c>
      <c r="E3759" s="3">
        <v>100</v>
      </c>
      <c r="F3759" s="3">
        <f>50/4</f>
        <v>12.5</v>
      </c>
      <c r="G3759" s="4">
        <v>44419</v>
      </c>
      <c r="M3759" s="1"/>
      <c r="N3759" s="1"/>
      <c r="O3759" s="1"/>
      <c r="P3759" s="1"/>
      <c r="Q3759" s="1"/>
      <c r="R3759" s="1"/>
    </row>
    <row r="3760" spans="2:18">
      <c r="B3760" s="1" t="s">
        <v>368</v>
      </c>
      <c r="C3760" s="2" t="s">
        <v>5</v>
      </c>
      <c r="D3760" s="2" t="s">
        <v>363</v>
      </c>
      <c r="E3760" s="3">
        <v>50</v>
      </c>
      <c r="F3760" s="3">
        <f>25/2</f>
        <v>12.5</v>
      </c>
      <c r="G3760" s="4">
        <v>43039</v>
      </c>
      <c r="M3760" s="1"/>
      <c r="N3760" s="1"/>
      <c r="O3760" s="1"/>
      <c r="P3760" s="1"/>
      <c r="Q3760" s="1"/>
      <c r="R3760" s="1"/>
    </row>
    <row r="3761" spans="2:18">
      <c r="B3761" s="1" t="s">
        <v>367</v>
      </c>
      <c r="C3761" s="2" t="s">
        <v>5</v>
      </c>
      <c r="D3761" s="2" t="s">
        <v>363</v>
      </c>
      <c r="E3761" s="3">
        <v>50</v>
      </c>
      <c r="F3761" s="3">
        <f>25/2</f>
        <v>12.5</v>
      </c>
      <c r="G3761" s="4">
        <v>43039</v>
      </c>
      <c r="M3761" s="1"/>
      <c r="N3761" s="1"/>
      <c r="O3761" s="1"/>
      <c r="P3761" s="1"/>
      <c r="Q3761" s="1"/>
      <c r="R3761" s="1"/>
    </row>
    <row r="3762" spans="2:18">
      <c r="B3762" s="1" t="s">
        <v>4389</v>
      </c>
      <c r="C3762" s="2" t="s">
        <v>7</v>
      </c>
      <c r="D3762" s="2" t="s">
        <v>2129</v>
      </c>
      <c r="E3762" s="3">
        <f>176</f>
        <v>176</v>
      </c>
      <c r="F3762" s="3">
        <f>150/12</f>
        <v>12.5</v>
      </c>
      <c r="G3762" s="4">
        <v>44578</v>
      </c>
    </row>
    <row r="3763" spans="2:18">
      <c r="B3763" s="1" t="s">
        <v>4390</v>
      </c>
      <c r="C3763" s="2" t="s">
        <v>7</v>
      </c>
      <c r="D3763" s="2" t="s">
        <v>2129</v>
      </c>
      <c r="E3763" s="3">
        <f>176</f>
        <v>176</v>
      </c>
      <c r="F3763" s="3">
        <f>150/12</f>
        <v>12.5</v>
      </c>
      <c r="G3763" s="4">
        <v>44578</v>
      </c>
    </row>
    <row r="3764" spans="2:18">
      <c r="B3764" s="1" t="s">
        <v>4391</v>
      </c>
      <c r="C3764" s="2" t="s">
        <v>7</v>
      </c>
      <c r="D3764" s="2" t="s">
        <v>2129</v>
      </c>
      <c r="E3764" s="3">
        <f>176</f>
        <v>176</v>
      </c>
      <c r="F3764" s="3">
        <f>150/12</f>
        <v>12.5</v>
      </c>
      <c r="G3764" s="4">
        <v>44578</v>
      </c>
    </row>
    <row r="3765" spans="2:18">
      <c r="B3765" s="1" t="s">
        <v>4393</v>
      </c>
      <c r="C3765" s="2" t="s">
        <v>7</v>
      </c>
      <c r="D3765" s="2" t="s">
        <v>2129</v>
      </c>
      <c r="E3765" s="3">
        <f>176</f>
        <v>176</v>
      </c>
      <c r="F3765" s="3">
        <f>150/12</f>
        <v>12.5</v>
      </c>
      <c r="G3765" s="4">
        <v>44578</v>
      </c>
    </row>
    <row r="3766" spans="2:18">
      <c r="B3766" s="1" t="s">
        <v>354</v>
      </c>
      <c r="C3766" s="2" t="s">
        <v>7</v>
      </c>
      <c r="D3766" s="2" t="s">
        <v>351</v>
      </c>
      <c r="E3766" s="3">
        <v>22</v>
      </c>
      <c r="F3766" s="3">
        <v>12</v>
      </c>
      <c r="G3766" s="4">
        <v>44861</v>
      </c>
      <c r="M3766" s="1"/>
      <c r="N3766" s="1"/>
      <c r="O3766" s="1"/>
      <c r="P3766" s="1"/>
      <c r="Q3766" s="1"/>
      <c r="R3766" s="1"/>
    </row>
    <row r="3767" spans="2:18">
      <c r="B3767" s="1" t="s">
        <v>317</v>
      </c>
      <c r="C3767" s="2" t="s">
        <v>5</v>
      </c>
      <c r="D3767" s="2" t="s">
        <v>313</v>
      </c>
      <c r="E3767" s="3">
        <v>57</v>
      </c>
      <c r="F3767" s="3">
        <v>12</v>
      </c>
      <c r="G3767" s="4">
        <v>44508</v>
      </c>
      <c r="M3767" s="1"/>
      <c r="N3767" s="1"/>
      <c r="O3767" s="1"/>
      <c r="P3767" s="1"/>
      <c r="Q3767" s="1"/>
      <c r="R3767" s="1"/>
    </row>
    <row r="3768" spans="2:18">
      <c r="B3768" s="1" t="s">
        <v>4453</v>
      </c>
      <c r="C3768" s="2" t="s">
        <v>18</v>
      </c>
      <c r="D3768" s="2" t="s">
        <v>2127</v>
      </c>
      <c r="E3768" s="3">
        <v>200</v>
      </c>
      <c r="F3768" s="3">
        <v>12</v>
      </c>
      <c r="G3768" s="4">
        <v>44557</v>
      </c>
      <c r="I3768" s="1">
        <v>1300</v>
      </c>
      <c r="J3768" s="1">
        <v>1300</v>
      </c>
    </row>
    <row r="3769" spans="2:18">
      <c r="B3769" s="1" t="s">
        <v>4454</v>
      </c>
      <c r="C3769" s="2" t="s">
        <v>18</v>
      </c>
      <c r="D3769" s="2" t="s">
        <v>2127</v>
      </c>
      <c r="E3769" s="3">
        <v>200</v>
      </c>
      <c r="F3769" s="3">
        <v>12</v>
      </c>
      <c r="G3769" s="4">
        <v>44557</v>
      </c>
      <c r="I3769" s="1">
        <v>1300</v>
      </c>
      <c r="J3769" s="1">
        <v>1300</v>
      </c>
    </row>
    <row r="3770" spans="2:18">
      <c r="B3770" s="1" t="s">
        <v>4455</v>
      </c>
      <c r="C3770" s="2" t="s">
        <v>18</v>
      </c>
      <c r="D3770" s="2" t="s">
        <v>2127</v>
      </c>
      <c r="E3770" s="3">
        <v>200</v>
      </c>
      <c r="F3770" s="3">
        <v>12</v>
      </c>
      <c r="G3770" s="4">
        <v>44557</v>
      </c>
      <c r="I3770" s="1">
        <v>1300</v>
      </c>
      <c r="J3770" s="1">
        <v>1300</v>
      </c>
    </row>
    <row r="3771" spans="2:18">
      <c r="B3771" s="1" t="s">
        <v>4456</v>
      </c>
      <c r="C3771" s="2" t="s">
        <v>18</v>
      </c>
      <c r="D3771" s="2" t="s">
        <v>2127</v>
      </c>
      <c r="E3771" s="3">
        <v>200</v>
      </c>
      <c r="F3771" s="3">
        <v>12</v>
      </c>
      <c r="G3771" s="4">
        <v>44557</v>
      </c>
      <c r="I3771" s="1">
        <v>1300</v>
      </c>
      <c r="J3771" s="1">
        <v>1300</v>
      </c>
    </row>
    <row r="3772" spans="2:18">
      <c r="B3772" s="1" t="s">
        <v>4458</v>
      </c>
      <c r="C3772" s="2" t="s">
        <v>18</v>
      </c>
      <c r="D3772" s="2" t="s">
        <v>2127</v>
      </c>
      <c r="E3772" s="3">
        <v>200</v>
      </c>
      <c r="F3772" s="3">
        <v>12</v>
      </c>
      <c r="G3772" s="4">
        <v>44557</v>
      </c>
      <c r="I3772" s="1">
        <v>1300</v>
      </c>
      <c r="J3772" s="1">
        <v>1300</v>
      </c>
    </row>
    <row r="3773" spans="2:18">
      <c r="B3773" s="1" t="s">
        <v>184</v>
      </c>
      <c r="C3773" s="2" t="s">
        <v>8</v>
      </c>
      <c r="D3773" s="2" t="s">
        <v>176</v>
      </c>
      <c r="E3773" s="3">
        <v>130</v>
      </c>
      <c r="F3773" s="3">
        <f>104/9</f>
        <v>11.555555555555555</v>
      </c>
      <c r="G3773" s="4">
        <v>42080</v>
      </c>
      <c r="I3773" s="1">
        <v>570</v>
      </c>
    </row>
    <row r="3774" spans="2:18">
      <c r="B3774" s="1" t="s">
        <v>183</v>
      </c>
      <c r="C3774" s="2" t="s">
        <v>8</v>
      </c>
      <c r="D3774" s="2" t="s">
        <v>176</v>
      </c>
      <c r="E3774" s="3">
        <v>130</v>
      </c>
      <c r="F3774" s="3">
        <f>104/9</f>
        <v>11.555555555555555</v>
      </c>
      <c r="G3774" s="4">
        <v>42080</v>
      </c>
      <c r="I3774" s="1">
        <v>570</v>
      </c>
    </row>
    <row r="3775" spans="2:18">
      <c r="B3775" s="1" t="s">
        <v>182</v>
      </c>
      <c r="C3775" s="2" t="s">
        <v>8</v>
      </c>
      <c r="D3775" s="2" t="s">
        <v>176</v>
      </c>
      <c r="E3775" s="3">
        <v>130</v>
      </c>
      <c r="F3775" s="3">
        <f>104/9</f>
        <v>11.555555555555555</v>
      </c>
      <c r="G3775" s="4">
        <v>42080</v>
      </c>
      <c r="I3775" s="1">
        <v>570</v>
      </c>
    </row>
    <row r="3776" spans="2:18">
      <c r="B3776" s="1" t="s">
        <v>372</v>
      </c>
      <c r="C3776" s="2" t="s">
        <v>7</v>
      </c>
      <c r="D3776" s="2" t="s">
        <v>363</v>
      </c>
      <c r="E3776" s="3">
        <v>120</v>
      </c>
      <c r="F3776" s="3">
        <f t="shared" ref="F3776:F3781" si="7">90/8</f>
        <v>11.25</v>
      </c>
      <c r="G3776" s="4">
        <v>44602</v>
      </c>
      <c r="M3776" s="1"/>
      <c r="N3776" s="1"/>
      <c r="O3776" s="1"/>
      <c r="P3776" s="1"/>
      <c r="Q3776" s="1"/>
      <c r="R3776" s="1"/>
    </row>
    <row r="3777" spans="2:18">
      <c r="B3777" s="1" t="s">
        <v>371</v>
      </c>
      <c r="C3777" s="2" t="s">
        <v>7</v>
      </c>
      <c r="D3777" s="2" t="s">
        <v>363</v>
      </c>
      <c r="E3777" s="3">
        <v>120</v>
      </c>
      <c r="F3777" s="3">
        <f t="shared" si="7"/>
        <v>11.25</v>
      </c>
      <c r="G3777" s="4">
        <v>44602</v>
      </c>
      <c r="M3777" s="1"/>
      <c r="N3777" s="1"/>
      <c r="O3777" s="1"/>
      <c r="P3777" s="1"/>
      <c r="Q3777" s="1"/>
      <c r="R3777" s="1"/>
    </row>
    <row r="3778" spans="2:18">
      <c r="B3778" s="1" t="s">
        <v>370</v>
      </c>
      <c r="C3778" s="2" t="s">
        <v>7</v>
      </c>
      <c r="D3778" s="2" t="s">
        <v>363</v>
      </c>
      <c r="E3778" s="3">
        <v>120</v>
      </c>
      <c r="F3778" s="3">
        <f t="shared" si="7"/>
        <v>11.25</v>
      </c>
      <c r="G3778" s="4">
        <v>44602</v>
      </c>
      <c r="M3778" s="1"/>
      <c r="N3778" s="1"/>
      <c r="O3778" s="1"/>
      <c r="P3778" s="1"/>
      <c r="Q3778" s="1"/>
      <c r="R3778" s="1"/>
    </row>
    <row r="3779" spans="2:18">
      <c r="B3779" s="1" t="s">
        <v>366</v>
      </c>
      <c r="C3779" s="2" t="s">
        <v>7</v>
      </c>
      <c r="D3779" s="2" t="s">
        <v>363</v>
      </c>
      <c r="E3779" s="3">
        <v>120</v>
      </c>
      <c r="F3779" s="3">
        <f t="shared" si="7"/>
        <v>11.25</v>
      </c>
      <c r="G3779" s="4">
        <v>44602</v>
      </c>
      <c r="M3779" s="1"/>
      <c r="N3779" s="1"/>
      <c r="O3779" s="1"/>
      <c r="P3779" s="1"/>
      <c r="Q3779" s="1"/>
      <c r="R3779" s="1"/>
    </row>
    <row r="3780" spans="2:18">
      <c r="B3780" s="1" t="s">
        <v>365</v>
      </c>
      <c r="C3780" s="2" t="s">
        <v>7</v>
      </c>
      <c r="D3780" s="2" t="s">
        <v>363</v>
      </c>
      <c r="E3780" s="3">
        <v>120</v>
      </c>
      <c r="F3780" s="3">
        <f t="shared" si="7"/>
        <v>11.25</v>
      </c>
      <c r="G3780" s="4">
        <v>44602</v>
      </c>
      <c r="M3780" s="1"/>
      <c r="N3780" s="1"/>
      <c r="O3780" s="1"/>
      <c r="P3780" s="1"/>
      <c r="Q3780" s="1"/>
      <c r="R3780" s="1"/>
    </row>
    <row r="3781" spans="2:18">
      <c r="B3781" s="1" t="s">
        <v>364</v>
      </c>
      <c r="C3781" s="2" t="s">
        <v>7</v>
      </c>
      <c r="D3781" s="2" t="s">
        <v>363</v>
      </c>
      <c r="E3781" s="3">
        <v>120</v>
      </c>
      <c r="F3781" s="3">
        <f t="shared" si="7"/>
        <v>11.25</v>
      </c>
      <c r="G3781" s="4">
        <v>44602</v>
      </c>
      <c r="M3781" s="1"/>
      <c r="N3781" s="1"/>
      <c r="O3781" s="1"/>
      <c r="P3781" s="1"/>
      <c r="Q3781" s="1"/>
      <c r="R3781" s="1"/>
    </row>
    <row r="3782" spans="2:18">
      <c r="B3782" s="54" t="s">
        <v>4978</v>
      </c>
      <c r="C3782" s="55" t="s">
        <v>9</v>
      </c>
      <c r="D3782" s="55" t="s">
        <v>2112</v>
      </c>
      <c r="E3782" s="3">
        <v>100</v>
      </c>
      <c r="F3782" s="3">
        <v>10.714285714285714</v>
      </c>
      <c r="G3782" s="4">
        <v>44507</v>
      </c>
      <c r="I3782" s="1">
        <v>1600</v>
      </c>
      <c r="J3782" s="1">
        <v>1600</v>
      </c>
    </row>
    <row r="3783" spans="2:18">
      <c r="B3783" s="176" t="s">
        <v>6802</v>
      </c>
      <c r="C3783" s="2" t="s">
        <v>5</v>
      </c>
      <c r="D3783" s="2" t="s">
        <v>935</v>
      </c>
      <c r="E3783" s="3">
        <v>150</v>
      </c>
      <c r="F3783" s="3">
        <v>10</v>
      </c>
      <c r="G3783" s="4">
        <v>45008</v>
      </c>
    </row>
    <row r="3784" spans="2:18">
      <c r="B3784" s="1" t="s">
        <v>933</v>
      </c>
      <c r="C3784" s="2" t="s">
        <v>5</v>
      </c>
      <c r="D3784" s="2" t="s">
        <v>932</v>
      </c>
      <c r="E3784" s="3">
        <v>30</v>
      </c>
      <c r="F3784" s="3">
        <v>10</v>
      </c>
      <c r="G3784" s="4">
        <v>44656</v>
      </c>
    </row>
    <row r="3785" spans="2:18">
      <c r="B3785" s="1" t="s">
        <v>930</v>
      </c>
      <c r="C3785" s="2" t="s">
        <v>4</v>
      </c>
      <c r="D3785" s="2" t="s">
        <v>887</v>
      </c>
      <c r="E3785" s="3">
        <v>20</v>
      </c>
      <c r="F3785" s="3">
        <v>10</v>
      </c>
      <c r="G3785" s="4">
        <v>44614</v>
      </c>
    </row>
    <row r="3786" spans="2:18">
      <c r="B3786" s="1" t="s">
        <v>929</v>
      </c>
      <c r="C3786" s="2" t="s">
        <v>5</v>
      </c>
      <c r="D3786" s="2" t="s">
        <v>928</v>
      </c>
      <c r="E3786" s="3">
        <v>25</v>
      </c>
      <c r="F3786" s="3">
        <v>10</v>
      </c>
      <c r="G3786" s="4">
        <v>44944</v>
      </c>
    </row>
    <row r="3787" spans="2:18">
      <c r="B3787" s="1" t="s">
        <v>631</v>
      </c>
      <c r="C3787" s="2" t="s">
        <v>5</v>
      </c>
      <c r="D3787" s="2" t="s">
        <v>630</v>
      </c>
      <c r="E3787" s="3">
        <v>10</v>
      </c>
      <c r="F3787" s="3">
        <v>10</v>
      </c>
      <c r="G3787" s="4">
        <v>44013</v>
      </c>
      <c r="M3787" s="1"/>
      <c r="N3787" s="1"/>
      <c r="O3787" s="1"/>
      <c r="P3787" s="1"/>
      <c r="Q3787" s="1"/>
      <c r="R3787" s="1"/>
    </row>
    <row r="3788" spans="2:18">
      <c r="B3788" s="1" t="s">
        <v>500</v>
      </c>
      <c r="C3788" s="2" t="s">
        <v>53</v>
      </c>
      <c r="D3788" s="2" t="s">
        <v>489</v>
      </c>
      <c r="E3788" s="3">
        <v>50</v>
      </c>
      <c r="F3788" s="3">
        <v>10</v>
      </c>
      <c r="G3788" s="4">
        <v>44174</v>
      </c>
      <c r="M3788" s="1"/>
      <c r="N3788" s="1"/>
      <c r="O3788" s="1"/>
      <c r="P3788" s="1"/>
      <c r="Q3788" s="1"/>
      <c r="R3788" s="1"/>
    </row>
    <row r="3789" spans="2:18">
      <c r="B3789" s="1" t="s">
        <v>491</v>
      </c>
      <c r="C3789" s="2" t="s">
        <v>18</v>
      </c>
      <c r="D3789" s="2" t="s">
        <v>489</v>
      </c>
      <c r="E3789" s="3">
        <v>67.2</v>
      </c>
      <c r="F3789" s="3">
        <v>10</v>
      </c>
      <c r="G3789" s="4">
        <v>42943</v>
      </c>
      <c r="M3789" s="1"/>
      <c r="N3789" s="1"/>
      <c r="O3789" s="1"/>
      <c r="P3789" s="1"/>
      <c r="Q3789" s="1"/>
      <c r="R3789" s="1"/>
    </row>
    <row r="3790" spans="2:18">
      <c r="B3790" s="1" t="s">
        <v>490</v>
      </c>
      <c r="C3790" s="2" t="s">
        <v>18</v>
      </c>
      <c r="D3790" s="2" t="s">
        <v>489</v>
      </c>
      <c r="E3790" s="3">
        <v>67.2</v>
      </c>
      <c r="F3790" s="3">
        <v>10</v>
      </c>
      <c r="G3790" s="4">
        <v>42943</v>
      </c>
      <c r="M3790" s="1"/>
      <c r="N3790" s="1"/>
      <c r="O3790" s="1"/>
      <c r="P3790" s="1"/>
      <c r="Q3790" s="1"/>
      <c r="R3790" s="1"/>
    </row>
    <row r="3791" spans="2:18">
      <c r="B3791" s="1" t="s">
        <v>400</v>
      </c>
      <c r="C3791" s="2" t="s">
        <v>7</v>
      </c>
      <c r="D3791" s="2" t="s">
        <v>398</v>
      </c>
      <c r="E3791" s="3">
        <v>80</v>
      </c>
      <c r="F3791" s="3">
        <v>10</v>
      </c>
      <c r="G3791" s="4">
        <v>44327</v>
      </c>
      <c r="M3791" s="1"/>
      <c r="N3791" s="1"/>
      <c r="O3791" s="1"/>
      <c r="P3791" s="1"/>
      <c r="Q3791" s="1"/>
      <c r="R3791" s="1"/>
    </row>
    <row r="3792" spans="2:18">
      <c r="B3792" s="1" t="s">
        <v>399</v>
      </c>
      <c r="C3792" s="2" t="s">
        <v>7</v>
      </c>
      <c r="D3792" s="2" t="s">
        <v>398</v>
      </c>
      <c r="E3792" s="3">
        <v>80</v>
      </c>
      <c r="F3792" s="3">
        <v>10</v>
      </c>
      <c r="G3792" s="4">
        <v>44327</v>
      </c>
      <c r="M3792" s="1"/>
      <c r="N3792" s="1"/>
      <c r="O3792" s="1"/>
      <c r="P3792" s="1"/>
      <c r="Q3792" s="1"/>
      <c r="R3792" s="1"/>
    </row>
    <row r="3793" spans="2:18">
      <c r="G3793" s="4"/>
      <c r="M3793" s="1"/>
      <c r="N3793" s="1"/>
      <c r="O3793" s="1"/>
      <c r="P3793" s="1"/>
      <c r="Q3793" s="1"/>
      <c r="R3793" s="1"/>
    </row>
    <row r="3794" spans="2:18">
      <c r="G3794" s="4"/>
      <c r="M3794" s="1"/>
      <c r="N3794" s="1"/>
      <c r="O3794" s="1"/>
      <c r="P3794" s="1"/>
      <c r="Q3794" s="1"/>
      <c r="R3794" s="1"/>
    </row>
    <row r="3795" spans="2:18">
      <c r="G3795" s="4"/>
      <c r="M3795" s="1"/>
      <c r="N3795" s="1"/>
      <c r="O3795" s="1"/>
      <c r="P3795" s="1"/>
      <c r="Q3795" s="1"/>
      <c r="R3795" s="1"/>
    </row>
    <row r="3796" spans="2:18">
      <c r="G3796" s="4"/>
      <c r="M3796" s="1"/>
      <c r="N3796" s="1"/>
      <c r="O3796" s="1"/>
      <c r="P3796" s="1"/>
      <c r="Q3796" s="1"/>
      <c r="R3796" s="1"/>
    </row>
    <row r="3797" spans="2:18">
      <c r="B3797" s="1" t="s">
        <v>391</v>
      </c>
      <c r="C3797" s="2" t="s">
        <v>18</v>
      </c>
      <c r="D3797" s="2" t="s">
        <v>386</v>
      </c>
      <c r="E3797" s="3">
        <v>110</v>
      </c>
      <c r="F3797" s="3">
        <v>10</v>
      </c>
      <c r="G3797" s="4">
        <v>43690</v>
      </c>
      <c r="M3797" s="1"/>
      <c r="N3797" s="1"/>
      <c r="O3797" s="1"/>
      <c r="P3797" s="1"/>
      <c r="Q3797" s="1"/>
      <c r="R3797" s="1"/>
    </row>
    <row r="3798" spans="2:18">
      <c r="B3798" s="1" t="s">
        <v>385</v>
      </c>
      <c r="C3798" s="2" t="s">
        <v>5</v>
      </c>
      <c r="D3798" s="2" t="s">
        <v>381</v>
      </c>
      <c r="E3798" s="3">
        <v>86</v>
      </c>
      <c r="F3798" s="3">
        <v>10</v>
      </c>
      <c r="G3798" s="4">
        <v>44488</v>
      </c>
      <c r="M3798" s="1"/>
      <c r="N3798" s="1"/>
      <c r="O3798" s="1"/>
      <c r="P3798" s="1"/>
      <c r="Q3798" s="1"/>
      <c r="R3798" s="1"/>
    </row>
    <row r="3799" spans="2:18">
      <c r="B3799" s="1" t="s">
        <v>383</v>
      </c>
      <c r="C3799" s="2" t="s">
        <v>5</v>
      </c>
      <c r="D3799" s="2" t="s">
        <v>381</v>
      </c>
      <c r="E3799" s="3">
        <v>86</v>
      </c>
      <c r="F3799" s="3">
        <v>10</v>
      </c>
      <c r="G3799" s="4">
        <v>44488</v>
      </c>
      <c r="M3799" s="1"/>
      <c r="N3799" s="1"/>
      <c r="O3799" s="1"/>
      <c r="P3799" s="1"/>
      <c r="Q3799" s="1"/>
      <c r="R3799" s="1"/>
    </row>
    <row r="3800" spans="2:18">
      <c r="B3800" s="1" t="s">
        <v>130</v>
      </c>
      <c r="C3800" s="2" t="s">
        <v>7</v>
      </c>
      <c r="D3800" s="2" t="s">
        <v>128</v>
      </c>
      <c r="E3800" s="3">
        <v>23.5</v>
      </c>
      <c r="F3800" s="3">
        <v>10</v>
      </c>
      <c r="G3800" s="4">
        <v>45008</v>
      </c>
    </row>
    <row r="3801" spans="2:18">
      <c r="B3801" s="1" t="s">
        <v>107</v>
      </c>
      <c r="C3801" s="2" t="s">
        <v>8</v>
      </c>
      <c r="D3801" s="2" t="s">
        <v>102</v>
      </c>
      <c r="E3801" s="3">
        <v>30</v>
      </c>
      <c r="F3801" s="3">
        <v>10</v>
      </c>
      <c r="G3801" s="4">
        <v>43178</v>
      </c>
    </row>
    <row r="3802" spans="2:18">
      <c r="B3802" s="1" t="s">
        <v>103</v>
      </c>
      <c r="C3802" s="2" t="s">
        <v>8</v>
      </c>
      <c r="D3802" s="2" t="s">
        <v>102</v>
      </c>
      <c r="E3802" s="3">
        <v>10</v>
      </c>
      <c r="F3802" s="3">
        <v>10</v>
      </c>
      <c r="G3802" s="4">
        <v>43726</v>
      </c>
    </row>
    <row r="3803" spans="2:18">
      <c r="B3803" s="1" t="s">
        <v>101</v>
      </c>
      <c r="C3803" s="2" t="s">
        <v>7</v>
      </c>
      <c r="D3803" s="2" t="s">
        <v>95</v>
      </c>
      <c r="E3803" s="3">
        <v>25</v>
      </c>
      <c r="F3803" s="3">
        <v>10</v>
      </c>
      <c r="G3803" s="4">
        <v>43783</v>
      </c>
    </row>
    <row r="3804" spans="2:18">
      <c r="B3804" s="1" t="s">
        <v>66</v>
      </c>
      <c r="C3804" s="2" t="s">
        <v>5</v>
      </c>
      <c r="D3804" s="2" t="s">
        <v>64</v>
      </c>
      <c r="E3804" s="3">
        <v>50</v>
      </c>
      <c r="F3804" s="3">
        <v>10</v>
      </c>
      <c r="G3804" s="4">
        <v>44165</v>
      </c>
    </row>
    <row r="3805" spans="2:18">
      <c r="B3805" s="91" t="s">
        <v>5897</v>
      </c>
      <c r="C3805" s="92" t="s">
        <v>18</v>
      </c>
      <c r="D3805" s="92" t="s">
        <v>2072</v>
      </c>
      <c r="E3805" s="3">
        <v>65</v>
      </c>
      <c r="F3805" s="3">
        <v>10</v>
      </c>
      <c r="G3805" s="4">
        <v>44644</v>
      </c>
      <c r="I3805" s="1">
        <v>500</v>
      </c>
      <c r="J3805" s="1">
        <v>500</v>
      </c>
    </row>
    <row r="3806" spans="2:18">
      <c r="B3806" s="134" t="s">
        <v>6290</v>
      </c>
      <c r="C3806" s="140" t="s">
        <v>5</v>
      </c>
      <c r="D3806" s="140" t="s">
        <v>6291</v>
      </c>
      <c r="E3806" s="3">
        <v>25</v>
      </c>
      <c r="F3806" s="3">
        <v>10</v>
      </c>
      <c r="G3806" s="4">
        <v>44594</v>
      </c>
    </row>
    <row r="3807" spans="2:18">
      <c r="B3807" s="152" t="s">
        <v>6357</v>
      </c>
      <c r="C3807" s="153" t="s">
        <v>7</v>
      </c>
      <c r="D3807" s="153" t="s">
        <v>2046</v>
      </c>
      <c r="E3807" s="3">
        <v>50</v>
      </c>
      <c r="F3807" s="3">
        <v>10</v>
      </c>
      <c r="G3807" s="4">
        <v>44252</v>
      </c>
    </row>
    <row r="3808" spans="2:18">
      <c r="B3808" s="1" t="s">
        <v>28</v>
      </c>
      <c r="C3808" s="2" t="s">
        <v>9</v>
      </c>
      <c r="D3808" s="2" t="s">
        <v>22</v>
      </c>
      <c r="E3808" s="3">
        <v>222</v>
      </c>
      <c r="F3808" s="3">
        <f>200/21</f>
        <v>9.5238095238095237</v>
      </c>
      <c r="G3808" s="4">
        <v>44194</v>
      </c>
      <c r="I3808" s="1">
        <v>2500</v>
      </c>
      <c r="J3808" s="1">
        <v>2500</v>
      </c>
    </row>
    <row r="3809" spans="2:18">
      <c r="B3809" s="1" t="s">
        <v>26</v>
      </c>
      <c r="C3809" s="2" t="s">
        <v>9</v>
      </c>
      <c r="D3809" s="2" t="s">
        <v>22</v>
      </c>
      <c r="E3809" s="3">
        <v>222</v>
      </c>
      <c r="F3809" s="3">
        <f>200/21</f>
        <v>9.5238095238095237</v>
      </c>
      <c r="G3809" s="4">
        <v>44194</v>
      </c>
      <c r="I3809" s="1">
        <v>2500</v>
      </c>
      <c r="J3809" s="1">
        <v>2500</v>
      </c>
    </row>
    <row r="3810" spans="2:18">
      <c r="B3810" s="1" t="s">
        <v>927</v>
      </c>
      <c r="C3810" s="2" t="s">
        <v>18</v>
      </c>
      <c r="D3810" s="2" t="s">
        <v>926</v>
      </c>
      <c r="E3810" s="3">
        <v>100</v>
      </c>
      <c r="F3810" s="3">
        <v>9</v>
      </c>
      <c r="G3810" s="4">
        <v>44690</v>
      </c>
      <c r="J3810" s="1">
        <v>4300</v>
      </c>
    </row>
    <row r="3811" spans="2:18">
      <c r="B3811" s="1" t="s">
        <v>165</v>
      </c>
      <c r="C3811" s="2" t="s">
        <v>5</v>
      </c>
      <c r="D3811" s="2" t="s">
        <v>161</v>
      </c>
      <c r="E3811" s="3">
        <v>112</v>
      </c>
      <c r="F3811" s="3">
        <f>72/8</f>
        <v>9</v>
      </c>
      <c r="G3811" s="4">
        <v>43115</v>
      </c>
      <c r="J3811" s="1">
        <v>8400</v>
      </c>
    </row>
    <row r="3812" spans="2:18">
      <c r="B3812" s="1" t="s">
        <v>164</v>
      </c>
      <c r="C3812" s="2" t="s">
        <v>5</v>
      </c>
      <c r="D3812" s="2" t="s">
        <v>161</v>
      </c>
      <c r="E3812" s="3">
        <v>112</v>
      </c>
      <c r="F3812" s="3">
        <f>72/8</f>
        <v>9</v>
      </c>
      <c r="G3812" s="4">
        <v>43115</v>
      </c>
      <c r="J3812" s="1">
        <v>8400</v>
      </c>
    </row>
    <row r="3813" spans="2:18">
      <c r="B3813" s="1" t="s">
        <v>163</v>
      </c>
      <c r="C3813" s="2" t="s">
        <v>5</v>
      </c>
      <c r="D3813" s="2" t="s">
        <v>161</v>
      </c>
      <c r="E3813" s="3">
        <v>112</v>
      </c>
      <c r="F3813" s="3">
        <f>72/8</f>
        <v>9</v>
      </c>
      <c r="G3813" s="4">
        <v>43115</v>
      </c>
      <c r="J3813" s="1">
        <v>8400</v>
      </c>
    </row>
    <row r="3814" spans="2:18">
      <c r="B3814" s="1" t="s">
        <v>162</v>
      </c>
      <c r="C3814" s="2" t="s">
        <v>5</v>
      </c>
      <c r="D3814" s="2" t="s">
        <v>161</v>
      </c>
      <c r="E3814" s="3">
        <v>112</v>
      </c>
      <c r="F3814" s="3">
        <f>72/8</f>
        <v>9</v>
      </c>
      <c r="G3814" s="4">
        <v>43115</v>
      </c>
      <c r="J3814" s="1">
        <v>8400</v>
      </c>
    </row>
    <row r="3815" spans="2:18">
      <c r="B3815" s="91" t="s">
        <v>5425</v>
      </c>
      <c r="C3815" s="92" t="s">
        <v>18</v>
      </c>
      <c r="D3815" s="92" t="s">
        <v>2090</v>
      </c>
      <c r="E3815" s="3">
        <v>50</v>
      </c>
      <c r="F3815" s="3">
        <v>9</v>
      </c>
      <c r="G3815" s="4">
        <v>44286</v>
      </c>
      <c r="J3815" s="1">
        <v>1500</v>
      </c>
    </row>
    <row r="3816" spans="2:18">
      <c r="B3816" s="1" t="s">
        <v>321</v>
      </c>
      <c r="C3816" s="2" t="s">
        <v>18</v>
      </c>
      <c r="D3816" s="2" t="s">
        <v>318</v>
      </c>
      <c r="E3816" s="3">
        <v>91</v>
      </c>
      <c r="F3816" s="3">
        <f>70/8</f>
        <v>8.75</v>
      </c>
      <c r="G3816" s="4">
        <v>44867</v>
      </c>
      <c r="M3816" s="1"/>
      <c r="N3816" s="1"/>
      <c r="O3816" s="1"/>
      <c r="P3816" s="1"/>
      <c r="Q3816" s="1"/>
      <c r="R3816" s="1"/>
    </row>
    <row r="3817" spans="2:18">
      <c r="B3817" s="1" t="s">
        <v>320</v>
      </c>
      <c r="C3817" s="2" t="s">
        <v>18</v>
      </c>
      <c r="D3817" s="2" t="s">
        <v>318</v>
      </c>
      <c r="E3817" s="3">
        <v>91</v>
      </c>
      <c r="F3817" s="3">
        <f>70/8</f>
        <v>8.75</v>
      </c>
      <c r="G3817" s="4">
        <v>44867</v>
      </c>
      <c r="M3817" s="1"/>
      <c r="N3817" s="1"/>
      <c r="O3817" s="1"/>
      <c r="P3817" s="1"/>
      <c r="Q3817" s="1"/>
      <c r="R3817" s="1"/>
    </row>
    <row r="3818" spans="2:18">
      <c r="B3818" s="1" t="s">
        <v>319</v>
      </c>
      <c r="C3818" s="2" t="s">
        <v>18</v>
      </c>
      <c r="D3818" s="2" t="s">
        <v>318</v>
      </c>
      <c r="E3818" s="3">
        <v>91</v>
      </c>
      <c r="F3818" s="3">
        <f>70/8</f>
        <v>8.75</v>
      </c>
      <c r="G3818" s="4">
        <v>44867</v>
      </c>
      <c r="M3818" s="1"/>
      <c r="N3818" s="1"/>
      <c r="O3818" s="1"/>
      <c r="P3818" s="1"/>
      <c r="Q3818" s="1"/>
      <c r="R3818" s="1"/>
    </row>
    <row r="3819" spans="2:18">
      <c r="B3819" s="1" t="s">
        <v>429</v>
      </c>
      <c r="C3819" s="2" t="s">
        <v>5</v>
      </c>
      <c r="D3819" s="2" t="s">
        <v>428</v>
      </c>
      <c r="E3819" s="3">
        <v>8.5</v>
      </c>
      <c r="F3819" s="3">
        <v>8.5</v>
      </c>
      <c r="G3819" s="4">
        <v>44307</v>
      </c>
      <c r="M3819" s="1"/>
      <c r="N3819" s="1"/>
      <c r="O3819" s="1"/>
      <c r="P3819" s="1"/>
      <c r="Q3819" s="1"/>
      <c r="R3819" s="1"/>
    </row>
    <row r="3820" spans="2:18">
      <c r="B3820" s="1" t="s">
        <v>924</v>
      </c>
      <c r="C3820" s="2" t="s">
        <v>4</v>
      </c>
      <c r="D3820" s="2" t="s">
        <v>705</v>
      </c>
      <c r="E3820" s="3">
        <v>113</v>
      </c>
      <c r="F3820" s="3">
        <v>8</v>
      </c>
      <c r="G3820" s="4">
        <v>45090</v>
      </c>
    </row>
    <row r="3821" spans="2:18">
      <c r="B3821" s="1" t="s">
        <v>922</v>
      </c>
      <c r="C3821" s="2" t="s">
        <v>4</v>
      </c>
      <c r="D3821" s="2" t="s">
        <v>705</v>
      </c>
      <c r="E3821" s="3">
        <v>113</v>
      </c>
      <c r="F3821" s="3">
        <v>8</v>
      </c>
      <c r="G3821" s="4">
        <v>45090</v>
      </c>
    </row>
    <row r="3822" spans="2:18">
      <c r="B3822" s="1" t="s">
        <v>920</v>
      </c>
      <c r="C3822" s="2" t="s">
        <v>4</v>
      </c>
      <c r="D3822" s="2" t="s">
        <v>705</v>
      </c>
      <c r="E3822" s="3">
        <v>113</v>
      </c>
      <c r="F3822" s="3">
        <v>8</v>
      </c>
      <c r="G3822" s="4">
        <v>45090</v>
      </c>
    </row>
    <row r="3823" spans="2:18">
      <c r="B3823" s="1" t="s">
        <v>581</v>
      </c>
      <c r="C3823" s="2" t="s">
        <v>4</v>
      </c>
      <c r="D3823" s="2" t="s">
        <v>580</v>
      </c>
      <c r="E3823" s="3">
        <v>8</v>
      </c>
      <c r="F3823" s="3">
        <v>8</v>
      </c>
      <c r="G3823" s="4">
        <v>44711</v>
      </c>
      <c r="M3823" s="1"/>
      <c r="N3823" s="1"/>
      <c r="O3823" s="1"/>
      <c r="P3823" s="1"/>
      <c r="Q3823" s="1"/>
      <c r="R3823" s="1"/>
    </row>
    <row r="3824" spans="2:18">
      <c r="B3824" s="1" t="s">
        <v>169</v>
      </c>
      <c r="C3824" s="2" t="s">
        <v>5</v>
      </c>
      <c r="D3824" s="2" t="s">
        <v>161</v>
      </c>
      <c r="E3824" s="3">
        <v>102</v>
      </c>
      <c r="F3824" s="3">
        <v>8</v>
      </c>
      <c r="G3824" s="4">
        <v>43292</v>
      </c>
      <c r="J3824" s="1">
        <v>8400</v>
      </c>
    </row>
    <row r="3825" spans="2:18">
      <c r="B3825" s="1" t="s">
        <v>168</v>
      </c>
      <c r="C3825" s="2" t="s">
        <v>5</v>
      </c>
      <c r="D3825" s="2" t="s">
        <v>161</v>
      </c>
      <c r="E3825" s="3">
        <v>102</v>
      </c>
      <c r="F3825" s="3">
        <v>8</v>
      </c>
      <c r="G3825" s="4">
        <v>43292</v>
      </c>
      <c r="J3825" s="1">
        <v>8400</v>
      </c>
    </row>
    <row r="3826" spans="2:18">
      <c r="B3826" s="1" t="s">
        <v>153</v>
      </c>
      <c r="C3826" s="2" t="s">
        <v>8</v>
      </c>
      <c r="D3826" s="2" t="s">
        <v>148</v>
      </c>
      <c r="E3826" s="3">
        <v>38</v>
      </c>
      <c r="F3826" s="6" t="s">
        <v>152</v>
      </c>
      <c r="G3826" s="4">
        <v>43266</v>
      </c>
    </row>
    <row r="3827" spans="2:18">
      <c r="B3827" s="1" t="s">
        <v>142</v>
      </c>
      <c r="C3827" s="2" t="s">
        <v>8</v>
      </c>
      <c r="D3827" s="2" t="s">
        <v>131</v>
      </c>
      <c r="E3827" s="3">
        <v>135</v>
      </c>
      <c r="F3827" s="3">
        <v>8</v>
      </c>
      <c r="G3827" s="4">
        <v>44880</v>
      </c>
    </row>
    <row r="3828" spans="2:18">
      <c r="B3828" s="1" t="s">
        <v>141</v>
      </c>
      <c r="C3828" s="2" t="s">
        <v>8</v>
      </c>
      <c r="D3828" s="2" t="s">
        <v>131</v>
      </c>
      <c r="E3828" s="3">
        <v>135</v>
      </c>
      <c r="F3828" s="3">
        <v>8</v>
      </c>
      <c r="G3828" s="4">
        <v>44880</v>
      </c>
    </row>
    <row r="3829" spans="2:18">
      <c r="B3829" s="1" t="s">
        <v>138</v>
      </c>
      <c r="C3829" s="2" t="s">
        <v>8</v>
      </c>
      <c r="D3829" s="2" t="s">
        <v>131</v>
      </c>
      <c r="E3829" s="3">
        <v>135</v>
      </c>
      <c r="F3829" s="3">
        <v>8</v>
      </c>
      <c r="G3829" s="4">
        <v>44880</v>
      </c>
    </row>
    <row r="3830" spans="2:18">
      <c r="G3830" s="4"/>
    </row>
    <row r="3831" spans="2:18">
      <c r="G3831" s="4"/>
    </row>
    <row r="3832" spans="2:18">
      <c r="B3832" s="1" t="s">
        <v>918</v>
      </c>
      <c r="C3832" s="2" t="s">
        <v>5</v>
      </c>
      <c r="D3832" s="2" t="s">
        <v>888</v>
      </c>
      <c r="E3832" s="3">
        <v>20</v>
      </c>
      <c r="F3832" s="3">
        <v>7.5</v>
      </c>
      <c r="G3832" s="4">
        <v>45009</v>
      </c>
    </row>
    <row r="3833" spans="2:18">
      <c r="B3833" s="165" t="s">
        <v>6634</v>
      </c>
      <c r="C3833" s="168" t="s">
        <v>5</v>
      </c>
      <c r="D3833" s="168" t="s">
        <v>2032</v>
      </c>
      <c r="E3833" s="3">
        <v>30</v>
      </c>
      <c r="F3833" s="3">
        <v>7.5</v>
      </c>
      <c r="G3833" s="4">
        <v>44729</v>
      </c>
    </row>
    <row r="3834" spans="2:18">
      <c r="B3834" s="51" t="s">
        <v>4852</v>
      </c>
      <c r="C3834" s="52" t="s">
        <v>5</v>
      </c>
      <c r="D3834" s="52" t="s">
        <v>2118</v>
      </c>
      <c r="E3834" s="3">
        <v>52.3</v>
      </c>
      <c r="F3834" s="5">
        <f>22/3</f>
        <v>7.333333333333333</v>
      </c>
      <c r="G3834" s="4">
        <v>43348</v>
      </c>
      <c r="J3834" s="1">
        <v>700</v>
      </c>
    </row>
    <row r="3835" spans="2:18">
      <c r="B3835" s="1" t="s">
        <v>41</v>
      </c>
      <c r="C3835" s="2" t="s">
        <v>7</v>
      </c>
      <c r="D3835" s="2" t="s">
        <v>39</v>
      </c>
      <c r="E3835" s="3">
        <v>42</v>
      </c>
      <c r="F3835" s="3">
        <f>22/3</f>
        <v>7.333333333333333</v>
      </c>
      <c r="G3835" s="4">
        <v>43144</v>
      </c>
      <c r="J3835" s="1">
        <v>2000</v>
      </c>
    </row>
    <row r="3836" spans="2:18">
      <c r="G3836" s="4"/>
    </row>
    <row r="3837" spans="2:18">
      <c r="B3837" s="1" t="s">
        <v>613</v>
      </c>
      <c r="C3837" s="2" t="s">
        <v>9</v>
      </c>
      <c r="D3837" s="2" t="s">
        <v>606</v>
      </c>
      <c r="E3837" s="3">
        <v>132</v>
      </c>
      <c r="F3837" s="3">
        <f>72/10</f>
        <v>7.2</v>
      </c>
      <c r="G3837" s="4">
        <v>44215</v>
      </c>
      <c r="M3837" s="1"/>
      <c r="N3837" s="1"/>
      <c r="O3837" s="1"/>
      <c r="P3837" s="1"/>
      <c r="Q3837" s="1"/>
      <c r="R3837" s="1"/>
    </row>
    <row r="3838" spans="2:18">
      <c r="B3838" s="1" t="s">
        <v>612</v>
      </c>
      <c r="C3838" s="2" t="s">
        <v>9</v>
      </c>
      <c r="D3838" s="2" t="s">
        <v>606</v>
      </c>
      <c r="E3838" s="3">
        <v>132</v>
      </c>
      <c r="F3838" s="3">
        <f>72/10</f>
        <v>7.2</v>
      </c>
      <c r="G3838" s="4">
        <v>44215</v>
      </c>
      <c r="M3838" s="1"/>
      <c r="N3838" s="1"/>
      <c r="O3838" s="1"/>
      <c r="P3838" s="1"/>
      <c r="Q3838" s="1"/>
      <c r="R3838" s="1"/>
    </row>
    <row r="3839" spans="2:18">
      <c r="B3839" s="1" t="s">
        <v>610</v>
      </c>
      <c r="C3839" s="2" t="s">
        <v>9</v>
      </c>
      <c r="D3839" s="2" t="s">
        <v>606</v>
      </c>
      <c r="E3839" s="3">
        <v>132</v>
      </c>
      <c r="F3839" s="3">
        <f>72/10</f>
        <v>7.2</v>
      </c>
      <c r="G3839" s="4">
        <v>44215</v>
      </c>
      <c r="M3839" s="1"/>
      <c r="N3839" s="1"/>
      <c r="O3839" s="1"/>
      <c r="P3839" s="1"/>
      <c r="Q3839" s="1"/>
      <c r="R3839" s="1"/>
    </row>
    <row r="3840" spans="2:18">
      <c r="B3840" s="1" t="s">
        <v>82</v>
      </c>
      <c r="C3840" s="2" t="s">
        <v>5</v>
      </c>
      <c r="D3840" s="2" t="s">
        <v>80</v>
      </c>
      <c r="E3840" s="3">
        <v>43</v>
      </c>
      <c r="F3840" s="3">
        <f>+E3840/6</f>
        <v>7.166666666666667</v>
      </c>
      <c r="G3840" s="4">
        <v>43622</v>
      </c>
    </row>
    <row r="3841" spans="2:18">
      <c r="B3841" s="1" t="s">
        <v>81</v>
      </c>
      <c r="C3841" s="2" t="s">
        <v>5</v>
      </c>
      <c r="D3841" s="2" t="s">
        <v>80</v>
      </c>
      <c r="E3841" s="3">
        <v>43</v>
      </c>
      <c r="F3841" s="3">
        <f>+E3841/6</f>
        <v>7.166666666666667</v>
      </c>
      <c r="G3841" s="4">
        <v>43622</v>
      </c>
    </row>
    <row r="3842" spans="2:18">
      <c r="B3842" s="1" t="s">
        <v>917</v>
      </c>
      <c r="C3842" s="2" t="s">
        <v>7</v>
      </c>
      <c r="D3842" s="2" t="s">
        <v>864</v>
      </c>
      <c r="E3842" s="3">
        <v>50</v>
      </c>
      <c r="F3842" s="3">
        <f>E3842/7</f>
        <v>7.1428571428571432</v>
      </c>
      <c r="G3842" s="4">
        <v>44628</v>
      </c>
    </row>
    <row r="3843" spans="2:18">
      <c r="B3843" s="1" t="s">
        <v>916</v>
      </c>
      <c r="C3843" s="2" t="s">
        <v>7</v>
      </c>
      <c r="D3843" s="2" t="s">
        <v>864</v>
      </c>
      <c r="E3843" s="3">
        <v>50</v>
      </c>
      <c r="F3843" s="3">
        <f>E3843/7</f>
        <v>7.1428571428571432</v>
      </c>
      <c r="G3843" s="4">
        <v>44628</v>
      </c>
    </row>
    <row r="3844" spans="2:18">
      <c r="B3844" s="1" t="s">
        <v>915</v>
      </c>
      <c r="C3844" s="2" t="s">
        <v>5</v>
      </c>
      <c r="D3844" s="2" t="s">
        <v>722</v>
      </c>
      <c r="E3844" s="3">
        <v>20</v>
      </c>
      <c r="F3844" s="3">
        <v>7</v>
      </c>
      <c r="G3844" s="4">
        <v>44903</v>
      </c>
    </row>
    <row r="3845" spans="2:18">
      <c r="B3845" s="1" t="s">
        <v>914</v>
      </c>
      <c r="C3845" s="2" t="s">
        <v>4</v>
      </c>
      <c r="D3845" s="2" t="s">
        <v>912</v>
      </c>
      <c r="E3845" s="3">
        <v>42</v>
      </c>
      <c r="F3845" s="3">
        <v>7</v>
      </c>
      <c r="G3845" s="4">
        <v>44882</v>
      </c>
    </row>
    <row r="3846" spans="2:18">
      <c r="B3846" s="1" t="s">
        <v>913</v>
      </c>
      <c r="C3846" s="2" t="s">
        <v>4</v>
      </c>
      <c r="D3846" s="2" t="s">
        <v>912</v>
      </c>
      <c r="E3846" s="3">
        <v>42</v>
      </c>
      <c r="F3846" s="3">
        <v>7</v>
      </c>
      <c r="G3846" s="4">
        <v>44882</v>
      </c>
    </row>
    <row r="3847" spans="2:18">
      <c r="B3847" s="1" t="s">
        <v>427</v>
      </c>
      <c r="C3847" s="2" t="s">
        <v>18</v>
      </c>
      <c r="D3847" s="2" t="s">
        <v>424</v>
      </c>
      <c r="E3847" s="3">
        <v>75</v>
      </c>
      <c r="F3847" s="3">
        <f>35/5</f>
        <v>7</v>
      </c>
      <c r="G3847" s="4">
        <v>45020</v>
      </c>
      <c r="M3847" s="1"/>
      <c r="N3847" s="1"/>
      <c r="O3847" s="1"/>
      <c r="P3847" s="1"/>
      <c r="Q3847" s="1"/>
      <c r="R3847" s="1"/>
    </row>
    <row r="3848" spans="2:18">
      <c r="B3848" s="1" t="s">
        <v>426</v>
      </c>
      <c r="C3848" s="2" t="s">
        <v>18</v>
      </c>
      <c r="D3848" s="2" t="s">
        <v>424</v>
      </c>
      <c r="E3848" s="3">
        <v>75</v>
      </c>
      <c r="F3848" s="3">
        <f>35/5</f>
        <v>7</v>
      </c>
      <c r="G3848" s="4">
        <v>45020</v>
      </c>
      <c r="M3848" s="1"/>
      <c r="N3848" s="1"/>
      <c r="O3848" s="1"/>
      <c r="P3848" s="1"/>
      <c r="Q3848" s="1"/>
      <c r="R3848" s="1"/>
    </row>
    <row r="3849" spans="2:18">
      <c r="B3849" s="1" t="s">
        <v>423</v>
      </c>
      <c r="C3849" s="2" t="s">
        <v>18</v>
      </c>
      <c r="D3849" s="2" t="s">
        <v>416</v>
      </c>
      <c r="E3849" s="3">
        <v>23</v>
      </c>
      <c r="F3849" s="3">
        <v>7</v>
      </c>
      <c r="G3849" s="4">
        <v>44328</v>
      </c>
      <c r="I3849" s="5"/>
      <c r="M3849" s="1"/>
      <c r="N3849" s="1"/>
      <c r="O3849" s="1"/>
      <c r="P3849" s="1"/>
      <c r="Q3849" s="1"/>
      <c r="R3849" s="1"/>
    </row>
    <row r="3850" spans="2:18">
      <c r="B3850" s="1" t="s">
        <v>151</v>
      </c>
      <c r="C3850" s="2" t="s">
        <v>7</v>
      </c>
      <c r="D3850" s="2" t="s">
        <v>148</v>
      </c>
      <c r="E3850" s="3">
        <v>10</v>
      </c>
      <c r="F3850" s="6" t="s">
        <v>150</v>
      </c>
      <c r="G3850" s="4">
        <v>42355</v>
      </c>
    </row>
    <row r="3851" spans="2:18">
      <c r="B3851" s="54" t="s">
        <v>4985</v>
      </c>
      <c r="C3851" s="55" t="s">
        <v>7</v>
      </c>
      <c r="D3851" s="55" t="s">
        <v>2112</v>
      </c>
      <c r="E3851" s="3">
        <v>20</v>
      </c>
      <c r="F3851" s="3">
        <v>7</v>
      </c>
      <c r="G3851" s="4">
        <v>42317</v>
      </c>
      <c r="J3851" s="1">
        <v>1600</v>
      </c>
    </row>
    <row r="3852" spans="2:18">
      <c r="B3852" s="91" t="s">
        <v>5418</v>
      </c>
      <c r="C3852" s="92" t="s">
        <v>18</v>
      </c>
      <c r="D3852" s="92" t="s">
        <v>2090</v>
      </c>
      <c r="E3852" s="3">
        <v>80</v>
      </c>
      <c r="F3852" s="3">
        <f>7</f>
        <v>7</v>
      </c>
      <c r="G3852" s="4">
        <v>44637</v>
      </c>
      <c r="I3852" s="1">
        <v>1500</v>
      </c>
      <c r="J3852" s="1">
        <v>1500</v>
      </c>
    </row>
    <row r="3853" spans="2:18">
      <c r="B3853" s="91" t="s">
        <v>5420</v>
      </c>
      <c r="C3853" s="92" t="s">
        <v>18</v>
      </c>
      <c r="D3853" s="92" t="s">
        <v>2090</v>
      </c>
      <c r="E3853" s="3">
        <v>80</v>
      </c>
      <c r="F3853" s="3">
        <f>7</f>
        <v>7</v>
      </c>
      <c r="G3853" s="4">
        <v>44637</v>
      </c>
      <c r="I3853" s="1">
        <v>1500</v>
      </c>
      <c r="J3853" s="1">
        <v>1500</v>
      </c>
    </row>
    <row r="3854" spans="2:18">
      <c r="B3854" s="91" t="s">
        <v>5421</v>
      </c>
      <c r="C3854" s="92" t="s">
        <v>18</v>
      </c>
      <c r="D3854" s="92" t="s">
        <v>2090</v>
      </c>
      <c r="E3854" s="3">
        <v>80</v>
      </c>
      <c r="F3854" s="3">
        <f>7</f>
        <v>7</v>
      </c>
      <c r="G3854" s="4">
        <v>44637</v>
      </c>
      <c r="I3854" s="1">
        <v>1500</v>
      </c>
      <c r="J3854" s="1">
        <v>1500</v>
      </c>
    </row>
    <row r="3855" spans="2:18">
      <c r="B3855" s="91" t="s">
        <v>5422</v>
      </c>
      <c r="C3855" s="92" t="s">
        <v>18</v>
      </c>
      <c r="D3855" s="92" t="s">
        <v>2090</v>
      </c>
      <c r="E3855" s="3">
        <v>80</v>
      </c>
      <c r="F3855" s="3">
        <f>7</f>
        <v>7</v>
      </c>
      <c r="G3855" s="4">
        <v>44637</v>
      </c>
      <c r="I3855" s="1">
        <v>1500</v>
      </c>
      <c r="J3855" s="1">
        <v>1500</v>
      </c>
    </row>
    <row r="3856" spans="2:18">
      <c r="B3856" s="91" t="s">
        <v>5423</v>
      </c>
      <c r="C3856" s="92" t="s">
        <v>18</v>
      </c>
      <c r="D3856" s="92" t="s">
        <v>2090</v>
      </c>
      <c r="E3856" s="3">
        <v>80</v>
      </c>
      <c r="F3856" s="3">
        <f>7</f>
        <v>7</v>
      </c>
      <c r="G3856" s="4">
        <v>44637</v>
      </c>
      <c r="I3856" s="1">
        <v>1500</v>
      </c>
      <c r="J3856" s="1">
        <v>1500</v>
      </c>
    </row>
    <row r="3857" spans="2:7">
      <c r="B3857" s="1" t="s">
        <v>275</v>
      </c>
      <c r="C3857" s="2" t="s">
        <v>8</v>
      </c>
      <c r="D3857" s="2" t="s">
        <v>258</v>
      </c>
      <c r="E3857" s="3">
        <v>111</v>
      </c>
      <c r="F3857" s="3">
        <f>97/14</f>
        <v>6.9285714285714288</v>
      </c>
      <c r="G3857" s="4">
        <v>44622</v>
      </c>
    </row>
    <row r="3858" spans="2:7">
      <c r="B3858" s="1" t="s">
        <v>271</v>
      </c>
      <c r="C3858" s="2" t="s">
        <v>8</v>
      </c>
      <c r="D3858" s="2" t="s">
        <v>258</v>
      </c>
      <c r="E3858" s="3">
        <v>111</v>
      </c>
      <c r="F3858" s="3">
        <f>97/14</f>
        <v>6.9285714285714288</v>
      </c>
      <c r="G3858" s="4">
        <v>44622</v>
      </c>
    </row>
    <row r="3859" spans="2:7">
      <c r="B3859" s="1" t="s">
        <v>269</v>
      </c>
      <c r="C3859" s="2" t="s">
        <v>8</v>
      </c>
      <c r="D3859" s="2" t="s">
        <v>258</v>
      </c>
      <c r="E3859" s="3">
        <v>111</v>
      </c>
      <c r="F3859" s="3">
        <f>97/14</f>
        <v>6.9285714285714288</v>
      </c>
      <c r="G3859" s="4">
        <v>44622</v>
      </c>
    </row>
    <row r="3860" spans="2:7">
      <c r="B3860" s="1" t="s">
        <v>268</v>
      </c>
      <c r="C3860" s="2" t="s">
        <v>8</v>
      </c>
      <c r="D3860" s="2" t="s">
        <v>258</v>
      </c>
      <c r="E3860" s="3">
        <v>111</v>
      </c>
      <c r="F3860" s="3">
        <f>97/14</f>
        <v>6.9285714285714288</v>
      </c>
      <c r="G3860" s="4">
        <v>44622</v>
      </c>
    </row>
    <row r="3861" spans="2:7">
      <c r="B3861" s="1" t="s">
        <v>911</v>
      </c>
      <c r="C3861" s="2" t="s">
        <v>5</v>
      </c>
      <c r="D3861" s="2" t="s">
        <v>907</v>
      </c>
      <c r="E3861" s="3">
        <v>80</v>
      </c>
      <c r="F3861" s="3">
        <f t="shared" si="3"/>
        <v>6.666666666666667</v>
      </c>
      <c r="G3861" s="4">
        <v>44539</v>
      </c>
    </row>
    <row r="3862" spans="2:7">
      <c r="G3862" s="4"/>
    </row>
    <row r="3863" spans="2:7">
      <c r="G3863" s="4"/>
    </row>
    <row r="3864" spans="2:7">
      <c r="B3864" s="1" t="s">
        <v>909</v>
      </c>
      <c r="C3864" s="2" t="s">
        <v>5</v>
      </c>
      <c r="D3864" s="2" t="s">
        <v>907</v>
      </c>
      <c r="E3864" s="3">
        <v>80</v>
      </c>
      <c r="F3864" s="3">
        <f t="shared" si="3"/>
        <v>6.666666666666667</v>
      </c>
      <c r="G3864" s="4">
        <v>44539</v>
      </c>
    </row>
    <row r="3865" spans="2:7">
      <c r="B3865" s="1" t="s">
        <v>908</v>
      </c>
      <c r="C3865" s="2" t="s">
        <v>5</v>
      </c>
      <c r="D3865" s="2" t="s">
        <v>907</v>
      </c>
      <c r="E3865" s="3">
        <v>80</v>
      </c>
      <c r="F3865" s="3">
        <f t="shared" si="3"/>
        <v>6.666666666666667</v>
      </c>
      <c r="G3865" s="4">
        <v>44539</v>
      </c>
    </row>
    <row r="3866" spans="2:7">
      <c r="B3866" s="1" t="s">
        <v>906</v>
      </c>
      <c r="C3866" s="2" t="s">
        <v>5</v>
      </c>
      <c r="D3866" s="2" t="s">
        <v>901</v>
      </c>
      <c r="E3866" s="3">
        <v>70</v>
      </c>
      <c r="F3866" s="3">
        <f t="shared" si="3"/>
        <v>6.666666666666667</v>
      </c>
      <c r="G3866" s="4">
        <v>45035</v>
      </c>
    </row>
    <row r="3867" spans="2:7">
      <c r="B3867" s="1" t="s">
        <v>905</v>
      </c>
      <c r="C3867" s="2" t="s">
        <v>5</v>
      </c>
      <c r="D3867" s="2" t="s">
        <v>901</v>
      </c>
      <c r="E3867" s="3">
        <v>70</v>
      </c>
      <c r="F3867" s="3">
        <f t="shared" si="3"/>
        <v>6.666666666666667</v>
      </c>
      <c r="G3867" s="4">
        <v>45035</v>
      </c>
    </row>
    <row r="3868" spans="2:7">
      <c r="B3868" s="1" t="s">
        <v>904</v>
      </c>
      <c r="C3868" s="2" t="s">
        <v>5</v>
      </c>
      <c r="D3868" s="2" t="s">
        <v>901</v>
      </c>
      <c r="E3868" s="3">
        <v>70</v>
      </c>
      <c r="F3868" s="3">
        <f t="shared" si="3"/>
        <v>6.666666666666667</v>
      </c>
      <c r="G3868" s="4">
        <v>45035</v>
      </c>
    </row>
    <row r="3869" spans="2:7">
      <c r="B3869" s="1" t="s">
        <v>903</v>
      </c>
      <c r="C3869" s="2" t="s">
        <v>5</v>
      </c>
      <c r="D3869" s="2" t="s">
        <v>901</v>
      </c>
      <c r="E3869" s="3">
        <v>70</v>
      </c>
      <c r="F3869" s="3">
        <f t="shared" si="3"/>
        <v>6.666666666666667</v>
      </c>
      <c r="G3869" s="4">
        <v>45035</v>
      </c>
    </row>
    <row r="3870" spans="2:7">
      <c r="B3870" s="1" t="s">
        <v>902</v>
      </c>
      <c r="C3870" s="2" t="s">
        <v>5</v>
      </c>
      <c r="D3870" s="2" t="s">
        <v>901</v>
      </c>
      <c r="E3870" s="3">
        <v>70</v>
      </c>
      <c r="F3870" s="3">
        <f t="shared" si="3"/>
        <v>6.666666666666667</v>
      </c>
      <c r="G3870" s="4">
        <v>45035</v>
      </c>
    </row>
    <row r="3871" spans="2:7">
      <c r="B3871" s="1" t="s">
        <v>899</v>
      </c>
      <c r="C3871" s="2" t="s">
        <v>4</v>
      </c>
      <c r="D3871" s="2" t="s">
        <v>848</v>
      </c>
      <c r="E3871" s="3">
        <v>16</v>
      </c>
      <c r="F3871" s="3">
        <v>6</v>
      </c>
      <c r="G3871" s="4">
        <v>44298</v>
      </c>
    </row>
    <row r="3872" spans="2:7">
      <c r="B3872" s="1" t="s">
        <v>898</v>
      </c>
      <c r="C3872" s="2" t="s">
        <v>4</v>
      </c>
      <c r="D3872" s="2" t="s">
        <v>661</v>
      </c>
      <c r="E3872" s="3">
        <v>13</v>
      </c>
      <c r="F3872" s="3">
        <v>6</v>
      </c>
      <c r="G3872" s="4">
        <v>44896</v>
      </c>
    </row>
    <row r="3873" spans="2:18">
      <c r="B3873" s="1" t="s">
        <v>897</v>
      </c>
      <c r="C3873" s="2" t="s">
        <v>5</v>
      </c>
      <c r="D3873" s="2" t="s">
        <v>810</v>
      </c>
      <c r="E3873" s="3">
        <v>11</v>
      </c>
      <c r="F3873" s="3">
        <v>6</v>
      </c>
      <c r="G3873" s="4">
        <v>44044</v>
      </c>
    </row>
    <row r="3874" spans="2:18">
      <c r="B3874" s="1" t="s">
        <v>592</v>
      </c>
      <c r="C3874" s="2" t="s">
        <v>4</v>
      </c>
      <c r="D3874" s="2" t="s">
        <v>591</v>
      </c>
      <c r="E3874" s="3">
        <v>6</v>
      </c>
      <c r="F3874" s="3">
        <v>6</v>
      </c>
      <c r="G3874" s="4">
        <v>44852</v>
      </c>
      <c r="M3874" s="1"/>
      <c r="N3874" s="1"/>
      <c r="O3874" s="1"/>
      <c r="P3874" s="1"/>
      <c r="Q3874" s="1"/>
      <c r="R3874" s="1"/>
    </row>
    <row r="3875" spans="2:18">
      <c r="B3875" s="1" t="s">
        <v>478</v>
      </c>
      <c r="C3875" s="2" t="s">
        <v>7</v>
      </c>
      <c r="D3875" s="2" t="s">
        <v>475</v>
      </c>
      <c r="E3875" s="3">
        <v>90</v>
      </c>
      <c r="F3875" s="3">
        <v>6</v>
      </c>
      <c r="G3875" s="4">
        <v>44398</v>
      </c>
      <c r="M3875" s="1"/>
      <c r="N3875" s="1"/>
      <c r="O3875" s="1"/>
      <c r="P3875" s="1"/>
      <c r="Q3875" s="1"/>
      <c r="R3875" s="1"/>
    </row>
    <row r="3876" spans="2:18">
      <c r="B3876" s="1" t="s">
        <v>477</v>
      </c>
      <c r="C3876" s="2" t="s">
        <v>7</v>
      </c>
      <c r="D3876" s="2" t="s">
        <v>475</v>
      </c>
      <c r="E3876" s="3">
        <v>90</v>
      </c>
      <c r="F3876" s="3">
        <v>6</v>
      </c>
      <c r="G3876" s="4">
        <v>44398</v>
      </c>
      <c r="M3876" s="1"/>
      <c r="N3876" s="1"/>
      <c r="O3876" s="1"/>
      <c r="P3876" s="1"/>
      <c r="Q3876" s="1"/>
      <c r="R3876" s="1"/>
    </row>
    <row r="3877" spans="2:18">
      <c r="B3877" s="1" t="s">
        <v>358</v>
      </c>
      <c r="C3877" s="2" t="s">
        <v>5</v>
      </c>
      <c r="D3877" s="2" t="s">
        <v>355</v>
      </c>
      <c r="E3877" s="3">
        <v>16</v>
      </c>
      <c r="F3877" s="3">
        <v>6</v>
      </c>
      <c r="G3877" s="4">
        <v>44663</v>
      </c>
      <c r="M3877" s="1"/>
      <c r="N3877" s="1"/>
      <c r="O3877" s="1"/>
      <c r="P3877" s="1"/>
      <c r="Q3877" s="1"/>
      <c r="R3877" s="1"/>
    </row>
    <row r="3878" spans="2:18">
      <c r="B3878" s="1" t="s">
        <v>357</v>
      </c>
      <c r="C3878" s="2" t="s">
        <v>4</v>
      </c>
      <c r="D3878" s="2" t="s">
        <v>355</v>
      </c>
      <c r="E3878" s="3">
        <v>12</v>
      </c>
      <c r="F3878" s="3">
        <v>6</v>
      </c>
      <c r="G3878" s="4">
        <v>44271</v>
      </c>
      <c r="M3878" s="1"/>
      <c r="N3878" s="1"/>
      <c r="O3878" s="1"/>
      <c r="P3878" s="1"/>
      <c r="Q3878" s="1"/>
      <c r="R3878" s="1"/>
    </row>
    <row r="3879" spans="2:18">
      <c r="B3879" s="1" t="s">
        <v>295</v>
      </c>
      <c r="C3879" s="2" t="s">
        <v>18</v>
      </c>
      <c r="D3879" s="2" t="s">
        <v>292</v>
      </c>
      <c r="E3879" s="3">
        <v>38</v>
      </c>
      <c r="F3879" s="3">
        <v>6</v>
      </c>
      <c r="G3879" s="4">
        <v>43104</v>
      </c>
    </row>
    <row r="3880" spans="2:18">
      <c r="B3880" s="1" t="s">
        <v>199</v>
      </c>
      <c r="C3880" s="2" t="s">
        <v>7</v>
      </c>
      <c r="D3880" s="2" t="s">
        <v>197</v>
      </c>
      <c r="E3880" s="3">
        <v>46</v>
      </c>
      <c r="F3880" s="3">
        <f>30/5</f>
        <v>6</v>
      </c>
      <c r="G3880" s="4">
        <v>42941</v>
      </c>
    </row>
    <row r="3881" spans="2:18">
      <c r="B3881" s="91" t="s">
        <v>5409</v>
      </c>
      <c r="C3881" s="92" t="s">
        <v>18</v>
      </c>
      <c r="D3881" s="92" t="s">
        <v>5405</v>
      </c>
      <c r="E3881" s="3">
        <v>37</v>
      </c>
      <c r="F3881" s="3">
        <v>6</v>
      </c>
      <c r="G3881" s="4">
        <v>43831</v>
      </c>
      <c r="J3881" s="1">
        <v>2000</v>
      </c>
    </row>
    <row r="3882" spans="2:18">
      <c r="B3882" s="173" t="s">
        <v>6655</v>
      </c>
      <c r="C3882" s="174" t="s">
        <v>7</v>
      </c>
      <c r="D3882" s="174" t="s">
        <v>2030</v>
      </c>
      <c r="E3882" s="3">
        <v>16</v>
      </c>
      <c r="F3882" s="3">
        <v>6</v>
      </c>
      <c r="G3882" s="4">
        <v>44825</v>
      </c>
    </row>
    <row r="3883" spans="2:18">
      <c r="B3883" s="1" t="s">
        <v>316</v>
      </c>
      <c r="C3883" s="2" t="s">
        <v>5</v>
      </c>
      <c r="D3883" s="2" t="s">
        <v>313</v>
      </c>
      <c r="E3883" s="3">
        <v>57</v>
      </c>
      <c r="F3883" s="3">
        <v>5.625</v>
      </c>
      <c r="G3883" s="4">
        <v>44508</v>
      </c>
      <c r="M3883" s="1"/>
      <c r="N3883" s="1"/>
      <c r="O3883" s="1"/>
      <c r="P3883" s="1"/>
      <c r="Q3883" s="1"/>
      <c r="R3883" s="1"/>
    </row>
    <row r="3884" spans="2:18">
      <c r="B3884" s="1" t="s">
        <v>315</v>
      </c>
      <c r="C3884" s="2" t="s">
        <v>5</v>
      </c>
      <c r="D3884" s="2" t="s">
        <v>313</v>
      </c>
      <c r="E3884" s="3">
        <v>57</v>
      </c>
      <c r="F3884" s="3">
        <v>5.625</v>
      </c>
      <c r="G3884" s="4">
        <v>44508</v>
      </c>
      <c r="M3884" s="1"/>
      <c r="N3884" s="1"/>
      <c r="O3884" s="1"/>
      <c r="P3884" s="1"/>
      <c r="Q3884" s="1"/>
      <c r="R3884" s="1"/>
    </row>
    <row r="3885" spans="2:18">
      <c r="B3885" s="1" t="s">
        <v>314</v>
      </c>
      <c r="C3885" s="2" t="s">
        <v>5</v>
      </c>
      <c r="D3885" s="2" t="s">
        <v>313</v>
      </c>
      <c r="E3885" s="3">
        <v>57</v>
      </c>
      <c r="F3885" s="3">
        <v>5.625</v>
      </c>
      <c r="G3885" s="4">
        <v>44508</v>
      </c>
      <c r="M3885" s="1"/>
      <c r="N3885" s="1"/>
      <c r="O3885" s="1"/>
      <c r="P3885" s="1"/>
      <c r="Q3885" s="1"/>
      <c r="R3885" s="1"/>
    </row>
    <row r="3886" spans="2:18">
      <c r="B3886" s="1" t="s">
        <v>266</v>
      </c>
      <c r="C3886" s="2" t="s">
        <v>18</v>
      </c>
      <c r="D3886" s="2" t="s">
        <v>258</v>
      </c>
      <c r="E3886" s="3">
        <v>55</v>
      </c>
      <c r="F3886" s="3">
        <v>5.625</v>
      </c>
      <c r="G3886" s="4">
        <v>44314</v>
      </c>
    </row>
    <row r="3887" spans="2:18">
      <c r="B3887" s="1" t="s">
        <v>896</v>
      </c>
      <c r="C3887" s="2" t="s">
        <v>5</v>
      </c>
      <c r="D3887" s="2" t="s">
        <v>638</v>
      </c>
      <c r="E3887" s="3">
        <v>10.6</v>
      </c>
      <c r="F3887" s="3">
        <v>5.6</v>
      </c>
      <c r="G3887" s="4">
        <v>44819</v>
      </c>
    </row>
    <row r="3888" spans="2:18">
      <c r="B3888" s="1" t="s">
        <v>636</v>
      </c>
      <c r="C3888" s="2" t="s">
        <v>4</v>
      </c>
      <c r="D3888" s="2" t="s">
        <v>635</v>
      </c>
      <c r="E3888" s="3">
        <v>10.6</v>
      </c>
      <c r="F3888" s="3">
        <v>5.6</v>
      </c>
      <c r="G3888" s="4">
        <v>45007</v>
      </c>
      <c r="M3888" s="1"/>
      <c r="N3888" s="1"/>
      <c r="O3888" s="1"/>
      <c r="P3888" s="1"/>
      <c r="Q3888" s="1"/>
      <c r="R3888" s="1"/>
    </row>
    <row r="3889" spans="2:18">
      <c r="B3889" s="1" t="s">
        <v>895</v>
      </c>
      <c r="C3889" s="2" t="s">
        <v>7</v>
      </c>
      <c r="D3889" s="2" t="s">
        <v>894</v>
      </c>
      <c r="E3889" s="3">
        <v>40</v>
      </c>
      <c r="F3889" s="3">
        <v>5</v>
      </c>
      <c r="G3889" s="4">
        <v>44728</v>
      </c>
    </row>
    <row r="3890" spans="2:18">
      <c r="B3890" s="1" t="s">
        <v>893</v>
      </c>
      <c r="C3890" s="2" t="s">
        <v>7</v>
      </c>
      <c r="D3890" s="2" t="s">
        <v>891</v>
      </c>
      <c r="E3890" s="3">
        <v>40</v>
      </c>
      <c r="F3890" s="3">
        <v>5</v>
      </c>
      <c r="G3890" s="4">
        <v>44650</v>
      </c>
    </row>
    <row r="3891" spans="2:18">
      <c r="B3891" s="1" t="s">
        <v>890</v>
      </c>
      <c r="C3891" s="2" t="s">
        <v>5</v>
      </c>
      <c r="D3891" s="2" t="s">
        <v>819</v>
      </c>
      <c r="E3891" s="3">
        <v>20</v>
      </c>
      <c r="F3891" s="3">
        <v>5</v>
      </c>
      <c r="G3891" s="4">
        <v>44578</v>
      </c>
    </row>
    <row r="3892" spans="2:18">
      <c r="B3892" s="1" t="s">
        <v>889</v>
      </c>
      <c r="C3892" s="2" t="s">
        <v>5</v>
      </c>
      <c r="D3892" s="2" t="s">
        <v>888</v>
      </c>
      <c r="E3892" s="3">
        <v>20</v>
      </c>
      <c r="F3892" s="3">
        <v>5</v>
      </c>
      <c r="G3892" s="4">
        <v>45009</v>
      </c>
    </row>
    <row r="3893" spans="2:18">
      <c r="G3893" s="4"/>
    </row>
    <row r="3894" spans="2:18">
      <c r="B3894" s="1" t="s">
        <v>885</v>
      </c>
      <c r="C3894" s="2" t="s">
        <v>4</v>
      </c>
      <c r="D3894" s="2" t="s">
        <v>686</v>
      </c>
      <c r="E3894" s="3">
        <v>30</v>
      </c>
      <c r="F3894" s="3">
        <v>5</v>
      </c>
      <c r="G3894" s="4">
        <v>44601</v>
      </c>
    </row>
    <row r="3895" spans="2:18">
      <c r="B3895" s="1" t="s">
        <v>884</v>
      </c>
      <c r="C3895" s="2" t="s">
        <v>7</v>
      </c>
      <c r="D3895" s="2" t="s">
        <v>883</v>
      </c>
      <c r="E3895" s="3">
        <v>75</v>
      </c>
      <c r="F3895" s="3">
        <v>5</v>
      </c>
      <c r="G3895" s="4">
        <v>43783</v>
      </c>
    </row>
    <row r="3896" spans="2:18">
      <c r="B3896" s="1" t="s">
        <v>590</v>
      </c>
      <c r="C3896" s="2" t="s">
        <v>5</v>
      </c>
      <c r="D3896" s="2" t="s">
        <v>584</v>
      </c>
      <c r="E3896" s="3">
        <v>20</v>
      </c>
      <c r="F3896" s="3">
        <v>5</v>
      </c>
      <c r="G3896" s="4">
        <v>44801</v>
      </c>
      <c r="M3896" s="1"/>
      <c r="N3896" s="1"/>
      <c r="O3896" s="1"/>
      <c r="P3896" s="1"/>
      <c r="Q3896" s="1"/>
      <c r="R3896" s="1"/>
    </row>
    <row r="3897" spans="2:18">
      <c r="B3897" s="1" t="s">
        <v>560</v>
      </c>
      <c r="C3897" s="2" t="s">
        <v>5</v>
      </c>
      <c r="D3897" s="2" t="s">
        <v>559</v>
      </c>
      <c r="E3897" s="3">
        <v>20</v>
      </c>
      <c r="F3897" s="3">
        <v>5</v>
      </c>
      <c r="G3897" s="4">
        <v>44671</v>
      </c>
      <c r="M3897" s="1"/>
      <c r="N3897" s="1"/>
      <c r="O3897" s="1"/>
      <c r="P3897" s="1"/>
      <c r="Q3897" s="1"/>
      <c r="R3897" s="1"/>
    </row>
    <row r="3898" spans="2:18">
      <c r="B3898" s="1" t="s">
        <v>539</v>
      </c>
      <c r="C3898" s="2" t="s">
        <v>18</v>
      </c>
      <c r="D3898" s="2" t="s">
        <v>533</v>
      </c>
      <c r="E3898" s="3">
        <v>45</v>
      </c>
      <c r="F3898" s="3">
        <v>5</v>
      </c>
      <c r="G3898" s="4">
        <v>44159</v>
      </c>
      <c r="M3898" s="1"/>
      <c r="N3898" s="1"/>
      <c r="O3898" s="1"/>
      <c r="P3898" s="1"/>
      <c r="Q3898" s="1"/>
      <c r="R3898" s="1"/>
    </row>
    <row r="3899" spans="2:18">
      <c r="B3899" s="1" t="s">
        <v>538</v>
      </c>
      <c r="C3899" s="2" t="s">
        <v>18</v>
      </c>
      <c r="D3899" s="2" t="s">
        <v>533</v>
      </c>
      <c r="E3899" s="3">
        <v>45</v>
      </c>
      <c r="F3899" s="3">
        <v>5</v>
      </c>
      <c r="G3899" s="4">
        <v>44159</v>
      </c>
      <c r="M3899" s="1"/>
      <c r="N3899" s="1"/>
      <c r="O3899" s="1"/>
      <c r="P3899" s="1"/>
      <c r="Q3899" s="1"/>
      <c r="R3899" s="1"/>
    </row>
    <row r="3900" spans="2:18">
      <c r="B3900" s="1" t="s">
        <v>537</v>
      </c>
      <c r="C3900" s="2" t="s">
        <v>18</v>
      </c>
      <c r="D3900" s="2" t="s">
        <v>533</v>
      </c>
      <c r="E3900" s="3">
        <v>45</v>
      </c>
      <c r="F3900" s="3">
        <v>5</v>
      </c>
      <c r="G3900" s="4">
        <v>44159</v>
      </c>
      <c r="M3900" s="1"/>
      <c r="N3900" s="1"/>
      <c r="O3900" s="1"/>
      <c r="P3900" s="1"/>
      <c r="Q3900" s="1"/>
      <c r="R3900" s="1"/>
    </row>
    <row r="3901" spans="2:18">
      <c r="B3901" s="1" t="s">
        <v>536</v>
      </c>
      <c r="C3901" s="2" t="s">
        <v>18</v>
      </c>
      <c r="D3901" s="2" t="s">
        <v>533</v>
      </c>
      <c r="E3901" s="3">
        <v>45</v>
      </c>
      <c r="F3901" s="3">
        <v>5</v>
      </c>
      <c r="G3901" s="4">
        <v>44159</v>
      </c>
      <c r="M3901" s="1"/>
      <c r="N3901" s="1"/>
      <c r="O3901" s="1"/>
      <c r="P3901" s="1"/>
      <c r="Q3901" s="1"/>
      <c r="R3901" s="1"/>
    </row>
    <row r="3902" spans="2:18">
      <c r="B3902" s="1" t="s">
        <v>535</v>
      </c>
      <c r="C3902" s="2" t="s">
        <v>18</v>
      </c>
      <c r="D3902" s="2" t="s">
        <v>533</v>
      </c>
      <c r="E3902" s="3">
        <v>45</v>
      </c>
      <c r="F3902" s="3">
        <v>5</v>
      </c>
      <c r="G3902" s="4">
        <v>44159</v>
      </c>
      <c r="M3902" s="1"/>
      <c r="N3902" s="1"/>
      <c r="O3902" s="1"/>
      <c r="P3902" s="1"/>
      <c r="Q3902" s="1"/>
      <c r="R3902" s="1"/>
    </row>
    <row r="3903" spans="2:18">
      <c r="B3903" s="1" t="s">
        <v>534</v>
      </c>
      <c r="C3903" s="2" t="s">
        <v>18</v>
      </c>
      <c r="D3903" s="2" t="s">
        <v>533</v>
      </c>
      <c r="E3903" s="3">
        <v>45</v>
      </c>
      <c r="F3903" s="3">
        <v>5</v>
      </c>
      <c r="G3903" s="4">
        <v>44159</v>
      </c>
      <c r="M3903" s="1"/>
      <c r="N3903" s="1"/>
      <c r="O3903" s="1"/>
      <c r="P3903" s="1"/>
      <c r="Q3903" s="1"/>
      <c r="R3903" s="1"/>
    </row>
    <row r="3904" spans="2:18">
      <c r="B3904" s="1" t="s">
        <v>530</v>
      </c>
      <c r="C3904" s="2" t="s">
        <v>18</v>
      </c>
      <c r="D3904" s="2" t="s">
        <v>520</v>
      </c>
      <c r="E3904" s="3">
        <v>60</v>
      </c>
      <c r="F3904" s="3">
        <v>5</v>
      </c>
      <c r="G3904" s="4">
        <v>43606</v>
      </c>
      <c r="M3904" s="1"/>
      <c r="N3904" s="1"/>
      <c r="O3904" s="1"/>
      <c r="P3904" s="1"/>
      <c r="Q3904" s="1"/>
      <c r="R3904" s="1"/>
    </row>
    <row r="3905" spans="2:18">
      <c r="G3905" s="4"/>
      <c r="M3905" s="1"/>
      <c r="N3905" s="1"/>
      <c r="O3905" s="1"/>
      <c r="P3905" s="1"/>
      <c r="Q3905" s="1"/>
      <c r="R3905" s="1"/>
    </row>
    <row r="3906" spans="2:18">
      <c r="B3906" s="1" t="s">
        <v>529</v>
      </c>
      <c r="C3906" s="2" t="s">
        <v>18</v>
      </c>
      <c r="D3906" s="2" t="s">
        <v>520</v>
      </c>
      <c r="E3906" s="3">
        <v>60</v>
      </c>
      <c r="F3906" s="3">
        <v>5</v>
      </c>
      <c r="G3906" s="4">
        <v>43606</v>
      </c>
      <c r="M3906" s="1"/>
      <c r="N3906" s="1"/>
      <c r="O3906" s="1"/>
      <c r="P3906" s="1"/>
      <c r="Q3906" s="1"/>
      <c r="R3906" s="1"/>
    </row>
    <row r="3907" spans="2:18">
      <c r="C3907" s="394" t="s">
        <v>4</v>
      </c>
      <c r="D3907" s="394" t="s">
        <v>2001</v>
      </c>
      <c r="E3907" s="3">
        <v>1.5</v>
      </c>
      <c r="F3907" s="3">
        <v>0.25</v>
      </c>
      <c r="G3907" s="4">
        <v>43424</v>
      </c>
      <c r="M3907" s="1"/>
      <c r="N3907" s="1"/>
      <c r="O3907" s="1"/>
      <c r="P3907" s="1"/>
      <c r="Q3907" s="1"/>
      <c r="R3907" s="1"/>
    </row>
    <row r="3908" spans="2:18">
      <c r="G3908" s="4"/>
      <c r="M3908" s="1"/>
      <c r="N3908" s="1"/>
      <c r="O3908" s="1"/>
      <c r="P3908" s="1"/>
      <c r="Q3908" s="1"/>
      <c r="R3908" s="1"/>
    </row>
    <row r="3909" spans="2:18">
      <c r="G3909" s="4"/>
      <c r="M3909" s="1"/>
      <c r="N3909" s="1"/>
      <c r="O3909" s="1"/>
      <c r="P3909" s="1"/>
      <c r="Q3909" s="1"/>
      <c r="R3909" s="1"/>
    </row>
    <row r="3910" spans="2:18">
      <c r="B3910" s="1" t="s">
        <v>464</v>
      </c>
      <c r="C3910" s="2" t="s">
        <v>7</v>
      </c>
      <c r="D3910" s="2" t="s">
        <v>461</v>
      </c>
      <c r="E3910" s="3">
        <v>25.7</v>
      </c>
      <c r="F3910" s="3">
        <v>5</v>
      </c>
      <c r="G3910" s="4">
        <v>43837</v>
      </c>
      <c r="M3910" s="1"/>
      <c r="N3910" s="1"/>
      <c r="O3910" s="1"/>
      <c r="P3910" s="1"/>
      <c r="Q3910" s="1"/>
      <c r="R3910" s="1"/>
    </row>
    <row r="3911" spans="2:18">
      <c r="B3911" s="1" t="s">
        <v>462</v>
      </c>
      <c r="C3911" s="2" t="s">
        <v>7</v>
      </c>
      <c r="D3911" s="2" t="s">
        <v>461</v>
      </c>
      <c r="E3911" s="3">
        <v>25.7</v>
      </c>
      <c r="F3911" s="3">
        <v>5</v>
      </c>
      <c r="G3911" s="4">
        <v>43837</v>
      </c>
      <c r="M3911" s="1"/>
      <c r="N3911" s="1"/>
      <c r="O3911" s="1"/>
      <c r="P3911" s="1"/>
      <c r="Q3911" s="1"/>
      <c r="R3911" s="1"/>
    </row>
    <row r="3912" spans="2:18">
      <c r="B3912" s="1" t="s">
        <v>406</v>
      </c>
      <c r="C3912" s="2" t="s">
        <v>7</v>
      </c>
      <c r="D3912" s="2" t="s">
        <v>403</v>
      </c>
      <c r="E3912" s="3">
        <v>50</v>
      </c>
      <c r="F3912" s="3">
        <f>30/6</f>
        <v>5</v>
      </c>
      <c r="G3912" s="4">
        <v>44538</v>
      </c>
      <c r="M3912" s="1"/>
      <c r="N3912" s="1"/>
      <c r="O3912" s="1"/>
      <c r="P3912" s="1"/>
      <c r="Q3912" s="1"/>
      <c r="R3912" s="1"/>
    </row>
    <row r="3913" spans="2:18">
      <c r="B3913" s="1" t="s">
        <v>377</v>
      </c>
      <c r="C3913" s="2" t="s">
        <v>7</v>
      </c>
      <c r="D3913" s="2" t="s">
        <v>374</v>
      </c>
      <c r="E3913" s="3">
        <v>44</v>
      </c>
      <c r="F3913" s="3">
        <f>30/6</f>
        <v>5</v>
      </c>
      <c r="G3913" s="4">
        <v>43909</v>
      </c>
      <c r="M3913" s="1"/>
      <c r="N3913" s="1"/>
      <c r="O3913" s="1"/>
      <c r="P3913" s="1"/>
      <c r="Q3913" s="1"/>
      <c r="R3913" s="1"/>
    </row>
    <row r="3914" spans="2:18">
      <c r="B3914" s="1" t="s">
        <v>288</v>
      </c>
      <c r="C3914" s="2" t="s">
        <v>7</v>
      </c>
      <c r="D3914" s="2" t="s">
        <v>286</v>
      </c>
      <c r="E3914" s="3">
        <v>35</v>
      </c>
      <c r="F3914" s="3">
        <f>15/3</f>
        <v>5</v>
      </c>
      <c r="G3914" s="4">
        <v>44309</v>
      </c>
    </row>
    <row r="3915" spans="2:18">
      <c r="B3915" s="1" t="s">
        <v>282</v>
      </c>
      <c r="C3915" s="2" t="s">
        <v>5</v>
      </c>
      <c r="D3915" s="2" t="s">
        <v>281</v>
      </c>
      <c r="E3915" s="3">
        <v>32</v>
      </c>
      <c r="F3915" s="3">
        <v>5</v>
      </c>
      <c r="G3915" s="4">
        <v>44851</v>
      </c>
    </row>
    <row r="3916" spans="2:18">
      <c r="B3916" s="1" t="s">
        <v>132</v>
      </c>
      <c r="C3916" s="2" t="s">
        <v>7</v>
      </c>
      <c r="D3916" s="2" t="s">
        <v>131</v>
      </c>
      <c r="E3916" s="3">
        <v>32</v>
      </c>
      <c r="F3916" s="3">
        <v>5</v>
      </c>
      <c r="G3916" s="4">
        <v>42528</v>
      </c>
    </row>
    <row r="3917" spans="2:18">
      <c r="B3917" s="1" t="s">
        <v>65</v>
      </c>
      <c r="C3917" s="2" t="s">
        <v>5</v>
      </c>
      <c r="D3917" s="2" t="s">
        <v>64</v>
      </c>
      <c r="E3917" s="3">
        <v>50</v>
      </c>
      <c r="F3917" s="3">
        <f>20/4</f>
        <v>5</v>
      </c>
      <c r="G3917" s="4">
        <v>44165</v>
      </c>
    </row>
    <row r="3918" spans="2:18">
      <c r="B3918" s="1" t="s">
        <v>40</v>
      </c>
      <c r="C3918" s="2" t="s">
        <v>5</v>
      </c>
      <c r="D3918" s="2" t="s">
        <v>39</v>
      </c>
      <c r="E3918" s="3">
        <v>25</v>
      </c>
      <c r="F3918" s="3">
        <v>5</v>
      </c>
      <c r="G3918" s="4">
        <v>42374</v>
      </c>
      <c r="J3918" s="1">
        <v>2000</v>
      </c>
    </row>
    <row r="3919" spans="2:18">
      <c r="B3919" s="176" t="s">
        <v>6761</v>
      </c>
      <c r="C3919" s="177" t="s">
        <v>5</v>
      </c>
      <c r="D3919" s="177" t="s">
        <v>6762</v>
      </c>
      <c r="E3919" s="3">
        <v>11</v>
      </c>
      <c r="F3919" s="3">
        <v>5</v>
      </c>
      <c r="G3919" s="4">
        <v>43215</v>
      </c>
    </row>
    <row r="3920" spans="2:18">
      <c r="B3920" s="1" t="s">
        <v>390</v>
      </c>
      <c r="C3920" s="2" t="s">
        <v>7</v>
      </c>
      <c r="D3920" s="2" t="s">
        <v>386</v>
      </c>
      <c r="E3920" s="3">
        <v>9.4</v>
      </c>
      <c r="F3920" s="3">
        <f>E3920/2</f>
        <v>4.7</v>
      </c>
      <c r="G3920" s="4">
        <v>42968</v>
      </c>
      <c r="M3920" s="1"/>
      <c r="N3920" s="1"/>
      <c r="O3920" s="1"/>
      <c r="P3920" s="1"/>
      <c r="Q3920" s="1"/>
      <c r="R3920" s="1"/>
    </row>
    <row r="3921" spans="2:18">
      <c r="B3921" s="1" t="s">
        <v>389</v>
      </c>
      <c r="C3921" s="2" t="s">
        <v>7</v>
      </c>
      <c r="D3921" s="2" t="s">
        <v>386</v>
      </c>
      <c r="E3921" s="3">
        <v>9.4</v>
      </c>
      <c r="F3921" s="3">
        <f>E3921/2</f>
        <v>4.7</v>
      </c>
      <c r="G3921" s="4">
        <v>42968</v>
      </c>
      <c r="M3921" s="1"/>
      <c r="N3921" s="1"/>
      <c r="O3921" s="1"/>
      <c r="P3921" s="1"/>
      <c r="Q3921" s="1"/>
      <c r="R3921" s="1"/>
    </row>
    <row r="3922" spans="2:18">
      <c r="B3922" s="1" t="s">
        <v>882</v>
      </c>
      <c r="C3922" s="2" t="s">
        <v>5</v>
      </c>
      <c r="D3922" s="2" t="s">
        <v>843</v>
      </c>
      <c r="E3922" s="3">
        <v>44</v>
      </c>
      <c r="F3922" s="3">
        <f>14/3</f>
        <v>4.666666666666667</v>
      </c>
      <c r="G3922" s="4">
        <v>44671</v>
      </c>
    </row>
    <row r="3923" spans="2:18">
      <c r="B3923" s="1" t="s">
        <v>881</v>
      </c>
      <c r="C3923" s="2" t="s">
        <v>5</v>
      </c>
      <c r="D3923" s="2" t="s">
        <v>843</v>
      </c>
      <c r="E3923" s="3">
        <v>44</v>
      </c>
      <c r="F3923" s="3">
        <f>14/3</f>
        <v>4.666666666666667</v>
      </c>
      <c r="G3923" s="4">
        <v>44671</v>
      </c>
    </row>
    <row r="3924" spans="2:18">
      <c r="B3924" s="1" t="s">
        <v>880</v>
      </c>
      <c r="C3924" s="2" t="s">
        <v>5</v>
      </c>
      <c r="D3924" s="2" t="s">
        <v>843</v>
      </c>
      <c r="E3924" s="3">
        <v>44</v>
      </c>
      <c r="F3924" s="3">
        <f>14/3</f>
        <v>4.666666666666667</v>
      </c>
      <c r="G3924" s="4">
        <v>44671</v>
      </c>
    </row>
    <row r="3925" spans="2:18">
      <c r="B3925" s="1" t="s">
        <v>879</v>
      </c>
      <c r="C3925" s="2" t="s">
        <v>5</v>
      </c>
      <c r="D3925" s="2" t="s">
        <v>672</v>
      </c>
      <c r="E3925" s="3">
        <v>14.5</v>
      </c>
      <c r="F3925" s="3">
        <v>4.5</v>
      </c>
      <c r="G3925" s="4">
        <v>44389</v>
      </c>
    </row>
    <row r="3926" spans="2:18">
      <c r="B3926" s="1" t="s">
        <v>135</v>
      </c>
      <c r="C3926" s="2" t="s">
        <v>18</v>
      </c>
      <c r="D3926" s="2" t="s">
        <v>131</v>
      </c>
      <c r="E3926" s="3">
        <v>31.7</v>
      </c>
      <c r="F3926" s="3">
        <f>18/4</f>
        <v>4.5</v>
      </c>
      <c r="G3926" s="4">
        <v>43599</v>
      </c>
    </row>
    <row r="3927" spans="2:18">
      <c r="B3927" s="1" t="s">
        <v>134</v>
      </c>
      <c r="C3927" s="2" t="s">
        <v>18</v>
      </c>
      <c r="D3927" s="2" t="s">
        <v>131</v>
      </c>
      <c r="E3927" s="3">
        <v>31.7</v>
      </c>
      <c r="F3927" s="3">
        <f>18/4</f>
        <v>4.5</v>
      </c>
      <c r="G3927" s="4">
        <v>43599</v>
      </c>
    </row>
    <row r="3928" spans="2:18">
      <c r="B3928" s="176" t="s">
        <v>6666</v>
      </c>
      <c r="C3928" s="177" t="s">
        <v>5</v>
      </c>
      <c r="D3928" s="174" t="s">
        <v>2030</v>
      </c>
      <c r="E3928" s="3">
        <v>9.3000000000000007</v>
      </c>
      <c r="F3928" s="3">
        <v>4.3</v>
      </c>
      <c r="G3928" s="4">
        <v>44229</v>
      </c>
    </row>
    <row r="3929" spans="2:18">
      <c r="B3929" s="1" t="s">
        <v>878</v>
      </c>
      <c r="C3929" s="2" t="s">
        <v>7</v>
      </c>
      <c r="D3929" s="2" t="s">
        <v>877</v>
      </c>
      <c r="E3929" s="3">
        <v>35</v>
      </c>
      <c r="F3929" s="3">
        <f>25/6</f>
        <v>4.166666666666667</v>
      </c>
      <c r="G3929" s="4">
        <v>44293</v>
      </c>
    </row>
    <row r="3930" spans="2:18">
      <c r="G3930" s="4"/>
    </row>
    <row r="3931" spans="2:18">
      <c r="G3931" s="4"/>
    </row>
    <row r="3932" spans="2:18">
      <c r="B3932" s="1" t="s">
        <v>874</v>
      </c>
      <c r="C3932" s="2" t="s">
        <v>5</v>
      </c>
      <c r="D3932" s="2" t="s">
        <v>873</v>
      </c>
      <c r="E3932" s="3">
        <v>30</v>
      </c>
      <c r="F3932" s="3">
        <v>4</v>
      </c>
      <c r="G3932" s="4">
        <v>44522</v>
      </c>
    </row>
    <row r="3933" spans="2:18">
      <c r="B3933" s="1" t="s">
        <v>607</v>
      </c>
      <c r="C3933" s="2" t="s">
        <v>18</v>
      </c>
      <c r="D3933" s="2" t="s">
        <v>606</v>
      </c>
      <c r="E3933" s="3">
        <v>48</v>
      </c>
      <c r="F3933" s="3">
        <v>4</v>
      </c>
      <c r="G3933" s="4">
        <v>43888</v>
      </c>
      <c r="M3933" s="1"/>
      <c r="N3933" s="1"/>
      <c r="O3933" s="1"/>
      <c r="P3933" s="1"/>
      <c r="Q3933" s="1"/>
      <c r="R3933" s="1"/>
    </row>
    <row r="3934" spans="2:18">
      <c r="B3934" s="1" t="s">
        <v>602</v>
      </c>
      <c r="C3934" s="2" t="s">
        <v>5</v>
      </c>
      <c r="D3934" s="2" t="s">
        <v>599</v>
      </c>
      <c r="E3934" s="3">
        <v>26</v>
      </c>
      <c r="F3934" s="3">
        <v>4</v>
      </c>
      <c r="G3934" s="4">
        <v>43809</v>
      </c>
      <c r="M3934" s="1"/>
      <c r="N3934" s="1"/>
      <c r="O3934" s="1"/>
      <c r="P3934" s="1"/>
      <c r="Q3934" s="1"/>
      <c r="R3934" s="1"/>
    </row>
    <row r="3935" spans="2:18">
      <c r="B3935" s="1" t="s">
        <v>460</v>
      </c>
      <c r="C3935" s="2" t="s">
        <v>7</v>
      </c>
      <c r="D3935" s="2" t="s">
        <v>456</v>
      </c>
      <c r="E3935" s="3">
        <v>26.8</v>
      </c>
      <c r="F3935" s="3">
        <v>4</v>
      </c>
      <c r="G3935" s="4">
        <v>44600</v>
      </c>
      <c r="M3935" s="1"/>
      <c r="N3935" s="1"/>
      <c r="O3935" s="1"/>
      <c r="P3935" s="1"/>
      <c r="Q3935" s="1"/>
      <c r="R3935" s="1"/>
    </row>
    <row r="3936" spans="2:18">
      <c r="B3936" s="1" t="s">
        <v>409</v>
      </c>
      <c r="C3936" s="2" t="s">
        <v>4</v>
      </c>
      <c r="D3936" s="2" t="s">
        <v>408</v>
      </c>
      <c r="E3936" s="3">
        <v>4</v>
      </c>
      <c r="F3936" s="3">
        <v>4</v>
      </c>
      <c r="G3936" s="4">
        <v>43389</v>
      </c>
      <c r="M3936" s="1"/>
      <c r="N3936" s="1"/>
      <c r="O3936" s="1"/>
      <c r="P3936" s="1"/>
      <c r="Q3936" s="1"/>
      <c r="R3936" s="1"/>
    </row>
    <row r="3937" spans="2:18">
      <c r="B3937" s="1" t="s">
        <v>401</v>
      </c>
      <c r="C3937" s="2" t="s">
        <v>7</v>
      </c>
      <c r="D3937" s="2" t="s">
        <v>398</v>
      </c>
      <c r="E3937" s="3">
        <v>37</v>
      </c>
      <c r="F3937" s="3">
        <v>4</v>
      </c>
      <c r="G3937" s="4">
        <v>44860</v>
      </c>
      <c r="M3937" s="1"/>
      <c r="N3937" s="1"/>
      <c r="O3937" s="1"/>
      <c r="P3937" s="1"/>
      <c r="Q3937" s="1"/>
      <c r="R3937" s="1"/>
    </row>
    <row r="3938" spans="2:18">
      <c r="B3938" s="1" t="s">
        <v>291</v>
      </c>
      <c r="C3938" s="2" t="s">
        <v>5</v>
      </c>
      <c r="D3938" s="2" t="s">
        <v>289</v>
      </c>
      <c r="E3938" s="3">
        <v>30</v>
      </c>
      <c r="F3938" s="3">
        <f>20/5</f>
        <v>4</v>
      </c>
      <c r="G3938" s="4">
        <v>44474</v>
      </c>
    </row>
    <row r="3939" spans="2:18">
      <c r="B3939" s="152" t="s">
        <v>6359</v>
      </c>
      <c r="C3939" s="153" t="s">
        <v>7</v>
      </c>
      <c r="D3939" s="153" t="s">
        <v>2046</v>
      </c>
      <c r="E3939" s="3">
        <v>50</v>
      </c>
      <c r="F3939" s="3">
        <v>4</v>
      </c>
      <c r="G3939" s="4">
        <v>44252</v>
      </c>
    </row>
    <row r="3940" spans="2:18">
      <c r="B3940" s="91" t="s">
        <v>5426</v>
      </c>
      <c r="C3940" s="92" t="s">
        <v>5</v>
      </c>
      <c r="D3940" s="92" t="s">
        <v>2090</v>
      </c>
      <c r="E3940" s="3">
        <v>15</v>
      </c>
      <c r="F3940" s="3">
        <f>7.5/2</f>
        <v>3.75</v>
      </c>
      <c r="G3940" s="4">
        <v>43864</v>
      </c>
      <c r="J3940" s="1">
        <v>1500</v>
      </c>
    </row>
    <row r="3941" spans="2:18">
      <c r="B3941" s="1" t="s">
        <v>870</v>
      </c>
      <c r="C3941" s="2" t="s">
        <v>4</v>
      </c>
      <c r="D3941" s="2" t="s">
        <v>661</v>
      </c>
      <c r="E3941" s="3">
        <v>13</v>
      </c>
      <c r="F3941" s="3">
        <f>7/2</f>
        <v>3.5</v>
      </c>
      <c r="G3941" s="4">
        <v>44896</v>
      </c>
    </row>
    <row r="3942" spans="2:18">
      <c r="B3942" s="1" t="s">
        <v>869</v>
      </c>
      <c r="C3942" s="2" t="s">
        <v>4</v>
      </c>
      <c r="D3942" s="2" t="s">
        <v>771</v>
      </c>
      <c r="E3942" s="3">
        <v>10</v>
      </c>
      <c r="F3942" s="3">
        <v>3.5</v>
      </c>
      <c r="G3942" s="4">
        <v>44858</v>
      </c>
    </row>
    <row r="3943" spans="2:18">
      <c r="B3943" s="1" t="s">
        <v>868</v>
      </c>
      <c r="C3943" s="2" t="s">
        <v>4</v>
      </c>
      <c r="D3943" s="2" t="s">
        <v>771</v>
      </c>
      <c r="E3943" s="3">
        <v>10</v>
      </c>
      <c r="F3943" s="3">
        <v>3.5</v>
      </c>
      <c r="G3943" s="4">
        <v>44858</v>
      </c>
    </row>
    <row r="3944" spans="2:18">
      <c r="B3944" s="1" t="s">
        <v>681</v>
      </c>
      <c r="C3944" s="2" t="s">
        <v>4</v>
      </c>
      <c r="D3944" s="2" t="s">
        <v>680</v>
      </c>
      <c r="E3944" s="3">
        <v>5.3</v>
      </c>
      <c r="F3944" s="3">
        <v>3.3</v>
      </c>
      <c r="G3944" s="4">
        <v>45069</v>
      </c>
    </row>
    <row r="3945" spans="2:18">
      <c r="B3945" s="1" t="s">
        <v>476</v>
      </c>
      <c r="C3945" s="2" t="s">
        <v>5</v>
      </c>
      <c r="D3945" s="2" t="s">
        <v>475</v>
      </c>
      <c r="E3945" s="3">
        <v>22.8</v>
      </c>
      <c r="F3945" s="3">
        <v>3.3</v>
      </c>
      <c r="G3945" s="4">
        <v>43160</v>
      </c>
      <c r="H3945" s="8"/>
      <c r="M3945" s="1"/>
      <c r="N3945" s="1"/>
      <c r="O3945" s="1"/>
      <c r="P3945" s="1"/>
      <c r="Q3945" s="1"/>
      <c r="R3945" s="1"/>
    </row>
    <row r="3946" spans="2:18">
      <c r="B3946" s="1" t="s">
        <v>178</v>
      </c>
      <c r="C3946" s="2" t="s">
        <v>7</v>
      </c>
      <c r="D3946" s="2" t="s">
        <v>176</v>
      </c>
      <c r="E3946" s="3">
        <v>16.5</v>
      </c>
      <c r="F3946" s="3">
        <f>E3946/5</f>
        <v>3.3</v>
      </c>
      <c r="G3946" s="4">
        <v>41176</v>
      </c>
    </row>
    <row r="3947" spans="2:18">
      <c r="B3947" s="1" t="s">
        <v>177</v>
      </c>
      <c r="C3947" s="2" t="s">
        <v>7</v>
      </c>
      <c r="D3947" s="2" t="s">
        <v>176</v>
      </c>
      <c r="E3947" s="3">
        <v>16.5</v>
      </c>
      <c r="F3947" s="3">
        <f>E3947/5</f>
        <v>3.3</v>
      </c>
      <c r="G3947" s="4">
        <v>41176</v>
      </c>
    </row>
    <row r="3948" spans="2:18">
      <c r="B3948" s="1" t="s">
        <v>96</v>
      </c>
      <c r="C3948" s="2" t="s">
        <v>7</v>
      </c>
      <c r="D3948" s="2" t="s">
        <v>95</v>
      </c>
      <c r="E3948" s="3">
        <v>15</v>
      </c>
      <c r="F3948" s="3">
        <v>3.2</v>
      </c>
      <c r="G3948" s="4">
        <v>43559</v>
      </c>
    </row>
    <row r="3949" spans="2:18">
      <c r="B3949" s="1" t="s">
        <v>867</v>
      </c>
      <c r="C3949" s="2" t="s">
        <v>5</v>
      </c>
      <c r="D3949" s="2" t="s">
        <v>864</v>
      </c>
      <c r="E3949" s="3">
        <v>10</v>
      </c>
      <c r="F3949" s="3">
        <v>3</v>
      </c>
      <c r="G3949" s="4">
        <v>44378</v>
      </c>
    </row>
    <row r="3950" spans="2:18">
      <c r="B3950" s="1" t="s">
        <v>865</v>
      </c>
      <c r="C3950" s="2" t="s">
        <v>5</v>
      </c>
      <c r="D3950" s="2" t="s">
        <v>864</v>
      </c>
      <c r="E3950" s="3">
        <v>10</v>
      </c>
      <c r="F3950" s="3">
        <v>3</v>
      </c>
      <c r="G3950" s="4">
        <v>44378</v>
      </c>
    </row>
    <row r="3951" spans="2:18">
      <c r="B3951" s="1" t="s">
        <v>863</v>
      </c>
      <c r="C3951" s="2" t="s">
        <v>7</v>
      </c>
      <c r="D3951" s="2" t="s">
        <v>735</v>
      </c>
      <c r="E3951" s="3">
        <v>25</v>
      </c>
      <c r="F3951" s="3">
        <f>15/5</f>
        <v>3</v>
      </c>
      <c r="G3951" s="4">
        <v>44755</v>
      </c>
    </row>
    <row r="3952" spans="2:18">
      <c r="B3952" s="1" t="s">
        <v>862</v>
      </c>
      <c r="C3952" s="2" t="s">
        <v>5</v>
      </c>
      <c r="D3952" s="2" t="s">
        <v>783</v>
      </c>
      <c r="E3952" s="3">
        <v>10.9</v>
      </c>
      <c r="F3952" s="3">
        <v>3</v>
      </c>
      <c r="G3952" s="4">
        <v>45070</v>
      </c>
    </row>
    <row r="3953" spans="2:18">
      <c r="B3953" s="1" t="s">
        <v>861</v>
      </c>
      <c r="C3953" s="2" t="s">
        <v>7</v>
      </c>
      <c r="D3953" s="2" t="s">
        <v>860</v>
      </c>
      <c r="E3953" s="3">
        <v>25</v>
      </c>
      <c r="F3953" s="3">
        <v>3</v>
      </c>
      <c r="G3953" s="4">
        <v>44636</v>
      </c>
    </row>
    <row r="3954" spans="2:18">
      <c r="B3954" s="1" t="s">
        <v>859</v>
      </c>
      <c r="C3954" s="2" t="s">
        <v>5</v>
      </c>
      <c r="D3954" s="2" t="s">
        <v>642</v>
      </c>
      <c r="E3954" s="3">
        <v>12</v>
      </c>
      <c r="F3954" s="3">
        <v>3</v>
      </c>
      <c r="G3954" s="4">
        <v>44860</v>
      </c>
    </row>
    <row r="3955" spans="2:18">
      <c r="B3955" s="1" t="s">
        <v>857</v>
      </c>
      <c r="C3955" s="2" t="s">
        <v>7</v>
      </c>
      <c r="D3955" s="2" t="s">
        <v>525</v>
      </c>
      <c r="E3955" s="3">
        <v>32</v>
      </c>
      <c r="F3955" s="3">
        <v>3</v>
      </c>
      <c r="G3955" s="4">
        <v>44364</v>
      </c>
    </row>
    <row r="3956" spans="2:18">
      <c r="G3956" s="4"/>
    </row>
    <row r="3957" spans="2:18">
      <c r="B3957" s="1" t="s">
        <v>519</v>
      </c>
      <c r="C3957" s="2" t="s">
        <v>5</v>
      </c>
      <c r="D3957" s="2" t="s">
        <v>516</v>
      </c>
      <c r="E3957" s="3">
        <v>14.5</v>
      </c>
      <c r="F3957" s="3">
        <v>3</v>
      </c>
      <c r="G3957" s="4">
        <v>43389</v>
      </c>
      <c r="M3957" s="1"/>
      <c r="N3957" s="1"/>
      <c r="O3957" s="1"/>
      <c r="P3957" s="1"/>
      <c r="Q3957" s="1"/>
      <c r="R3957" s="1"/>
    </row>
    <row r="3958" spans="2:18">
      <c r="B3958" s="1" t="s">
        <v>433</v>
      </c>
      <c r="C3958" s="2" t="s">
        <v>5</v>
      </c>
      <c r="D3958" s="2" t="s">
        <v>431</v>
      </c>
      <c r="E3958" s="3">
        <v>15</v>
      </c>
      <c r="F3958" s="3">
        <v>3</v>
      </c>
      <c r="G3958" s="4">
        <v>42690</v>
      </c>
      <c r="M3958" s="1"/>
      <c r="N3958" s="1"/>
      <c r="O3958" s="1"/>
      <c r="P3958" s="1"/>
      <c r="Q3958" s="1"/>
      <c r="R3958" s="1"/>
    </row>
    <row r="3959" spans="2:18">
      <c r="B3959" s="1" t="s">
        <v>356</v>
      </c>
      <c r="C3959" s="2" t="s">
        <v>4</v>
      </c>
      <c r="D3959" s="2" t="s">
        <v>355</v>
      </c>
      <c r="E3959" s="3">
        <v>12</v>
      </c>
      <c r="F3959" s="3">
        <v>3</v>
      </c>
      <c r="G3959" s="4">
        <v>44271</v>
      </c>
      <c r="M3959" s="1"/>
      <c r="N3959" s="1"/>
      <c r="O3959" s="1"/>
      <c r="P3959" s="1"/>
      <c r="Q3959" s="1"/>
      <c r="R3959" s="1"/>
    </row>
    <row r="3960" spans="2:18">
      <c r="B3960" s="1" t="s">
        <v>331</v>
      </c>
      <c r="C3960" s="2" t="s">
        <v>4</v>
      </c>
      <c r="D3960" s="2" t="s">
        <v>329</v>
      </c>
      <c r="E3960" s="3">
        <v>5</v>
      </c>
      <c r="F3960" s="3">
        <v>3</v>
      </c>
      <c r="G3960" s="4">
        <v>43224</v>
      </c>
      <c r="L3960" s="1">
        <v>0</v>
      </c>
      <c r="M3960" s="1"/>
      <c r="N3960" s="1"/>
      <c r="O3960" s="1"/>
      <c r="P3960" s="1"/>
      <c r="Q3960" s="1"/>
      <c r="R3960" s="1"/>
    </row>
    <row r="3961" spans="2:18">
      <c r="G3961" s="4"/>
      <c r="M3961" s="1"/>
      <c r="N3961" s="1"/>
      <c r="O3961" s="1"/>
      <c r="P3961" s="1"/>
      <c r="Q3961" s="1"/>
      <c r="R3961" s="1"/>
    </row>
    <row r="3962" spans="2:18">
      <c r="B3962" s="1" t="s">
        <v>100</v>
      </c>
      <c r="C3962" s="2" t="s">
        <v>7</v>
      </c>
      <c r="D3962" s="2" t="s">
        <v>95</v>
      </c>
      <c r="E3962" s="3">
        <v>25</v>
      </c>
      <c r="F3962" s="3">
        <f>15/5</f>
        <v>3</v>
      </c>
      <c r="G3962" s="4">
        <v>43783</v>
      </c>
    </row>
    <row r="3963" spans="2:18">
      <c r="B3963" s="1" t="s">
        <v>99</v>
      </c>
      <c r="C3963" s="2" t="s">
        <v>7</v>
      </c>
      <c r="D3963" s="2" t="s">
        <v>95</v>
      </c>
      <c r="E3963" s="3">
        <v>25</v>
      </c>
      <c r="F3963" s="3">
        <f>15/5</f>
        <v>3</v>
      </c>
      <c r="G3963" s="4">
        <v>43783</v>
      </c>
    </row>
    <row r="3964" spans="2:18">
      <c r="B3964" s="1" t="s">
        <v>4372</v>
      </c>
      <c r="C3964" s="2" t="s">
        <v>5</v>
      </c>
      <c r="D3964" s="2" t="s">
        <v>2025</v>
      </c>
      <c r="E3964" s="3">
        <v>18</v>
      </c>
      <c r="F3964" s="3">
        <v>3</v>
      </c>
      <c r="G3964" s="4">
        <v>44866</v>
      </c>
    </row>
    <row r="3965" spans="2:18">
      <c r="B3965" s="134" t="s">
        <v>6292</v>
      </c>
      <c r="C3965" s="140" t="s">
        <v>5</v>
      </c>
      <c r="D3965" s="140" t="s">
        <v>6291</v>
      </c>
      <c r="E3965" s="3">
        <v>25</v>
      </c>
      <c r="F3965" s="3">
        <v>3</v>
      </c>
      <c r="G3965" s="4">
        <v>44594</v>
      </c>
    </row>
    <row r="3966" spans="2:18">
      <c r="B3966" s="134" t="s">
        <v>6294</v>
      </c>
      <c r="C3966" s="140" t="s">
        <v>5</v>
      </c>
      <c r="D3966" s="140" t="s">
        <v>6291</v>
      </c>
      <c r="E3966" s="3">
        <v>25</v>
      </c>
      <c r="F3966" s="3">
        <v>3</v>
      </c>
      <c r="G3966" s="4">
        <v>44594</v>
      </c>
    </row>
    <row r="3967" spans="2:18">
      <c r="B3967" s="152" t="s">
        <v>6545</v>
      </c>
      <c r="C3967" s="153" t="s">
        <v>5</v>
      </c>
      <c r="D3967" s="153" t="s">
        <v>2035</v>
      </c>
      <c r="E3967" s="3">
        <v>9.1</v>
      </c>
      <c r="F3967" s="3">
        <v>3</v>
      </c>
      <c r="G3967" s="4">
        <v>42087</v>
      </c>
    </row>
    <row r="3968" spans="2:18">
      <c r="B3968" s="1" t="s">
        <v>106</v>
      </c>
      <c r="C3968" s="2" t="s">
        <v>8</v>
      </c>
      <c r="D3968" s="2" t="s">
        <v>102</v>
      </c>
      <c r="E3968" s="3">
        <v>30</v>
      </c>
      <c r="F3968" s="3">
        <f>20/7</f>
        <v>2.8571428571428572</v>
      </c>
      <c r="G3968" s="4">
        <v>43178</v>
      </c>
    </row>
    <row r="3969" spans="2:18">
      <c r="B3969" s="1" t="s">
        <v>105</v>
      </c>
      <c r="C3969" s="2" t="s">
        <v>8</v>
      </c>
      <c r="D3969" s="2" t="s">
        <v>102</v>
      </c>
      <c r="E3969" s="3">
        <v>30</v>
      </c>
      <c r="F3969" s="3">
        <f>20/7</f>
        <v>2.8571428571428572</v>
      </c>
      <c r="G3969" s="4">
        <v>43178</v>
      </c>
    </row>
    <row r="3970" spans="2:18">
      <c r="B3970" s="1" t="s">
        <v>120</v>
      </c>
      <c r="C3970" s="2" t="s">
        <v>5</v>
      </c>
      <c r="D3970" s="2" t="s">
        <v>110</v>
      </c>
      <c r="E3970" s="3">
        <v>25</v>
      </c>
      <c r="F3970" s="3">
        <f>17/6</f>
        <v>2.8333333333333335</v>
      </c>
      <c r="G3970" s="4">
        <v>44510</v>
      </c>
    </row>
    <row r="3971" spans="2:18">
      <c r="B3971" s="1" t="s">
        <v>119</v>
      </c>
      <c r="C3971" s="2" t="s">
        <v>5</v>
      </c>
      <c r="D3971" s="2" t="s">
        <v>110</v>
      </c>
      <c r="E3971" s="3">
        <v>25</v>
      </c>
      <c r="F3971" s="3">
        <f>17/6</f>
        <v>2.8333333333333335</v>
      </c>
      <c r="G3971" s="4">
        <v>44510</v>
      </c>
    </row>
    <row r="3972" spans="2:18">
      <c r="B3972" s="1" t="s">
        <v>855</v>
      </c>
      <c r="C3972" s="2" t="s">
        <v>5</v>
      </c>
      <c r="D3972" s="2" t="s">
        <v>735</v>
      </c>
      <c r="E3972" s="3">
        <v>21</v>
      </c>
      <c r="F3972" s="3">
        <f>14/5</f>
        <v>2.8</v>
      </c>
      <c r="G3972" s="4">
        <v>44489</v>
      </c>
    </row>
    <row r="3973" spans="2:18">
      <c r="B3973" s="1" t="s">
        <v>361</v>
      </c>
      <c r="C3973" s="2" t="s">
        <v>5</v>
      </c>
      <c r="D3973" s="2" t="s">
        <v>360</v>
      </c>
      <c r="E3973" s="3">
        <v>10.7</v>
      </c>
      <c r="F3973" s="3">
        <f>+E3973-8</f>
        <v>2.6999999999999993</v>
      </c>
      <c r="G3973" s="4">
        <v>43250</v>
      </c>
      <c r="M3973" s="1"/>
      <c r="N3973" s="1"/>
      <c r="O3973" s="1"/>
      <c r="P3973" s="1"/>
      <c r="Q3973" s="1"/>
      <c r="R3973" s="1"/>
    </row>
    <row r="3974" spans="2:18">
      <c r="B3974" s="1" t="s">
        <v>422</v>
      </c>
      <c r="C3974" s="2" t="s">
        <v>18</v>
      </c>
      <c r="D3974" s="2" t="s">
        <v>416</v>
      </c>
      <c r="E3974" s="3">
        <v>23</v>
      </c>
      <c r="F3974" s="3">
        <f>16/6</f>
        <v>2.6666666666666665</v>
      </c>
      <c r="G3974" s="4">
        <v>44328</v>
      </c>
      <c r="M3974" s="1"/>
      <c r="N3974" s="1"/>
      <c r="O3974" s="1"/>
      <c r="P3974" s="1"/>
      <c r="Q3974" s="1"/>
      <c r="R3974" s="1"/>
    </row>
    <row r="3975" spans="2:18">
      <c r="B3975" s="1" t="s">
        <v>421</v>
      </c>
      <c r="C3975" s="2" t="s">
        <v>18</v>
      </c>
      <c r="D3975" s="2" t="s">
        <v>416</v>
      </c>
      <c r="E3975" s="3">
        <v>23</v>
      </c>
      <c r="F3975" s="3">
        <f>16/6</f>
        <v>2.6666666666666665</v>
      </c>
      <c r="G3975" s="4">
        <v>44328</v>
      </c>
      <c r="M3975" s="1"/>
      <c r="N3975" s="1"/>
      <c r="O3975" s="1"/>
      <c r="P3975" s="1"/>
      <c r="Q3975" s="1"/>
      <c r="R3975" s="1"/>
    </row>
    <row r="3976" spans="2:18">
      <c r="B3976" s="1" t="s">
        <v>420</v>
      </c>
      <c r="C3976" s="2" t="s">
        <v>18</v>
      </c>
      <c r="D3976" s="2" t="s">
        <v>416</v>
      </c>
      <c r="E3976" s="3">
        <v>23</v>
      </c>
      <c r="F3976" s="3">
        <f>16/6</f>
        <v>2.6666666666666665</v>
      </c>
      <c r="G3976" s="4">
        <v>44328</v>
      </c>
      <c r="M3976" s="1"/>
      <c r="N3976" s="1"/>
      <c r="O3976" s="1"/>
      <c r="P3976" s="1"/>
      <c r="Q3976" s="1"/>
      <c r="R3976" s="1"/>
    </row>
    <row r="3977" spans="2:18">
      <c r="B3977" s="1" t="s">
        <v>419</v>
      </c>
      <c r="C3977" s="2" t="s">
        <v>18</v>
      </c>
      <c r="D3977" s="2" t="s">
        <v>416</v>
      </c>
      <c r="E3977" s="3">
        <v>23</v>
      </c>
      <c r="F3977" s="3">
        <f>16/6</f>
        <v>2.6666666666666665</v>
      </c>
      <c r="G3977" s="4">
        <v>44328</v>
      </c>
      <c r="M3977" s="1"/>
      <c r="N3977" s="1"/>
      <c r="O3977" s="1"/>
      <c r="P3977" s="1"/>
      <c r="Q3977" s="1"/>
      <c r="R3977" s="1"/>
    </row>
    <row r="3978" spans="2:18">
      <c r="B3978" s="1" t="s">
        <v>418</v>
      </c>
      <c r="C3978" s="2" t="s">
        <v>18</v>
      </c>
      <c r="D3978" s="2" t="s">
        <v>416</v>
      </c>
      <c r="E3978" s="3">
        <v>23</v>
      </c>
      <c r="F3978" s="3">
        <f>16/6</f>
        <v>2.6666666666666665</v>
      </c>
      <c r="G3978" s="4">
        <v>44328</v>
      </c>
      <c r="M3978" s="1"/>
      <c r="N3978" s="1"/>
      <c r="O3978" s="1"/>
      <c r="P3978" s="1"/>
      <c r="Q3978" s="1"/>
      <c r="R3978" s="1"/>
    </row>
    <row r="3979" spans="2:18">
      <c r="B3979" s="91" t="s">
        <v>5410</v>
      </c>
      <c r="C3979" s="92" t="s">
        <v>7</v>
      </c>
      <c r="D3979" s="92" t="s">
        <v>5405</v>
      </c>
      <c r="E3979" s="3">
        <v>13.5</v>
      </c>
      <c r="F3979" s="3">
        <f>8/3</f>
        <v>2.6666666666666665</v>
      </c>
      <c r="G3979" s="4">
        <v>43320</v>
      </c>
      <c r="J3979" s="1">
        <v>2000</v>
      </c>
    </row>
    <row r="3980" spans="2:18">
      <c r="B3980" s="1" t="s">
        <v>853</v>
      </c>
      <c r="C3980" s="2" t="s">
        <v>5</v>
      </c>
      <c r="D3980" s="2" t="s">
        <v>730</v>
      </c>
      <c r="E3980" s="3">
        <v>25</v>
      </c>
      <c r="F3980" s="3">
        <f>18/7</f>
        <v>2.5714285714285716</v>
      </c>
      <c r="G3980" s="4">
        <v>44757</v>
      </c>
    </row>
    <row r="3981" spans="2:18">
      <c r="B3981" s="1" t="s">
        <v>852</v>
      </c>
      <c r="C3981" s="2" t="s">
        <v>4</v>
      </c>
      <c r="D3981" s="2" t="s">
        <v>848</v>
      </c>
      <c r="E3981" s="3">
        <v>16</v>
      </c>
      <c r="F3981" s="3">
        <f>10/4</f>
        <v>2.5</v>
      </c>
      <c r="G3981" s="4">
        <v>44298</v>
      </c>
    </row>
    <row r="3982" spans="2:18">
      <c r="B3982" s="1" t="s">
        <v>851</v>
      </c>
      <c r="C3982" s="2" t="s">
        <v>4</v>
      </c>
      <c r="D3982" s="2" t="s">
        <v>848</v>
      </c>
      <c r="E3982" s="3">
        <v>16</v>
      </c>
      <c r="F3982" s="3">
        <f>10/4</f>
        <v>2.5</v>
      </c>
      <c r="G3982" s="4">
        <v>44298</v>
      </c>
    </row>
    <row r="3983" spans="2:18">
      <c r="B3983" s="1" t="s">
        <v>850</v>
      </c>
      <c r="C3983" s="2" t="s">
        <v>4</v>
      </c>
      <c r="D3983" s="2" t="s">
        <v>848</v>
      </c>
      <c r="E3983" s="3">
        <v>16</v>
      </c>
      <c r="F3983" s="3">
        <f>10/4</f>
        <v>2.5</v>
      </c>
      <c r="G3983" s="4">
        <v>44298</v>
      </c>
    </row>
    <row r="3984" spans="2:18">
      <c r="B3984" s="1" t="s">
        <v>849</v>
      </c>
      <c r="C3984" s="2" t="s">
        <v>4</v>
      </c>
      <c r="D3984" s="2" t="s">
        <v>848</v>
      </c>
      <c r="E3984" s="3">
        <v>16</v>
      </c>
      <c r="F3984" s="3">
        <f>10/4</f>
        <v>2.5</v>
      </c>
      <c r="G3984" s="4">
        <v>44298</v>
      </c>
    </row>
    <row r="3985" spans="2:18">
      <c r="B3985" s="1" t="s">
        <v>847</v>
      </c>
      <c r="C3985" s="2" t="s">
        <v>5</v>
      </c>
      <c r="D3985" s="2" t="s">
        <v>701</v>
      </c>
      <c r="E3985" s="3">
        <v>50</v>
      </c>
      <c r="F3985" s="3">
        <f>30/12</f>
        <v>2.5</v>
      </c>
      <c r="G3985" s="4">
        <v>44796</v>
      </c>
    </row>
    <row r="3986" spans="2:18">
      <c r="B3986" s="1" t="s">
        <v>846</v>
      </c>
      <c r="C3986" s="2" t="s">
        <v>5</v>
      </c>
      <c r="D3986" s="2" t="s">
        <v>701</v>
      </c>
      <c r="E3986" s="3">
        <v>50</v>
      </c>
      <c r="F3986" s="3">
        <f>30/12</f>
        <v>2.5</v>
      </c>
      <c r="G3986" s="4">
        <v>44796</v>
      </c>
    </row>
    <row r="3987" spans="2:18">
      <c r="B3987" s="1" t="s">
        <v>845</v>
      </c>
      <c r="C3987" s="2" t="s">
        <v>5</v>
      </c>
      <c r="D3987" s="2" t="s">
        <v>695</v>
      </c>
      <c r="E3987" s="3">
        <v>20</v>
      </c>
      <c r="F3987" s="3">
        <v>2.5</v>
      </c>
      <c r="G3987" s="4">
        <v>44392</v>
      </c>
    </row>
    <row r="3988" spans="2:18">
      <c r="B3988" s="1" t="s">
        <v>589</v>
      </c>
      <c r="C3988" s="2" t="s">
        <v>5</v>
      </c>
      <c r="D3988" s="2" t="s">
        <v>584</v>
      </c>
      <c r="E3988" s="3">
        <v>20</v>
      </c>
      <c r="F3988" s="3">
        <f t="shared" ref="F3988:F3993" si="8">15/6</f>
        <v>2.5</v>
      </c>
      <c r="G3988" s="4">
        <v>44801</v>
      </c>
      <c r="M3988" s="1"/>
      <c r="N3988" s="1"/>
      <c r="O3988" s="1"/>
      <c r="P3988" s="1"/>
      <c r="Q3988" s="1"/>
      <c r="R3988" s="1"/>
    </row>
    <row r="3989" spans="2:18">
      <c r="B3989" s="1" t="s">
        <v>588</v>
      </c>
      <c r="C3989" s="2" t="s">
        <v>5</v>
      </c>
      <c r="D3989" s="2" t="s">
        <v>584</v>
      </c>
      <c r="E3989" s="3">
        <v>20</v>
      </c>
      <c r="F3989" s="3">
        <f t="shared" si="8"/>
        <v>2.5</v>
      </c>
      <c r="G3989" s="4">
        <v>44801</v>
      </c>
      <c r="M3989" s="1"/>
      <c r="N3989" s="1"/>
      <c r="O3989" s="1"/>
      <c r="P3989" s="1"/>
      <c r="Q3989" s="1"/>
      <c r="R3989" s="1"/>
    </row>
    <row r="3990" spans="2:18">
      <c r="B3990" s="1" t="s">
        <v>587</v>
      </c>
      <c r="C3990" s="2" t="s">
        <v>5</v>
      </c>
      <c r="D3990" s="2" t="s">
        <v>584</v>
      </c>
      <c r="E3990" s="3">
        <v>20</v>
      </c>
      <c r="F3990" s="3">
        <f t="shared" si="8"/>
        <v>2.5</v>
      </c>
      <c r="G3990" s="4">
        <v>44801</v>
      </c>
      <c r="M3990" s="1"/>
      <c r="N3990" s="1"/>
      <c r="O3990" s="1"/>
      <c r="P3990" s="1"/>
      <c r="Q3990" s="1"/>
      <c r="R3990" s="1"/>
    </row>
    <row r="3991" spans="2:18">
      <c r="B3991" s="1" t="s">
        <v>586</v>
      </c>
      <c r="C3991" s="2" t="s">
        <v>5</v>
      </c>
      <c r="D3991" s="2" t="s">
        <v>584</v>
      </c>
      <c r="E3991" s="3">
        <v>20</v>
      </c>
      <c r="F3991" s="3">
        <f t="shared" si="8"/>
        <v>2.5</v>
      </c>
      <c r="G3991" s="4">
        <v>44801</v>
      </c>
      <c r="M3991" s="1"/>
      <c r="N3991" s="1"/>
      <c r="O3991" s="1"/>
      <c r="P3991" s="1"/>
      <c r="Q3991" s="1"/>
      <c r="R3991" s="1"/>
    </row>
    <row r="3992" spans="2:18">
      <c r="B3992" s="1" t="s">
        <v>585</v>
      </c>
      <c r="C3992" s="2" t="s">
        <v>5</v>
      </c>
      <c r="D3992" s="2" t="s">
        <v>584</v>
      </c>
      <c r="E3992" s="3">
        <v>20</v>
      </c>
      <c r="F3992" s="3">
        <f t="shared" si="8"/>
        <v>2.5</v>
      </c>
      <c r="G3992" s="4">
        <v>44801</v>
      </c>
      <c r="M3992" s="1"/>
      <c r="N3992" s="1"/>
      <c r="O3992" s="1"/>
      <c r="P3992" s="1"/>
      <c r="Q3992" s="1"/>
      <c r="R3992" s="1"/>
    </row>
    <row r="3993" spans="2:18">
      <c r="B3993" s="1" t="s">
        <v>94</v>
      </c>
      <c r="C3993" s="2" t="s">
        <v>7</v>
      </c>
      <c r="D3993" s="2" t="s">
        <v>87</v>
      </c>
      <c r="E3993" s="3">
        <v>25</v>
      </c>
      <c r="F3993" s="3">
        <f t="shared" si="8"/>
        <v>2.5</v>
      </c>
      <c r="G3993" s="4">
        <v>44642</v>
      </c>
    </row>
    <row r="3994" spans="2:18">
      <c r="B3994" s="1" t="s">
        <v>49</v>
      </c>
      <c r="C3994" s="2" t="s">
        <v>5</v>
      </c>
      <c r="D3994" s="2" t="s">
        <v>47</v>
      </c>
      <c r="E3994" s="3">
        <v>10.7</v>
      </c>
      <c r="F3994" s="3">
        <v>2.5</v>
      </c>
      <c r="G3994" s="4">
        <v>41076</v>
      </c>
      <c r="J3994" s="1">
        <v>4100</v>
      </c>
    </row>
    <row r="3995" spans="2:18">
      <c r="B3995" s="1" t="s">
        <v>48</v>
      </c>
      <c r="C3995" s="2" t="s">
        <v>5</v>
      </c>
      <c r="D3995" s="2" t="s">
        <v>47</v>
      </c>
      <c r="E3995" s="3">
        <v>10.7</v>
      </c>
      <c r="F3995" s="3">
        <v>2.5</v>
      </c>
      <c r="G3995" s="4">
        <v>41076</v>
      </c>
      <c r="J3995" s="1">
        <v>4100</v>
      </c>
    </row>
    <row r="3996" spans="2:18">
      <c r="B3996" s="152" t="s">
        <v>6363</v>
      </c>
      <c r="C3996" s="153" t="s">
        <v>5</v>
      </c>
      <c r="D3996" s="153" t="s">
        <v>2046</v>
      </c>
      <c r="E3996" s="3">
        <v>10</v>
      </c>
      <c r="F3996" s="3">
        <v>2.5</v>
      </c>
      <c r="G3996" s="4">
        <v>43059</v>
      </c>
    </row>
    <row r="3997" spans="2:18">
      <c r="B3997" s="1" t="s">
        <v>842</v>
      </c>
      <c r="C3997" s="2" t="s">
        <v>5</v>
      </c>
      <c r="D3997" s="2" t="s">
        <v>722</v>
      </c>
      <c r="E3997" s="3">
        <v>20</v>
      </c>
      <c r="F3997" s="3">
        <f>13/6</f>
        <v>2.1666666666666665</v>
      </c>
      <c r="G3997" s="4">
        <v>44903</v>
      </c>
    </row>
    <row r="3998" spans="2:18">
      <c r="B3998" s="1" t="s">
        <v>841</v>
      </c>
      <c r="C3998" s="2" t="s">
        <v>5</v>
      </c>
      <c r="D3998" s="2" t="s">
        <v>722</v>
      </c>
      <c r="E3998" s="3">
        <v>20</v>
      </c>
      <c r="F3998" s="3">
        <f>13/6</f>
        <v>2.1666666666666665</v>
      </c>
      <c r="G3998" s="4">
        <v>44903</v>
      </c>
    </row>
    <row r="3999" spans="2:18">
      <c r="B3999" s="1" t="s">
        <v>840</v>
      </c>
      <c r="C3999" s="2" t="s">
        <v>5</v>
      </c>
      <c r="D3999" s="2" t="s">
        <v>722</v>
      </c>
      <c r="E3999" s="3">
        <v>20</v>
      </c>
      <c r="F3999" s="3">
        <f>13/6</f>
        <v>2.1666666666666665</v>
      </c>
      <c r="G3999" s="4">
        <v>44903</v>
      </c>
    </row>
    <row r="4000" spans="2:18">
      <c r="B4000" s="1" t="s">
        <v>839</v>
      </c>
      <c r="C4000" s="2" t="s">
        <v>5</v>
      </c>
      <c r="D4000" s="2" t="s">
        <v>725</v>
      </c>
      <c r="E4000" s="3">
        <v>20</v>
      </c>
      <c r="F4000" s="3">
        <f>13/6</f>
        <v>2.1666666666666665</v>
      </c>
      <c r="G4000" s="4">
        <v>44676</v>
      </c>
    </row>
    <row r="4001" spans="2:7">
      <c r="B4001" s="1" t="s">
        <v>838</v>
      </c>
      <c r="C4001" s="2" t="s">
        <v>5</v>
      </c>
      <c r="D4001" s="2" t="s">
        <v>725</v>
      </c>
      <c r="E4001" s="3">
        <v>20</v>
      </c>
      <c r="F4001" s="3">
        <f>13/6</f>
        <v>2.1666666666666665</v>
      </c>
      <c r="G4001" s="4">
        <v>44676</v>
      </c>
    </row>
    <row r="4002" spans="2:7">
      <c r="B4002" s="1" t="s">
        <v>837</v>
      </c>
      <c r="C4002" s="2" t="s">
        <v>4</v>
      </c>
      <c r="D4002" s="2" t="s">
        <v>678</v>
      </c>
      <c r="E4002" s="3">
        <v>15</v>
      </c>
      <c r="F4002" s="3">
        <f>15/7</f>
        <v>2.1428571428571428</v>
      </c>
      <c r="G4002" s="4">
        <v>44691</v>
      </c>
    </row>
    <row r="4003" spans="2:7">
      <c r="B4003" s="1" t="s">
        <v>836</v>
      </c>
      <c r="C4003" s="2" t="s">
        <v>4</v>
      </c>
      <c r="D4003" s="2" t="s">
        <v>678</v>
      </c>
      <c r="E4003" s="3">
        <v>15</v>
      </c>
      <c r="F4003" s="3">
        <f>15/7</f>
        <v>2.1428571428571428</v>
      </c>
      <c r="G4003" s="4">
        <v>44691</v>
      </c>
    </row>
    <row r="4004" spans="2:7">
      <c r="B4004" s="1" t="s">
        <v>835</v>
      </c>
      <c r="C4004" s="2" t="s">
        <v>4</v>
      </c>
      <c r="D4004" s="2" t="s">
        <v>678</v>
      </c>
      <c r="E4004" s="3">
        <v>15</v>
      </c>
      <c r="F4004" s="3">
        <f>15/7</f>
        <v>2.1428571428571428</v>
      </c>
      <c r="G4004" s="4">
        <v>44691</v>
      </c>
    </row>
    <row r="4005" spans="2:7">
      <c r="B4005" s="1" t="s">
        <v>834</v>
      </c>
      <c r="C4005" s="2" t="s">
        <v>4</v>
      </c>
      <c r="D4005" s="2" t="s">
        <v>678</v>
      </c>
      <c r="E4005" s="3">
        <v>15</v>
      </c>
      <c r="F4005" s="3">
        <f>15/7</f>
        <v>2.1428571428571428</v>
      </c>
      <c r="G4005" s="4">
        <v>44691</v>
      </c>
    </row>
    <row r="4006" spans="2:7">
      <c r="B4006" s="1" t="s">
        <v>679</v>
      </c>
      <c r="C4006" s="2" t="s">
        <v>4</v>
      </c>
      <c r="D4006" s="2" t="s">
        <v>678</v>
      </c>
      <c r="E4006" s="3">
        <v>15</v>
      </c>
      <c r="F4006" s="3">
        <f>15/7</f>
        <v>2.1428571428571428</v>
      </c>
      <c r="G4006" s="4">
        <v>44691</v>
      </c>
    </row>
    <row r="4007" spans="2:7">
      <c r="B4007" s="1" t="s">
        <v>833</v>
      </c>
      <c r="C4007" s="2" t="s">
        <v>5</v>
      </c>
      <c r="D4007" s="2" t="s">
        <v>832</v>
      </c>
      <c r="E4007" s="3">
        <v>20</v>
      </c>
      <c r="F4007" s="3">
        <f>12/6</f>
        <v>2</v>
      </c>
      <c r="G4007" s="4">
        <v>43816</v>
      </c>
    </row>
    <row r="4008" spans="2:7">
      <c r="B4008" s="1" t="s">
        <v>831</v>
      </c>
      <c r="C4008" s="2" t="s">
        <v>5</v>
      </c>
      <c r="D4008" s="2" t="s">
        <v>716</v>
      </c>
      <c r="E4008" s="3">
        <v>12.5</v>
      </c>
      <c r="F4008" s="3">
        <v>2</v>
      </c>
      <c r="G4008" s="4">
        <v>44784</v>
      </c>
    </row>
    <row r="4009" spans="2:7">
      <c r="B4009" s="1" t="s">
        <v>830</v>
      </c>
      <c r="C4009" s="2" t="s">
        <v>4</v>
      </c>
      <c r="D4009" s="2" t="s">
        <v>829</v>
      </c>
      <c r="E4009" s="3">
        <v>4.5</v>
      </c>
      <c r="F4009" s="3">
        <v>2</v>
      </c>
      <c r="G4009" s="4">
        <v>45056</v>
      </c>
    </row>
    <row r="4010" spans="2:7">
      <c r="B4010" s="1" t="s">
        <v>828</v>
      </c>
      <c r="C4010" s="2" t="s">
        <v>5</v>
      </c>
      <c r="D4010" s="2" t="s">
        <v>697</v>
      </c>
      <c r="E4010" s="3">
        <v>23.5</v>
      </c>
      <c r="F4010" s="3">
        <v>2</v>
      </c>
      <c r="G4010" s="4">
        <v>44875</v>
      </c>
    </row>
    <row r="4011" spans="2:7">
      <c r="B4011" s="1" t="s">
        <v>827</v>
      </c>
      <c r="C4011" s="2" t="s">
        <v>5</v>
      </c>
      <c r="D4011" s="2" t="s">
        <v>825</v>
      </c>
      <c r="E4011" s="3">
        <v>20</v>
      </c>
      <c r="F4011" s="3">
        <v>2</v>
      </c>
      <c r="G4011" s="4">
        <v>44602</v>
      </c>
    </row>
    <row r="4012" spans="2:7">
      <c r="B4012" s="1" t="s">
        <v>826</v>
      </c>
      <c r="C4012" s="2" t="s">
        <v>5</v>
      </c>
      <c r="D4012" s="2" t="s">
        <v>825</v>
      </c>
      <c r="E4012" s="3">
        <v>20</v>
      </c>
      <c r="F4012" s="3">
        <v>2</v>
      </c>
      <c r="G4012" s="4">
        <v>44602</v>
      </c>
    </row>
    <row r="4013" spans="2:7">
      <c r="B4013" s="1" t="s">
        <v>823</v>
      </c>
      <c r="C4013" s="2" t="s">
        <v>5</v>
      </c>
      <c r="D4013" s="2" t="s">
        <v>819</v>
      </c>
      <c r="E4013" s="3">
        <v>20</v>
      </c>
      <c r="F4013" s="3">
        <v>2</v>
      </c>
      <c r="G4013" s="4">
        <v>44578</v>
      </c>
    </row>
    <row r="4014" spans="2:7">
      <c r="B4014" s="1" t="s">
        <v>822</v>
      </c>
      <c r="C4014" s="2" t="s">
        <v>5</v>
      </c>
      <c r="D4014" s="2" t="s">
        <v>819</v>
      </c>
      <c r="E4014" s="3">
        <v>20</v>
      </c>
      <c r="F4014" s="3">
        <v>2</v>
      </c>
      <c r="G4014" s="4">
        <v>44578</v>
      </c>
    </row>
    <row r="4015" spans="2:7">
      <c r="B4015" s="1" t="s">
        <v>821</v>
      </c>
      <c r="C4015" s="2" t="s">
        <v>5</v>
      </c>
      <c r="D4015" s="2" t="s">
        <v>819</v>
      </c>
      <c r="E4015" s="3">
        <v>20</v>
      </c>
      <c r="F4015" s="3">
        <v>2</v>
      </c>
      <c r="G4015" s="4">
        <v>44578</v>
      </c>
    </row>
    <row r="4016" spans="2:7">
      <c r="B4016" s="1" t="s">
        <v>820</v>
      </c>
      <c r="C4016" s="2" t="s">
        <v>5</v>
      </c>
      <c r="D4016" s="2" t="s">
        <v>819</v>
      </c>
      <c r="E4016" s="3">
        <v>20</v>
      </c>
      <c r="F4016" s="3">
        <v>2</v>
      </c>
      <c r="G4016" s="4">
        <v>44578</v>
      </c>
    </row>
    <row r="4017" spans="2:18">
      <c r="B4017" s="1" t="s">
        <v>818</v>
      </c>
      <c r="C4017" s="2" t="s">
        <v>4</v>
      </c>
      <c r="D4017" s="2" t="s">
        <v>596</v>
      </c>
      <c r="E4017" s="3">
        <v>6</v>
      </c>
      <c r="F4017" s="3">
        <v>2</v>
      </c>
      <c r="G4017" s="4">
        <v>44781</v>
      </c>
    </row>
    <row r="4018" spans="2:18">
      <c r="B4018" s="1" t="s">
        <v>817</v>
      </c>
      <c r="C4018" s="2" t="s">
        <v>4</v>
      </c>
      <c r="D4018" s="2" t="s">
        <v>703</v>
      </c>
      <c r="E4018" s="3">
        <v>6</v>
      </c>
      <c r="F4018" s="3">
        <v>2</v>
      </c>
      <c r="G4018" s="4">
        <v>44180</v>
      </c>
    </row>
    <row r="4019" spans="2:18">
      <c r="B4019" s="1" t="s">
        <v>816</v>
      </c>
      <c r="C4019" s="2" t="s">
        <v>4</v>
      </c>
      <c r="D4019" s="2" t="s">
        <v>644</v>
      </c>
      <c r="E4019" s="3">
        <v>2</v>
      </c>
      <c r="F4019" s="3">
        <v>2</v>
      </c>
      <c r="G4019" s="4">
        <v>43685</v>
      </c>
    </row>
    <row r="4020" spans="2:18">
      <c r="B4020" s="1" t="s">
        <v>814</v>
      </c>
      <c r="C4020" s="2" t="s">
        <v>5</v>
      </c>
      <c r="D4020" s="2" t="s">
        <v>646</v>
      </c>
      <c r="E4020" s="3">
        <v>13</v>
      </c>
      <c r="F4020" s="3">
        <f>8/4</f>
        <v>2</v>
      </c>
      <c r="G4020" s="4">
        <v>44642</v>
      </c>
    </row>
    <row r="4021" spans="2:18">
      <c r="B4021" s="1" t="s">
        <v>813</v>
      </c>
      <c r="C4021" s="2" t="s">
        <v>5</v>
      </c>
      <c r="D4021" s="2" t="s">
        <v>646</v>
      </c>
      <c r="E4021" s="3">
        <v>13</v>
      </c>
      <c r="F4021" s="3">
        <f>8/4</f>
        <v>2</v>
      </c>
      <c r="G4021" s="4">
        <v>44642</v>
      </c>
    </row>
    <row r="4022" spans="2:18">
      <c r="B4022" s="1" t="s">
        <v>812</v>
      </c>
      <c r="C4022" s="2" t="s">
        <v>4</v>
      </c>
      <c r="D4022" s="2" t="s">
        <v>654</v>
      </c>
      <c r="E4022" s="3">
        <v>12.8</v>
      </c>
      <c r="F4022" s="3">
        <v>2</v>
      </c>
      <c r="G4022" s="4">
        <v>44601</v>
      </c>
    </row>
    <row r="4023" spans="2:18">
      <c r="B4023" s="1" t="s">
        <v>809</v>
      </c>
      <c r="C4023" s="2" t="s">
        <v>4</v>
      </c>
      <c r="D4023" s="2" t="s">
        <v>765</v>
      </c>
      <c r="E4023" s="3">
        <v>4</v>
      </c>
      <c r="F4023" s="3">
        <v>2</v>
      </c>
      <c r="G4023" s="4">
        <v>45026</v>
      </c>
    </row>
    <row r="4024" spans="2:18">
      <c r="B4024" s="1" t="s">
        <v>627</v>
      </c>
      <c r="C4024" s="2" t="s">
        <v>5</v>
      </c>
      <c r="D4024" s="2" t="s">
        <v>624</v>
      </c>
      <c r="E4024" s="3">
        <v>10</v>
      </c>
      <c r="F4024" s="3">
        <v>2</v>
      </c>
      <c r="G4024" s="4">
        <v>44930</v>
      </c>
      <c r="M4024" s="1"/>
      <c r="N4024" s="1"/>
      <c r="O4024" s="1"/>
      <c r="P4024" s="1"/>
      <c r="Q4024" s="1"/>
      <c r="R4024" s="1"/>
    </row>
    <row r="4025" spans="2:18">
      <c r="B4025" s="1" t="s">
        <v>626</v>
      </c>
      <c r="C4025" s="2" t="s">
        <v>5</v>
      </c>
      <c r="D4025" s="2" t="s">
        <v>624</v>
      </c>
      <c r="E4025" s="3">
        <v>10</v>
      </c>
      <c r="F4025" s="3">
        <v>2</v>
      </c>
      <c r="G4025" s="4">
        <v>44930</v>
      </c>
      <c r="M4025" s="1"/>
      <c r="N4025" s="1"/>
      <c r="O4025" s="1"/>
      <c r="P4025" s="1"/>
      <c r="Q4025" s="1"/>
      <c r="R4025" s="1"/>
    </row>
    <row r="4026" spans="2:18">
      <c r="B4026" s="1" t="s">
        <v>572</v>
      </c>
      <c r="C4026" s="2" t="s">
        <v>4</v>
      </c>
      <c r="D4026" s="2" t="s">
        <v>565</v>
      </c>
      <c r="E4026" s="3">
        <v>9</v>
      </c>
      <c r="F4026" s="3">
        <v>2</v>
      </c>
      <c r="G4026" s="4">
        <v>44859</v>
      </c>
      <c r="M4026" s="1"/>
      <c r="N4026" s="1"/>
      <c r="O4026" s="1"/>
      <c r="P4026" s="1"/>
      <c r="Q4026" s="1"/>
      <c r="R4026" s="1"/>
    </row>
    <row r="4027" spans="2:18">
      <c r="B4027" s="1" t="s">
        <v>555</v>
      </c>
      <c r="C4027" s="2" t="s">
        <v>7</v>
      </c>
      <c r="D4027" s="2" t="s">
        <v>548</v>
      </c>
      <c r="E4027" s="3">
        <v>20</v>
      </c>
      <c r="F4027" s="3">
        <f>12/6</f>
        <v>2</v>
      </c>
      <c r="G4027" s="4">
        <v>45077</v>
      </c>
      <c r="M4027" s="1"/>
      <c r="N4027" s="1"/>
      <c r="O4027" s="1"/>
      <c r="P4027" s="1"/>
      <c r="Q4027" s="1"/>
      <c r="R4027" s="1"/>
    </row>
    <row r="4028" spans="2:18">
      <c r="B4028" s="1" t="s">
        <v>552</v>
      </c>
      <c r="C4028" s="2" t="s">
        <v>7</v>
      </c>
      <c r="D4028" s="2" t="s">
        <v>548</v>
      </c>
      <c r="E4028" s="3">
        <v>20</v>
      </c>
      <c r="F4028" s="3">
        <f>12/6</f>
        <v>2</v>
      </c>
      <c r="G4028" s="4">
        <v>45077</v>
      </c>
      <c r="M4028" s="1"/>
      <c r="N4028" s="1"/>
      <c r="O4028" s="1"/>
      <c r="P4028" s="1"/>
      <c r="Q4028" s="1"/>
      <c r="R4028" s="1"/>
    </row>
    <row r="4029" spans="2:18">
      <c r="B4029" s="1" t="s">
        <v>457</v>
      </c>
      <c r="C4029" s="2" t="s">
        <v>5</v>
      </c>
      <c r="D4029" s="2" t="s">
        <v>456</v>
      </c>
      <c r="E4029" s="3">
        <v>8.3000000000000007</v>
      </c>
      <c r="F4029" s="3">
        <v>2</v>
      </c>
      <c r="G4029" s="4">
        <v>44053</v>
      </c>
      <c r="M4029" s="1"/>
      <c r="N4029" s="1"/>
      <c r="O4029" s="1"/>
      <c r="P4029" s="1"/>
      <c r="Q4029" s="1"/>
      <c r="R4029" s="1"/>
    </row>
    <row r="4030" spans="2:18">
      <c r="B4030" s="1" t="s">
        <v>417</v>
      </c>
      <c r="C4030" s="2" t="s">
        <v>5</v>
      </c>
      <c r="D4030" s="2" t="s">
        <v>416</v>
      </c>
      <c r="E4030" s="3">
        <v>8</v>
      </c>
      <c r="F4030" s="3">
        <v>2</v>
      </c>
      <c r="G4030" s="4">
        <v>42416</v>
      </c>
      <c r="M4030" s="1"/>
      <c r="N4030" s="1"/>
      <c r="O4030" s="1"/>
      <c r="P4030" s="1"/>
      <c r="Q4030" s="1"/>
      <c r="R4030" s="1"/>
    </row>
    <row r="4031" spans="2:18">
      <c r="B4031" s="1" t="s">
        <v>326</v>
      </c>
      <c r="C4031" s="2" t="s">
        <v>5</v>
      </c>
      <c r="D4031" s="2" t="s">
        <v>318</v>
      </c>
      <c r="E4031" s="3">
        <v>16</v>
      </c>
      <c r="F4031" s="3">
        <v>2</v>
      </c>
      <c r="G4031" s="4">
        <v>43783</v>
      </c>
      <c r="L4031" s="1">
        <f>+F4031*5</f>
        <v>10</v>
      </c>
      <c r="M4031" s="1"/>
      <c r="N4031" s="1"/>
      <c r="O4031" s="1"/>
      <c r="P4031" s="1"/>
      <c r="Q4031" s="1"/>
      <c r="R4031" s="1"/>
    </row>
    <row r="4032" spans="2:18">
      <c r="B4032" s="1" t="s">
        <v>323</v>
      </c>
      <c r="C4032" s="2" t="s">
        <v>5</v>
      </c>
      <c r="D4032" s="2" t="s">
        <v>318</v>
      </c>
      <c r="E4032" s="3">
        <v>16</v>
      </c>
      <c r="F4032" s="3">
        <v>2</v>
      </c>
      <c r="G4032" s="4">
        <v>43783</v>
      </c>
      <c r="L4032" s="1">
        <f>+F4032*5</f>
        <v>10</v>
      </c>
      <c r="M4032" s="1"/>
      <c r="N4032" s="1"/>
      <c r="O4032" s="1"/>
      <c r="P4032" s="1"/>
      <c r="Q4032" s="1"/>
      <c r="R4032" s="1"/>
    </row>
    <row r="4033" spans="2:18">
      <c r="B4033" s="1" t="s">
        <v>301</v>
      </c>
      <c r="C4033" s="2" t="s">
        <v>5</v>
      </c>
      <c r="D4033" s="2" t="s">
        <v>298</v>
      </c>
      <c r="E4033" s="3">
        <v>15</v>
      </c>
      <c r="F4033" s="3">
        <v>2</v>
      </c>
      <c r="G4033" s="4">
        <v>44314</v>
      </c>
    </row>
    <row r="4034" spans="2:18">
      <c r="B4034" s="1" t="s">
        <v>300</v>
      </c>
      <c r="C4034" s="2" t="s">
        <v>5</v>
      </c>
      <c r="D4034" s="2" t="s">
        <v>298</v>
      </c>
      <c r="E4034" s="3">
        <v>15</v>
      </c>
      <c r="F4034" s="3">
        <v>2</v>
      </c>
      <c r="G4034" s="4">
        <v>44314</v>
      </c>
    </row>
    <row r="4035" spans="2:18">
      <c r="B4035" s="1" t="s">
        <v>124</v>
      </c>
      <c r="C4035" s="2" t="s">
        <v>4</v>
      </c>
      <c r="D4035" s="2" t="s">
        <v>122</v>
      </c>
      <c r="E4035" s="3">
        <v>4.5</v>
      </c>
      <c r="F4035" s="3">
        <v>2</v>
      </c>
      <c r="G4035" s="4">
        <v>44434</v>
      </c>
    </row>
    <row r="4036" spans="2:18">
      <c r="B4036" s="1" t="s">
        <v>16</v>
      </c>
      <c r="C4036" s="2" t="s">
        <v>5</v>
      </c>
      <c r="D4036" s="2" t="s">
        <v>15</v>
      </c>
      <c r="E4036" s="3">
        <v>10</v>
      </c>
      <c r="F4036" s="3">
        <v>2</v>
      </c>
      <c r="G4036" s="4">
        <v>42508</v>
      </c>
    </row>
    <row r="4037" spans="2:18">
      <c r="B4037" s="152" t="s">
        <v>6375</v>
      </c>
      <c r="C4037" s="153" t="s">
        <v>5</v>
      </c>
      <c r="D4037" s="153" t="s">
        <v>2041</v>
      </c>
      <c r="E4037" s="3">
        <v>15</v>
      </c>
      <c r="F4037" s="3">
        <f>10/5</f>
        <v>2</v>
      </c>
      <c r="G4037" s="4">
        <v>44174</v>
      </c>
    </row>
    <row r="4038" spans="2:18">
      <c r="B4038" s="173" t="s">
        <v>6658</v>
      </c>
      <c r="C4038" s="174" t="s">
        <v>7</v>
      </c>
      <c r="D4038" s="174" t="s">
        <v>2030</v>
      </c>
      <c r="E4038" s="3">
        <v>16</v>
      </c>
      <c r="F4038" s="3">
        <v>2</v>
      </c>
      <c r="G4038" s="4">
        <v>44825</v>
      </c>
    </row>
    <row r="4039" spans="2:18">
      <c r="B4039" s="173" t="s">
        <v>6659</v>
      </c>
      <c r="C4039" s="174" t="s">
        <v>7</v>
      </c>
      <c r="D4039" s="174" t="s">
        <v>2030</v>
      </c>
      <c r="E4039" s="3">
        <v>16</v>
      </c>
      <c r="F4039" s="3">
        <v>2</v>
      </c>
      <c r="G4039" s="4">
        <v>44825</v>
      </c>
    </row>
    <row r="4040" spans="2:18">
      <c r="B4040" s="173" t="s">
        <v>6660</v>
      </c>
      <c r="C4040" s="174" t="s">
        <v>7</v>
      </c>
      <c r="D4040" s="174" t="s">
        <v>2030</v>
      </c>
      <c r="E4040" s="3">
        <v>16</v>
      </c>
      <c r="F4040" s="3">
        <v>2</v>
      </c>
      <c r="G4040" s="4">
        <v>44825</v>
      </c>
    </row>
    <row r="4041" spans="2:18">
      <c r="B4041" s="176" t="s">
        <v>6684</v>
      </c>
      <c r="C4041" s="177" t="s">
        <v>4</v>
      </c>
      <c r="D4041" s="177" t="s">
        <v>6679</v>
      </c>
      <c r="E4041" s="3">
        <v>5</v>
      </c>
      <c r="F4041" s="3">
        <v>2</v>
      </c>
      <c r="G4041" s="4">
        <v>44073</v>
      </c>
    </row>
    <row r="4042" spans="2:18">
      <c r="B4042" s="176" t="s">
        <v>6763</v>
      </c>
      <c r="C4042" s="177" t="s">
        <v>5</v>
      </c>
      <c r="D4042" s="177" t="s">
        <v>6762</v>
      </c>
      <c r="E4042" s="3">
        <v>11</v>
      </c>
      <c r="F4042" s="3">
        <v>2</v>
      </c>
      <c r="G4042" s="4">
        <v>43215</v>
      </c>
    </row>
    <row r="4043" spans="2:18">
      <c r="B4043" s="1" t="s">
        <v>564</v>
      </c>
      <c r="C4043" s="2" t="s">
        <v>4</v>
      </c>
      <c r="D4043" s="2" t="s">
        <v>562</v>
      </c>
      <c r="E4043" s="3">
        <v>5.6</v>
      </c>
      <c r="F4043" s="3">
        <f>E4043/3</f>
        <v>1.8666666666666665</v>
      </c>
      <c r="G4043" s="4">
        <v>45048</v>
      </c>
      <c r="M4043" s="1"/>
      <c r="N4043" s="1"/>
      <c r="O4043" s="1"/>
      <c r="P4043" s="1"/>
      <c r="Q4043" s="1"/>
      <c r="R4043" s="1"/>
    </row>
    <row r="4044" spans="2:18">
      <c r="B4044" s="1" t="s">
        <v>563</v>
      </c>
      <c r="C4044" s="2" t="s">
        <v>4</v>
      </c>
      <c r="D4044" s="2" t="s">
        <v>562</v>
      </c>
      <c r="E4044" s="3">
        <v>5.6</v>
      </c>
      <c r="F4044" s="3">
        <f>E4044/3</f>
        <v>1.8666666666666665</v>
      </c>
      <c r="G4044" s="4">
        <v>45048</v>
      </c>
      <c r="M4044" s="1"/>
      <c r="N4044" s="1"/>
      <c r="O4044" s="1"/>
      <c r="P4044" s="1"/>
      <c r="Q4044" s="1"/>
      <c r="R4044" s="1"/>
    </row>
    <row r="4045" spans="2:18">
      <c r="B4045" s="91" t="s">
        <v>5429</v>
      </c>
      <c r="C4045" s="92" t="s">
        <v>5</v>
      </c>
      <c r="D4045" s="92" t="s">
        <v>3213</v>
      </c>
      <c r="E4045" s="3">
        <v>19</v>
      </c>
      <c r="F4045" s="3">
        <f t="shared" ref="F4045:F4050" si="9">11/6</f>
        <v>1.8333333333333333</v>
      </c>
      <c r="G4045" s="4">
        <v>45097</v>
      </c>
      <c r="I4045" s="1">
        <v>100</v>
      </c>
      <c r="J4045" s="1">
        <v>100</v>
      </c>
    </row>
    <row r="4046" spans="2:18">
      <c r="B4046" s="91" t="s">
        <v>5430</v>
      </c>
      <c r="C4046" s="92" t="s">
        <v>5</v>
      </c>
      <c r="D4046" s="92" t="s">
        <v>3213</v>
      </c>
      <c r="E4046" s="3">
        <v>19</v>
      </c>
      <c r="F4046" s="3">
        <f t="shared" si="9"/>
        <v>1.8333333333333333</v>
      </c>
      <c r="G4046" s="4">
        <v>45097</v>
      </c>
      <c r="I4046" s="1">
        <v>100</v>
      </c>
      <c r="J4046" s="1">
        <v>100</v>
      </c>
    </row>
    <row r="4047" spans="2:18">
      <c r="B4047" s="91" t="s">
        <v>5431</v>
      </c>
      <c r="C4047" s="92" t="s">
        <v>5</v>
      </c>
      <c r="D4047" s="92" t="s">
        <v>3213</v>
      </c>
      <c r="E4047" s="3">
        <v>19</v>
      </c>
      <c r="F4047" s="3">
        <f t="shared" si="9"/>
        <v>1.8333333333333333</v>
      </c>
      <c r="G4047" s="4">
        <v>45097</v>
      </c>
      <c r="I4047" s="1">
        <v>100</v>
      </c>
      <c r="J4047" s="1">
        <v>100</v>
      </c>
    </row>
    <row r="4048" spans="2:18">
      <c r="B4048" s="91" t="s">
        <v>5432</v>
      </c>
      <c r="C4048" s="92" t="s">
        <v>5</v>
      </c>
      <c r="D4048" s="92" t="s">
        <v>3213</v>
      </c>
      <c r="E4048" s="3">
        <v>19</v>
      </c>
      <c r="F4048" s="3">
        <f t="shared" si="9"/>
        <v>1.8333333333333333</v>
      </c>
      <c r="G4048" s="4">
        <v>45097</v>
      </c>
      <c r="I4048" s="1">
        <v>100</v>
      </c>
      <c r="J4048" s="1">
        <v>100</v>
      </c>
    </row>
    <row r="4049" spans="2:18">
      <c r="B4049" s="91" t="s">
        <v>5433</v>
      </c>
      <c r="C4049" s="92" t="s">
        <v>5</v>
      </c>
      <c r="D4049" s="92" t="s">
        <v>3213</v>
      </c>
      <c r="E4049" s="3">
        <v>19</v>
      </c>
      <c r="F4049" s="3">
        <f t="shared" si="9"/>
        <v>1.8333333333333333</v>
      </c>
      <c r="G4049" s="4">
        <v>45097</v>
      </c>
      <c r="I4049" s="1">
        <v>100</v>
      </c>
      <c r="J4049" s="1">
        <v>100</v>
      </c>
    </row>
    <row r="4050" spans="2:18">
      <c r="B4050" s="91" t="s">
        <v>5434</v>
      </c>
      <c r="C4050" s="92" t="s">
        <v>5</v>
      </c>
      <c r="D4050" s="92" t="s">
        <v>3213</v>
      </c>
      <c r="E4050" s="3">
        <v>19</v>
      </c>
      <c r="F4050" s="3">
        <f t="shared" si="9"/>
        <v>1.8333333333333333</v>
      </c>
      <c r="G4050" s="4">
        <v>45097</v>
      </c>
      <c r="I4050" s="1">
        <v>100</v>
      </c>
      <c r="J4050" s="1">
        <v>100</v>
      </c>
    </row>
    <row r="4051" spans="2:18">
      <c r="B4051" s="1" t="s">
        <v>412</v>
      </c>
      <c r="C4051" s="2" t="s">
        <v>5</v>
      </c>
      <c r="D4051" s="2" t="s">
        <v>408</v>
      </c>
      <c r="E4051" s="3">
        <v>10</v>
      </c>
      <c r="F4051" s="3">
        <f>7/4</f>
        <v>1.75</v>
      </c>
      <c r="G4051" s="4">
        <v>44740</v>
      </c>
      <c r="M4051" s="1"/>
      <c r="N4051" s="1"/>
      <c r="O4051" s="1"/>
      <c r="P4051" s="1"/>
      <c r="Q4051" s="1"/>
      <c r="R4051" s="1"/>
    </row>
    <row r="4052" spans="2:18">
      <c r="B4052" s="1" t="s">
        <v>411</v>
      </c>
      <c r="C4052" s="2" t="s">
        <v>5</v>
      </c>
      <c r="D4052" s="2" t="s">
        <v>408</v>
      </c>
      <c r="E4052" s="3">
        <v>10</v>
      </c>
      <c r="F4052" s="3">
        <f>7/4</f>
        <v>1.75</v>
      </c>
      <c r="G4052" s="4">
        <v>44740</v>
      </c>
      <c r="M4052" s="1"/>
      <c r="N4052" s="1"/>
      <c r="O4052" s="1"/>
      <c r="P4052" s="1"/>
      <c r="Q4052" s="1"/>
      <c r="R4052" s="1"/>
    </row>
    <row r="4053" spans="2:18">
      <c r="B4053" s="1" t="s">
        <v>808</v>
      </c>
      <c r="C4053" s="2" t="s">
        <v>4</v>
      </c>
      <c r="D4053" s="2" t="s">
        <v>807</v>
      </c>
      <c r="E4053" s="3">
        <v>5</v>
      </c>
      <c r="F4053" s="3">
        <f>5/3</f>
        <v>1.6666666666666667</v>
      </c>
      <c r="G4053" s="4">
        <v>45062</v>
      </c>
    </row>
    <row r="4054" spans="2:18">
      <c r="B4054" s="1" t="s">
        <v>265</v>
      </c>
      <c r="C4054" s="2" t="s">
        <v>5</v>
      </c>
      <c r="D4054" s="2" t="s">
        <v>258</v>
      </c>
      <c r="E4054" s="3">
        <v>14</v>
      </c>
      <c r="F4054" s="3">
        <v>1.6666666666666667</v>
      </c>
      <c r="G4054" s="4">
        <v>43690</v>
      </c>
    </row>
    <row r="4055" spans="2:18">
      <c r="B4055" s="1" t="s">
        <v>264</v>
      </c>
      <c r="C4055" s="2" t="s">
        <v>5</v>
      </c>
      <c r="D4055" s="2" t="s">
        <v>258</v>
      </c>
      <c r="E4055" s="3">
        <v>14</v>
      </c>
      <c r="F4055" s="3">
        <v>1.6666666666666667</v>
      </c>
      <c r="G4055" s="4">
        <v>43690</v>
      </c>
    </row>
    <row r="4056" spans="2:18">
      <c r="B4056" s="1" t="s">
        <v>198</v>
      </c>
      <c r="C4056" s="2" t="s">
        <v>5</v>
      </c>
      <c r="D4056" s="2" t="s">
        <v>197</v>
      </c>
      <c r="E4056" s="3">
        <v>5</v>
      </c>
      <c r="F4056" s="3">
        <f>E4056/3</f>
        <v>1.6666666666666667</v>
      </c>
      <c r="G4056" s="4">
        <v>42688</v>
      </c>
    </row>
    <row r="4057" spans="2:18">
      <c r="B4057" s="1" t="s">
        <v>89</v>
      </c>
      <c r="C4057" s="2" t="s">
        <v>5</v>
      </c>
      <c r="D4057" s="2" t="s">
        <v>87</v>
      </c>
      <c r="E4057" s="3">
        <v>13.5</v>
      </c>
      <c r="F4057" s="3">
        <f>10/6</f>
        <v>1.6666666666666667</v>
      </c>
      <c r="G4057" s="4">
        <v>43978</v>
      </c>
    </row>
    <row r="4058" spans="2:18">
      <c r="B4058" s="1" t="s">
        <v>804</v>
      </c>
      <c r="C4058" s="2" t="s">
        <v>5</v>
      </c>
      <c r="D4058" s="2" t="s">
        <v>803</v>
      </c>
      <c r="E4058" s="3">
        <v>4.5</v>
      </c>
      <c r="F4058" s="3">
        <v>1.5</v>
      </c>
      <c r="G4058" s="4">
        <v>42858</v>
      </c>
      <c r="M4058" s="1"/>
      <c r="N4058" s="1"/>
      <c r="O4058" s="1"/>
      <c r="P4058" s="1"/>
      <c r="Q4058" s="1"/>
      <c r="R4058" s="1"/>
    </row>
    <row r="4059" spans="2:18">
      <c r="B4059" s="1" t="s">
        <v>802</v>
      </c>
      <c r="C4059" s="2" t="s">
        <v>5</v>
      </c>
      <c r="D4059" s="2" t="s">
        <v>663</v>
      </c>
      <c r="E4059" s="3">
        <v>17</v>
      </c>
      <c r="F4059" s="3">
        <v>1.5</v>
      </c>
      <c r="G4059" s="4">
        <v>44679</v>
      </c>
      <c r="M4059" s="1"/>
      <c r="N4059" s="1"/>
      <c r="O4059" s="1"/>
      <c r="P4059" s="1"/>
      <c r="Q4059" s="1"/>
      <c r="R4059" s="1"/>
    </row>
    <row r="4060" spans="2:18">
      <c r="B4060" s="1" t="s">
        <v>594</v>
      </c>
      <c r="C4060" s="2" t="s">
        <v>4</v>
      </c>
      <c r="D4060" s="2" t="s">
        <v>593</v>
      </c>
      <c r="E4060" s="3">
        <v>6.8</v>
      </c>
      <c r="F4060" s="3">
        <v>1.5</v>
      </c>
      <c r="G4060" s="4">
        <v>44964</v>
      </c>
      <c r="M4060" s="1"/>
      <c r="N4060" s="1"/>
      <c r="O4060" s="1"/>
      <c r="P4060" s="1"/>
      <c r="Q4060" s="1"/>
      <c r="R4060" s="1"/>
    </row>
    <row r="4061" spans="2:18">
      <c r="B4061" s="1" t="s">
        <v>445</v>
      </c>
      <c r="C4061" s="2" t="s">
        <v>4</v>
      </c>
      <c r="D4061" s="2" t="s">
        <v>439</v>
      </c>
      <c r="E4061" s="3">
        <v>7</v>
      </c>
      <c r="F4061" s="3">
        <v>1.5</v>
      </c>
      <c r="G4061" s="4">
        <v>44602</v>
      </c>
      <c r="M4061" s="1"/>
      <c r="N4061" s="1"/>
      <c r="O4061" s="1"/>
      <c r="P4061" s="1"/>
      <c r="Q4061" s="1"/>
      <c r="R4061" s="1"/>
    </row>
    <row r="4062" spans="2:18">
      <c r="B4062" s="1" t="s">
        <v>444</v>
      </c>
      <c r="C4062" s="2" t="s">
        <v>4</v>
      </c>
      <c r="D4062" s="2" t="s">
        <v>439</v>
      </c>
      <c r="E4062" s="3">
        <v>7</v>
      </c>
      <c r="F4062" s="3">
        <v>1.5</v>
      </c>
      <c r="G4062" s="4">
        <v>44602</v>
      </c>
      <c r="M4062" s="1"/>
      <c r="N4062" s="1"/>
      <c r="O4062" s="1"/>
      <c r="P4062" s="1"/>
      <c r="Q4062" s="1"/>
      <c r="R4062" s="1"/>
    </row>
    <row r="4063" spans="2:18">
      <c r="B4063" s="54" t="s">
        <v>4988</v>
      </c>
      <c r="C4063" s="55" t="s">
        <v>5</v>
      </c>
      <c r="D4063" s="55" t="s">
        <v>2112</v>
      </c>
      <c r="E4063" s="3">
        <v>8.9</v>
      </c>
      <c r="F4063" s="3">
        <f>E4063/6</f>
        <v>1.4833333333333334</v>
      </c>
      <c r="G4063" s="4">
        <v>41839</v>
      </c>
      <c r="J4063" s="1">
        <v>1600</v>
      </c>
    </row>
    <row r="4064" spans="2:18">
      <c r="B4064" s="1" t="s">
        <v>309</v>
      </c>
      <c r="C4064" s="2" t="s">
        <v>5</v>
      </c>
      <c r="D4064" s="2" t="s">
        <v>302</v>
      </c>
      <c r="E4064" s="3">
        <v>10</v>
      </c>
      <c r="F4064" s="3">
        <v>1.4</v>
      </c>
      <c r="G4064" s="4">
        <v>44637</v>
      </c>
    </row>
    <row r="4065" spans="2:18">
      <c r="B4065" s="1" t="s">
        <v>308</v>
      </c>
      <c r="C4065" s="2" t="s">
        <v>5</v>
      </c>
      <c r="D4065" s="2" t="s">
        <v>302</v>
      </c>
      <c r="E4065" s="3">
        <v>10</v>
      </c>
      <c r="F4065" s="3">
        <v>1.4</v>
      </c>
      <c r="G4065" s="4">
        <v>44637</v>
      </c>
    </row>
    <row r="4066" spans="2:18">
      <c r="B4066" s="51" t="s">
        <v>4875</v>
      </c>
      <c r="C4066" s="52" t="s">
        <v>5</v>
      </c>
      <c r="D4066" s="52" t="s">
        <v>2116</v>
      </c>
      <c r="E4066" s="3">
        <v>11.5</v>
      </c>
      <c r="F4066" s="3">
        <f>5.5/4</f>
        <v>1.375</v>
      </c>
      <c r="G4066" s="4">
        <v>43355</v>
      </c>
      <c r="J4066" s="1">
        <v>3400</v>
      </c>
    </row>
    <row r="4067" spans="2:18">
      <c r="B4067" s="1" t="s">
        <v>517</v>
      </c>
      <c r="C4067" s="2" t="s">
        <v>4</v>
      </c>
      <c r="D4067" s="2" t="s">
        <v>516</v>
      </c>
      <c r="E4067" s="3">
        <v>4</v>
      </c>
      <c r="F4067" s="3">
        <f>4/3</f>
        <v>1.3333333333333333</v>
      </c>
      <c r="G4067" s="4">
        <v>42647</v>
      </c>
      <c r="M4067" s="1"/>
      <c r="N4067" s="1"/>
      <c r="O4067" s="1"/>
      <c r="P4067" s="1"/>
      <c r="Q4067" s="1"/>
      <c r="R4067" s="1"/>
    </row>
    <row r="4068" spans="2:18">
      <c r="B4068" s="51" t="s">
        <v>4866</v>
      </c>
      <c r="C4068" s="52" t="s">
        <v>4</v>
      </c>
      <c r="D4068" s="52" t="s">
        <v>2118</v>
      </c>
      <c r="E4068" s="3">
        <v>10.3</v>
      </c>
      <c r="F4068" s="3">
        <v>1.3</v>
      </c>
      <c r="G4068" s="4">
        <v>42846</v>
      </c>
      <c r="J4068" s="1">
        <v>700</v>
      </c>
    </row>
    <row r="4069" spans="2:18">
      <c r="B4069" s="1" t="s">
        <v>346</v>
      </c>
      <c r="C4069" s="2" t="s">
        <v>4</v>
      </c>
      <c r="D4069" s="2" t="s">
        <v>341</v>
      </c>
      <c r="E4069" s="3">
        <v>3.5</v>
      </c>
      <c r="F4069" s="3">
        <v>1.25</v>
      </c>
      <c r="G4069" s="4">
        <v>44636</v>
      </c>
      <c r="M4069" s="1"/>
      <c r="N4069" s="1"/>
      <c r="O4069" s="1"/>
      <c r="P4069" s="1"/>
      <c r="Q4069" s="1"/>
      <c r="R4069" s="1"/>
    </row>
    <row r="4070" spans="2:18">
      <c r="B4070" s="152" t="s">
        <v>6399</v>
      </c>
      <c r="C4070" s="153" t="s">
        <v>5</v>
      </c>
      <c r="D4070" s="153" t="s">
        <v>6395</v>
      </c>
      <c r="E4070" s="3">
        <v>8</v>
      </c>
      <c r="F4070" s="3">
        <f>6/5</f>
        <v>1.2</v>
      </c>
      <c r="G4070" s="4">
        <v>44179</v>
      </c>
    </row>
    <row r="4071" spans="2:18">
      <c r="B4071" s="152"/>
      <c r="C4071" s="153"/>
      <c r="D4071" s="153"/>
      <c r="G4071" s="4"/>
    </row>
    <row r="4072" spans="2:18">
      <c r="G4072" s="4"/>
    </row>
    <row r="4073" spans="2:18">
      <c r="B4073" s="1" t="s">
        <v>334</v>
      </c>
      <c r="C4073" s="2" t="s">
        <v>4</v>
      </c>
      <c r="D4073" s="2" t="s">
        <v>332</v>
      </c>
      <c r="E4073" s="3">
        <v>5.0999999999999996</v>
      </c>
      <c r="F4073" s="3">
        <f>E4073/5</f>
        <v>1.02</v>
      </c>
      <c r="G4073" s="4">
        <v>43990</v>
      </c>
      <c r="M4073" s="1"/>
      <c r="N4073" s="1"/>
      <c r="O4073" s="1"/>
      <c r="P4073" s="1"/>
      <c r="Q4073" s="1"/>
      <c r="R4073" s="1"/>
    </row>
    <row r="4074" spans="2:18">
      <c r="B4074" s="1" t="s">
        <v>333</v>
      </c>
      <c r="C4074" s="2" t="s">
        <v>4</v>
      </c>
      <c r="D4074" s="2" t="s">
        <v>332</v>
      </c>
      <c r="E4074" s="3">
        <v>5.0999999999999996</v>
      </c>
      <c r="F4074" s="3">
        <f>E4074/5</f>
        <v>1.02</v>
      </c>
      <c r="G4074" s="4">
        <v>43990</v>
      </c>
      <c r="M4074" s="1"/>
      <c r="N4074" s="1"/>
      <c r="O4074" s="1"/>
      <c r="P4074" s="1"/>
      <c r="Q4074" s="1"/>
      <c r="R4074" s="1"/>
    </row>
    <row r="4075" spans="2:18">
      <c r="B4075" s="1" t="s">
        <v>801</v>
      </c>
      <c r="C4075" s="2" t="s">
        <v>4</v>
      </c>
      <c r="D4075" s="2" t="s">
        <v>763</v>
      </c>
      <c r="E4075" s="3">
        <v>6</v>
      </c>
      <c r="F4075" s="3">
        <v>1</v>
      </c>
      <c r="G4075" s="4">
        <v>44352</v>
      </c>
      <c r="M4075" s="1"/>
      <c r="N4075" s="1"/>
      <c r="O4075" s="1"/>
      <c r="P4075" s="1"/>
      <c r="Q4075" s="1"/>
      <c r="R4075" s="1"/>
    </row>
    <row r="4076" spans="2:18">
      <c r="B4076" s="1" t="s">
        <v>800</v>
      </c>
      <c r="C4076" s="2" t="s">
        <v>4</v>
      </c>
      <c r="D4076" s="2" t="s">
        <v>763</v>
      </c>
      <c r="E4076" s="3">
        <v>6</v>
      </c>
      <c r="F4076" s="3">
        <v>1</v>
      </c>
      <c r="G4076" s="4">
        <v>44352</v>
      </c>
      <c r="M4076" s="1"/>
      <c r="N4076" s="1"/>
      <c r="O4076" s="1"/>
      <c r="P4076" s="1"/>
      <c r="Q4076" s="1"/>
      <c r="R4076" s="1"/>
    </row>
    <row r="4077" spans="2:18">
      <c r="B4077" s="1" t="s">
        <v>799</v>
      </c>
      <c r="C4077" s="2" t="s">
        <v>4</v>
      </c>
      <c r="D4077" s="2" t="s">
        <v>798</v>
      </c>
      <c r="E4077" s="3">
        <v>5.3</v>
      </c>
      <c r="F4077" s="3">
        <v>1</v>
      </c>
      <c r="G4077" s="4">
        <v>43628</v>
      </c>
      <c r="M4077" s="1"/>
      <c r="N4077" s="1"/>
      <c r="O4077" s="1"/>
      <c r="P4077" s="1"/>
      <c r="Q4077" s="1"/>
      <c r="R4077" s="1"/>
    </row>
    <row r="4078" spans="2:18">
      <c r="B4078" s="1" t="s">
        <v>797</v>
      </c>
      <c r="C4078" s="2" t="s">
        <v>5</v>
      </c>
      <c r="D4078" s="2" t="s">
        <v>796</v>
      </c>
      <c r="E4078" s="3">
        <v>17.5</v>
      </c>
      <c r="F4078" s="3">
        <v>1</v>
      </c>
      <c r="G4078" s="4">
        <v>44614</v>
      </c>
      <c r="M4078" s="1"/>
      <c r="N4078" s="1"/>
      <c r="O4078" s="1"/>
      <c r="P4078" s="1"/>
      <c r="Q4078" s="1"/>
      <c r="R4078" s="1"/>
    </row>
    <row r="4079" spans="2:18">
      <c r="B4079" s="1" t="s">
        <v>795</v>
      </c>
      <c r="C4079" s="2" t="s">
        <v>5</v>
      </c>
      <c r="D4079" s="2" t="s">
        <v>783</v>
      </c>
      <c r="E4079" s="3">
        <v>10.9</v>
      </c>
      <c r="F4079" s="3">
        <f>8/8</f>
        <v>1</v>
      </c>
      <c r="G4079" s="4">
        <v>45070</v>
      </c>
      <c r="M4079" s="1"/>
      <c r="N4079" s="1"/>
      <c r="O4079" s="1"/>
      <c r="P4079" s="1"/>
      <c r="Q4079" s="1"/>
      <c r="R4079" s="1"/>
    </row>
    <row r="4080" spans="2:18">
      <c r="B4080" s="1" t="s">
        <v>794</v>
      </c>
      <c r="C4080" s="2" t="s">
        <v>4</v>
      </c>
      <c r="D4080" s="2" t="s">
        <v>709</v>
      </c>
      <c r="E4080" s="3">
        <v>5.5</v>
      </c>
      <c r="F4080" s="3">
        <v>1</v>
      </c>
      <c r="G4080" s="4">
        <v>45092</v>
      </c>
      <c r="M4080" s="1"/>
      <c r="N4080" s="1"/>
      <c r="O4080" s="1"/>
      <c r="P4080" s="1"/>
      <c r="Q4080" s="1"/>
      <c r="R4080" s="1"/>
    </row>
    <row r="4081" spans="2:18">
      <c r="B4081" s="1" t="s">
        <v>793</v>
      </c>
      <c r="C4081" s="2" t="s">
        <v>4</v>
      </c>
      <c r="D4081" s="2" t="s">
        <v>699</v>
      </c>
      <c r="E4081" s="3">
        <v>2.5</v>
      </c>
      <c r="F4081" s="3">
        <v>1</v>
      </c>
      <c r="G4081" s="4">
        <v>44469</v>
      </c>
      <c r="M4081" s="1"/>
      <c r="N4081" s="1"/>
      <c r="O4081" s="1"/>
      <c r="P4081" s="1"/>
      <c r="Q4081" s="1"/>
      <c r="R4081" s="1"/>
    </row>
    <row r="4082" spans="2:18">
      <c r="B4082" s="1" t="s">
        <v>792</v>
      </c>
      <c r="C4082" s="2" t="s">
        <v>4</v>
      </c>
      <c r="D4082" s="2" t="s">
        <v>697</v>
      </c>
      <c r="E4082" s="3">
        <v>5.6</v>
      </c>
      <c r="F4082" s="3">
        <v>1</v>
      </c>
      <c r="G4082" s="4">
        <v>44292</v>
      </c>
      <c r="M4082" s="1"/>
      <c r="N4082" s="1"/>
      <c r="O4082" s="1"/>
      <c r="P4082" s="1"/>
      <c r="Q4082" s="1"/>
      <c r="R4082" s="1"/>
    </row>
    <row r="4083" spans="2:18">
      <c r="B4083" s="1" t="s">
        <v>789</v>
      </c>
      <c r="C4083" s="2" t="s">
        <v>4</v>
      </c>
      <c r="D4083" s="2" t="s">
        <v>697</v>
      </c>
      <c r="E4083" s="3">
        <v>5.6</v>
      </c>
      <c r="F4083" s="3">
        <v>1</v>
      </c>
      <c r="G4083" s="4">
        <v>44292</v>
      </c>
      <c r="M4083" s="1"/>
      <c r="N4083" s="1"/>
      <c r="O4083" s="1"/>
      <c r="P4083" s="1"/>
      <c r="Q4083" s="1"/>
      <c r="R4083" s="1"/>
    </row>
    <row r="4084" spans="2:18">
      <c r="B4084" s="1" t="s">
        <v>788</v>
      </c>
      <c r="C4084" s="2" t="s">
        <v>5</v>
      </c>
      <c r="D4084" s="2" t="s">
        <v>783</v>
      </c>
      <c r="E4084" s="3">
        <v>10.9</v>
      </c>
      <c r="F4084" s="3">
        <f>8/8</f>
        <v>1</v>
      </c>
      <c r="G4084" s="4">
        <v>45070</v>
      </c>
      <c r="M4084" s="1"/>
      <c r="N4084" s="1"/>
      <c r="O4084" s="1"/>
      <c r="P4084" s="1"/>
      <c r="Q4084" s="1"/>
      <c r="R4084" s="1"/>
    </row>
    <row r="4085" spans="2:18">
      <c r="B4085" s="1" t="s">
        <v>787</v>
      </c>
      <c r="C4085" s="2" t="s">
        <v>5</v>
      </c>
      <c r="D4085" s="2" t="s">
        <v>783</v>
      </c>
      <c r="E4085" s="3">
        <v>10.9</v>
      </c>
      <c r="F4085" s="3">
        <f>8/8</f>
        <v>1</v>
      </c>
      <c r="G4085" s="4">
        <v>45070</v>
      </c>
      <c r="M4085" s="1"/>
      <c r="N4085" s="1"/>
      <c r="O4085" s="1"/>
      <c r="P4085" s="1"/>
      <c r="Q4085" s="1"/>
      <c r="R4085" s="1"/>
    </row>
    <row r="4086" spans="2:18">
      <c r="B4086" s="1" t="s">
        <v>786</v>
      </c>
      <c r="C4086" s="2" t="s">
        <v>5</v>
      </c>
      <c r="D4086" s="2" t="s">
        <v>783</v>
      </c>
      <c r="E4086" s="3">
        <v>10.9</v>
      </c>
      <c r="F4086" s="3">
        <f>8/8</f>
        <v>1</v>
      </c>
      <c r="G4086" s="4">
        <v>45070</v>
      </c>
      <c r="M4086" s="1"/>
      <c r="N4086" s="1"/>
      <c r="O4086" s="1"/>
      <c r="P4086" s="1"/>
      <c r="Q4086" s="1"/>
      <c r="R4086" s="1"/>
    </row>
    <row r="4087" spans="2:18">
      <c r="B4087" s="1" t="s">
        <v>785</v>
      </c>
      <c r="C4087" s="2" t="s">
        <v>5</v>
      </c>
      <c r="D4087" s="2" t="s">
        <v>783</v>
      </c>
      <c r="E4087" s="3">
        <v>10.9</v>
      </c>
      <c r="F4087" s="3">
        <f>8/8</f>
        <v>1</v>
      </c>
      <c r="G4087" s="4">
        <v>45070</v>
      </c>
      <c r="M4087" s="1"/>
      <c r="N4087" s="1"/>
      <c r="O4087" s="1"/>
      <c r="P4087" s="1"/>
      <c r="Q4087" s="1"/>
      <c r="R4087" s="1"/>
    </row>
    <row r="4088" spans="2:18">
      <c r="B4088" s="1" t="s">
        <v>784</v>
      </c>
      <c r="C4088" s="2" t="s">
        <v>5</v>
      </c>
      <c r="D4088" s="2" t="s">
        <v>783</v>
      </c>
      <c r="E4088" s="3">
        <v>10.9</v>
      </c>
      <c r="F4088" s="3">
        <f>8/8</f>
        <v>1</v>
      </c>
      <c r="G4088" s="4">
        <v>45070</v>
      </c>
      <c r="M4088" s="1"/>
      <c r="N4088" s="1"/>
      <c r="O4088" s="1"/>
      <c r="P4088" s="1"/>
      <c r="Q4088" s="1"/>
      <c r="R4088" s="1"/>
    </row>
    <row r="4089" spans="2:18">
      <c r="B4089" s="1" t="s">
        <v>782</v>
      </c>
      <c r="C4089" s="2" t="s">
        <v>4</v>
      </c>
      <c r="D4089" s="2" t="s">
        <v>701</v>
      </c>
      <c r="E4089" s="3">
        <v>7.2</v>
      </c>
      <c r="F4089" s="3">
        <v>1</v>
      </c>
      <c r="G4089" s="4">
        <v>44508</v>
      </c>
      <c r="M4089" s="1"/>
      <c r="N4089" s="1"/>
      <c r="O4089" s="1"/>
      <c r="P4089" s="1"/>
      <c r="Q4089" s="1"/>
      <c r="R4089" s="1"/>
    </row>
    <row r="4090" spans="2:18">
      <c r="B4090" s="1" t="s">
        <v>781</v>
      </c>
      <c r="C4090" s="2" t="s">
        <v>4</v>
      </c>
      <c r="D4090" s="2" t="s">
        <v>701</v>
      </c>
      <c r="E4090" s="3">
        <v>7.2</v>
      </c>
      <c r="F4090" s="3">
        <v>1</v>
      </c>
      <c r="G4090" s="4">
        <v>44508</v>
      </c>
      <c r="M4090" s="1"/>
      <c r="N4090" s="1"/>
      <c r="O4090" s="1"/>
      <c r="P4090" s="1"/>
      <c r="Q4090" s="1"/>
      <c r="R4090" s="1"/>
    </row>
    <row r="4091" spans="2:18">
      <c r="B4091" s="1" t="s">
        <v>780</v>
      </c>
      <c r="C4091" s="11" t="s">
        <v>670</v>
      </c>
      <c r="D4091" s="11" t="s">
        <v>779</v>
      </c>
      <c r="E4091" s="10">
        <v>3</v>
      </c>
      <c r="F4091" s="10">
        <v>1</v>
      </c>
      <c r="G4091" s="9">
        <v>44183</v>
      </c>
      <c r="M4091" s="1"/>
      <c r="N4091" s="1"/>
      <c r="O4091" s="1"/>
      <c r="P4091" s="1"/>
      <c r="Q4091" s="1"/>
      <c r="R4091" s="1"/>
    </row>
    <row r="4092" spans="2:18">
      <c r="B4092" s="1" t="s">
        <v>778</v>
      </c>
      <c r="C4092" s="2" t="s">
        <v>670</v>
      </c>
      <c r="D4092" s="2" t="s">
        <v>776</v>
      </c>
      <c r="E4092" s="3">
        <v>4.5</v>
      </c>
      <c r="F4092" s="3">
        <v>1</v>
      </c>
      <c r="G4092" s="4">
        <v>44691</v>
      </c>
      <c r="M4092" s="1"/>
      <c r="N4092" s="1"/>
      <c r="O4092" s="1"/>
      <c r="P4092" s="1"/>
      <c r="Q4092" s="1"/>
      <c r="R4092" s="1"/>
    </row>
    <row r="4093" spans="2:18">
      <c r="B4093" s="1" t="s">
        <v>777</v>
      </c>
      <c r="C4093" s="2" t="s">
        <v>670</v>
      </c>
      <c r="D4093" s="2" t="s">
        <v>776</v>
      </c>
      <c r="E4093" s="3">
        <v>4.5</v>
      </c>
      <c r="F4093" s="3">
        <v>1</v>
      </c>
      <c r="G4093" s="4">
        <v>44691</v>
      </c>
      <c r="M4093" s="1"/>
      <c r="N4093" s="1"/>
      <c r="O4093" s="1"/>
      <c r="P4093" s="1"/>
      <c r="Q4093" s="1"/>
      <c r="R4093" s="1"/>
    </row>
    <row r="4094" spans="2:18">
      <c r="G4094" s="4"/>
      <c r="M4094" s="1"/>
      <c r="N4094" s="1"/>
      <c r="O4094" s="1"/>
      <c r="P4094" s="1"/>
      <c r="Q4094" s="1"/>
      <c r="R4094" s="1"/>
    </row>
    <row r="4095" spans="2:18">
      <c r="B4095" s="1" t="s">
        <v>772</v>
      </c>
      <c r="C4095" s="2" t="s">
        <v>4</v>
      </c>
      <c r="D4095" s="2" t="s">
        <v>771</v>
      </c>
      <c r="E4095" s="3">
        <v>10</v>
      </c>
      <c r="F4095" s="3">
        <v>1</v>
      </c>
      <c r="G4095" s="4">
        <v>44858</v>
      </c>
      <c r="M4095" s="1"/>
      <c r="N4095" s="1"/>
      <c r="O4095" s="1"/>
      <c r="P4095" s="1"/>
      <c r="Q4095" s="1"/>
      <c r="R4095" s="1"/>
    </row>
    <row r="4096" spans="2:18">
      <c r="B4096" s="1" t="s">
        <v>633</v>
      </c>
      <c r="C4096" s="2" t="s">
        <v>4</v>
      </c>
      <c r="D4096" s="2" t="s">
        <v>632</v>
      </c>
      <c r="E4096" s="3">
        <v>3</v>
      </c>
      <c r="F4096" s="3">
        <v>1</v>
      </c>
      <c r="G4096" s="4">
        <v>44539</v>
      </c>
      <c r="M4096" s="1"/>
      <c r="N4096" s="1"/>
      <c r="O4096" s="1"/>
      <c r="P4096" s="1"/>
      <c r="Q4096" s="1"/>
      <c r="R4096" s="1"/>
    </row>
    <row r="4097" spans="2:18">
      <c r="B4097" s="1" t="s">
        <v>601</v>
      </c>
      <c r="C4097" s="2" t="s">
        <v>5</v>
      </c>
      <c r="D4097" s="2" t="s">
        <v>599</v>
      </c>
      <c r="E4097" s="3">
        <v>8</v>
      </c>
      <c r="F4097" s="3">
        <v>1</v>
      </c>
      <c r="G4097" s="4">
        <v>43249</v>
      </c>
      <c r="M4097" s="1"/>
      <c r="N4097" s="1"/>
      <c r="O4097" s="1"/>
      <c r="P4097" s="1"/>
      <c r="Q4097" s="1"/>
      <c r="R4097" s="1"/>
    </row>
    <row r="4098" spans="2:18">
      <c r="B4098" s="1" t="s">
        <v>598</v>
      </c>
      <c r="C4098" s="2" t="s">
        <v>4</v>
      </c>
      <c r="D4098" s="2" t="s">
        <v>596</v>
      </c>
      <c r="E4098" s="3">
        <v>6</v>
      </c>
      <c r="F4098" s="3">
        <v>1</v>
      </c>
      <c r="G4098" s="4">
        <v>44781</v>
      </c>
      <c r="M4098" s="1"/>
      <c r="N4098" s="1"/>
      <c r="O4098" s="1"/>
      <c r="P4098" s="1"/>
      <c r="Q4098" s="1"/>
      <c r="R4098" s="1"/>
    </row>
    <row r="4099" spans="2:18">
      <c r="B4099" s="1" t="s">
        <v>583</v>
      </c>
      <c r="C4099" s="2" t="s">
        <v>278</v>
      </c>
      <c r="D4099" s="2" t="s">
        <v>582</v>
      </c>
      <c r="E4099" s="3">
        <v>2</v>
      </c>
      <c r="F4099" s="3">
        <v>1</v>
      </c>
      <c r="G4099" s="4">
        <v>44223</v>
      </c>
      <c r="M4099" s="1"/>
      <c r="N4099" s="1"/>
      <c r="O4099" s="1"/>
      <c r="P4099" s="1"/>
      <c r="Q4099" s="1"/>
      <c r="R4099" s="1"/>
    </row>
    <row r="4100" spans="2:18">
      <c r="B4100" s="1" t="s">
        <v>579</v>
      </c>
      <c r="C4100" s="2" t="s">
        <v>4</v>
      </c>
      <c r="D4100" s="2" t="s">
        <v>573</v>
      </c>
      <c r="E4100" s="3">
        <v>10</v>
      </c>
      <c r="F4100" s="3">
        <v>1</v>
      </c>
      <c r="G4100" s="4">
        <v>44887</v>
      </c>
      <c r="M4100" s="1"/>
      <c r="N4100" s="1"/>
      <c r="O4100" s="1"/>
      <c r="P4100" s="1"/>
      <c r="Q4100" s="1"/>
      <c r="R4100" s="1"/>
    </row>
    <row r="4101" spans="2:18">
      <c r="B4101" s="1" t="s">
        <v>578</v>
      </c>
      <c r="C4101" s="2" t="s">
        <v>4</v>
      </c>
      <c r="D4101" s="2" t="s">
        <v>573</v>
      </c>
      <c r="E4101" s="3">
        <v>10</v>
      </c>
      <c r="F4101" s="3">
        <v>1</v>
      </c>
      <c r="G4101" s="4">
        <v>44887</v>
      </c>
      <c r="M4101" s="1"/>
      <c r="N4101" s="1"/>
      <c r="O4101" s="1"/>
      <c r="P4101" s="1"/>
      <c r="Q4101" s="1"/>
      <c r="R4101" s="1"/>
    </row>
    <row r="4102" spans="2:18">
      <c r="B4102" s="1" t="s">
        <v>576</v>
      </c>
      <c r="C4102" s="2" t="s">
        <v>4</v>
      </c>
      <c r="D4102" s="2" t="s">
        <v>573</v>
      </c>
      <c r="E4102" s="3">
        <v>10</v>
      </c>
      <c r="F4102" s="3">
        <v>1</v>
      </c>
      <c r="G4102" s="4">
        <v>44887</v>
      </c>
      <c r="M4102" s="1"/>
      <c r="N4102" s="1"/>
      <c r="O4102" s="1"/>
      <c r="P4102" s="1"/>
      <c r="Q4102" s="1"/>
      <c r="R4102" s="1"/>
    </row>
    <row r="4103" spans="2:18">
      <c r="B4103" s="1" t="s">
        <v>575</v>
      </c>
      <c r="C4103" s="2" t="s">
        <v>4</v>
      </c>
      <c r="D4103" s="2" t="s">
        <v>573</v>
      </c>
      <c r="E4103" s="3">
        <v>10</v>
      </c>
      <c r="F4103" s="3">
        <v>1</v>
      </c>
      <c r="G4103" s="4">
        <v>44887</v>
      </c>
      <c r="M4103" s="1"/>
      <c r="N4103" s="1"/>
      <c r="O4103" s="1"/>
      <c r="P4103" s="1"/>
      <c r="Q4103" s="1"/>
      <c r="R4103" s="1"/>
    </row>
    <row r="4104" spans="2:18">
      <c r="B4104" s="1" t="s">
        <v>574</v>
      </c>
      <c r="C4104" s="2" t="s">
        <v>4</v>
      </c>
      <c r="D4104" s="2" t="s">
        <v>573</v>
      </c>
      <c r="E4104" s="3">
        <v>10</v>
      </c>
      <c r="F4104" s="3">
        <v>1</v>
      </c>
      <c r="G4104" s="4">
        <v>44887</v>
      </c>
      <c r="M4104" s="1"/>
      <c r="N4104" s="1"/>
      <c r="O4104" s="1"/>
      <c r="P4104" s="1"/>
      <c r="Q4104" s="1"/>
      <c r="R4104" s="1"/>
    </row>
    <row r="4105" spans="2:18">
      <c r="B4105" s="1" t="s">
        <v>484</v>
      </c>
      <c r="C4105" s="2" t="s">
        <v>4</v>
      </c>
      <c r="D4105" s="2" t="s">
        <v>483</v>
      </c>
      <c r="E4105" s="3">
        <v>2.5</v>
      </c>
      <c r="F4105" s="3">
        <v>1</v>
      </c>
      <c r="G4105" s="4">
        <v>44305</v>
      </c>
      <c r="M4105" s="1"/>
      <c r="N4105" s="1"/>
      <c r="O4105" s="1"/>
      <c r="P4105" s="1"/>
      <c r="Q4105" s="1"/>
      <c r="R4105" s="1"/>
    </row>
    <row r="4106" spans="2:18">
      <c r="B4106" s="1" t="s">
        <v>474</v>
      </c>
      <c r="C4106" s="2" t="s">
        <v>4</v>
      </c>
      <c r="D4106" s="2" t="s">
        <v>469</v>
      </c>
      <c r="E4106" s="3">
        <v>6</v>
      </c>
      <c r="F4106" s="3">
        <v>1</v>
      </c>
      <c r="G4106" s="4">
        <v>45104</v>
      </c>
      <c r="M4106" s="1"/>
      <c r="N4106" s="1"/>
      <c r="O4106" s="1"/>
      <c r="P4106" s="1"/>
      <c r="Q4106" s="1"/>
      <c r="R4106" s="1"/>
    </row>
    <row r="4107" spans="2:18">
      <c r="B4107" s="1" t="s">
        <v>473</v>
      </c>
      <c r="C4107" s="2" t="s">
        <v>4</v>
      </c>
      <c r="D4107" s="2" t="s">
        <v>469</v>
      </c>
      <c r="E4107" s="3">
        <v>6</v>
      </c>
      <c r="F4107" s="3">
        <v>1</v>
      </c>
      <c r="G4107" s="4">
        <v>45104</v>
      </c>
      <c r="M4107" s="1"/>
      <c r="N4107" s="1"/>
      <c r="O4107" s="1"/>
      <c r="P4107" s="1"/>
      <c r="Q4107" s="1"/>
      <c r="R4107" s="1"/>
    </row>
    <row r="4108" spans="2:18">
      <c r="B4108" s="1" t="s">
        <v>471</v>
      </c>
      <c r="C4108" s="2" t="s">
        <v>4</v>
      </c>
      <c r="D4108" s="2" t="s">
        <v>469</v>
      </c>
      <c r="E4108" s="3">
        <v>6</v>
      </c>
      <c r="F4108" s="3">
        <v>1</v>
      </c>
      <c r="G4108" s="4">
        <v>45104</v>
      </c>
      <c r="M4108" s="1"/>
      <c r="N4108" s="1"/>
      <c r="O4108" s="1"/>
      <c r="P4108" s="1"/>
      <c r="Q4108" s="1"/>
      <c r="R4108" s="1"/>
    </row>
    <row r="4109" spans="2:18">
      <c r="B4109" s="1" t="s">
        <v>470</v>
      </c>
      <c r="C4109" s="2" t="s">
        <v>4</v>
      </c>
      <c r="D4109" s="2" t="s">
        <v>469</v>
      </c>
      <c r="E4109" s="3">
        <v>6</v>
      </c>
      <c r="F4109" s="3">
        <v>1</v>
      </c>
      <c r="G4109" s="4">
        <v>45104</v>
      </c>
      <c r="M4109" s="1"/>
      <c r="N4109" s="1"/>
      <c r="O4109" s="1"/>
      <c r="P4109" s="1"/>
      <c r="Q4109" s="1"/>
      <c r="R4109" s="1"/>
    </row>
    <row r="4110" spans="2:18">
      <c r="B4110" s="1" t="s">
        <v>330</v>
      </c>
      <c r="C4110" s="2" t="s">
        <v>4</v>
      </c>
      <c r="D4110" s="2" t="s">
        <v>329</v>
      </c>
      <c r="E4110" s="3">
        <v>5</v>
      </c>
      <c r="F4110" s="3">
        <v>1</v>
      </c>
      <c r="G4110" s="4">
        <v>43224</v>
      </c>
      <c r="L4110" s="1">
        <v>0</v>
      </c>
      <c r="M4110" s="1"/>
      <c r="N4110" s="1"/>
      <c r="O4110" s="1"/>
      <c r="P4110" s="1"/>
      <c r="Q4110" s="1"/>
      <c r="R4110" s="1"/>
    </row>
    <row r="4111" spans="2:18">
      <c r="G4111" s="4"/>
      <c r="M4111" s="1"/>
      <c r="N4111" s="1"/>
      <c r="O4111" s="1"/>
      <c r="P4111" s="1"/>
      <c r="Q4111" s="1"/>
      <c r="R4111" s="1"/>
    </row>
    <row r="4112" spans="2:18">
      <c r="B4112" s="1" t="s">
        <v>127</v>
      </c>
      <c r="C4112" s="2" t="s">
        <v>4</v>
      </c>
      <c r="D4112" s="2" t="s">
        <v>122</v>
      </c>
      <c r="E4112" s="3">
        <v>2</v>
      </c>
      <c r="F4112" s="3">
        <v>1</v>
      </c>
      <c r="G4112" s="4">
        <v>44658</v>
      </c>
    </row>
    <row r="4113" spans="2:18">
      <c r="B4113" s="91" t="s">
        <v>5908</v>
      </c>
      <c r="C4113" s="92" t="s">
        <v>4</v>
      </c>
      <c r="D4113" s="92" t="s">
        <v>2069</v>
      </c>
      <c r="E4113" s="3">
        <v>5</v>
      </c>
      <c r="F4113" s="3">
        <v>1</v>
      </c>
      <c r="G4113" s="4">
        <v>43466</v>
      </c>
    </row>
    <row r="4114" spans="2:18">
      <c r="B4114" s="91" t="s">
        <v>5991</v>
      </c>
      <c r="C4114" s="92" t="s">
        <v>5</v>
      </c>
      <c r="D4114" s="92" t="s">
        <v>5988</v>
      </c>
      <c r="E4114" s="3">
        <v>3</v>
      </c>
      <c r="F4114" s="3">
        <v>1</v>
      </c>
      <c r="G4114" s="4">
        <v>44140</v>
      </c>
    </row>
    <row r="4115" spans="2:18">
      <c r="B4115" s="238" t="s">
        <v>7422</v>
      </c>
      <c r="C4115" s="241" t="s">
        <v>5</v>
      </c>
      <c r="D4115" s="241" t="s">
        <v>2010</v>
      </c>
      <c r="E4115" s="3">
        <v>9</v>
      </c>
      <c r="F4115" s="3">
        <f>6/4</f>
        <v>1.5</v>
      </c>
      <c r="G4115" s="4">
        <v>44540</v>
      </c>
    </row>
    <row r="4116" spans="2:18">
      <c r="B4116" s="91" t="s">
        <v>5992</v>
      </c>
      <c r="C4116" s="92" t="s">
        <v>5</v>
      </c>
      <c r="D4116" s="92" t="s">
        <v>5988</v>
      </c>
      <c r="E4116" s="3">
        <v>3</v>
      </c>
      <c r="F4116" s="3">
        <v>1</v>
      </c>
      <c r="G4116" s="4">
        <v>44140</v>
      </c>
    </row>
    <row r="4117" spans="2:18">
      <c r="B4117" s="91"/>
      <c r="C4117" s="92"/>
      <c r="D4117" s="92"/>
      <c r="G4117" s="4"/>
    </row>
    <row r="4118" spans="2:18">
      <c r="B4118" s="152"/>
      <c r="G4118" s="4"/>
    </row>
    <row r="4119" spans="2:18">
      <c r="B4119" s="152"/>
      <c r="G4119" s="4"/>
    </row>
    <row r="4120" spans="2:18">
      <c r="B4120" s="152" t="s">
        <v>6389</v>
      </c>
      <c r="C4120" s="2" t="s">
        <v>5</v>
      </c>
      <c r="D4120" s="2" t="s">
        <v>2039</v>
      </c>
      <c r="E4120" s="3">
        <v>18</v>
      </c>
      <c r="F4120" s="3">
        <v>1</v>
      </c>
      <c r="G4120" s="4">
        <v>43445</v>
      </c>
    </row>
    <row r="4121" spans="2:18">
      <c r="B4121" s="152" t="s">
        <v>6546</v>
      </c>
      <c r="C4121" s="153" t="s">
        <v>5</v>
      </c>
      <c r="D4121" s="153" t="s">
        <v>2035</v>
      </c>
      <c r="E4121" s="3">
        <v>9.1</v>
      </c>
      <c r="F4121" s="3">
        <v>1</v>
      </c>
      <c r="G4121" s="4">
        <v>42087</v>
      </c>
    </row>
    <row r="4122" spans="2:18">
      <c r="B4122" s="152" t="s">
        <v>6547</v>
      </c>
      <c r="C4122" s="153" t="s">
        <v>5</v>
      </c>
      <c r="D4122" s="153" t="s">
        <v>2035</v>
      </c>
      <c r="E4122" s="3">
        <v>9.1</v>
      </c>
      <c r="F4122" s="3">
        <v>1</v>
      </c>
      <c r="G4122" s="4">
        <v>42087</v>
      </c>
    </row>
    <row r="4123" spans="2:18">
      <c r="B4123" s="152" t="s">
        <v>6556</v>
      </c>
      <c r="C4123" s="153" t="s">
        <v>5</v>
      </c>
      <c r="D4123" s="153" t="s">
        <v>2034</v>
      </c>
      <c r="E4123" s="3">
        <v>5</v>
      </c>
      <c r="F4123" s="3">
        <v>1</v>
      </c>
      <c r="G4123" s="4">
        <v>43888</v>
      </c>
    </row>
    <row r="4124" spans="2:18">
      <c r="B4124" s="176" t="s">
        <v>6685</v>
      </c>
      <c r="C4124" s="177" t="s">
        <v>4</v>
      </c>
      <c r="D4124" s="177" t="s">
        <v>6679</v>
      </c>
      <c r="E4124" s="3">
        <v>5</v>
      </c>
      <c r="F4124" s="3">
        <v>1</v>
      </c>
      <c r="G4124" s="4">
        <v>44073</v>
      </c>
    </row>
    <row r="4125" spans="2:18">
      <c r="B4125" s="176" t="s">
        <v>6686</v>
      </c>
      <c r="C4125" s="177" t="s">
        <v>4</v>
      </c>
      <c r="D4125" s="177" t="s">
        <v>6679</v>
      </c>
      <c r="E4125" s="3">
        <v>5</v>
      </c>
      <c r="F4125" s="3">
        <v>1</v>
      </c>
      <c r="G4125" s="4">
        <v>44073</v>
      </c>
    </row>
    <row r="4126" spans="2:18">
      <c r="B4126" s="176" t="s">
        <v>6687</v>
      </c>
      <c r="C4126" s="177" t="s">
        <v>4</v>
      </c>
      <c r="D4126" s="177" t="s">
        <v>6679</v>
      </c>
      <c r="E4126" s="3">
        <v>5</v>
      </c>
      <c r="F4126" s="3">
        <v>1</v>
      </c>
      <c r="G4126" s="4">
        <v>44073</v>
      </c>
    </row>
    <row r="4127" spans="2:18">
      <c r="B4127" s="176" t="s">
        <v>6710</v>
      </c>
      <c r="C4127" s="177" t="s">
        <v>4</v>
      </c>
      <c r="D4127" s="177" t="s">
        <v>2027</v>
      </c>
      <c r="E4127" s="3">
        <v>5</v>
      </c>
      <c r="F4127" s="3">
        <v>1</v>
      </c>
      <c r="G4127" s="4">
        <v>44105</v>
      </c>
    </row>
    <row r="4128" spans="2:18">
      <c r="B4128" s="1" t="s">
        <v>571</v>
      </c>
      <c r="C4128" s="2" t="s">
        <v>4</v>
      </c>
      <c r="D4128" s="2" t="s">
        <v>565</v>
      </c>
      <c r="E4128" s="3">
        <v>9</v>
      </c>
      <c r="F4128" s="3">
        <f t="shared" ref="F4128:F4133" si="10">5/6</f>
        <v>0.83333333333333337</v>
      </c>
      <c r="G4128" s="4">
        <v>44859</v>
      </c>
      <c r="M4128" s="1"/>
      <c r="N4128" s="1"/>
      <c r="O4128" s="1"/>
      <c r="P4128" s="1"/>
      <c r="Q4128" s="1"/>
      <c r="R4128" s="1"/>
    </row>
    <row r="4129" spans="2:18">
      <c r="B4129" s="1" t="s">
        <v>570</v>
      </c>
      <c r="C4129" s="2" t="s">
        <v>4</v>
      </c>
      <c r="D4129" s="2" t="s">
        <v>565</v>
      </c>
      <c r="E4129" s="3">
        <v>9</v>
      </c>
      <c r="F4129" s="3">
        <f t="shared" si="10"/>
        <v>0.83333333333333337</v>
      </c>
      <c r="G4129" s="4">
        <v>44859</v>
      </c>
      <c r="M4129" s="1"/>
      <c r="N4129" s="1"/>
      <c r="O4129" s="1"/>
      <c r="P4129" s="1"/>
      <c r="Q4129" s="1"/>
      <c r="R4129" s="1"/>
    </row>
    <row r="4130" spans="2:18">
      <c r="B4130" s="1" t="s">
        <v>569</v>
      </c>
      <c r="C4130" s="2" t="s">
        <v>4</v>
      </c>
      <c r="D4130" s="2" t="s">
        <v>565</v>
      </c>
      <c r="E4130" s="3">
        <v>9</v>
      </c>
      <c r="F4130" s="3">
        <f t="shared" si="10"/>
        <v>0.83333333333333337</v>
      </c>
      <c r="G4130" s="4">
        <v>44859</v>
      </c>
      <c r="M4130" s="1"/>
      <c r="N4130" s="1"/>
      <c r="O4130" s="1"/>
      <c r="P4130" s="1"/>
      <c r="Q4130" s="1"/>
      <c r="R4130" s="1"/>
    </row>
    <row r="4131" spans="2:18">
      <c r="B4131" s="1" t="s">
        <v>568</v>
      </c>
      <c r="C4131" s="2" t="s">
        <v>4</v>
      </c>
      <c r="D4131" s="2" t="s">
        <v>565</v>
      </c>
      <c r="E4131" s="3">
        <v>9</v>
      </c>
      <c r="F4131" s="3">
        <f t="shared" si="10"/>
        <v>0.83333333333333337</v>
      </c>
      <c r="G4131" s="4">
        <v>44859</v>
      </c>
      <c r="M4131" s="1"/>
      <c r="N4131" s="1"/>
      <c r="O4131" s="1"/>
      <c r="P4131" s="1"/>
      <c r="Q4131" s="1"/>
      <c r="R4131" s="1"/>
    </row>
    <row r="4132" spans="2:18">
      <c r="B4132" s="1" t="s">
        <v>567</v>
      </c>
      <c r="C4132" s="2" t="s">
        <v>4</v>
      </c>
      <c r="D4132" s="2" t="s">
        <v>565</v>
      </c>
      <c r="E4132" s="3">
        <v>9</v>
      </c>
      <c r="F4132" s="3">
        <f t="shared" si="10"/>
        <v>0.83333333333333337</v>
      </c>
      <c r="G4132" s="4">
        <v>44859</v>
      </c>
      <c r="M4132" s="1"/>
      <c r="N4132" s="1"/>
      <c r="O4132" s="1"/>
      <c r="P4132" s="1"/>
      <c r="Q4132" s="1"/>
      <c r="R4132" s="1"/>
    </row>
    <row r="4133" spans="2:18">
      <c r="B4133" s="1" t="s">
        <v>566</v>
      </c>
      <c r="C4133" s="2" t="s">
        <v>4</v>
      </c>
      <c r="D4133" s="2" t="s">
        <v>565</v>
      </c>
      <c r="E4133" s="3">
        <v>9</v>
      </c>
      <c r="F4133" s="3">
        <f t="shared" si="10"/>
        <v>0.83333333333333337</v>
      </c>
      <c r="G4133" s="4">
        <v>44859</v>
      </c>
      <c r="M4133" s="1"/>
      <c r="N4133" s="1"/>
      <c r="O4133" s="1"/>
      <c r="P4133" s="1"/>
      <c r="Q4133" s="1"/>
      <c r="R4133" s="1"/>
    </row>
    <row r="4134" spans="2:18">
      <c r="B4134" s="1" t="s">
        <v>770</v>
      </c>
      <c r="C4134" s="2" t="s">
        <v>4</v>
      </c>
      <c r="D4134" s="2" t="s">
        <v>722</v>
      </c>
      <c r="E4134" s="3">
        <v>3</v>
      </c>
      <c r="F4134" s="3">
        <v>0.75</v>
      </c>
      <c r="G4134" s="4">
        <v>44011</v>
      </c>
      <c r="M4134" s="1"/>
      <c r="N4134" s="1"/>
      <c r="O4134" s="1"/>
      <c r="P4134" s="1"/>
      <c r="Q4134" s="1"/>
      <c r="R4134" s="1"/>
    </row>
    <row r="4135" spans="2:18">
      <c r="B4135" s="1" t="s">
        <v>769</v>
      </c>
      <c r="C4135" s="2" t="s">
        <v>4</v>
      </c>
      <c r="D4135" s="2" t="s">
        <v>722</v>
      </c>
      <c r="E4135" s="3">
        <v>3</v>
      </c>
      <c r="F4135" s="3">
        <v>0.75</v>
      </c>
      <c r="G4135" s="4">
        <v>44011</v>
      </c>
      <c r="M4135" s="1"/>
      <c r="N4135" s="1"/>
      <c r="O4135" s="1"/>
      <c r="P4135" s="1"/>
      <c r="Q4135" s="1"/>
      <c r="R4135" s="1"/>
    </row>
    <row r="4136" spans="2:18">
      <c r="B4136" s="1" t="s">
        <v>340</v>
      </c>
      <c r="C4136" s="2" t="s">
        <v>4</v>
      </c>
      <c r="D4136" s="2" t="s">
        <v>336</v>
      </c>
      <c r="E4136" s="3">
        <v>3</v>
      </c>
      <c r="F4136" s="3">
        <v>0.75</v>
      </c>
      <c r="G4136" s="4">
        <v>44327</v>
      </c>
      <c r="M4136" s="1"/>
      <c r="N4136" s="1"/>
      <c r="O4136" s="1"/>
      <c r="P4136" s="1"/>
      <c r="Q4136" s="1"/>
      <c r="R4136" s="1"/>
    </row>
    <row r="4137" spans="2:18">
      <c r="B4137" s="1" t="s">
        <v>339</v>
      </c>
      <c r="C4137" s="2" t="s">
        <v>4</v>
      </c>
      <c r="D4137" s="2" t="s">
        <v>336</v>
      </c>
      <c r="E4137" s="3">
        <v>3</v>
      </c>
      <c r="F4137" s="3">
        <v>0.75</v>
      </c>
      <c r="G4137" s="4">
        <v>44327</v>
      </c>
      <c r="M4137" s="1"/>
      <c r="N4137" s="1"/>
      <c r="O4137" s="1"/>
      <c r="P4137" s="1"/>
      <c r="Q4137" s="1"/>
      <c r="R4137" s="1"/>
    </row>
    <row r="4138" spans="2:18">
      <c r="B4138" s="1" t="s">
        <v>425</v>
      </c>
      <c r="C4138" s="2" t="s">
        <v>4</v>
      </c>
      <c r="D4138" s="2" t="s">
        <v>424</v>
      </c>
      <c r="E4138" s="3">
        <v>7</v>
      </c>
      <c r="F4138" s="3">
        <v>0.7142857142857143</v>
      </c>
      <c r="G4138" s="4">
        <v>43046</v>
      </c>
      <c r="M4138" s="1"/>
      <c r="N4138" s="1"/>
      <c r="O4138" s="1"/>
      <c r="P4138" s="1"/>
      <c r="Q4138" s="1"/>
      <c r="R4138" s="1"/>
    </row>
    <row r="4139" spans="2:18">
      <c r="B4139" s="1" t="s">
        <v>768</v>
      </c>
      <c r="C4139" s="2" t="s">
        <v>4</v>
      </c>
      <c r="D4139" s="2" t="s">
        <v>765</v>
      </c>
      <c r="E4139" s="3">
        <v>4</v>
      </c>
      <c r="F4139" s="3">
        <f>2/3</f>
        <v>0.66666666666666663</v>
      </c>
      <c r="G4139" s="4">
        <v>45026</v>
      </c>
      <c r="M4139" s="1"/>
      <c r="N4139" s="1"/>
      <c r="O4139" s="1"/>
      <c r="P4139" s="1"/>
      <c r="Q4139" s="1"/>
      <c r="R4139" s="1"/>
    </row>
    <row r="4140" spans="2:18">
      <c r="B4140" s="1" t="s">
        <v>767</v>
      </c>
      <c r="C4140" s="2" t="s">
        <v>4</v>
      </c>
      <c r="D4140" s="2" t="s">
        <v>765</v>
      </c>
      <c r="E4140" s="3">
        <v>4</v>
      </c>
      <c r="F4140" s="3">
        <f>2/3</f>
        <v>0.66666666666666663</v>
      </c>
      <c r="G4140" s="4">
        <v>45026</v>
      </c>
      <c r="M4140" s="1"/>
      <c r="N4140" s="1"/>
      <c r="O4140" s="1"/>
      <c r="P4140" s="1"/>
      <c r="Q4140" s="1"/>
      <c r="R4140" s="1"/>
    </row>
    <row r="4141" spans="2:18">
      <c r="B4141" s="1" t="s">
        <v>766</v>
      </c>
      <c r="C4141" s="2" t="s">
        <v>4</v>
      </c>
      <c r="D4141" s="2" t="s">
        <v>765</v>
      </c>
      <c r="E4141" s="3">
        <v>4</v>
      </c>
      <c r="F4141" s="3">
        <f>2/3</f>
        <v>0.66666666666666663</v>
      </c>
      <c r="G4141" s="4">
        <v>45026</v>
      </c>
      <c r="M4141" s="1"/>
      <c r="N4141" s="1"/>
      <c r="O4141" s="1"/>
      <c r="P4141" s="1"/>
      <c r="Q4141" s="1"/>
      <c r="R4141" s="1"/>
    </row>
    <row r="4142" spans="2:18">
      <c r="B4142" s="1" t="s">
        <v>116</v>
      </c>
      <c r="C4142" s="2" t="s">
        <v>4</v>
      </c>
      <c r="D4142" s="2" t="s">
        <v>110</v>
      </c>
      <c r="E4142" s="3">
        <v>8</v>
      </c>
      <c r="F4142" s="3">
        <f t="shared" ref="F4142:F4147" si="11">5/8</f>
        <v>0.625</v>
      </c>
      <c r="G4142" s="4">
        <v>44063</v>
      </c>
    </row>
    <row r="4143" spans="2:18">
      <c r="B4143" s="1" t="s">
        <v>115</v>
      </c>
      <c r="C4143" s="2" t="s">
        <v>4</v>
      </c>
      <c r="D4143" s="2" t="s">
        <v>110</v>
      </c>
      <c r="E4143" s="3">
        <v>8</v>
      </c>
      <c r="F4143" s="3">
        <f t="shared" si="11"/>
        <v>0.625</v>
      </c>
      <c r="G4143" s="4">
        <v>44063</v>
      </c>
    </row>
    <row r="4144" spans="2:18">
      <c r="B4144" s="1" t="s">
        <v>114</v>
      </c>
      <c r="C4144" s="2" t="s">
        <v>4</v>
      </c>
      <c r="D4144" s="2" t="s">
        <v>110</v>
      </c>
      <c r="E4144" s="3">
        <v>8</v>
      </c>
      <c r="F4144" s="3">
        <f t="shared" si="11"/>
        <v>0.625</v>
      </c>
      <c r="G4144" s="4">
        <v>44063</v>
      </c>
    </row>
    <row r="4145" spans="2:18">
      <c r="B4145" s="1" t="s">
        <v>113</v>
      </c>
      <c r="C4145" s="2" t="s">
        <v>4</v>
      </c>
      <c r="D4145" s="2" t="s">
        <v>110</v>
      </c>
      <c r="E4145" s="3">
        <v>8</v>
      </c>
      <c r="F4145" s="3">
        <f t="shared" si="11"/>
        <v>0.625</v>
      </c>
      <c r="G4145" s="4">
        <v>44063</v>
      </c>
    </row>
    <row r="4146" spans="2:18">
      <c r="B4146" s="1" t="s">
        <v>112</v>
      </c>
      <c r="C4146" s="2" t="s">
        <v>4</v>
      </c>
      <c r="D4146" s="2" t="s">
        <v>110</v>
      </c>
      <c r="E4146" s="3">
        <v>8</v>
      </c>
      <c r="F4146" s="3">
        <f t="shared" si="11"/>
        <v>0.625</v>
      </c>
      <c r="G4146" s="4">
        <v>44063</v>
      </c>
    </row>
    <row r="4147" spans="2:18">
      <c r="B4147" s="1" t="s">
        <v>111</v>
      </c>
      <c r="C4147" s="2" t="s">
        <v>4</v>
      </c>
      <c r="D4147" s="2" t="s">
        <v>110</v>
      </c>
      <c r="E4147" s="3">
        <v>8</v>
      </c>
      <c r="F4147" s="3">
        <f t="shared" si="11"/>
        <v>0.625</v>
      </c>
      <c r="G4147" s="4">
        <v>44063</v>
      </c>
    </row>
    <row r="4148" spans="2:18">
      <c r="B4148" s="1" t="s">
        <v>438</v>
      </c>
      <c r="C4148" s="2" t="s">
        <v>7</v>
      </c>
      <c r="D4148" s="2" t="s">
        <v>435</v>
      </c>
      <c r="E4148" s="3">
        <v>1.8</v>
      </c>
      <c r="F4148" s="3">
        <v>0.6</v>
      </c>
      <c r="G4148" s="4">
        <v>43661</v>
      </c>
      <c r="M4148" s="1"/>
      <c r="N4148" s="1"/>
      <c r="O4148" s="1"/>
      <c r="P4148" s="1"/>
      <c r="Q4148" s="1"/>
      <c r="R4148" s="1"/>
    </row>
    <row r="4149" spans="2:18">
      <c r="B4149" s="1" t="s">
        <v>437</v>
      </c>
      <c r="C4149" s="2" t="s">
        <v>7</v>
      </c>
      <c r="D4149" s="2" t="s">
        <v>435</v>
      </c>
      <c r="E4149" s="3">
        <v>1.8</v>
      </c>
      <c r="F4149" s="3">
        <v>0.6</v>
      </c>
      <c r="G4149" s="4">
        <v>43661</v>
      </c>
      <c r="M4149" s="1"/>
      <c r="N4149" s="1"/>
      <c r="O4149" s="1"/>
      <c r="P4149" s="1"/>
      <c r="Q4149" s="1"/>
      <c r="R4149" s="1"/>
    </row>
    <row r="4150" spans="2:18">
      <c r="B4150" s="1" t="s">
        <v>762</v>
      </c>
      <c r="C4150" s="2" t="s">
        <v>4</v>
      </c>
      <c r="D4150" s="2" t="s">
        <v>663</v>
      </c>
      <c r="E4150" s="3">
        <v>4.5</v>
      </c>
      <c r="F4150" s="3">
        <v>0.5</v>
      </c>
      <c r="G4150" s="4">
        <v>44415</v>
      </c>
      <c r="M4150" s="1"/>
      <c r="N4150" s="1"/>
      <c r="O4150" s="1"/>
      <c r="P4150" s="1"/>
      <c r="Q4150" s="1"/>
      <c r="R4150" s="1"/>
    </row>
    <row r="4151" spans="2:18">
      <c r="B4151" s="1" t="s">
        <v>761</v>
      </c>
      <c r="C4151" s="2" t="s">
        <v>4</v>
      </c>
      <c r="D4151" s="2" t="s">
        <v>720</v>
      </c>
      <c r="E4151" s="3">
        <v>2.1</v>
      </c>
      <c r="F4151" s="3">
        <v>0.5</v>
      </c>
      <c r="G4151" s="4">
        <v>44455</v>
      </c>
      <c r="M4151" s="1"/>
      <c r="N4151" s="1"/>
      <c r="O4151" s="1"/>
      <c r="P4151" s="1"/>
      <c r="Q4151" s="1"/>
      <c r="R4151" s="1"/>
    </row>
    <row r="4152" spans="2:18">
      <c r="B4152" s="1" t="s">
        <v>760</v>
      </c>
      <c r="C4152" s="2" t="s">
        <v>4</v>
      </c>
      <c r="D4152" s="2" t="s">
        <v>730</v>
      </c>
      <c r="E4152" s="3">
        <v>4</v>
      </c>
      <c r="F4152" s="3">
        <v>0.5</v>
      </c>
      <c r="G4152" s="4">
        <v>44340</v>
      </c>
      <c r="M4152" s="1"/>
      <c r="N4152" s="1"/>
      <c r="O4152" s="1"/>
      <c r="P4152" s="1"/>
      <c r="Q4152" s="1"/>
      <c r="R4152" s="1"/>
    </row>
    <row r="4153" spans="2:18">
      <c r="B4153" s="1" t="s">
        <v>758</v>
      </c>
      <c r="C4153" s="2" t="s">
        <v>4</v>
      </c>
      <c r="D4153" s="2" t="s">
        <v>676</v>
      </c>
      <c r="E4153" s="3">
        <v>4.5</v>
      </c>
      <c r="F4153" s="3">
        <v>0.5</v>
      </c>
      <c r="G4153" s="4">
        <v>44362</v>
      </c>
      <c r="M4153" s="1"/>
      <c r="N4153" s="1"/>
      <c r="O4153" s="1"/>
      <c r="P4153" s="1"/>
      <c r="Q4153" s="1"/>
      <c r="R4153" s="1"/>
    </row>
    <row r="4154" spans="2:18">
      <c r="B4154" s="1" t="s">
        <v>757</v>
      </c>
      <c r="C4154" s="2" t="s">
        <v>4</v>
      </c>
      <c r="D4154" s="2" t="s">
        <v>672</v>
      </c>
      <c r="E4154" s="3">
        <v>3</v>
      </c>
      <c r="F4154" s="3">
        <v>0.5</v>
      </c>
      <c r="G4154" s="4">
        <v>43993</v>
      </c>
      <c r="M4154" s="1"/>
      <c r="N4154" s="1"/>
      <c r="O4154" s="1"/>
      <c r="P4154" s="1"/>
      <c r="Q4154" s="1"/>
      <c r="R4154" s="1"/>
    </row>
    <row r="4155" spans="2:18">
      <c r="B4155" s="1" t="s">
        <v>756</v>
      </c>
      <c r="C4155" s="2" t="s">
        <v>4</v>
      </c>
      <c r="D4155" s="2" t="s">
        <v>672</v>
      </c>
      <c r="E4155" s="3">
        <v>3</v>
      </c>
      <c r="F4155" s="3">
        <v>0.5</v>
      </c>
      <c r="G4155" s="4">
        <v>43993</v>
      </c>
      <c r="M4155" s="1"/>
      <c r="N4155" s="1"/>
      <c r="O4155" s="1"/>
      <c r="P4155" s="1"/>
      <c r="Q4155" s="1"/>
      <c r="R4155" s="1"/>
    </row>
    <row r="4156" spans="2:18">
      <c r="B4156" s="1" t="s">
        <v>754</v>
      </c>
      <c r="C4156" s="2" t="s">
        <v>4</v>
      </c>
      <c r="D4156" s="2" t="s">
        <v>640</v>
      </c>
      <c r="E4156" s="3">
        <v>2.2000000000000002</v>
      </c>
      <c r="F4156" s="3">
        <v>0.5</v>
      </c>
      <c r="G4156" s="4">
        <v>44959</v>
      </c>
      <c r="M4156" s="1"/>
      <c r="N4156" s="1"/>
      <c r="O4156" s="1"/>
      <c r="P4156" s="1"/>
      <c r="Q4156" s="1"/>
      <c r="R4156" s="1"/>
    </row>
    <row r="4157" spans="2:18">
      <c r="B4157" s="1" t="s">
        <v>753</v>
      </c>
      <c r="C4157" s="2" t="s">
        <v>4</v>
      </c>
      <c r="D4157" s="2" t="s">
        <v>640</v>
      </c>
      <c r="E4157" s="3">
        <v>2.2000000000000002</v>
      </c>
      <c r="F4157" s="3">
        <v>0.5</v>
      </c>
      <c r="G4157" s="4">
        <v>44959</v>
      </c>
      <c r="M4157" s="1"/>
      <c r="N4157" s="1"/>
      <c r="O4157" s="1"/>
      <c r="P4157" s="1"/>
      <c r="Q4157" s="1"/>
      <c r="R4157" s="1"/>
    </row>
    <row r="4158" spans="2:18">
      <c r="B4158" s="1" t="s">
        <v>752</v>
      </c>
      <c r="C4158" s="2" t="s">
        <v>4</v>
      </c>
      <c r="D4158" s="2" t="s">
        <v>719</v>
      </c>
      <c r="E4158" s="3">
        <v>2.9</v>
      </c>
      <c r="F4158" s="3">
        <v>0.5</v>
      </c>
      <c r="G4158" s="4">
        <v>44272</v>
      </c>
      <c r="M4158" s="1"/>
      <c r="N4158" s="1"/>
      <c r="O4158" s="1"/>
      <c r="P4158" s="1"/>
      <c r="Q4158" s="1"/>
      <c r="R4158" s="1"/>
    </row>
    <row r="4159" spans="2:18">
      <c r="B4159" s="1" t="s">
        <v>751</v>
      </c>
      <c r="C4159" s="2" t="s">
        <v>4</v>
      </c>
      <c r="D4159" s="2" t="s">
        <v>638</v>
      </c>
      <c r="E4159" s="3">
        <v>1.5</v>
      </c>
      <c r="F4159" s="3">
        <v>0.5</v>
      </c>
      <c r="G4159" s="4">
        <v>44098</v>
      </c>
      <c r="M4159" s="1"/>
      <c r="N4159" s="1"/>
      <c r="O4159" s="1"/>
      <c r="P4159" s="1"/>
      <c r="Q4159" s="1"/>
      <c r="R4159" s="1"/>
    </row>
    <row r="4160" spans="2:18">
      <c r="B4160" s="1" t="s">
        <v>750</v>
      </c>
      <c r="C4160" s="2" t="s">
        <v>4</v>
      </c>
      <c r="D4160" s="2" t="s">
        <v>403</v>
      </c>
      <c r="E4160" s="3">
        <v>3.1</v>
      </c>
      <c r="F4160" s="3">
        <v>0.5</v>
      </c>
      <c r="G4160" s="4">
        <v>43580</v>
      </c>
      <c r="M4160" s="1"/>
      <c r="N4160" s="1"/>
      <c r="O4160" s="1"/>
      <c r="P4160" s="1"/>
      <c r="Q4160" s="1"/>
      <c r="R4160" s="1"/>
    </row>
    <row r="4161" spans="2:18">
      <c r="G4161" s="4"/>
      <c r="M4161" s="1"/>
      <c r="N4161" s="1"/>
      <c r="O4161" s="1"/>
      <c r="P4161" s="1"/>
      <c r="Q4161" s="1"/>
      <c r="R4161" s="1"/>
    </row>
    <row r="4162" spans="2:18">
      <c r="B4162" s="1" t="s">
        <v>597</v>
      </c>
      <c r="C4162" s="2" t="s">
        <v>278</v>
      </c>
      <c r="D4162" s="2" t="s">
        <v>596</v>
      </c>
      <c r="E4162" s="3">
        <v>1</v>
      </c>
      <c r="F4162" s="3">
        <v>0.5</v>
      </c>
      <c r="G4162" s="4">
        <v>44415</v>
      </c>
      <c r="M4162" s="1"/>
      <c r="N4162" s="1"/>
      <c r="O4162" s="1"/>
      <c r="P4162" s="1"/>
      <c r="Q4162" s="1"/>
      <c r="R4162" s="1"/>
    </row>
    <row r="4163" spans="2:18">
      <c r="C4163" s="227" t="s">
        <v>4</v>
      </c>
      <c r="D4163" s="2" t="s">
        <v>2017</v>
      </c>
      <c r="E4163" s="3">
        <v>4</v>
      </c>
      <c r="F4163" s="3">
        <v>1</v>
      </c>
      <c r="G4163" s="4">
        <v>44097</v>
      </c>
      <c r="M4163" s="1"/>
      <c r="N4163" s="1"/>
      <c r="O4163" s="1"/>
      <c r="P4163" s="1"/>
      <c r="Q4163" s="1"/>
      <c r="R4163" s="1"/>
    </row>
    <row r="4164" spans="2:18">
      <c r="C4164" s="227"/>
      <c r="G4164" s="4"/>
      <c r="M4164" s="1"/>
      <c r="N4164" s="1"/>
      <c r="O4164" s="1"/>
      <c r="P4164" s="1"/>
      <c r="Q4164" s="1"/>
      <c r="R4164" s="1"/>
    </row>
    <row r="4165" spans="2:18">
      <c r="B4165" s="1" t="s">
        <v>528</v>
      </c>
      <c r="C4165" s="2" t="s">
        <v>5</v>
      </c>
      <c r="D4165" s="2" t="s">
        <v>520</v>
      </c>
      <c r="E4165" s="3">
        <v>7</v>
      </c>
      <c r="F4165" s="3">
        <v>0.5</v>
      </c>
      <c r="G4165" s="4">
        <v>42885</v>
      </c>
      <c r="M4165" s="1"/>
      <c r="N4165" s="1"/>
      <c r="O4165" s="1"/>
      <c r="P4165" s="1"/>
      <c r="Q4165" s="1"/>
      <c r="R4165" s="1"/>
    </row>
    <row r="4166" spans="2:18">
      <c r="B4166" s="1" t="s">
        <v>527</v>
      </c>
      <c r="C4166" s="2" t="s">
        <v>4</v>
      </c>
      <c r="D4166" s="2" t="s">
        <v>520</v>
      </c>
      <c r="E4166" s="3">
        <v>3</v>
      </c>
      <c r="F4166" s="3">
        <v>0.5</v>
      </c>
      <c r="G4166" s="4">
        <v>42606</v>
      </c>
      <c r="M4166" s="1"/>
      <c r="N4166" s="1"/>
      <c r="O4166" s="1"/>
      <c r="P4166" s="1"/>
      <c r="Q4166" s="1"/>
      <c r="R4166" s="1"/>
    </row>
    <row r="4167" spans="2:18">
      <c r="B4167" s="1" t="s">
        <v>524</v>
      </c>
      <c r="C4167" s="2" t="s">
        <v>4</v>
      </c>
      <c r="D4167" s="2" t="s">
        <v>520</v>
      </c>
      <c r="E4167" s="3">
        <v>3</v>
      </c>
      <c r="F4167" s="3">
        <v>0.5</v>
      </c>
      <c r="G4167" s="4">
        <v>42606</v>
      </c>
      <c r="M4167" s="1"/>
      <c r="N4167" s="1"/>
      <c r="O4167" s="1"/>
      <c r="P4167" s="1"/>
      <c r="Q4167" s="1"/>
      <c r="R4167" s="1"/>
    </row>
    <row r="4168" spans="2:18">
      <c r="B4168" s="1" t="s">
        <v>523</v>
      </c>
      <c r="C4168" s="2" t="s">
        <v>4</v>
      </c>
      <c r="D4168" s="2" t="s">
        <v>520</v>
      </c>
      <c r="E4168" s="3">
        <v>3</v>
      </c>
      <c r="F4168" s="3">
        <v>0.5</v>
      </c>
      <c r="G4168" s="4">
        <v>42606</v>
      </c>
      <c r="M4168" s="1"/>
      <c r="N4168" s="1"/>
      <c r="O4168" s="1"/>
      <c r="P4168" s="1"/>
      <c r="Q4168" s="1"/>
      <c r="R4168" s="1"/>
    </row>
    <row r="4169" spans="2:18">
      <c r="B4169" s="1" t="s">
        <v>522</v>
      </c>
      <c r="C4169" s="2" t="s">
        <v>4</v>
      </c>
      <c r="D4169" s="2" t="s">
        <v>520</v>
      </c>
      <c r="E4169" s="3">
        <v>3</v>
      </c>
      <c r="F4169" s="3">
        <v>0.5</v>
      </c>
      <c r="G4169" s="4">
        <v>42606</v>
      </c>
      <c r="M4169" s="1"/>
      <c r="N4169" s="1"/>
      <c r="O4169" s="1"/>
      <c r="P4169" s="1"/>
      <c r="Q4169" s="1"/>
      <c r="R4169" s="1"/>
    </row>
    <row r="4170" spans="2:18">
      <c r="B4170" s="1" t="s">
        <v>521</v>
      </c>
      <c r="C4170" s="2" t="s">
        <v>4</v>
      </c>
      <c r="D4170" s="2" t="s">
        <v>520</v>
      </c>
      <c r="E4170" s="3">
        <v>3</v>
      </c>
      <c r="F4170" s="3">
        <v>0.5</v>
      </c>
      <c r="G4170" s="4">
        <v>42606</v>
      </c>
      <c r="M4170" s="1"/>
      <c r="N4170" s="1"/>
      <c r="O4170" s="1"/>
      <c r="P4170" s="1"/>
      <c r="Q4170" s="1"/>
      <c r="R4170" s="1"/>
    </row>
    <row r="4171" spans="2:18">
      <c r="B4171" s="1" t="s">
        <v>482</v>
      </c>
      <c r="C4171" s="2" t="s">
        <v>4</v>
      </c>
      <c r="D4171" s="2" t="s">
        <v>481</v>
      </c>
      <c r="E4171" s="3">
        <v>2</v>
      </c>
      <c r="F4171" s="3">
        <v>0.5</v>
      </c>
      <c r="G4171" s="4">
        <v>43876</v>
      </c>
      <c r="M4171" s="1"/>
      <c r="N4171" s="1"/>
      <c r="O4171" s="1"/>
      <c r="P4171" s="1"/>
      <c r="Q4171" s="1"/>
      <c r="R4171" s="1"/>
    </row>
    <row r="4172" spans="2:18">
      <c r="B4172" s="1" t="s">
        <v>443</v>
      </c>
      <c r="C4172" s="2" t="s">
        <v>4</v>
      </c>
      <c r="D4172" s="2" t="s">
        <v>439</v>
      </c>
      <c r="E4172" s="3">
        <v>7</v>
      </c>
      <c r="F4172" s="3">
        <v>0.5</v>
      </c>
      <c r="G4172" s="4">
        <v>44602</v>
      </c>
      <c r="M4172" s="1"/>
      <c r="N4172" s="1"/>
      <c r="O4172" s="1"/>
      <c r="P4172" s="1"/>
      <c r="Q4172" s="1"/>
      <c r="R4172" s="1"/>
    </row>
    <row r="4173" spans="2:18">
      <c r="B4173" s="1" t="s">
        <v>441</v>
      </c>
      <c r="C4173" s="2" t="s">
        <v>4</v>
      </c>
      <c r="D4173" s="2" t="s">
        <v>439</v>
      </c>
      <c r="E4173" s="3">
        <v>7</v>
      </c>
      <c r="F4173" s="3">
        <v>0.5</v>
      </c>
      <c r="G4173" s="4">
        <v>44602</v>
      </c>
      <c r="M4173" s="1"/>
      <c r="N4173" s="1"/>
      <c r="O4173" s="1"/>
      <c r="P4173" s="1"/>
      <c r="Q4173" s="1"/>
      <c r="R4173" s="1"/>
    </row>
    <row r="4174" spans="2:18">
      <c r="B4174" s="1" t="s">
        <v>375</v>
      </c>
      <c r="C4174" s="2" t="s">
        <v>4</v>
      </c>
      <c r="D4174" s="2" t="s">
        <v>374</v>
      </c>
      <c r="E4174" s="3">
        <v>2.5</v>
      </c>
      <c r="F4174" s="3">
        <v>0.5</v>
      </c>
      <c r="G4174" s="4">
        <v>42936</v>
      </c>
      <c r="M4174" s="1"/>
      <c r="N4174" s="1"/>
      <c r="O4174" s="1"/>
      <c r="P4174" s="1"/>
      <c r="Q4174" s="1"/>
      <c r="R4174" s="1"/>
    </row>
    <row r="4175" spans="2:18">
      <c r="B4175" s="1" t="s">
        <v>345</v>
      </c>
      <c r="C4175" s="2" t="s">
        <v>4</v>
      </c>
      <c r="D4175" s="2" t="s">
        <v>341</v>
      </c>
      <c r="E4175" s="3">
        <v>3.5</v>
      </c>
      <c r="F4175" s="3">
        <v>0.5</v>
      </c>
      <c r="G4175" s="4">
        <v>44636</v>
      </c>
      <c r="M4175" s="1"/>
      <c r="N4175" s="1"/>
      <c r="O4175" s="1"/>
      <c r="P4175" s="1"/>
      <c r="Q4175" s="1"/>
      <c r="R4175" s="1"/>
    </row>
    <row r="4176" spans="2:18">
      <c r="B4176" s="1" t="s">
        <v>344</v>
      </c>
      <c r="C4176" s="2" t="s">
        <v>4</v>
      </c>
      <c r="D4176" s="2" t="s">
        <v>341</v>
      </c>
      <c r="E4176" s="3">
        <v>3.5</v>
      </c>
      <c r="F4176" s="3">
        <v>0.5</v>
      </c>
      <c r="G4176" s="4">
        <v>44636</v>
      </c>
      <c r="M4176" s="1"/>
      <c r="N4176" s="1"/>
      <c r="O4176" s="1"/>
      <c r="P4176" s="1"/>
      <c r="Q4176" s="1"/>
      <c r="R4176" s="1"/>
    </row>
    <row r="4177" spans="2:18">
      <c r="B4177" s="1" t="s">
        <v>126</v>
      </c>
      <c r="C4177" s="2" t="s">
        <v>4</v>
      </c>
      <c r="D4177" s="2" t="s">
        <v>122</v>
      </c>
      <c r="E4177" s="3">
        <v>2</v>
      </c>
      <c r="F4177" s="3">
        <v>0.5</v>
      </c>
      <c r="G4177" s="4">
        <v>44658</v>
      </c>
    </row>
    <row r="4178" spans="2:18">
      <c r="B4178" s="1" t="s">
        <v>125</v>
      </c>
      <c r="C4178" s="2" t="s">
        <v>4</v>
      </c>
      <c r="D4178" s="2" t="s">
        <v>122</v>
      </c>
      <c r="E4178" s="3">
        <v>2</v>
      </c>
      <c r="F4178" s="3">
        <v>0.5</v>
      </c>
      <c r="G4178" s="4">
        <v>44658</v>
      </c>
    </row>
    <row r="4179" spans="2:18">
      <c r="B4179" s="176" t="s">
        <v>6689</v>
      </c>
      <c r="C4179" s="92" t="s">
        <v>4</v>
      </c>
      <c r="D4179" s="92" t="s">
        <v>2101</v>
      </c>
      <c r="E4179" s="3">
        <v>2.5</v>
      </c>
      <c r="F4179" s="3">
        <v>0.5</v>
      </c>
      <c r="G4179" s="4">
        <v>43401</v>
      </c>
    </row>
    <row r="4180" spans="2:18">
      <c r="B4180" s="91" t="s">
        <v>5224</v>
      </c>
      <c r="C4180" s="92" t="s">
        <v>4</v>
      </c>
      <c r="D4180" s="92" t="s">
        <v>2101</v>
      </c>
      <c r="E4180" s="3">
        <v>2.5</v>
      </c>
      <c r="F4180" s="3">
        <v>0.5</v>
      </c>
      <c r="G4180" s="4">
        <v>43401</v>
      </c>
    </row>
    <row r="4181" spans="2:18">
      <c r="B4181" s="134" t="s">
        <v>6300</v>
      </c>
      <c r="C4181" s="140" t="s">
        <v>4</v>
      </c>
      <c r="D4181" s="140" t="s">
        <v>6291</v>
      </c>
      <c r="E4181" s="3">
        <v>5</v>
      </c>
      <c r="F4181" s="3">
        <v>0.5</v>
      </c>
      <c r="G4181" s="4">
        <v>43335</v>
      </c>
    </row>
    <row r="4182" spans="2:18">
      <c r="B4182" s="134" t="s">
        <v>6301</v>
      </c>
      <c r="C4182" s="140" t="s">
        <v>4</v>
      </c>
      <c r="D4182" s="140" t="s">
        <v>6291</v>
      </c>
      <c r="E4182" s="3">
        <v>5</v>
      </c>
      <c r="F4182" s="3">
        <v>0.5</v>
      </c>
      <c r="G4182" s="4">
        <v>43335</v>
      </c>
    </row>
    <row r="4183" spans="2:18">
      <c r="B4183" s="134" t="s">
        <v>6302</v>
      </c>
      <c r="C4183" s="140" t="s">
        <v>4</v>
      </c>
      <c r="D4183" s="140" t="s">
        <v>6291</v>
      </c>
      <c r="E4183" s="3">
        <v>5</v>
      </c>
      <c r="F4183" s="3">
        <v>0.5</v>
      </c>
      <c r="G4183" s="4">
        <v>43335</v>
      </c>
    </row>
    <row r="4184" spans="2:18">
      <c r="B4184" s="152" t="s">
        <v>6365</v>
      </c>
      <c r="C4184" s="153" t="s">
        <v>4</v>
      </c>
      <c r="D4184" s="153" t="s">
        <v>2046</v>
      </c>
      <c r="E4184" s="3">
        <v>3</v>
      </c>
      <c r="F4184" s="3">
        <f>2/4</f>
        <v>0.5</v>
      </c>
      <c r="G4184" s="4">
        <v>42628</v>
      </c>
    </row>
    <row r="4185" spans="2:18">
      <c r="B4185" s="152" t="s">
        <v>6366</v>
      </c>
      <c r="C4185" s="153" t="s">
        <v>4</v>
      </c>
      <c r="D4185" s="153" t="s">
        <v>2046</v>
      </c>
      <c r="E4185" s="3">
        <v>3</v>
      </c>
      <c r="F4185" s="3">
        <f>2/4</f>
        <v>0.5</v>
      </c>
      <c r="G4185" s="4">
        <v>42628</v>
      </c>
    </row>
    <row r="4186" spans="2:18">
      <c r="B4186" s="176" t="s">
        <v>6727</v>
      </c>
      <c r="C4186" s="177" t="s">
        <v>4</v>
      </c>
      <c r="D4186" s="177" t="s">
        <v>2023</v>
      </c>
      <c r="E4186" s="3">
        <v>3.5</v>
      </c>
      <c r="F4186" s="3">
        <v>0.5</v>
      </c>
      <c r="G4186" s="4">
        <v>44609</v>
      </c>
    </row>
    <row r="4187" spans="2:18">
      <c r="B4187" s="152" t="s">
        <v>6410</v>
      </c>
      <c r="C4187" s="153" t="s">
        <v>4</v>
      </c>
      <c r="D4187" s="2" t="s">
        <v>2037</v>
      </c>
      <c r="E4187" s="3">
        <v>2.9</v>
      </c>
      <c r="F4187" s="3">
        <f>0.9/2</f>
        <v>0.45</v>
      </c>
      <c r="G4187" s="4">
        <v>43221</v>
      </c>
    </row>
    <row r="4188" spans="2:18">
      <c r="B4188" s="1" t="s">
        <v>748</v>
      </c>
      <c r="C4188" s="2" t="s">
        <v>4</v>
      </c>
      <c r="D4188" s="2" t="s">
        <v>745</v>
      </c>
      <c r="E4188" s="3">
        <v>2.6</v>
      </c>
      <c r="F4188" s="3">
        <f>1.6/4</f>
        <v>0.4</v>
      </c>
      <c r="G4188" s="4">
        <v>44147</v>
      </c>
      <c r="M4188" s="1"/>
      <c r="N4188" s="1"/>
      <c r="O4188" s="1"/>
      <c r="P4188" s="1"/>
      <c r="Q4188" s="1"/>
      <c r="R4188" s="1"/>
    </row>
    <row r="4189" spans="2:18">
      <c r="B4189" s="1" t="s">
        <v>747</v>
      </c>
      <c r="C4189" s="2" t="s">
        <v>4</v>
      </c>
      <c r="D4189" s="2" t="s">
        <v>745</v>
      </c>
      <c r="E4189" s="3">
        <v>2.6</v>
      </c>
      <c r="F4189" s="3">
        <f>1.6/4</f>
        <v>0.4</v>
      </c>
      <c r="G4189" s="4">
        <v>44147</v>
      </c>
      <c r="M4189" s="1"/>
      <c r="N4189" s="1"/>
      <c r="O4189" s="1"/>
      <c r="P4189" s="1"/>
      <c r="Q4189" s="1"/>
      <c r="R4189" s="1"/>
    </row>
    <row r="4190" spans="2:18">
      <c r="B4190" s="1" t="s">
        <v>746</v>
      </c>
      <c r="C4190" s="2" t="s">
        <v>4</v>
      </c>
      <c r="D4190" s="2" t="s">
        <v>745</v>
      </c>
      <c r="E4190" s="3">
        <v>2.6</v>
      </c>
      <c r="F4190" s="3">
        <f>1.6/4</f>
        <v>0.4</v>
      </c>
      <c r="G4190" s="4">
        <v>44147</v>
      </c>
      <c r="M4190" s="1"/>
      <c r="N4190" s="1"/>
      <c r="O4190" s="1"/>
      <c r="P4190" s="1"/>
      <c r="Q4190" s="1"/>
      <c r="R4190" s="1"/>
    </row>
    <row r="4191" spans="2:18">
      <c r="B4191" s="1" t="s">
        <v>436</v>
      </c>
      <c r="C4191" s="2" t="s">
        <v>7</v>
      </c>
      <c r="D4191" s="2" t="s">
        <v>435</v>
      </c>
      <c r="E4191" s="3">
        <v>1.8</v>
      </c>
      <c r="F4191" s="3">
        <v>0.4</v>
      </c>
      <c r="G4191" s="4">
        <v>43661</v>
      </c>
      <c r="M4191" s="1"/>
      <c r="N4191" s="1"/>
      <c r="O4191" s="1"/>
      <c r="P4191" s="1"/>
      <c r="Q4191" s="1"/>
      <c r="R4191" s="1"/>
    </row>
    <row r="4192" spans="2:18">
      <c r="B4192" s="1" t="s">
        <v>146</v>
      </c>
      <c r="C4192" s="2" t="s">
        <v>4</v>
      </c>
      <c r="D4192" s="2" t="s">
        <v>144</v>
      </c>
      <c r="E4192" s="3">
        <v>1.6</v>
      </c>
      <c r="F4192" s="3">
        <f>E4192/4</f>
        <v>0.4</v>
      </c>
      <c r="G4192" s="4">
        <v>43060</v>
      </c>
    </row>
    <row r="4193" spans="2:18">
      <c r="B4193" s="1" t="s">
        <v>262</v>
      </c>
      <c r="C4193" s="2" t="s">
        <v>4</v>
      </c>
      <c r="D4193" s="2" t="s">
        <v>258</v>
      </c>
      <c r="E4193" s="3">
        <v>3.5</v>
      </c>
      <c r="F4193" s="3">
        <f>+E4193/9</f>
        <v>0.3888888888888889</v>
      </c>
      <c r="G4193" s="4">
        <v>42979</v>
      </c>
    </row>
    <row r="4194" spans="2:18">
      <c r="B4194" s="1" t="s">
        <v>261</v>
      </c>
      <c r="C4194" s="2" t="s">
        <v>4</v>
      </c>
      <c r="D4194" s="2" t="s">
        <v>258</v>
      </c>
      <c r="E4194" s="3">
        <v>3.5</v>
      </c>
      <c r="F4194" s="3">
        <f>+E4194/9</f>
        <v>0.3888888888888889</v>
      </c>
      <c r="G4194" s="4">
        <v>42979</v>
      </c>
    </row>
    <row r="4195" spans="2:18">
      <c r="B4195" s="1" t="s">
        <v>260</v>
      </c>
      <c r="C4195" s="2" t="s">
        <v>4</v>
      </c>
      <c r="D4195" s="2" t="s">
        <v>258</v>
      </c>
      <c r="E4195" s="3">
        <v>3.5</v>
      </c>
      <c r="F4195" s="3">
        <f>+E4195/9</f>
        <v>0.3888888888888889</v>
      </c>
      <c r="G4195" s="4">
        <v>42979</v>
      </c>
    </row>
    <row r="4196" spans="2:18">
      <c r="B4196" s="1" t="s">
        <v>259</v>
      </c>
      <c r="C4196" s="2" t="s">
        <v>4</v>
      </c>
      <c r="D4196" s="2" t="s">
        <v>258</v>
      </c>
      <c r="E4196" s="3">
        <v>3.5</v>
      </c>
      <c r="F4196" s="3">
        <f>+E4196/9</f>
        <v>0.3888888888888889</v>
      </c>
      <c r="G4196" s="4">
        <v>42979</v>
      </c>
    </row>
    <row r="4197" spans="2:18">
      <c r="B4197" s="1" t="s">
        <v>338</v>
      </c>
      <c r="C4197" s="2" t="s">
        <v>4</v>
      </c>
      <c r="D4197" s="2" t="s">
        <v>336</v>
      </c>
      <c r="E4197" s="3">
        <v>3</v>
      </c>
      <c r="F4197" s="3">
        <f>1.5/4</f>
        <v>0.375</v>
      </c>
      <c r="G4197" s="4">
        <v>44327</v>
      </c>
      <c r="M4197" s="1"/>
      <c r="N4197" s="1"/>
      <c r="O4197" s="1"/>
      <c r="P4197" s="1"/>
      <c r="Q4197" s="1"/>
      <c r="R4197" s="1"/>
    </row>
    <row r="4198" spans="2:18">
      <c r="B4198" s="1" t="s">
        <v>337</v>
      </c>
      <c r="C4198" s="2" t="s">
        <v>4</v>
      </c>
      <c r="D4198" s="2" t="s">
        <v>336</v>
      </c>
      <c r="E4198" s="3">
        <v>3</v>
      </c>
      <c r="F4198" s="3">
        <f>1.5/4</f>
        <v>0.375</v>
      </c>
      <c r="G4198" s="4">
        <v>44327</v>
      </c>
      <c r="M4198" s="1"/>
      <c r="N4198" s="1"/>
      <c r="O4198" s="1"/>
      <c r="P4198" s="1"/>
      <c r="Q4198" s="1"/>
      <c r="R4198" s="1"/>
    </row>
    <row r="4199" spans="2:18">
      <c r="B4199" s="1" t="s">
        <v>387</v>
      </c>
      <c r="C4199" s="2" t="s">
        <v>4</v>
      </c>
      <c r="D4199" s="2" t="s">
        <v>386</v>
      </c>
      <c r="E4199" s="3">
        <v>0.71</v>
      </c>
      <c r="F4199" s="3">
        <f>+E4199/2</f>
        <v>0.35499999999999998</v>
      </c>
      <c r="G4199" s="4">
        <v>41730</v>
      </c>
      <c r="M4199" s="1"/>
      <c r="N4199" s="1"/>
      <c r="O4199" s="1"/>
      <c r="P4199" s="1"/>
      <c r="Q4199" s="1"/>
      <c r="R4199" s="1"/>
    </row>
    <row r="4200" spans="2:18">
      <c r="B4200" s="1" t="s">
        <v>350</v>
      </c>
      <c r="C4200" s="2" t="s">
        <v>4</v>
      </c>
      <c r="D4200" s="2" t="s">
        <v>347</v>
      </c>
      <c r="E4200" s="3">
        <v>3.5</v>
      </c>
      <c r="F4200" s="3">
        <f>E4200/10</f>
        <v>0.35</v>
      </c>
      <c r="G4200" s="4">
        <v>43046</v>
      </c>
      <c r="L4200" s="1">
        <v>0</v>
      </c>
      <c r="M4200" s="1"/>
      <c r="N4200" s="1"/>
      <c r="O4200" s="1"/>
      <c r="P4200" s="1"/>
      <c r="Q4200" s="1"/>
      <c r="R4200" s="1"/>
    </row>
    <row r="4201" spans="2:18">
      <c r="B4201" s="1" t="s">
        <v>349</v>
      </c>
      <c r="C4201" s="2" t="s">
        <v>4</v>
      </c>
      <c r="D4201" s="2" t="s">
        <v>347</v>
      </c>
      <c r="E4201" s="3">
        <v>3.5</v>
      </c>
      <c r="F4201" s="3">
        <f>E4201/10</f>
        <v>0.35</v>
      </c>
      <c r="G4201" s="4">
        <v>43046</v>
      </c>
      <c r="L4201" s="1">
        <v>0</v>
      </c>
      <c r="M4201" s="1"/>
      <c r="N4201" s="1"/>
      <c r="O4201" s="1"/>
      <c r="P4201" s="1"/>
      <c r="Q4201" s="1"/>
      <c r="R4201" s="1"/>
    </row>
    <row r="4202" spans="2:18">
      <c r="B4202" s="1" t="s">
        <v>348</v>
      </c>
      <c r="C4202" s="2" t="s">
        <v>4</v>
      </c>
      <c r="D4202" s="2" t="s">
        <v>347</v>
      </c>
      <c r="E4202" s="3">
        <v>3.5</v>
      </c>
      <c r="F4202" s="3">
        <f>E4202/10</f>
        <v>0.35</v>
      </c>
      <c r="G4202" s="4">
        <v>43046</v>
      </c>
      <c r="L4202" s="1">
        <v>0</v>
      </c>
      <c r="M4202" s="1"/>
      <c r="N4202" s="1"/>
      <c r="O4202" s="1"/>
      <c r="P4202" s="1"/>
      <c r="Q4202" s="1"/>
      <c r="R4202" s="1"/>
    </row>
    <row r="4203" spans="2:18">
      <c r="B4203" s="1" t="s">
        <v>123</v>
      </c>
      <c r="C4203" s="2" t="s">
        <v>4</v>
      </c>
      <c r="D4203" s="2" t="s">
        <v>122</v>
      </c>
      <c r="E4203" s="3">
        <v>0.35</v>
      </c>
      <c r="F4203" s="3">
        <v>0.35</v>
      </c>
      <c r="G4203" s="4">
        <v>43864</v>
      </c>
    </row>
    <row r="4204" spans="2:18">
      <c r="B4204" s="1" t="s">
        <v>744</v>
      </c>
      <c r="C4204" s="2" t="s">
        <v>4</v>
      </c>
      <c r="D4204" s="2" t="s">
        <v>699</v>
      </c>
      <c r="E4204" s="3">
        <v>2.5</v>
      </c>
      <c r="F4204" s="3">
        <f>2/6</f>
        <v>0.33333333333333331</v>
      </c>
      <c r="G4204" s="4">
        <v>44469</v>
      </c>
      <c r="M4204" s="1"/>
      <c r="N4204" s="1"/>
      <c r="O4204" s="1"/>
      <c r="P4204" s="1"/>
      <c r="Q4204" s="1"/>
      <c r="R4204" s="1"/>
    </row>
    <row r="4205" spans="2:18">
      <c r="B4205" s="1" t="s">
        <v>743</v>
      </c>
      <c r="C4205" s="2" t="s">
        <v>4</v>
      </c>
      <c r="D4205" s="2" t="s">
        <v>699</v>
      </c>
      <c r="E4205" s="3">
        <v>2.5</v>
      </c>
      <c r="F4205" s="3">
        <f>2/6</f>
        <v>0.33333333333333331</v>
      </c>
      <c r="G4205" s="4">
        <v>44469</v>
      </c>
      <c r="M4205" s="1"/>
      <c r="N4205" s="1"/>
      <c r="O4205" s="1"/>
      <c r="P4205" s="1"/>
      <c r="Q4205" s="1"/>
      <c r="R4205" s="1"/>
    </row>
    <row r="4206" spans="2:18">
      <c r="B4206" s="1" t="s">
        <v>742</v>
      </c>
      <c r="C4206" s="2" t="s">
        <v>4</v>
      </c>
      <c r="D4206" s="2" t="s">
        <v>699</v>
      </c>
      <c r="E4206" s="3">
        <v>2.5</v>
      </c>
      <c r="F4206" s="3">
        <f>2/6</f>
        <v>0.33333333333333331</v>
      </c>
      <c r="G4206" s="4">
        <v>44469</v>
      </c>
      <c r="M4206" s="1"/>
      <c r="N4206" s="1"/>
      <c r="O4206" s="1"/>
      <c r="P4206" s="1"/>
      <c r="Q4206" s="1"/>
      <c r="R4206" s="1"/>
    </row>
    <row r="4207" spans="2:18">
      <c r="B4207" s="1" t="s">
        <v>741</v>
      </c>
      <c r="C4207" s="2" t="s">
        <v>4</v>
      </c>
      <c r="D4207" s="2" t="s">
        <v>699</v>
      </c>
      <c r="E4207" s="3">
        <v>2.5</v>
      </c>
      <c r="F4207" s="3">
        <f>2/6</f>
        <v>0.33333333333333331</v>
      </c>
      <c r="G4207" s="4">
        <v>44469</v>
      </c>
      <c r="I4207" s="5"/>
      <c r="M4207" s="1"/>
      <c r="N4207" s="1"/>
      <c r="O4207" s="1"/>
      <c r="P4207" s="1"/>
      <c r="Q4207" s="1"/>
      <c r="R4207" s="1"/>
    </row>
    <row r="4208" spans="2:18">
      <c r="B4208" s="1" t="s">
        <v>549</v>
      </c>
      <c r="C4208" s="2" t="s">
        <v>278</v>
      </c>
      <c r="D4208" s="2" t="s">
        <v>548</v>
      </c>
      <c r="E4208" s="3">
        <v>0.5</v>
      </c>
      <c r="F4208" s="3">
        <v>0.3</v>
      </c>
      <c r="G4208" s="4">
        <v>43262</v>
      </c>
      <c r="M4208" s="1"/>
      <c r="N4208" s="1"/>
      <c r="O4208" s="1"/>
      <c r="P4208" s="1"/>
      <c r="Q4208" s="1"/>
      <c r="R4208" s="1"/>
    </row>
    <row r="4209" spans="2:18">
      <c r="B4209" s="1" t="s">
        <v>513</v>
      </c>
      <c r="C4209" s="2" t="s">
        <v>278</v>
      </c>
      <c r="D4209" s="2" t="s">
        <v>509</v>
      </c>
      <c r="E4209" s="3">
        <v>1.2</v>
      </c>
      <c r="F4209" s="3">
        <v>0.3</v>
      </c>
      <c r="G4209" s="4">
        <v>44545</v>
      </c>
      <c r="M4209" s="1"/>
      <c r="N4209" s="1"/>
      <c r="O4209" s="1"/>
      <c r="P4209" s="1"/>
      <c r="Q4209" s="1"/>
      <c r="R4209" s="1"/>
    </row>
    <row r="4210" spans="2:18">
      <c r="B4210" s="1" t="s">
        <v>512</v>
      </c>
      <c r="C4210" s="2" t="s">
        <v>278</v>
      </c>
      <c r="D4210" s="2" t="s">
        <v>509</v>
      </c>
      <c r="E4210" s="3">
        <v>1.2</v>
      </c>
      <c r="F4210" s="3">
        <v>0.3</v>
      </c>
      <c r="G4210" s="4">
        <v>44545</v>
      </c>
      <c r="M4210" s="1"/>
      <c r="N4210" s="1"/>
      <c r="O4210" s="1"/>
      <c r="P4210" s="1"/>
      <c r="Q4210" s="1"/>
      <c r="R4210" s="1"/>
    </row>
    <row r="4211" spans="2:18">
      <c r="B4211" s="1" t="s">
        <v>511</v>
      </c>
      <c r="C4211" s="2" t="s">
        <v>278</v>
      </c>
      <c r="D4211" s="2" t="s">
        <v>509</v>
      </c>
      <c r="E4211" s="3">
        <v>1.2</v>
      </c>
      <c r="F4211" s="3">
        <v>0.3</v>
      </c>
      <c r="G4211" s="4">
        <v>44545</v>
      </c>
      <c r="M4211" s="1"/>
      <c r="N4211" s="1"/>
      <c r="O4211" s="1"/>
      <c r="P4211" s="1"/>
      <c r="Q4211" s="1"/>
      <c r="R4211" s="1"/>
    </row>
    <row r="4212" spans="2:18">
      <c r="B4212" s="1" t="s">
        <v>510</v>
      </c>
      <c r="C4212" s="2" t="s">
        <v>278</v>
      </c>
      <c r="D4212" s="2" t="s">
        <v>509</v>
      </c>
      <c r="E4212" s="3">
        <v>1.2</v>
      </c>
      <c r="F4212" s="3">
        <v>0.3</v>
      </c>
      <c r="G4212" s="4">
        <v>44545</v>
      </c>
      <c r="M4212" s="1"/>
      <c r="N4212" s="1"/>
      <c r="O4212" s="1"/>
      <c r="P4212" s="1"/>
      <c r="Q4212" s="1"/>
      <c r="R4212" s="1"/>
    </row>
    <row r="4213" spans="2:18">
      <c r="B4213" s="134" t="s">
        <v>6206</v>
      </c>
      <c r="C4213" s="140" t="s">
        <v>4</v>
      </c>
      <c r="D4213" s="140" t="s">
        <v>2057</v>
      </c>
      <c r="E4213" s="3">
        <v>2.2999999999999998</v>
      </c>
      <c r="F4213" s="3">
        <v>0.3</v>
      </c>
      <c r="G4213" s="4">
        <v>43195</v>
      </c>
    </row>
    <row r="4214" spans="2:18">
      <c r="B4214" s="1" t="s">
        <v>343</v>
      </c>
      <c r="C4214" s="2" t="s">
        <v>278</v>
      </c>
      <c r="D4214" s="2" t="s">
        <v>341</v>
      </c>
      <c r="E4214" s="3">
        <v>0.75</v>
      </c>
      <c r="F4214" s="3">
        <f>+E4214/3</f>
        <v>0.25</v>
      </c>
      <c r="G4214" s="4">
        <v>44043</v>
      </c>
      <c r="M4214" s="1"/>
      <c r="N4214" s="1"/>
      <c r="O4214" s="1"/>
      <c r="P4214" s="1"/>
      <c r="Q4214" s="1"/>
      <c r="R4214" s="1"/>
    </row>
    <row r="4215" spans="2:18">
      <c r="B4215" s="1" t="s">
        <v>342</v>
      </c>
      <c r="C4215" s="2" t="s">
        <v>278</v>
      </c>
      <c r="D4215" s="2" t="s">
        <v>341</v>
      </c>
      <c r="E4215" s="3">
        <v>0.75</v>
      </c>
      <c r="F4215" s="3">
        <f>+E4215/3</f>
        <v>0.25</v>
      </c>
      <c r="G4215" s="4">
        <v>44043</v>
      </c>
      <c r="M4215" s="1"/>
      <c r="N4215" s="1"/>
      <c r="O4215" s="1"/>
      <c r="P4215" s="1"/>
      <c r="Q4215" s="1"/>
      <c r="R4215" s="1"/>
    </row>
    <row r="4216" spans="2:18">
      <c r="B4216" s="176" t="s">
        <v>6670</v>
      </c>
      <c r="C4216" s="177" t="s">
        <v>4</v>
      </c>
      <c r="D4216" s="174" t="s">
        <v>2030</v>
      </c>
      <c r="E4216" s="3">
        <v>2</v>
      </c>
      <c r="F4216" s="3">
        <f>1.5/6</f>
        <v>0.25</v>
      </c>
      <c r="G4216" s="4">
        <v>43522</v>
      </c>
    </row>
    <row r="4217" spans="2:18">
      <c r="B4217" s="1" t="s">
        <v>306</v>
      </c>
      <c r="C4217" s="2" t="s">
        <v>4</v>
      </c>
      <c r="D4217" s="2" t="s">
        <v>302</v>
      </c>
      <c r="E4217" s="3">
        <v>1.8</v>
      </c>
      <c r="F4217" s="3">
        <f>+E4217/9</f>
        <v>0.2</v>
      </c>
      <c r="G4217" s="4">
        <v>42690</v>
      </c>
    </row>
    <row r="4218" spans="2:18">
      <c r="B4218" s="1" t="s">
        <v>305</v>
      </c>
      <c r="C4218" s="2" t="s">
        <v>4</v>
      </c>
      <c r="D4218" s="2" t="s">
        <v>302</v>
      </c>
      <c r="E4218" s="3">
        <v>1.8</v>
      </c>
      <c r="F4218" s="3">
        <f>+E4218/9</f>
        <v>0.2</v>
      </c>
      <c r="G4218" s="4">
        <v>42690</v>
      </c>
    </row>
    <row r="4219" spans="2:18">
      <c r="B4219" s="1" t="s">
        <v>304</v>
      </c>
      <c r="C4219" s="2" t="s">
        <v>4</v>
      </c>
      <c r="D4219" s="2" t="s">
        <v>302</v>
      </c>
      <c r="E4219" s="3">
        <v>1.8</v>
      </c>
      <c r="F4219" s="3">
        <f>+E4219/9</f>
        <v>0.2</v>
      </c>
      <c r="G4219" s="4">
        <v>42690</v>
      </c>
    </row>
    <row r="4220" spans="2:18">
      <c r="B4220" s="1" t="s">
        <v>303</v>
      </c>
      <c r="C4220" s="2" t="s">
        <v>4</v>
      </c>
      <c r="D4220" s="2" t="s">
        <v>302</v>
      </c>
      <c r="E4220" s="3">
        <v>1.8</v>
      </c>
      <c r="F4220" s="3">
        <f>+E4220/9</f>
        <v>0.2</v>
      </c>
      <c r="G4220" s="4">
        <v>42690</v>
      </c>
    </row>
    <row r="4221" spans="2:18">
      <c r="B4221" s="1" t="s">
        <v>279</v>
      </c>
      <c r="C4221" s="2" t="s">
        <v>278</v>
      </c>
      <c r="D4221" s="2" t="s">
        <v>277</v>
      </c>
      <c r="E4221" s="3">
        <v>0.2</v>
      </c>
      <c r="F4221" s="3">
        <v>0.1</v>
      </c>
      <c r="G4221" s="4">
        <v>44054</v>
      </c>
    </row>
    <row r="4222" spans="2:18">
      <c r="B4222" s="1" t="s">
        <v>280</v>
      </c>
      <c r="C4222" s="2" t="s">
        <v>4</v>
      </c>
      <c r="D4222" s="2" t="s">
        <v>277</v>
      </c>
      <c r="E4222" s="3">
        <v>0.125</v>
      </c>
      <c r="F4222" s="3">
        <v>5.0000000000000001E-3</v>
      </c>
      <c r="G4222" s="4">
        <v>44265</v>
      </c>
    </row>
    <row r="4223" spans="2:18">
      <c r="B4223" s="179" t="s">
        <v>7026</v>
      </c>
      <c r="C4223" s="2" t="s">
        <v>4</v>
      </c>
      <c r="D4223" s="177" t="s">
        <v>7025</v>
      </c>
      <c r="E4223" s="3">
        <v>5</v>
      </c>
      <c r="F4223" s="3">
        <v>2.5</v>
      </c>
      <c r="G4223" s="4">
        <v>44266</v>
      </c>
    </row>
    <row r="4224" spans="2:18">
      <c r="B4224" s="179"/>
      <c r="C4224" s="2" t="s">
        <v>4</v>
      </c>
      <c r="D4224" s="177" t="s">
        <v>7025</v>
      </c>
      <c r="E4224" s="3">
        <v>1.5</v>
      </c>
      <c r="F4224" s="3">
        <v>0.75</v>
      </c>
      <c r="G4224" s="4">
        <v>43580</v>
      </c>
    </row>
    <row r="4225" spans="2:7">
      <c r="B4225" s="179" t="s">
        <v>7027</v>
      </c>
      <c r="C4225" s="2" t="s">
        <v>4</v>
      </c>
      <c r="D4225" s="177" t="s">
        <v>7025</v>
      </c>
      <c r="E4225" s="3">
        <v>5</v>
      </c>
      <c r="F4225" s="3">
        <v>2.5</v>
      </c>
      <c r="G4225" s="4">
        <v>44266</v>
      </c>
    </row>
    <row r="4226" spans="2:7">
      <c r="B4226" s="179"/>
      <c r="C4226" s="2" t="s">
        <v>4</v>
      </c>
      <c r="D4226" s="177" t="s">
        <v>7025</v>
      </c>
      <c r="E4226" s="3">
        <v>1.5</v>
      </c>
      <c r="F4226" s="3">
        <v>0.75</v>
      </c>
      <c r="G4226" s="4">
        <v>43580</v>
      </c>
    </row>
    <row r="4227" spans="2:7">
      <c r="B4227" s="1" t="s">
        <v>7293</v>
      </c>
      <c r="C4227" s="2" t="s">
        <v>5</v>
      </c>
      <c r="D4227" s="2" t="s">
        <v>2017</v>
      </c>
      <c r="E4227" s="3">
        <v>10</v>
      </c>
      <c r="F4227" s="3">
        <v>3</v>
      </c>
      <c r="G4227" s="4">
        <v>44504</v>
      </c>
    </row>
    <row r="4228" spans="2:7">
      <c r="C4228" s="2" t="s">
        <v>4</v>
      </c>
      <c r="D4228" s="2" t="s">
        <v>2017</v>
      </c>
      <c r="E4228" s="3">
        <v>4</v>
      </c>
      <c r="F4228" s="3">
        <v>1</v>
      </c>
      <c r="G4228" s="4">
        <v>44097</v>
      </c>
    </row>
    <row r="4229" spans="2:7">
      <c r="B4229" s="1" t="s">
        <v>7294</v>
      </c>
      <c r="C4229" s="2" t="s">
        <v>5</v>
      </c>
      <c r="D4229" s="2" t="s">
        <v>2017</v>
      </c>
      <c r="E4229" s="3">
        <v>10</v>
      </c>
      <c r="F4229" s="3">
        <v>2</v>
      </c>
      <c r="G4229" s="4">
        <v>44504</v>
      </c>
    </row>
    <row r="4230" spans="2:7">
      <c r="C4230" s="2" t="s">
        <v>4</v>
      </c>
      <c r="D4230" s="2" t="s">
        <v>2017</v>
      </c>
      <c r="E4230" s="3">
        <v>4</v>
      </c>
      <c r="F4230" s="3">
        <v>1</v>
      </c>
      <c r="G4230" s="4">
        <v>44097</v>
      </c>
    </row>
    <row r="4231" spans="2:7">
      <c r="B4231" s="1" t="s">
        <v>7295</v>
      </c>
      <c r="C4231" s="2" t="s">
        <v>5</v>
      </c>
      <c r="D4231" s="2" t="s">
        <v>7290</v>
      </c>
      <c r="E4231" s="3">
        <v>8</v>
      </c>
      <c r="F4231" s="3">
        <v>6</v>
      </c>
      <c r="G4231" s="4">
        <v>44663</v>
      </c>
    </row>
    <row r="4232" spans="2:7">
      <c r="B4232" s="1" t="s">
        <v>7296</v>
      </c>
      <c r="C4232" s="2" t="s">
        <v>5</v>
      </c>
      <c r="D4232" s="2" t="s">
        <v>7290</v>
      </c>
      <c r="E4232" s="3">
        <v>8</v>
      </c>
      <c r="F4232" s="3">
        <v>2</v>
      </c>
      <c r="G4232" s="4">
        <v>44663</v>
      </c>
    </row>
    <row r="4233" spans="2:7">
      <c r="C4233" s="2" t="s">
        <v>5</v>
      </c>
      <c r="D4233" s="2" t="s">
        <v>7290</v>
      </c>
      <c r="E4233" s="3">
        <v>3</v>
      </c>
      <c r="F4233" s="3">
        <v>2</v>
      </c>
      <c r="G4233" s="4">
        <v>43858</v>
      </c>
    </row>
    <row r="4234" spans="2:7">
      <c r="B4234" s="1" t="s">
        <v>7297</v>
      </c>
      <c r="C4234" s="2" t="s">
        <v>4</v>
      </c>
      <c r="D4234" s="2" t="s">
        <v>7292</v>
      </c>
      <c r="E4234" s="3">
        <v>3</v>
      </c>
      <c r="F4234" s="3">
        <v>0</v>
      </c>
      <c r="G4234" s="4">
        <v>44452</v>
      </c>
    </row>
    <row r="4235" spans="2:7">
      <c r="B4235" s="1" t="s">
        <v>7298</v>
      </c>
      <c r="C4235" s="2" t="s">
        <v>4</v>
      </c>
      <c r="D4235" s="2" t="s">
        <v>7292</v>
      </c>
      <c r="E4235" s="3">
        <v>3</v>
      </c>
      <c r="F4235" s="3">
        <v>0</v>
      </c>
      <c r="G4235" s="4">
        <v>44452</v>
      </c>
    </row>
    <row r="4236" spans="2:7">
      <c r="B4236" s="1" t="s">
        <v>7299</v>
      </c>
      <c r="C4236" s="2" t="s">
        <v>4</v>
      </c>
      <c r="D4236" s="2" t="s">
        <v>7292</v>
      </c>
      <c r="E4236" s="3">
        <v>3</v>
      </c>
      <c r="F4236" s="3">
        <v>0</v>
      </c>
      <c r="G4236" s="4">
        <v>44452</v>
      </c>
    </row>
    <row r="4237" spans="2:7">
      <c r="B4237" s="1" t="s">
        <v>7300</v>
      </c>
      <c r="C4237" s="2" t="s">
        <v>4</v>
      </c>
      <c r="D4237" s="2" t="s">
        <v>7292</v>
      </c>
      <c r="E4237" s="3">
        <v>8</v>
      </c>
      <c r="F4237" s="3">
        <v>2</v>
      </c>
      <c r="G4237" s="4">
        <v>44880</v>
      </c>
    </row>
    <row r="4238" spans="2:7">
      <c r="B4238" s="1" t="s">
        <v>7301</v>
      </c>
      <c r="C4238" s="2" t="s">
        <v>4</v>
      </c>
      <c r="D4238" s="2" t="s">
        <v>7292</v>
      </c>
      <c r="E4238" s="3">
        <v>8</v>
      </c>
      <c r="F4238" s="3">
        <v>2</v>
      </c>
      <c r="G4238" s="4">
        <v>44880</v>
      </c>
    </row>
    <row r="4239" spans="2:7">
      <c r="B4239" s="1" t="s">
        <v>7302</v>
      </c>
      <c r="C4239" s="2" t="s">
        <v>4</v>
      </c>
      <c r="D4239" s="2" t="s">
        <v>7292</v>
      </c>
      <c r="E4239" s="3">
        <v>8</v>
      </c>
      <c r="F4239" s="3">
        <v>2</v>
      </c>
      <c r="G4239" s="4">
        <v>44880</v>
      </c>
    </row>
    <row r="4240" spans="2:7">
      <c r="B4240" s="1" t="s">
        <v>7303</v>
      </c>
      <c r="C4240" s="2" t="s">
        <v>4</v>
      </c>
      <c r="D4240" s="2" t="s">
        <v>7292</v>
      </c>
      <c r="E4240" s="3">
        <v>8</v>
      </c>
      <c r="F4240" s="3">
        <v>2</v>
      </c>
      <c r="G4240" s="4">
        <v>44880</v>
      </c>
    </row>
    <row r="4241" spans="2:7">
      <c r="B4241" s="238" t="s">
        <v>1676</v>
      </c>
      <c r="C4241" s="241" t="s">
        <v>4</v>
      </c>
      <c r="D4241" s="241" t="s">
        <v>2014</v>
      </c>
      <c r="E4241" s="3">
        <v>12</v>
      </c>
      <c r="F4241" s="3">
        <v>2</v>
      </c>
      <c r="G4241" s="4">
        <v>43872</v>
      </c>
    </row>
    <row r="4242" spans="2:7">
      <c r="B4242" s="238" t="s">
        <v>7362</v>
      </c>
      <c r="C4242" s="241" t="s">
        <v>4</v>
      </c>
      <c r="D4242" s="241" t="s">
        <v>2014</v>
      </c>
      <c r="E4242" s="3">
        <v>12</v>
      </c>
      <c r="F4242" s="3">
        <v>2</v>
      </c>
      <c r="G4242" s="4">
        <v>43872</v>
      </c>
    </row>
    <row r="4243" spans="2:7">
      <c r="B4243" s="238" t="s">
        <v>7392</v>
      </c>
      <c r="C4243" s="241" t="s">
        <v>4</v>
      </c>
      <c r="D4243" s="241" t="s">
        <v>2013</v>
      </c>
      <c r="E4243" s="3">
        <v>11</v>
      </c>
      <c r="F4243" s="3">
        <f>8/6</f>
        <v>1.3333333333333333</v>
      </c>
      <c r="G4243" s="4">
        <v>44686</v>
      </c>
    </row>
    <row r="4244" spans="2:7">
      <c r="B4244" s="238" t="s">
        <v>7393</v>
      </c>
      <c r="C4244" s="241" t="s">
        <v>4</v>
      </c>
      <c r="D4244" s="241" t="s">
        <v>2013</v>
      </c>
      <c r="E4244" s="3">
        <v>11</v>
      </c>
      <c r="F4244" s="3">
        <f>8/6</f>
        <v>1.3333333333333333</v>
      </c>
      <c r="G4244" s="4">
        <v>44686</v>
      </c>
    </row>
    <row r="4245" spans="2:7">
      <c r="B4245" s="238" t="s">
        <v>7394</v>
      </c>
      <c r="C4245" s="241" t="s">
        <v>4</v>
      </c>
      <c r="D4245" s="241" t="s">
        <v>2013</v>
      </c>
      <c r="E4245" s="3">
        <v>11</v>
      </c>
      <c r="F4245" s="3">
        <f>8/6</f>
        <v>1.3333333333333333</v>
      </c>
      <c r="G4245" s="4">
        <v>44686</v>
      </c>
    </row>
    <row r="4246" spans="2:7">
      <c r="B4246" s="238" t="s">
        <v>7395</v>
      </c>
      <c r="C4246" s="241" t="s">
        <v>4</v>
      </c>
      <c r="D4246" s="241" t="s">
        <v>2013</v>
      </c>
      <c r="E4246" s="3">
        <v>11</v>
      </c>
      <c r="F4246" s="3">
        <f>8/6</f>
        <v>1.3333333333333333</v>
      </c>
      <c r="G4246" s="4">
        <v>44686</v>
      </c>
    </row>
    <row r="4247" spans="2:7">
      <c r="B4247" s="238" t="s">
        <v>7403</v>
      </c>
      <c r="C4247" s="241" t="s">
        <v>7</v>
      </c>
      <c r="D4247" s="241" t="s">
        <v>2012</v>
      </c>
      <c r="E4247" s="3">
        <v>20</v>
      </c>
      <c r="F4247" s="3">
        <v>8</v>
      </c>
      <c r="G4247" s="4">
        <v>45001</v>
      </c>
    </row>
    <row r="4248" spans="2:7">
      <c r="B4248" s="238" t="s">
        <v>7404</v>
      </c>
      <c r="C4248" s="241" t="s">
        <v>7</v>
      </c>
      <c r="D4248" s="241" t="s">
        <v>2012</v>
      </c>
      <c r="E4248" s="3">
        <v>20</v>
      </c>
      <c r="F4248" s="3">
        <f>12/3</f>
        <v>4</v>
      </c>
      <c r="G4248" s="4">
        <v>45001</v>
      </c>
    </row>
    <row r="4249" spans="2:7">
      <c r="B4249" s="238"/>
      <c r="C4249" s="241"/>
      <c r="D4249" s="241"/>
      <c r="E4249" s="3">
        <v>9</v>
      </c>
      <c r="F4249" s="3">
        <v>3</v>
      </c>
      <c r="G4249" s="4">
        <v>44152</v>
      </c>
    </row>
    <row r="4250" spans="2:7">
      <c r="B4250" s="238" t="s">
        <v>7405</v>
      </c>
      <c r="C4250" s="241" t="s">
        <v>7</v>
      </c>
      <c r="D4250" s="241" t="s">
        <v>2012</v>
      </c>
      <c r="E4250" s="3">
        <v>20</v>
      </c>
      <c r="F4250" s="3">
        <f>12/3</f>
        <v>4</v>
      </c>
      <c r="G4250" s="4">
        <v>45001</v>
      </c>
    </row>
    <row r="4251" spans="2:7">
      <c r="C4251" s="241" t="s">
        <v>5</v>
      </c>
      <c r="D4251" s="241" t="s">
        <v>2012</v>
      </c>
      <c r="E4251" s="3">
        <v>9</v>
      </c>
      <c r="F4251" s="3">
        <v>3</v>
      </c>
      <c r="G4251" s="4">
        <v>44152</v>
      </c>
    </row>
    <row r="4252" spans="2:7">
      <c r="B4252" s="238" t="s">
        <v>7411</v>
      </c>
      <c r="C4252" s="241" t="s">
        <v>7410</v>
      </c>
      <c r="D4252" s="241" t="s">
        <v>2012</v>
      </c>
      <c r="E4252" s="3">
        <v>0.8</v>
      </c>
      <c r="F4252" s="3">
        <v>0.8</v>
      </c>
      <c r="G4252" s="4">
        <v>40332</v>
      </c>
    </row>
    <row r="4253" spans="2:7">
      <c r="B4253" s="238" t="s">
        <v>7421</v>
      </c>
      <c r="C4253" s="241" t="s">
        <v>5</v>
      </c>
      <c r="D4253" s="241" t="s">
        <v>2010</v>
      </c>
      <c r="E4253" s="3">
        <v>9</v>
      </c>
      <c r="F4253" s="3">
        <f>6/4</f>
        <v>1.5</v>
      </c>
      <c r="G4253" s="4">
        <v>44540</v>
      </c>
    </row>
    <row r="4254" spans="2:7">
      <c r="B4254" s="238"/>
      <c r="C4254" s="241" t="s">
        <v>4</v>
      </c>
      <c r="D4254" s="241" t="s">
        <v>2010</v>
      </c>
      <c r="E4254" s="3">
        <v>2.5</v>
      </c>
      <c r="F4254" s="3">
        <f>1.5/3</f>
        <v>0.5</v>
      </c>
      <c r="G4254" s="4">
        <v>44296</v>
      </c>
    </row>
    <row r="4255" spans="2:7">
      <c r="B4255" s="238" t="s">
        <v>7423</v>
      </c>
      <c r="C4255" s="241" t="s">
        <v>4</v>
      </c>
      <c r="D4255" s="241" t="s">
        <v>2010</v>
      </c>
      <c r="E4255" s="3">
        <v>2.5</v>
      </c>
      <c r="F4255" s="3">
        <f>1.5/3</f>
        <v>0.5</v>
      </c>
      <c r="G4255" s="4">
        <v>44296</v>
      </c>
    </row>
    <row r="4256" spans="2:7">
      <c r="B4256" s="238" t="s">
        <v>7424</v>
      </c>
      <c r="C4256" s="241" t="s">
        <v>4</v>
      </c>
      <c r="D4256" s="241" t="s">
        <v>2010</v>
      </c>
      <c r="E4256" s="3">
        <v>2.5</v>
      </c>
      <c r="F4256" s="3">
        <f>1.5/3</f>
        <v>0.5</v>
      </c>
      <c r="G4256" s="4">
        <v>44296</v>
      </c>
    </row>
    <row r="4257" spans="2:10">
      <c r="B4257" s="238" t="s">
        <v>7432</v>
      </c>
      <c r="C4257" s="241" t="s">
        <v>5</v>
      </c>
      <c r="D4257" s="241" t="s">
        <v>7426</v>
      </c>
      <c r="E4257" s="3">
        <v>10</v>
      </c>
      <c r="F4257" s="3">
        <v>2</v>
      </c>
      <c r="G4257" s="4">
        <v>44384</v>
      </c>
    </row>
    <row r="4258" spans="2:10">
      <c r="B4258" s="238" t="s">
        <v>7441</v>
      </c>
      <c r="C4258" s="241" t="s">
        <v>5</v>
      </c>
      <c r="D4258" s="241" t="s">
        <v>2008</v>
      </c>
      <c r="E4258" s="3">
        <v>11.5</v>
      </c>
      <c r="F4258" s="3">
        <f>6/3</f>
        <v>2</v>
      </c>
      <c r="G4258" s="4">
        <v>45063</v>
      </c>
    </row>
    <row r="4259" spans="2:10">
      <c r="B4259" s="238"/>
      <c r="C4259" s="241" t="s">
        <v>4</v>
      </c>
      <c r="D4259" s="241" t="s">
        <v>2008</v>
      </c>
      <c r="E4259" s="3">
        <v>7</v>
      </c>
      <c r="F4259" s="3">
        <v>3.5</v>
      </c>
      <c r="G4259" s="4">
        <v>44216</v>
      </c>
    </row>
    <row r="4260" spans="2:10">
      <c r="B4260" s="238" t="s">
        <v>7442</v>
      </c>
      <c r="C4260" s="241" t="s">
        <v>5</v>
      </c>
      <c r="D4260" s="241" t="s">
        <v>2008</v>
      </c>
      <c r="E4260" s="3">
        <v>11.5</v>
      </c>
      <c r="F4260" s="3">
        <f>6/3</f>
        <v>2</v>
      </c>
      <c r="G4260" s="4">
        <v>45063</v>
      </c>
    </row>
    <row r="4261" spans="2:10">
      <c r="B4261" s="238" t="s">
        <v>7569</v>
      </c>
      <c r="C4261" s="241" t="s">
        <v>5</v>
      </c>
      <c r="D4261" s="241" t="s">
        <v>2007</v>
      </c>
      <c r="E4261" s="3">
        <v>10</v>
      </c>
      <c r="F4261" s="3">
        <v>5</v>
      </c>
      <c r="G4261" s="4">
        <v>44307</v>
      </c>
    </row>
    <row r="4262" spans="2:10">
      <c r="B4262" s="238" t="s">
        <v>7570</v>
      </c>
      <c r="C4262" s="241" t="s">
        <v>5</v>
      </c>
      <c r="D4262" s="241" t="s">
        <v>2007</v>
      </c>
      <c r="E4262" s="3">
        <v>10</v>
      </c>
      <c r="F4262" s="3">
        <v>5</v>
      </c>
      <c r="G4262" s="4">
        <v>44307</v>
      </c>
    </row>
    <row r="4263" spans="2:10">
      <c r="B4263" s="238" t="s">
        <v>3302</v>
      </c>
      <c r="C4263" s="241" t="s">
        <v>4</v>
      </c>
      <c r="D4263" s="241" t="s">
        <v>7580</v>
      </c>
      <c r="E4263" s="3">
        <v>2.2000000000000002</v>
      </c>
      <c r="F4263" s="3">
        <v>0.6</v>
      </c>
      <c r="G4263" s="4">
        <v>43544</v>
      </c>
    </row>
    <row r="4264" spans="2:10">
      <c r="B4264" s="238" t="s">
        <v>7586</v>
      </c>
      <c r="C4264" s="241" t="s">
        <v>4</v>
      </c>
      <c r="D4264" s="241" t="s">
        <v>7580</v>
      </c>
      <c r="E4264" s="3">
        <v>2.2000000000000002</v>
      </c>
      <c r="F4264" s="3">
        <v>1</v>
      </c>
      <c r="G4264" s="4">
        <v>43544</v>
      </c>
    </row>
    <row r="4265" spans="2:10">
      <c r="B4265" s="238" t="s">
        <v>7616</v>
      </c>
      <c r="C4265" s="241" t="s">
        <v>4</v>
      </c>
      <c r="D4265" s="241" t="s">
        <v>2004</v>
      </c>
      <c r="E4265" s="3">
        <v>7</v>
      </c>
      <c r="F4265" s="3">
        <v>5</v>
      </c>
      <c r="G4265" s="4">
        <v>44763</v>
      </c>
    </row>
    <row r="4266" spans="2:10">
      <c r="B4266" s="238"/>
      <c r="C4266" s="241" t="s">
        <v>278</v>
      </c>
      <c r="D4266" s="241" t="s">
        <v>2004</v>
      </c>
      <c r="E4266" s="3">
        <v>2</v>
      </c>
      <c r="F4266" s="3">
        <f>1/4</f>
        <v>0.25</v>
      </c>
      <c r="G4266" s="4">
        <v>44181</v>
      </c>
    </row>
    <row r="4267" spans="2:10">
      <c r="B4267" s="238" t="s">
        <v>7617</v>
      </c>
      <c r="C4267" s="241" t="s">
        <v>4</v>
      </c>
      <c r="D4267" s="241" t="s">
        <v>2004</v>
      </c>
      <c r="E4267" s="3">
        <v>7</v>
      </c>
      <c r="F4267" s="3">
        <v>1</v>
      </c>
      <c r="G4267" s="4">
        <v>44763</v>
      </c>
    </row>
    <row r="4268" spans="2:10">
      <c r="C4268" s="241" t="s">
        <v>278</v>
      </c>
      <c r="D4268" s="241" t="s">
        <v>2004</v>
      </c>
      <c r="E4268" s="3">
        <v>2</v>
      </c>
      <c r="F4268" s="3">
        <v>0.5</v>
      </c>
      <c r="G4268" s="4">
        <v>44181</v>
      </c>
    </row>
    <row r="4269" spans="2:10">
      <c r="B4269" s="238" t="s">
        <v>7622</v>
      </c>
      <c r="C4269" s="241" t="s">
        <v>278</v>
      </c>
      <c r="D4269" s="241" t="s">
        <v>2004</v>
      </c>
      <c r="E4269" s="3">
        <v>2</v>
      </c>
      <c r="F4269" s="3">
        <v>0.5</v>
      </c>
      <c r="G4269" s="4">
        <v>44181</v>
      </c>
    </row>
    <row r="4270" spans="2:10">
      <c r="B4270" s="238"/>
      <c r="C4270" s="241"/>
      <c r="D4270" s="241"/>
      <c r="G4270" s="4"/>
    </row>
    <row r="4271" spans="2:10">
      <c r="B4271" s="264" t="s">
        <v>7888</v>
      </c>
      <c r="C4271" s="265" t="s">
        <v>7885</v>
      </c>
      <c r="D4271" s="265" t="s">
        <v>1006</v>
      </c>
      <c r="E4271" s="3">
        <v>684.6</v>
      </c>
      <c r="F4271" s="3">
        <f>584.6/21</f>
        <v>27.838095238095239</v>
      </c>
      <c r="G4271" s="4">
        <v>45183</v>
      </c>
      <c r="I4271" s="1">
        <v>42500</v>
      </c>
      <c r="J4271" s="1">
        <v>42500</v>
      </c>
    </row>
    <row r="4272" spans="2:10">
      <c r="B4272" s="264"/>
      <c r="C4272" s="265" t="s">
        <v>2486</v>
      </c>
      <c r="D4272" s="265" t="s">
        <v>1006</v>
      </c>
      <c r="E4272" s="3">
        <v>1600</v>
      </c>
      <c r="F4272" s="3">
        <v>51.851851851851855</v>
      </c>
      <c r="G4272" s="4">
        <v>44439</v>
      </c>
      <c r="I4272" s="1">
        <v>36400</v>
      </c>
      <c r="J4272" s="1">
        <v>42500</v>
      </c>
    </row>
    <row r="4273" spans="2:10">
      <c r="B4273" s="264"/>
      <c r="C4273" s="265" t="s">
        <v>504</v>
      </c>
      <c r="D4273" s="265" t="s">
        <v>1006</v>
      </c>
      <c r="E4273" s="3">
        <v>1000</v>
      </c>
      <c r="F4273" s="3">
        <f>900/23</f>
        <v>39.130434782608695</v>
      </c>
      <c r="G4273" s="4">
        <v>44228</v>
      </c>
      <c r="I4273" s="1">
        <v>27000</v>
      </c>
      <c r="J4273" s="1">
        <v>42500</v>
      </c>
    </row>
    <row r="4274" spans="2:10">
      <c r="B4274" s="264"/>
      <c r="C4274" s="265"/>
      <c r="D4274" s="265"/>
      <c r="G4274" s="4"/>
    </row>
    <row r="4275" spans="2:10">
      <c r="B4275" s="264" t="s">
        <v>7889</v>
      </c>
      <c r="C4275" s="265" t="s">
        <v>7885</v>
      </c>
      <c r="D4275" s="265" t="s">
        <v>1006</v>
      </c>
      <c r="E4275" s="3">
        <v>684.6</v>
      </c>
      <c r="F4275" s="3">
        <f t="shared" ref="F4275:F4281" si="12">584.6/21</f>
        <v>27.838095238095239</v>
      </c>
      <c r="G4275" s="4">
        <v>45183</v>
      </c>
      <c r="I4275" s="1">
        <v>42500</v>
      </c>
      <c r="J4275" s="1">
        <v>42500</v>
      </c>
    </row>
    <row r="4276" spans="2:10">
      <c r="B4276" s="264"/>
      <c r="C4276" s="265"/>
      <c r="D4276" s="265"/>
      <c r="G4276" s="4"/>
    </row>
    <row r="4277" spans="2:10">
      <c r="B4277" s="264" t="s">
        <v>7890</v>
      </c>
      <c r="C4277" s="265" t="s">
        <v>7885</v>
      </c>
      <c r="D4277" s="265" t="s">
        <v>1006</v>
      </c>
      <c r="E4277" s="3">
        <v>684.6</v>
      </c>
      <c r="F4277" s="3">
        <f t="shared" si="12"/>
        <v>27.838095238095239</v>
      </c>
      <c r="G4277" s="4">
        <v>45183</v>
      </c>
      <c r="I4277" s="1">
        <v>42500</v>
      </c>
      <c r="J4277" s="1">
        <v>42500</v>
      </c>
    </row>
    <row r="4278" spans="2:10">
      <c r="B4278" s="264"/>
      <c r="C4278" s="265" t="s">
        <v>2486</v>
      </c>
      <c r="D4278" s="265" t="s">
        <v>1006</v>
      </c>
      <c r="E4278" s="3">
        <v>1600</v>
      </c>
      <c r="F4278" s="3">
        <v>51.851851851851855</v>
      </c>
      <c r="G4278" s="4">
        <v>44439</v>
      </c>
      <c r="I4278" s="1">
        <v>36400</v>
      </c>
      <c r="J4278" s="1">
        <v>42500</v>
      </c>
    </row>
    <row r="4279" spans="2:10">
      <c r="B4279" s="264"/>
      <c r="C4279" s="394" t="s">
        <v>5</v>
      </c>
      <c r="D4279" s="394" t="s">
        <v>9711</v>
      </c>
      <c r="E4279" s="3">
        <v>16</v>
      </c>
      <c r="F4279" s="3">
        <v>1</v>
      </c>
      <c r="G4279" s="4">
        <v>45209</v>
      </c>
    </row>
    <row r="4280" spans="2:10">
      <c r="B4280" s="264"/>
      <c r="C4280" s="265"/>
      <c r="D4280" s="265"/>
      <c r="G4280" s="4"/>
    </row>
    <row r="4281" spans="2:10">
      <c r="B4281" s="264" t="s">
        <v>7891</v>
      </c>
      <c r="C4281" s="265" t="s">
        <v>7885</v>
      </c>
      <c r="D4281" s="265" t="s">
        <v>1006</v>
      </c>
      <c r="E4281" s="3">
        <v>684.6</v>
      </c>
      <c r="F4281" s="3">
        <f t="shared" si="12"/>
        <v>27.838095238095239</v>
      </c>
      <c r="G4281" s="4">
        <v>45183</v>
      </c>
      <c r="I4281" s="1">
        <v>42500</v>
      </c>
      <c r="J4281" s="1">
        <v>42500</v>
      </c>
    </row>
    <row r="4282" spans="2:10">
      <c r="B4282" s="264"/>
      <c r="C4282" s="265"/>
      <c r="D4282" s="265"/>
      <c r="G4282" s="4"/>
    </row>
    <row r="4283" spans="2:10">
      <c r="B4283" s="264" t="s">
        <v>7893</v>
      </c>
      <c r="C4283" s="265" t="s">
        <v>2486</v>
      </c>
      <c r="D4283" s="265" t="s">
        <v>1006</v>
      </c>
      <c r="E4283" s="3">
        <v>1600</v>
      </c>
      <c r="F4283" s="3">
        <v>51.851851851851855</v>
      </c>
      <c r="G4283" s="4">
        <v>44439</v>
      </c>
      <c r="I4283" s="1">
        <v>36400</v>
      </c>
      <c r="J4283" s="1">
        <v>42500</v>
      </c>
    </row>
    <row r="4284" spans="2:10">
      <c r="B4284" s="264"/>
      <c r="C4284" s="265" t="s">
        <v>504</v>
      </c>
      <c r="D4284" s="265" t="s">
        <v>1006</v>
      </c>
      <c r="E4284" s="3">
        <v>1000</v>
      </c>
      <c r="F4284" s="3">
        <f>900/23</f>
        <v>39.130434782608695</v>
      </c>
      <c r="G4284" s="4">
        <v>44228</v>
      </c>
      <c r="I4284" s="1">
        <v>27000</v>
      </c>
      <c r="J4284" s="1">
        <v>42500</v>
      </c>
    </row>
    <row r="4285" spans="2:10">
      <c r="B4285" s="264"/>
      <c r="C4285" s="265"/>
      <c r="D4285" s="265"/>
      <c r="G4285" s="4"/>
    </row>
    <row r="4286" spans="2:10">
      <c r="B4286" s="264" t="s">
        <v>7894</v>
      </c>
      <c r="C4286" s="265" t="s">
        <v>2486</v>
      </c>
      <c r="D4286" s="265" t="s">
        <v>1006</v>
      </c>
      <c r="E4286" s="3">
        <v>1600</v>
      </c>
      <c r="F4286" s="3">
        <v>51.851851851851855</v>
      </c>
      <c r="G4286" s="4">
        <v>44439</v>
      </c>
      <c r="I4286" s="1">
        <v>36400</v>
      </c>
      <c r="J4286" s="1">
        <v>42500</v>
      </c>
    </row>
    <row r="4287" spans="2:10">
      <c r="B4287" s="264" t="s">
        <v>7895</v>
      </c>
      <c r="C4287" s="265" t="s">
        <v>2486</v>
      </c>
      <c r="D4287" s="265" t="s">
        <v>1006</v>
      </c>
      <c r="E4287" s="3">
        <v>1600</v>
      </c>
      <c r="F4287" s="3">
        <v>51.851851851851855</v>
      </c>
      <c r="G4287" s="4">
        <v>44439</v>
      </c>
      <c r="I4287" s="1">
        <v>36400</v>
      </c>
      <c r="J4287" s="1">
        <v>42500</v>
      </c>
    </row>
    <row r="4288" spans="2:10">
      <c r="B4288" s="264"/>
      <c r="C4288" s="265"/>
      <c r="D4288" s="265"/>
      <c r="G4288" s="4"/>
    </row>
    <row r="4289" spans="2:10">
      <c r="B4289" s="264" t="s">
        <v>7896</v>
      </c>
      <c r="C4289" s="265" t="s">
        <v>2486</v>
      </c>
      <c r="D4289" s="265" t="s">
        <v>1006</v>
      </c>
      <c r="E4289" s="3">
        <v>1600</v>
      </c>
      <c r="F4289" s="3">
        <v>51.851851851851855</v>
      </c>
      <c r="G4289" s="4">
        <v>44439</v>
      </c>
      <c r="I4289" s="1">
        <v>36400</v>
      </c>
      <c r="J4289" s="1">
        <v>42500</v>
      </c>
    </row>
    <row r="4290" spans="2:10">
      <c r="B4290" s="264"/>
      <c r="C4290" s="265" t="s">
        <v>504</v>
      </c>
      <c r="D4290" s="265" t="s">
        <v>1006</v>
      </c>
      <c r="E4290" s="3">
        <v>1000</v>
      </c>
      <c r="F4290" s="3">
        <f>900/23</f>
        <v>39.130434782608695</v>
      </c>
      <c r="G4290" s="4">
        <v>44228</v>
      </c>
      <c r="I4290" s="1">
        <v>27000</v>
      </c>
      <c r="J4290" s="1">
        <v>42500</v>
      </c>
    </row>
    <row r="4291" spans="2:10">
      <c r="B4291" s="264"/>
      <c r="C4291" s="265"/>
      <c r="D4291" s="265"/>
      <c r="G4291" s="4"/>
    </row>
    <row r="4292" spans="2:10">
      <c r="B4292" s="264" t="s">
        <v>7897</v>
      </c>
      <c r="C4292" s="265" t="s">
        <v>2486</v>
      </c>
      <c r="D4292" s="265" t="s">
        <v>1006</v>
      </c>
      <c r="E4292" s="3">
        <v>1600</v>
      </c>
      <c r="F4292" s="3">
        <v>51.851851851851855</v>
      </c>
      <c r="G4292" s="4">
        <v>44439</v>
      </c>
      <c r="I4292" s="1">
        <v>36400</v>
      </c>
      <c r="J4292" s="1">
        <v>42500</v>
      </c>
    </row>
    <row r="4293" spans="2:10">
      <c r="B4293" s="264"/>
      <c r="C4293" s="394" t="s">
        <v>278</v>
      </c>
      <c r="D4293" s="394" t="s">
        <v>9775</v>
      </c>
      <c r="E4293" s="3">
        <v>6</v>
      </c>
      <c r="F4293" s="3">
        <f>4/9</f>
        <v>0.44444444444444442</v>
      </c>
      <c r="G4293" s="4">
        <v>44348</v>
      </c>
    </row>
    <row r="4294" spans="2:10">
      <c r="B4294" s="264"/>
      <c r="C4294" s="265"/>
      <c r="D4294" s="265"/>
      <c r="G4294" s="4"/>
    </row>
    <row r="4295" spans="2:10">
      <c r="B4295" s="264" t="s">
        <v>7898</v>
      </c>
      <c r="C4295" s="265" t="s">
        <v>2486</v>
      </c>
      <c r="D4295" s="265" t="s">
        <v>1006</v>
      </c>
      <c r="E4295" s="3">
        <v>1600</v>
      </c>
      <c r="F4295" s="3">
        <v>51.851851851851855</v>
      </c>
      <c r="G4295" s="4">
        <v>44439</v>
      </c>
      <c r="I4295" s="1">
        <v>36400</v>
      </c>
      <c r="J4295" s="1">
        <v>42500</v>
      </c>
    </row>
    <row r="4296" spans="2:10">
      <c r="B4296" s="264"/>
      <c r="C4296" s="265" t="s">
        <v>504</v>
      </c>
      <c r="D4296" s="265" t="s">
        <v>1006</v>
      </c>
      <c r="E4296" s="3">
        <v>1000</v>
      </c>
      <c r="F4296" s="3">
        <f>900/23</f>
        <v>39.130434782608695</v>
      </c>
      <c r="G4296" s="4">
        <v>44228</v>
      </c>
      <c r="I4296" s="1">
        <v>27000</v>
      </c>
      <c r="J4296" s="1">
        <v>42500</v>
      </c>
    </row>
    <row r="4297" spans="2:10">
      <c r="B4297" s="264"/>
      <c r="C4297" s="265"/>
      <c r="D4297" s="265"/>
      <c r="G4297" s="4"/>
    </row>
    <row r="4298" spans="2:10">
      <c r="B4298" s="264" t="s">
        <v>7899</v>
      </c>
      <c r="C4298" s="265" t="s">
        <v>2486</v>
      </c>
      <c r="D4298" s="265" t="s">
        <v>1006</v>
      </c>
      <c r="E4298" s="3">
        <v>1600</v>
      </c>
      <c r="F4298" s="3">
        <v>51.851851851851855</v>
      </c>
      <c r="G4298" s="4">
        <v>44439</v>
      </c>
      <c r="I4298" s="1">
        <v>36400</v>
      </c>
      <c r="J4298" s="1">
        <v>42500</v>
      </c>
    </row>
    <row r="4299" spans="2:10">
      <c r="B4299" s="264" t="s">
        <v>7904</v>
      </c>
      <c r="C4299" s="265" t="s">
        <v>1</v>
      </c>
      <c r="D4299" s="265" t="s">
        <v>3930</v>
      </c>
      <c r="E4299" s="3">
        <v>1200</v>
      </c>
      <c r="F4299" s="3">
        <v>300</v>
      </c>
      <c r="G4299" s="4">
        <v>43592</v>
      </c>
      <c r="I4299" s="1">
        <v>17900</v>
      </c>
    </row>
    <row r="4300" spans="2:10">
      <c r="B4300" s="264" t="s">
        <v>7905</v>
      </c>
      <c r="C4300" s="265" t="s">
        <v>8</v>
      </c>
      <c r="D4300" s="265" t="s">
        <v>161</v>
      </c>
      <c r="E4300" s="3">
        <v>100</v>
      </c>
      <c r="F4300" s="3">
        <v>100</v>
      </c>
      <c r="G4300" s="4">
        <v>45223</v>
      </c>
      <c r="I4300" s="1">
        <v>8400</v>
      </c>
      <c r="J4300" s="1">
        <v>8400</v>
      </c>
    </row>
    <row r="4301" spans="2:10">
      <c r="B4301" s="264" t="s">
        <v>7697</v>
      </c>
      <c r="C4301" s="265" t="s">
        <v>8</v>
      </c>
      <c r="D4301" s="265" t="s">
        <v>3732</v>
      </c>
      <c r="E4301" s="3">
        <v>235</v>
      </c>
      <c r="F4301" s="3">
        <f>185/8</f>
        <v>23.125</v>
      </c>
      <c r="G4301" s="4">
        <v>45161</v>
      </c>
      <c r="I4301" s="1">
        <v>4300</v>
      </c>
      <c r="J4301" s="1">
        <v>4300</v>
      </c>
    </row>
    <row r="4302" spans="2:10">
      <c r="B4302" s="264" t="s">
        <v>7909</v>
      </c>
      <c r="C4302" s="265" t="s">
        <v>8</v>
      </c>
      <c r="D4302" s="265" t="s">
        <v>3732</v>
      </c>
      <c r="E4302" s="3">
        <v>235</v>
      </c>
      <c r="F4302" s="3">
        <f t="shared" ref="F4302" si="13">185/8</f>
        <v>23.125</v>
      </c>
      <c r="G4302" s="4">
        <v>45161</v>
      </c>
      <c r="I4302" s="1">
        <v>4300</v>
      </c>
      <c r="J4302" s="1">
        <v>4300</v>
      </c>
    </row>
    <row r="4303" spans="2:10">
      <c r="B4303" s="264" t="s">
        <v>7912</v>
      </c>
      <c r="C4303" s="265" t="s">
        <v>7</v>
      </c>
      <c r="D4303" s="265" t="s">
        <v>1133</v>
      </c>
      <c r="E4303" s="3">
        <v>1300</v>
      </c>
      <c r="F4303" s="3">
        <v>200</v>
      </c>
      <c r="G4303" s="4">
        <v>45106</v>
      </c>
      <c r="I4303" s="1">
        <v>4000</v>
      </c>
      <c r="J4303" s="1">
        <v>4000</v>
      </c>
    </row>
    <row r="4304" spans="2:10">
      <c r="B4304" s="264" t="s">
        <v>7931</v>
      </c>
      <c r="C4304" s="265" t="s">
        <v>7929</v>
      </c>
      <c r="D4304" s="265" t="s">
        <v>606</v>
      </c>
      <c r="E4304" s="3">
        <v>59</v>
      </c>
      <c r="F4304" s="3">
        <f>59/9</f>
        <v>6.5555555555555554</v>
      </c>
      <c r="G4304" s="4">
        <v>45124</v>
      </c>
      <c r="I4304" s="1">
        <v>1200</v>
      </c>
      <c r="J4304" s="1">
        <v>1200</v>
      </c>
    </row>
    <row r="4305" spans="2:10">
      <c r="B4305" s="274" t="s">
        <v>8297</v>
      </c>
      <c r="C4305" s="331" t="s">
        <v>4</v>
      </c>
      <c r="D4305" s="331" t="s">
        <v>8298</v>
      </c>
      <c r="E4305" s="3">
        <v>8</v>
      </c>
      <c r="F4305" s="3">
        <v>1</v>
      </c>
      <c r="G4305" s="4">
        <v>44482</v>
      </c>
    </row>
    <row r="4306" spans="2:10">
      <c r="B4306" s="274" t="s">
        <v>8299</v>
      </c>
      <c r="C4306" s="331" t="s">
        <v>4</v>
      </c>
      <c r="D4306" s="331" t="s">
        <v>8298</v>
      </c>
      <c r="E4306" s="3">
        <v>8</v>
      </c>
      <c r="F4306" s="3">
        <v>1</v>
      </c>
      <c r="G4306" s="4">
        <v>44482</v>
      </c>
    </row>
    <row r="4307" spans="2:10">
      <c r="B4307" s="274" t="s">
        <v>8300</v>
      </c>
      <c r="C4307" s="331" t="s">
        <v>4</v>
      </c>
      <c r="D4307" s="331" t="s">
        <v>8298</v>
      </c>
      <c r="E4307" s="3">
        <v>8</v>
      </c>
      <c r="F4307" s="3">
        <v>1</v>
      </c>
      <c r="G4307" s="4">
        <v>44482</v>
      </c>
    </row>
    <row r="4308" spans="2:10">
      <c r="B4308" s="274" t="s">
        <v>8301</v>
      </c>
      <c r="C4308" s="331" t="s">
        <v>4</v>
      </c>
      <c r="D4308" s="331" t="s">
        <v>8298</v>
      </c>
      <c r="E4308" s="3">
        <v>8</v>
      </c>
      <c r="F4308" s="3">
        <v>1</v>
      </c>
      <c r="G4308" s="4">
        <v>44482</v>
      </c>
    </row>
    <row r="4309" spans="2:10">
      <c r="B4309" s="274" t="s">
        <v>8302</v>
      </c>
      <c r="C4309" s="331" t="s">
        <v>4</v>
      </c>
      <c r="D4309" s="331" t="s">
        <v>8298</v>
      </c>
      <c r="E4309" s="3">
        <v>8</v>
      </c>
      <c r="F4309" s="3">
        <v>1</v>
      </c>
      <c r="G4309" s="4">
        <v>44482</v>
      </c>
    </row>
    <row r="4310" spans="2:10">
      <c r="B4310" s="274" t="s">
        <v>8303</v>
      </c>
      <c r="C4310" s="331" t="s">
        <v>4</v>
      </c>
      <c r="D4310" s="331" t="s">
        <v>8298</v>
      </c>
      <c r="E4310" s="3">
        <v>8</v>
      </c>
      <c r="F4310" s="3">
        <v>1</v>
      </c>
      <c r="G4310" s="4">
        <v>44482</v>
      </c>
    </row>
    <row r="4311" spans="2:10">
      <c r="B4311" s="274" t="s">
        <v>8899</v>
      </c>
      <c r="C4311" s="331" t="s">
        <v>18</v>
      </c>
      <c r="D4311" s="331" t="s">
        <v>8304</v>
      </c>
      <c r="E4311" s="3">
        <v>25</v>
      </c>
      <c r="F4311" s="3">
        <f>15/4</f>
        <v>3.75</v>
      </c>
      <c r="G4311" s="4">
        <v>43888</v>
      </c>
      <c r="J4311" s="1">
        <v>1000</v>
      </c>
    </row>
    <row r="4312" spans="2:10">
      <c r="C4312" s="331" t="s">
        <v>7</v>
      </c>
      <c r="D4312" s="331" t="s">
        <v>8304</v>
      </c>
      <c r="E4312" s="3">
        <v>25</v>
      </c>
      <c r="F4312" s="3">
        <f t="shared" ref="F4312" si="14">15/4</f>
        <v>3.75</v>
      </c>
      <c r="G4312" s="4">
        <v>43287</v>
      </c>
    </row>
    <row r="4313" spans="2:10">
      <c r="C4313" s="331" t="s">
        <v>5</v>
      </c>
      <c r="D4313" s="331" t="s">
        <v>8304</v>
      </c>
      <c r="E4313" s="3">
        <v>8</v>
      </c>
      <c r="F4313" s="3">
        <v>3</v>
      </c>
      <c r="G4313" s="4">
        <v>42747</v>
      </c>
    </row>
    <row r="4314" spans="2:10">
      <c r="B4314" s="274" t="s">
        <v>8902</v>
      </c>
      <c r="C4314" s="331" t="s">
        <v>5</v>
      </c>
      <c r="D4314" s="331" t="s">
        <v>8304</v>
      </c>
      <c r="E4314" s="3">
        <v>8</v>
      </c>
      <c r="F4314" s="3">
        <f>5/4</f>
        <v>1.25</v>
      </c>
      <c r="G4314" s="4">
        <v>42747</v>
      </c>
    </row>
    <row r="4315" spans="2:10">
      <c r="B4315" s="342" t="s">
        <v>8903</v>
      </c>
      <c r="C4315" s="331" t="s">
        <v>5</v>
      </c>
      <c r="D4315" s="331" t="s">
        <v>8304</v>
      </c>
      <c r="E4315" s="3">
        <v>8</v>
      </c>
      <c r="F4315" s="3">
        <f t="shared" ref="F4315" si="15">5/4</f>
        <v>1.25</v>
      </c>
      <c r="G4315" s="4">
        <v>42747</v>
      </c>
    </row>
    <row r="4316" spans="2:10">
      <c r="C4316" s="331" t="s">
        <v>4</v>
      </c>
      <c r="D4316" s="331" t="s">
        <v>8304</v>
      </c>
      <c r="E4316" s="3">
        <v>1.9</v>
      </c>
      <c r="F4316" s="3">
        <f>0.9/3</f>
        <v>0.3</v>
      </c>
      <c r="G4316" s="4">
        <v>42185</v>
      </c>
    </row>
    <row r="4317" spans="2:10">
      <c r="B4317" s="274" t="s">
        <v>9425</v>
      </c>
      <c r="C4317" s="331" t="s">
        <v>5</v>
      </c>
      <c r="D4317" s="331" t="s">
        <v>9424</v>
      </c>
      <c r="E4317" s="3">
        <v>102.5</v>
      </c>
      <c r="F4317" s="3">
        <v>2.5</v>
      </c>
      <c r="G4317" s="4">
        <v>45260</v>
      </c>
    </row>
    <row r="4320" spans="2:10">
      <c r="B4320" s="392" t="s">
        <v>9682</v>
      </c>
      <c r="D4320" s="394" t="s">
        <v>9683</v>
      </c>
    </row>
    <row r="4321" spans="3:7">
      <c r="D4321" s="394" t="s">
        <v>9684</v>
      </c>
    </row>
    <row r="4322" spans="3:7">
      <c r="D4322" s="394" t="s">
        <v>9685</v>
      </c>
    </row>
    <row r="4323" spans="3:7">
      <c r="D4323" s="394" t="s">
        <v>9686</v>
      </c>
    </row>
    <row r="4324" spans="3:7">
      <c r="D4324" s="394" t="s">
        <v>9687</v>
      </c>
    </row>
    <row r="4325" spans="3:7">
      <c r="D4325" s="394" t="s">
        <v>9688</v>
      </c>
    </row>
    <row r="4326" spans="3:7">
      <c r="D4326" s="394" t="s">
        <v>9689</v>
      </c>
    </row>
    <row r="4327" spans="3:7">
      <c r="D4327" s="394" t="s">
        <v>9690</v>
      </c>
    </row>
    <row r="4328" spans="3:7">
      <c r="D4328" s="394" t="s">
        <v>9691</v>
      </c>
    </row>
    <row r="4329" spans="3:7">
      <c r="D4329" s="394" t="s">
        <v>9692</v>
      </c>
    </row>
    <row r="4330" spans="3:7">
      <c r="D4330" s="394" t="s">
        <v>9693</v>
      </c>
    </row>
    <row r="4331" spans="3:7">
      <c r="D4331" s="394" t="s">
        <v>9694</v>
      </c>
    </row>
    <row r="4332" spans="3:7">
      <c r="D4332" s="394" t="s">
        <v>1695</v>
      </c>
    </row>
    <row r="4333" spans="3:7">
      <c r="D4333" s="394" t="s">
        <v>9695</v>
      </c>
    </row>
    <row r="4334" spans="3:7">
      <c r="D4334" s="394" t="s">
        <v>9696</v>
      </c>
    </row>
    <row r="4335" spans="3:7">
      <c r="D4335" s="394" t="s">
        <v>9697</v>
      </c>
    </row>
    <row r="4336" spans="3:7">
      <c r="C4336" s="394" t="s">
        <v>4</v>
      </c>
      <c r="D4336" s="394" t="s">
        <v>2001</v>
      </c>
      <c r="E4336" s="3">
        <v>1.5</v>
      </c>
      <c r="F4336" s="3">
        <v>0.25</v>
      </c>
      <c r="G4336" s="4">
        <v>43424</v>
      </c>
    </row>
    <row r="4337" spans="2:7">
      <c r="D4337" s="394" t="s">
        <v>9698</v>
      </c>
    </row>
    <row r="4338" spans="2:7">
      <c r="D4338" s="394" t="s">
        <v>9699</v>
      </c>
    </row>
    <row r="4339" spans="2:7">
      <c r="D4339" s="394" t="s">
        <v>1614</v>
      </c>
    </row>
    <row r="4340" spans="2:7">
      <c r="D4340" s="394" t="s">
        <v>9701</v>
      </c>
    </row>
    <row r="4341" spans="2:7">
      <c r="D4341" s="394" t="s">
        <v>9700</v>
      </c>
    </row>
    <row r="4342" spans="2:7">
      <c r="D4342" s="394" t="s">
        <v>9702</v>
      </c>
    </row>
    <row r="4343" spans="2:7">
      <c r="D4343" s="394" t="s">
        <v>9703</v>
      </c>
    </row>
    <row r="4344" spans="2:7">
      <c r="D4344" s="394" t="s">
        <v>9704</v>
      </c>
    </row>
    <row r="4345" spans="2:7">
      <c r="D4345" s="394" t="s">
        <v>9705</v>
      </c>
    </row>
    <row r="4346" spans="2:7">
      <c r="D4346" s="394" t="s">
        <v>9706</v>
      </c>
    </row>
    <row r="4347" spans="2:7">
      <c r="D4347" s="394" t="s">
        <v>9707</v>
      </c>
    </row>
    <row r="4348" spans="2:7">
      <c r="D4348" s="394" t="s">
        <v>9708</v>
      </c>
    </row>
    <row r="4349" spans="2:7">
      <c r="D4349" s="394" t="s">
        <v>9709</v>
      </c>
    </row>
    <row r="4351" spans="2:7">
      <c r="B4351" s="392" t="s">
        <v>9678</v>
      </c>
      <c r="C4351" s="394" t="s">
        <v>5</v>
      </c>
      <c r="D4351" s="394" t="s">
        <v>2001</v>
      </c>
      <c r="E4351" s="3">
        <v>6</v>
      </c>
      <c r="F4351" s="3">
        <v>4</v>
      </c>
      <c r="G4351" s="4">
        <v>44391</v>
      </c>
    </row>
    <row r="4352" spans="2:7">
      <c r="C4352" s="394" t="s">
        <v>7</v>
      </c>
      <c r="D4352" s="394" t="s">
        <v>2001</v>
      </c>
      <c r="E4352" s="3">
        <v>6.5</v>
      </c>
      <c r="F4352" s="3">
        <v>1.5</v>
      </c>
      <c r="G4352" s="4">
        <v>45106</v>
      </c>
    </row>
    <row r="4353" spans="2:9">
      <c r="C4353" s="394"/>
      <c r="D4353" s="394"/>
      <c r="G4353" s="4"/>
    </row>
    <row r="4354" spans="2:9">
      <c r="B4354" s="392" t="s">
        <v>9710</v>
      </c>
      <c r="C4354" s="394" t="s">
        <v>7</v>
      </c>
      <c r="D4354" s="394" t="s">
        <v>2001</v>
      </c>
      <c r="E4354" s="3">
        <v>6.5</v>
      </c>
      <c r="F4354" s="3">
        <v>3.5</v>
      </c>
      <c r="G4354" s="4">
        <v>45106</v>
      </c>
    </row>
    <row r="4356" spans="2:9">
      <c r="B4356" s="392" t="s">
        <v>9718</v>
      </c>
      <c r="C4356" s="394" t="s">
        <v>5</v>
      </c>
      <c r="D4356" s="394" t="s">
        <v>9711</v>
      </c>
      <c r="E4356" s="3">
        <v>16</v>
      </c>
      <c r="F4356" s="3">
        <v>1</v>
      </c>
      <c r="G4356" s="4">
        <v>45209</v>
      </c>
    </row>
    <row r="4357" spans="2:9">
      <c r="B4357" s="392" t="s">
        <v>9720</v>
      </c>
      <c r="C4357" s="394" t="s">
        <v>5</v>
      </c>
      <c r="D4357" s="394" t="s">
        <v>9711</v>
      </c>
      <c r="E4357" s="3">
        <v>16</v>
      </c>
      <c r="F4357" s="3">
        <v>1</v>
      </c>
      <c r="G4357" s="4">
        <v>45209</v>
      </c>
    </row>
    <row r="4358" spans="2:9">
      <c r="B4358" s="392" t="s">
        <v>9721</v>
      </c>
      <c r="C4358" s="394" t="s">
        <v>5</v>
      </c>
      <c r="D4358" s="394" t="s">
        <v>9711</v>
      </c>
      <c r="E4358" s="3">
        <v>16</v>
      </c>
      <c r="F4358" s="3">
        <v>1</v>
      </c>
      <c r="G4358" s="4">
        <v>45209</v>
      </c>
      <c r="I4358" s="392" t="s">
        <v>9722</v>
      </c>
    </row>
    <row r="4359" spans="2:9">
      <c r="B4359" s="392" t="s">
        <v>9723</v>
      </c>
      <c r="C4359" s="394" t="s">
        <v>5</v>
      </c>
      <c r="D4359" s="394" t="s">
        <v>9711</v>
      </c>
      <c r="E4359" s="3">
        <v>16</v>
      </c>
      <c r="F4359" s="3">
        <v>1</v>
      </c>
      <c r="G4359" s="4">
        <v>45209</v>
      </c>
      <c r="I4359" s="392" t="s">
        <v>9724</v>
      </c>
    </row>
    <row r="4360" spans="2:9">
      <c r="B4360" s="392" t="s">
        <v>9725</v>
      </c>
      <c r="C4360" s="394" t="s">
        <v>5</v>
      </c>
      <c r="D4360" s="394" t="s">
        <v>9711</v>
      </c>
      <c r="E4360" s="3">
        <v>16</v>
      </c>
      <c r="F4360" s="3">
        <v>1</v>
      </c>
      <c r="G4360" s="4">
        <v>45209</v>
      </c>
    </row>
    <row r="4361" spans="2:9">
      <c r="B4361" s="392" t="s">
        <v>9781</v>
      </c>
      <c r="C4361" s="394" t="s">
        <v>4</v>
      </c>
      <c r="D4361" s="394" t="s">
        <v>9734</v>
      </c>
      <c r="E4361" s="3">
        <v>4</v>
      </c>
      <c r="F4361" s="3">
        <v>1</v>
      </c>
      <c r="G4361" s="4">
        <v>44827</v>
      </c>
    </row>
    <row r="4362" spans="2:9">
      <c r="B4362" s="392" t="s">
        <v>9782</v>
      </c>
      <c r="C4362" s="394" t="s">
        <v>4</v>
      </c>
      <c r="D4362" s="394" t="s">
        <v>9734</v>
      </c>
      <c r="E4362" s="3">
        <v>4</v>
      </c>
      <c r="F4362" s="3">
        <v>1</v>
      </c>
      <c r="G4362" s="4">
        <v>44827</v>
      </c>
    </row>
    <row r="4363" spans="2:9">
      <c r="B4363" s="392" t="s">
        <v>9792</v>
      </c>
      <c r="C4363" s="394" t="s">
        <v>4</v>
      </c>
      <c r="D4363" s="394" t="s">
        <v>9775</v>
      </c>
      <c r="E4363" s="3">
        <v>3.5</v>
      </c>
      <c r="F4363" s="3">
        <f>E4363/3</f>
        <v>1.1666666666666667</v>
      </c>
      <c r="G4363" s="4">
        <v>44853</v>
      </c>
    </row>
    <row r="4364" spans="2:9">
      <c r="B4364" s="392" t="s">
        <v>9793</v>
      </c>
      <c r="C4364" s="394" t="s">
        <v>4</v>
      </c>
      <c r="D4364" s="394" t="s">
        <v>9775</v>
      </c>
      <c r="E4364" s="3">
        <v>3.5</v>
      </c>
      <c r="F4364" s="3">
        <f>E4364/3</f>
        <v>1.1666666666666667</v>
      </c>
      <c r="G4364" s="4">
        <v>44853</v>
      </c>
    </row>
    <row r="4365" spans="2:9">
      <c r="B4365" s="392" t="s">
        <v>9794</v>
      </c>
      <c r="C4365" s="394" t="s">
        <v>4</v>
      </c>
      <c r="D4365" s="394" t="s">
        <v>9775</v>
      </c>
      <c r="E4365" s="3">
        <v>3.5</v>
      </c>
      <c r="F4365" s="3">
        <f t="shared" ref="F4365" si="16">E4365/3</f>
        <v>1.1666666666666667</v>
      </c>
      <c r="G4365" s="4">
        <v>44853</v>
      </c>
    </row>
    <row r="4366" spans="2:9">
      <c r="B4366" s="392" t="s">
        <v>9798</v>
      </c>
      <c r="C4366" s="394" t="s">
        <v>278</v>
      </c>
      <c r="D4366" s="394" t="s">
        <v>9775</v>
      </c>
      <c r="E4366" s="3">
        <v>6</v>
      </c>
      <c r="F4366" s="3">
        <v>1</v>
      </c>
      <c r="G4366" s="4">
        <v>44348</v>
      </c>
    </row>
    <row r="4367" spans="2:9">
      <c r="B4367" s="392" t="s">
        <v>9800</v>
      </c>
      <c r="C4367" s="394" t="s">
        <v>278</v>
      </c>
      <c r="D4367" s="394" t="s">
        <v>9775</v>
      </c>
      <c r="E4367" s="3">
        <v>6</v>
      </c>
      <c r="F4367" s="3">
        <f>4/9</f>
        <v>0.44444444444444442</v>
      </c>
      <c r="G4367" s="4">
        <v>44348</v>
      </c>
    </row>
    <row r="4368" spans="2:9">
      <c r="B4368" s="392" t="s">
        <v>9801</v>
      </c>
      <c r="C4368" s="394" t="s">
        <v>278</v>
      </c>
      <c r="D4368" s="394" t="s">
        <v>9775</v>
      </c>
      <c r="E4368" s="3">
        <v>6</v>
      </c>
      <c r="F4368" s="3">
        <f>4/9</f>
        <v>0.44444444444444442</v>
      </c>
      <c r="G4368" s="4">
        <v>44348</v>
      </c>
    </row>
    <row r="4369" spans="2:2">
      <c r="B4369" s="392" t="s">
        <v>9808</v>
      </c>
    </row>
  </sheetData>
  <sortState xmlns:xlrd2="http://schemas.microsoft.com/office/spreadsheetml/2017/richdata2" ref="A3615:S4222">
    <sortCondition descending="1" ref="F3615:F4222"/>
  </sortState>
  <hyperlinks>
    <hyperlink ref="J387" r:id="rId1" xr:uid="{A05CDC27-286A-B746-9B5F-5B1E1B4E390C}"/>
    <hyperlink ref="J388" r:id="rId2" xr:uid="{38B35697-7F24-EC4B-A57C-DE1DBE79B23B}"/>
    <hyperlink ref="A1" location="Main!A1" display="Main" xr:uid="{F31EBBCB-3380-9C42-888A-851D8D1133D4}"/>
    <hyperlink ref="J447" r:id="rId3" xr:uid="{20A0E90C-AB43-B241-92A1-573A60CE2643}"/>
    <hyperlink ref="J448" r:id="rId4" xr:uid="{26AFB997-BCB0-BB40-9711-DDC7E3D45A27}"/>
    <hyperlink ref="J449" r:id="rId5" xr:uid="{4AF1ABAC-9AA9-4348-AAD5-005639523D12}"/>
    <hyperlink ref="J450" r:id="rId6" xr:uid="{53E22B75-910D-FA42-B4F9-5BBFBBACD597}"/>
    <hyperlink ref="J451" r:id="rId7" xr:uid="{ECD11D25-991A-1547-9A89-905FC9B1101F}"/>
    <hyperlink ref="J452" r:id="rId8" xr:uid="{5B43E000-5FB6-054A-9C7A-188CFB49418C}"/>
    <hyperlink ref="J453" r:id="rId9" xr:uid="{B3933FA6-C805-CD4C-B140-692B5686FBB8}"/>
    <hyperlink ref="J454" r:id="rId10" xr:uid="{68FC11E9-3503-C64A-9749-7F0682609AF6}"/>
    <hyperlink ref="J455" r:id="rId11" xr:uid="{48B62319-5A1C-7E43-AFC3-3AE2EC2E6125}"/>
  </hyperlinks>
  <pageMargins left="0.7" right="0.7" top="0.75" bottom="0.75" header="0.3" footer="0.3"/>
  <pageSetup orientation="portrait" r:id="rId12"/>
  <legacyDrawing r:id="rId1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03A37A-A5C4-1D4C-A1C7-BF7E3A991444}">
  <dimension ref="B2:K56"/>
  <sheetViews>
    <sheetView zoomScale="150" zoomScaleNormal="150" workbookViewId="0">
      <pane xSplit="2" ySplit="5" topLeftCell="C6" activePane="bottomRight" state="frozen"/>
      <selection pane="topRight" activeCell="C1" sqref="C1"/>
      <selection pane="bottomLeft" activeCell="A6" sqref="A6"/>
      <selection pane="bottomRight" activeCell="E8" sqref="E8"/>
    </sheetView>
  </sheetViews>
  <sheetFormatPr baseColWidth="10" defaultColWidth="10.83203125" defaultRowHeight="13"/>
  <cols>
    <col min="1" max="1" width="4" style="236" customWidth="1"/>
    <col min="2" max="2" width="22.5" style="236" customWidth="1"/>
    <col min="3" max="4" width="10.83203125" style="250"/>
    <col min="5" max="5" width="14.83203125" style="236" bestFit="1" customWidth="1"/>
    <col min="6" max="6" width="22.1640625" style="236" customWidth="1"/>
    <col min="7" max="16384" width="10.83203125" style="236"/>
  </cols>
  <sheetData>
    <row r="2" spans="2:11">
      <c r="B2" s="49" t="s">
        <v>7823</v>
      </c>
    </row>
    <row r="3" spans="2:11">
      <c r="B3" s="49"/>
    </row>
    <row r="5" spans="2:11">
      <c r="B5" s="236" t="s">
        <v>3977</v>
      </c>
      <c r="C5" s="250" t="s">
        <v>1155</v>
      </c>
      <c r="D5" s="250" t="s">
        <v>7797</v>
      </c>
      <c r="E5" s="236" t="s">
        <v>7798</v>
      </c>
      <c r="F5" s="236" t="s">
        <v>7799</v>
      </c>
      <c r="G5" s="236" t="s">
        <v>7840</v>
      </c>
    </row>
    <row r="6" spans="2:11" ht="15">
      <c r="B6" s="236" t="s">
        <v>7796</v>
      </c>
      <c r="C6" s="250">
        <v>500</v>
      </c>
      <c r="D6" s="250">
        <v>217</v>
      </c>
      <c r="E6" s="236" t="s">
        <v>2062</v>
      </c>
      <c r="F6" s="261" t="s">
        <v>7800</v>
      </c>
      <c r="G6" s="44" t="s">
        <v>7841</v>
      </c>
      <c r="H6" s="236" t="s">
        <v>7842</v>
      </c>
    </row>
    <row r="7" spans="2:11">
      <c r="B7" s="236" t="s">
        <v>7830</v>
      </c>
      <c r="C7" s="250">
        <v>500</v>
      </c>
      <c r="D7" s="250">
        <v>500</v>
      </c>
      <c r="E7" s="236" t="s">
        <v>7831</v>
      </c>
      <c r="F7" s="236" t="s">
        <v>7827</v>
      </c>
      <c r="G7" s="236" t="s">
        <v>7843</v>
      </c>
    </row>
    <row r="8" spans="2:11" ht="15">
      <c r="B8" s="236" t="s">
        <v>7405</v>
      </c>
      <c r="C8" s="250">
        <v>1000</v>
      </c>
      <c r="D8" s="250" t="s">
        <v>1</v>
      </c>
      <c r="E8" s="236" t="s">
        <v>7829</v>
      </c>
      <c r="F8" s="236" t="s">
        <v>7828</v>
      </c>
      <c r="G8" s="44" t="s">
        <v>7845</v>
      </c>
      <c r="H8" s="44" t="s">
        <v>7844</v>
      </c>
      <c r="I8" s="44" t="s">
        <v>7846</v>
      </c>
      <c r="J8" s="44" t="s">
        <v>7847</v>
      </c>
      <c r="K8" s="44" t="s">
        <v>7848</v>
      </c>
    </row>
    <row r="9" spans="2:11">
      <c r="B9" s="236" t="s">
        <v>7801</v>
      </c>
      <c r="C9" s="250">
        <v>500</v>
      </c>
      <c r="D9" s="250" t="s">
        <v>1</v>
      </c>
      <c r="E9" s="236" t="s">
        <v>4</v>
      </c>
      <c r="F9" s="236" t="s">
        <v>7832</v>
      </c>
    </row>
    <row r="10" spans="2:11">
      <c r="B10" s="236" t="s">
        <v>7802</v>
      </c>
      <c r="C10" s="250">
        <v>62</v>
      </c>
      <c r="D10" s="250">
        <v>62</v>
      </c>
      <c r="E10" s="236" t="s">
        <v>7833</v>
      </c>
      <c r="F10" s="261" t="s">
        <v>7800</v>
      </c>
    </row>
    <row r="11" spans="2:11">
      <c r="B11" s="236" t="s">
        <v>339</v>
      </c>
      <c r="F11" s="236" t="s">
        <v>7834</v>
      </c>
    </row>
    <row r="12" spans="2:11">
      <c r="B12" s="236" t="s">
        <v>7825</v>
      </c>
      <c r="E12" s="236" t="s">
        <v>7836</v>
      </c>
      <c r="F12" s="236" t="s">
        <v>7835</v>
      </c>
    </row>
    <row r="13" spans="2:11" ht="15">
      <c r="B13" s="236" t="s">
        <v>7804</v>
      </c>
      <c r="F13" s="236" t="s">
        <v>7837</v>
      </c>
      <c r="G13" s="44" t="s">
        <v>7849</v>
      </c>
      <c r="H13" s="236" t="s">
        <v>7850</v>
      </c>
    </row>
    <row r="14" spans="2:11">
      <c r="B14" s="236" t="s">
        <v>7803</v>
      </c>
      <c r="F14" s="236" t="s">
        <v>7838</v>
      </c>
    </row>
    <row r="15" spans="2:11">
      <c r="B15" s="236" t="s">
        <v>1103</v>
      </c>
      <c r="F15" s="236" t="s">
        <v>7839</v>
      </c>
    </row>
    <row r="16" spans="2:11">
      <c r="B16" s="236" t="s">
        <v>7805</v>
      </c>
    </row>
    <row r="17" spans="2:6">
      <c r="B17" s="236" t="s">
        <v>10</v>
      </c>
    </row>
    <row r="18" spans="2:6">
      <c r="B18" s="236" t="s">
        <v>7806</v>
      </c>
    </row>
    <row r="19" spans="2:6">
      <c r="B19" s="236" t="s">
        <v>7824</v>
      </c>
    </row>
    <row r="20" spans="2:6">
      <c r="B20" s="236" t="s">
        <v>1001</v>
      </c>
    </row>
    <row r="21" spans="2:6">
      <c r="B21" s="236" t="s">
        <v>7807</v>
      </c>
    </row>
    <row r="22" spans="2:6">
      <c r="B22" s="236" t="s">
        <v>7808</v>
      </c>
    </row>
    <row r="23" spans="2:6">
      <c r="B23" s="236" t="s">
        <v>1053</v>
      </c>
    </row>
    <row r="24" spans="2:6">
      <c r="B24" s="236" t="s">
        <v>7809</v>
      </c>
    </row>
    <row r="25" spans="2:6">
      <c r="B25" s="236" t="s">
        <v>7810</v>
      </c>
    </row>
    <row r="26" spans="2:6">
      <c r="B26" s="236" t="s">
        <v>4395</v>
      </c>
    </row>
    <row r="27" spans="2:6">
      <c r="B27" s="236" t="s">
        <v>7811</v>
      </c>
    </row>
    <row r="28" spans="2:6">
      <c r="B28" s="236" t="s">
        <v>1130</v>
      </c>
      <c r="F28" s="269" t="s">
        <v>7942</v>
      </c>
    </row>
    <row r="29" spans="2:6">
      <c r="B29" s="236" t="s">
        <v>7812</v>
      </c>
    </row>
    <row r="30" spans="2:6">
      <c r="B30" s="236" t="s">
        <v>471</v>
      </c>
    </row>
    <row r="31" spans="2:6">
      <c r="B31" s="236" t="s">
        <v>2173</v>
      </c>
    </row>
    <row r="32" spans="2:6">
      <c r="B32" s="236" t="s">
        <v>1124</v>
      </c>
    </row>
    <row r="33" spans="2:2">
      <c r="B33" s="236" t="s">
        <v>7813</v>
      </c>
    </row>
    <row r="34" spans="2:2">
      <c r="B34" s="236" t="s">
        <v>1121</v>
      </c>
    </row>
    <row r="35" spans="2:2">
      <c r="B35" s="236" t="s">
        <v>1097</v>
      </c>
    </row>
    <row r="36" spans="2:2">
      <c r="B36" s="236" t="s">
        <v>7814</v>
      </c>
    </row>
    <row r="37" spans="2:2">
      <c r="B37" s="236" t="s">
        <v>1096</v>
      </c>
    </row>
    <row r="38" spans="2:2">
      <c r="B38" s="236" t="s">
        <v>7815</v>
      </c>
    </row>
    <row r="39" spans="2:2">
      <c r="B39" s="236" t="s">
        <v>4329</v>
      </c>
    </row>
    <row r="40" spans="2:2">
      <c r="B40" s="236" t="s">
        <v>704</v>
      </c>
    </row>
    <row r="41" spans="2:2">
      <c r="B41" s="236" t="s">
        <v>7816</v>
      </c>
    </row>
    <row r="42" spans="2:2">
      <c r="B42" s="236" t="s">
        <v>7817</v>
      </c>
    </row>
    <row r="43" spans="2:2">
      <c r="B43" s="236" t="s">
        <v>1092</v>
      </c>
    </row>
    <row r="44" spans="2:2">
      <c r="B44" s="236" t="s">
        <v>7818</v>
      </c>
    </row>
    <row r="45" spans="2:2">
      <c r="B45" s="236" t="s">
        <v>7819</v>
      </c>
    </row>
    <row r="46" spans="2:2">
      <c r="B46" s="236" t="s">
        <v>7820</v>
      </c>
    </row>
    <row r="47" spans="2:2">
      <c r="B47" s="236" t="s">
        <v>7826</v>
      </c>
    </row>
    <row r="48" spans="2:2">
      <c r="B48" s="236" t="s">
        <v>1058</v>
      </c>
    </row>
    <row r="49" spans="2:2">
      <c r="B49" s="236" t="s">
        <v>3892</v>
      </c>
    </row>
    <row r="50" spans="2:2">
      <c r="B50" s="236" t="s">
        <v>739</v>
      </c>
    </row>
    <row r="51" spans="2:2">
      <c r="B51" s="236" t="s">
        <v>7821</v>
      </c>
    </row>
    <row r="52" spans="2:2">
      <c r="B52" s="236" t="s">
        <v>1095</v>
      </c>
    </row>
    <row r="53" spans="2:2">
      <c r="B53" s="236" t="s">
        <v>7822</v>
      </c>
    </row>
    <row r="54" spans="2:2">
      <c r="B54" s="236" t="s">
        <v>774</v>
      </c>
    </row>
    <row r="55" spans="2:2">
      <c r="B55" s="236" t="s">
        <v>6398</v>
      </c>
    </row>
    <row r="56" spans="2:2">
      <c r="B56" s="236" t="s">
        <v>474</v>
      </c>
    </row>
  </sheetData>
  <hyperlinks>
    <hyperlink ref="G6" r:id="rId1" xr:uid="{635B86DE-FB8E-3149-A219-7AAF7F94CB8A}"/>
    <hyperlink ref="H8" r:id="rId2" xr:uid="{EEC4F32F-228E-9849-ABE5-8FD628974054}"/>
    <hyperlink ref="G8" r:id="rId3" xr:uid="{A47F64C5-D86D-A749-9458-02D9A138E622}"/>
    <hyperlink ref="I8" r:id="rId4" xr:uid="{F9114230-9BC6-2842-A17B-CFD18B176763}"/>
    <hyperlink ref="J8" r:id="rId5" xr:uid="{17B9FFBE-FDDB-AF4C-8443-3151ADC46287}"/>
    <hyperlink ref="K8" r:id="rId6" xr:uid="{E5B5F06F-3FAA-2240-932C-D458E083785A}"/>
    <hyperlink ref="G13" r:id="rId7" xr:uid="{9446B0D2-9E99-D543-ACF5-7F76B7F0666A}"/>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14CD1C-834B-8A4A-990B-0265C60EECF2}">
  <dimension ref="A1:Z399"/>
  <sheetViews>
    <sheetView zoomScale="160" zoomScaleNormal="160" workbookViewId="0">
      <selection activeCell="C277" sqref="C277"/>
    </sheetView>
  </sheetViews>
  <sheetFormatPr baseColWidth="10" defaultColWidth="8.83203125" defaultRowHeight="13"/>
  <cols>
    <col min="1" max="1" width="4.33203125" style="108" bestFit="1" customWidth="1"/>
    <col min="2" max="2" width="28.1640625" style="108" customWidth="1"/>
    <col min="3" max="3" width="51.5" style="108" customWidth="1"/>
    <col min="4" max="4" width="6.1640625" style="108" customWidth="1"/>
    <col min="5" max="18" width="4.6640625" style="108" customWidth="1"/>
    <col min="19" max="16384" width="8.83203125" style="108"/>
  </cols>
  <sheetData>
    <row r="1" spans="1:3">
      <c r="A1" s="25" t="s">
        <v>1165</v>
      </c>
    </row>
    <row r="2" spans="1:3">
      <c r="A2" s="25"/>
      <c r="B2" s="108" t="s">
        <v>5236</v>
      </c>
      <c r="C2" s="108" t="s">
        <v>5242</v>
      </c>
    </row>
    <row r="3" spans="1:3">
      <c r="A3" s="25"/>
      <c r="B3" s="108" t="s">
        <v>4857</v>
      </c>
      <c r="C3" s="390" t="s">
        <v>9739</v>
      </c>
    </row>
    <row r="4" spans="1:3">
      <c r="A4" s="25"/>
      <c r="B4" s="175" t="s">
        <v>6662</v>
      </c>
      <c r="C4" s="175" t="s">
        <v>6663</v>
      </c>
    </row>
    <row r="5" spans="1:3">
      <c r="A5" s="25"/>
      <c r="B5" s="108" t="s">
        <v>4238</v>
      </c>
      <c r="C5" s="108" t="s">
        <v>5926</v>
      </c>
    </row>
    <row r="6" spans="1:3">
      <c r="A6" s="25"/>
      <c r="B6" s="108" t="s">
        <v>4415</v>
      </c>
      <c r="C6" s="108" t="s">
        <v>5206</v>
      </c>
    </row>
    <row r="7" spans="1:3">
      <c r="A7" s="25"/>
      <c r="B7" s="272" t="s">
        <v>8124</v>
      </c>
      <c r="C7" s="272" t="s">
        <v>8125</v>
      </c>
    </row>
    <row r="8" spans="1:3">
      <c r="A8" s="25"/>
      <c r="B8" s="108" t="s">
        <v>4411</v>
      </c>
    </row>
    <row r="9" spans="1:3">
      <c r="A9" s="25"/>
      <c r="B9" s="108" t="s">
        <v>4262</v>
      </c>
      <c r="C9" s="108" t="s">
        <v>4263</v>
      </c>
    </row>
    <row r="10" spans="1:3">
      <c r="B10" s="108" t="s">
        <v>4166</v>
      </c>
      <c r="C10" s="108" t="s">
        <v>4165</v>
      </c>
    </row>
    <row r="11" spans="1:3">
      <c r="B11" s="108" t="s">
        <v>5191</v>
      </c>
      <c r="C11" s="108" t="s">
        <v>5192</v>
      </c>
    </row>
    <row r="12" spans="1:3">
      <c r="B12" s="108" t="s">
        <v>4164</v>
      </c>
      <c r="C12" s="108" t="s">
        <v>4163</v>
      </c>
    </row>
    <row r="13" spans="1:3">
      <c r="B13" s="108" t="s">
        <v>4428</v>
      </c>
      <c r="C13" s="108" t="s">
        <v>4447</v>
      </c>
    </row>
    <row r="14" spans="1:3">
      <c r="B14" s="108" t="s">
        <v>4160</v>
      </c>
      <c r="C14" s="108" t="s">
        <v>4159</v>
      </c>
    </row>
    <row r="15" spans="1:3">
      <c r="B15" s="108" t="s">
        <v>4833</v>
      </c>
    </row>
    <row r="16" spans="1:3">
      <c r="B16" s="108" t="s">
        <v>4156</v>
      </c>
      <c r="C16" s="108" t="s">
        <v>4155</v>
      </c>
    </row>
    <row r="17" spans="2:3">
      <c r="B17" s="108" t="s">
        <v>4642</v>
      </c>
      <c r="C17" s="108" t="s">
        <v>6095</v>
      </c>
    </row>
    <row r="18" spans="2:3">
      <c r="B18" s="108" t="s">
        <v>4409</v>
      </c>
    </row>
    <row r="19" spans="2:3">
      <c r="B19" s="108" t="s">
        <v>6329</v>
      </c>
    </row>
    <row r="20" spans="2:3">
      <c r="B20" s="43" t="s">
        <v>4643</v>
      </c>
      <c r="C20" s="43" t="s">
        <v>9743</v>
      </c>
    </row>
    <row r="21" spans="2:3">
      <c r="B21" s="108" t="s">
        <v>4150</v>
      </c>
      <c r="C21" s="108" t="s">
        <v>4149</v>
      </c>
    </row>
    <row r="22" spans="2:3">
      <c r="B22" s="108" t="s">
        <v>4147</v>
      </c>
    </row>
    <row r="23" spans="2:3">
      <c r="B23" s="108" t="s">
        <v>5255</v>
      </c>
    </row>
    <row r="24" spans="2:3">
      <c r="B24" s="378" t="s">
        <v>9592</v>
      </c>
      <c r="C24" s="378" t="s">
        <v>9593</v>
      </c>
    </row>
    <row r="25" spans="2:3">
      <c r="B25" s="108" t="s">
        <v>4144</v>
      </c>
      <c r="C25" s="272" t="s">
        <v>5372</v>
      </c>
    </row>
    <row r="26" spans="2:3">
      <c r="B26" s="108" t="s">
        <v>4234</v>
      </c>
    </row>
    <row r="27" spans="2:3">
      <c r="B27" s="272" t="s">
        <v>8026</v>
      </c>
      <c r="C27" s="272" t="s">
        <v>8027</v>
      </c>
    </row>
    <row r="28" spans="2:3">
      <c r="B28" s="108" t="s">
        <v>4141</v>
      </c>
      <c r="C28" s="108" t="s">
        <v>4140</v>
      </c>
    </row>
    <row r="29" spans="2:3">
      <c r="B29" s="108" t="s">
        <v>4260</v>
      </c>
      <c r="C29" s="108" t="s">
        <v>4261</v>
      </c>
    </row>
    <row r="30" spans="2:3">
      <c r="B30" s="108" t="s">
        <v>4139</v>
      </c>
      <c r="C30" s="108" t="s">
        <v>3996</v>
      </c>
    </row>
    <row r="31" spans="2:3">
      <c r="B31" s="205" t="s">
        <v>7199</v>
      </c>
      <c r="C31" s="205" t="s">
        <v>7200</v>
      </c>
    </row>
    <row r="32" spans="2:3">
      <c r="B32" s="378" t="s">
        <v>9473</v>
      </c>
      <c r="C32" s="378" t="s">
        <v>9474</v>
      </c>
    </row>
    <row r="33" spans="2:3">
      <c r="B33" s="108" t="s">
        <v>6113</v>
      </c>
      <c r="C33" s="108" t="s">
        <v>6114</v>
      </c>
    </row>
    <row r="34" spans="2:3">
      <c r="B34" s="378" t="s">
        <v>9483</v>
      </c>
      <c r="C34" s="378" t="s">
        <v>9484</v>
      </c>
    </row>
    <row r="35" spans="2:3">
      <c r="B35" s="108" t="s">
        <v>5945</v>
      </c>
      <c r="C35" s="108" t="s">
        <v>5946</v>
      </c>
    </row>
    <row r="36" spans="2:3">
      <c r="B36" s="108" t="s">
        <v>6098</v>
      </c>
      <c r="C36" s="108" t="s">
        <v>6097</v>
      </c>
    </row>
    <row r="37" spans="2:3">
      <c r="B37" s="108" t="s">
        <v>4136</v>
      </c>
      <c r="C37" s="108" t="s">
        <v>3996</v>
      </c>
    </row>
    <row r="38" spans="2:3">
      <c r="B38" s="108" t="s">
        <v>4134</v>
      </c>
      <c r="C38" s="108" t="s">
        <v>4133</v>
      </c>
    </row>
    <row r="39" spans="2:3">
      <c r="B39" s="108" t="s">
        <v>6099</v>
      </c>
    </row>
    <row r="40" spans="2:3">
      <c r="B40" s="108" t="s">
        <v>6100</v>
      </c>
      <c r="C40" s="108" t="s">
        <v>6097</v>
      </c>
    </row>
    <row r="41" spans="2:3">
      <c r="B41" s="175" t="s">
        <v>6963</v>
      </c>
      <c r="C41" s="175" t="s">
        <v>6964</v>
      </c>
    </row>
    <row r="42" spans="2:3">
      <c r="B42" s="108" t="s">
        <v>4131</v>
      </c>
      <c r="C42" s="272" t="s">
        <v>4641</v>
      </c>
    </row>
    <row r="43" spans="2:3">
      <c r="B43" s="108" t="s">
        <v>3850</v>
      </c>
      <c r="C43" s="108" t="s">
        <v>6328</v>
      </c>
    </row>
    <row r="44" spans="2:3">
      <c r="B44" s="378" t="s">
        <v>9475</v>
      </c>
      <c r="C44" s="378" t="s">
        <v>9476</v>
      </c>
    </row>
    <row r="45" spans="2:3">
      <c r="B45" s="175" t="s">
        <v>6969</v>
      </c>
      <c r="C45" s="175" t="s">
        <v>6970</v>
      </c>
    </row>
    <row r="46" spans="2:3">
      <c r="B46" s="108" t="s">
        <v>5313</v>
      </c>
      <c r="C46" s="108" t="s">
        <v>5314</v>
      </c>
    </row>
    <row r="47" spans="2:3">
      <c r="B47" s="175" t="s">
        <v>6734</v>
      </c>
      <c r="C47" s="175" t="s">
        <v>5946</v>
      </c>
    </row>
    <row r="48" spans="2:3">
      <c r="B48" s="378" t="s">
        <v>9467</v>
      </c>
      <c r="C48" s="378" t="s">
        <v>9468</v>
      </c>
    </row>
    <row r="49" spans="2:3">
      <c r="B49" s="175" t="s">
        <v>7093</v>
      </c>
      <c r="C49" s="175" t="s">
        <v>7094</v>
      </c>
    </row>
    <row r="50" spans="2:3">
      <c r="B50" s="108" t="s">
        <v>5930</v>
      </c>
      <c r="C50" s="108" t="s">
        <v>5931</v>
      </c>
    </row>
    <row r="51" spans="2:3">
      <c r="B51" s="108" t="s">
        <v>4129</v>
      </c>
    </row>
    <row r="52" spans="2:3">
      <c r="B52" s="108" t="s">
        <v>4126</v>
      </c>
      <c r="C52" s="108" t="s">
        <v>4125</v>
      </c>
    </row>
    <row r="53" spans="2:3">
      <c r="B53" s="108" t="s">
        <v>5932</v>
      </c>
      <c r="C53" s="108" t="s">
        <v>5933</v>
      </c>
    </row>
    <row r="54" spans="2:3">
      <c r="B54" s="108" t="s">
        <v>4403</v>
      </c>
    </row>
    <row r="55" spans="2:3">
      <c r="B55" s="108" t="s">
        <v>6109</v>
      </c>
    </row>
    <row r="56" spans="2:3">
      <c r="B56" s="108" t="s">
        <v>5251</v>
      </c>
    </row>
    <row r="57" spans="2:3">
      <c r="B57" s="43" t="s">
        <v>4123</v>
      </c>
      <c r="C57" s="390" t="s">
        <v>9666</v>
      </c>
    </row>
    <row r="58" spans="2:3">
      <c r="B58" s="272" t="s">
        <v>9441</v>
      </c>
      <c r="C58" s="272" t="s">
        <v>9442</v>
      </c>
    </row>
    <row r="59" spans="2:3">
      <c r="B59" s="412" t="s">
        <v>10748</v>
      </c>
      <c r="C59" s="412" t="s">
        <v>10749</v>
      </c>
    </row>
    <row r="60" spans="2:3">
      <c r="B60" s="108" t="s">
        <v>4122</v>
      </c>
      <c r="C60" s="108" t="s">
        <v>4121</v>
      </c>
    </row>
    <row r="61" spans="2:3">
      <c r="B61" s="108" t="s">
        <v>4119</v>
      </c>
    </row>
    <row r="62" spans="2:3">
      <c r="B62" s="390" t="s">
        <v>9671</v>
      </c>
      <c r="C62" s="390" t="s">
        <v>9672</v>
      </c>
    </row>
    <row r="63" spans="2:3">
      <c r="B63" s="108" t="s">
        <v>4438</v>
      </c>
      <c r="C63" s="108" t="s">
        <v>4890</v>
      </c>
    </row>
    <row r="64" spans="2:3">
      <c r="B64" s="108" t="s">
        <v>4116</v>
      </c>
      <c r="C64" s="108" t="s">
        <v>4115</v>
      </c>
    </row>
    <row r="65" spans="2:3">
      <c r="B65" s="108" t="s">
        <v>4430</v>
      </c>
    </row>
    <row r="66" spans="2:3">
      <c r="B66" s="108" t="s">
        <v>4233</v>
      </c>
    </row>
    <row r="67" spans="2:3">
      <c r="B67" s="205" t="s">
        <v>7201</v>
      </c>
      <c r="C67" s="205" t="s">
        <v>7202</v>
      </c>
    </row>
    <row r="68" spans="2:3">
      <c r="B68" s="108" t="s">
        <v>6326</v>
      </c>
      <c r="C68" s="108" t="s">
        <v>6327</v>
      </c>
    </row>
    <row r="69" spans="2:3">
      <c r="B69" s="389" t="s">
        <v>9655</v>
      </c>
      <c r="C69" s="389" t="s">
        <v>9656</v>
      </c>
    </row>
    <row r="70" spans="2:3">
      <c r="B70" s="390" t="s">
        <v>9658</v>
      </c>
      <c r="C70" s="390" t="s">
        <v>9659</v>
      </c>
    </row>
    <row r="71" spans="2:3">
      <c r="B71" s="108" t="s">
        <v>4112</v>
      </c>
      <c r="C71" s="108" t="s">
        <v>4446</v>
      </c>
    </row>
    <row r="72" spans="2:3">
      <c r="B72" s="108" t="s">
        <v>4435</v>
      </c>
      <c r="C72" s="108" t="s">
        <v>4436</v>
      </c>
    </row>
    <row r="73" spans="2:3">
      <c r="B73" s="108" t="s">
        <v>4109</v>
      </c>
      <c r="C73" s="108" t="s">
        <v>4108</v>
      </c>
    </row>
    <row r="74" spans="2:3">
      <c r="B74" s="108" t="s">
        <v>5937</v>
      </c>
      <c r="C74" s="108" t="s">
        <v>5938</v>
      </c>
    </row>
    <row r="75" spans="2:3" ht="56">
      <c r="B75" s="108" t="s">
        <v>4449</v>
      </c>
      <c r="C75" s="258" t="s">
        <v>7772</v>
      </c>
    </row>
    <row r="76" spans="2:3">
      <c r="B76" s="108" t="s">
        <v>4106</v>
      </c>
    </row>
    <row r="77" spans="2:3">
      <c r="B77" s="205" t="s">
        <v>7126</v>
      </c>
      <c r="C77" s="205" t="s">
        <v>7127</v>
      </c>
    </row>
    <row r="78" spans="2:3">
      <c r="B78" s="390" t="s">
        <v>9747</v>
      </c>
      <c r="C78" s="390" t="s">
        <v>9748</v>
      </c>
    </row>
    <row r="79" spans="2:3">
      <c r="B79" s="390" t="s">
        <v>9745</v>
      </c>
      <c r="C79" s="390" t="s">
        <v>9743</v>
      </c>
    </row>
    <row r="80" spans="2:3" ht="28" customHeight="1">
      <c r="B80" s="108" t="s">
        <v>4104</v>
      </c>
      <c r="C80" s="258" t="s">
        <v>4103</v>
      </c>
    </row>
    <row r="81" spans="2:3">
      <c r="B81" s="108" t="s">
        <v>5269</v>
      </c>
      <c r="C81" s="108" t="s">
        <v>5270</v>
      </c>
    </row>
    <row r="82" spans="2:3" ht="148" customHeight="1">
      <c r="B82" s="43" t="s">
        <v>4245</v>
      </c>
      <c r="C82" s="308" t="s">
        <v>8123</v>
      </c>
    </row>
    <row r="83" spans="2:3" ht="14">
      <c r="B83" s="43" t="s">
        <v>7773</v>
      </c>
      <c r="C83" s="258" t="s">
        <v>7774</v>
      </c>
    </row>
    <row r="84" spans="2:3">
      <c r="B84" s="108" t="s">
        <v>5197</v>
      </c>
      <c r="C84" s="245" t="s">
        <v>7768</v>
      </c>
    </row>
    <row r="85" spans="2:3" ht="40" customHeight="1">
      <c r="B85" s="175" t="s">
        <v>6971</v>
      </c>
      <c r="C85" s="258" t="s">
        <v>7769</v>
      </c>
    </row>
    <row r="86" spans="2:3" ht="14">
      <c r="B86" s="378" t="s">
        <v>9463</v>
      </c>
      <c r="C86" s="379" t="s">
        <v>9464</v>
      </c>
    </row>
    <row r="87" spans="2:3">
      <c r="B87" s="108" t="s">
        <v>5943</v>
      </c>
      <c r="C87" s="108" t="s">
        <v>5944</v>
      </c>
    </row>
    <row r="88" spans="2:3" ht="42">
      <c r="B88" s="108" t="s">
        <v>5934</v>
      </c>
      <c r="C88" s="229" t="s">
        <v>5935</v>
      </c>
    </row>
    <row r="89" spans="2:3">
      <c r="B89" s="108" t="s">
        <v>5252</v>
      </c>
    </row>
    <row r="90" spans="2:3">
      <c r="B90" s="108" t="s">
        <v>1250</v>
      </c>
      <c r="C90" s="108" t="s">
        <v>4248</v>
      </c>
    </row>
    <row r="91" spans="2:3">
      <c r="B91" s="108" t="s">
        <v>4410</v>
      </c>
      <c r="C91" s="272" t="s">
        <v>8023</v>
      </c>
    </row>
    <row r="92" spans="2:3">
      <c r="B92" s="175" t="s">
        <v>7112</v>
      </c>
      <c r="C92" s="245" t="s">
        <v>7775</v>
      </c>
    </row>
    <row r="93" spans="2:3">
      <c r="B93" s="108" t="s">
        <v>4422</v>
      </c>
    </row>
    <row r="94" spans="2:3">
      <c r="B94" s="108" t="s">
        <v>5377</v>
      </c>
    </row>
    <row r="95" spans="2:3">
      <c r="B95" s="108" t="s">
        <v>4100</v>
      </c>
      <c r="C95" s="108" t="s">
        <v>4099</v>
      </c>
    </row>
    <row r="96" spans="2:3">
      <c r="B96" s="175" t="s">
        <v>7115</v>
      </c>
      <c r="C96" s="175" t="s">
        <v>7116</v>
      </c>
    </row>
    <row r="97" spans="2:3">
      <c r="B97" s="108" t="s">
        <v>4096</v>
      </c>
      <c r="C97" s="108" t="s">
        <v>4445</v>
      </c>
    </row>
    <row r="98" spans="2:3">
      <c r="B98" s="108" t="s">
        <v>4408</v>
      </c>
    </row>
    <row r="99" spans="2:3">
      <c r="B99" s="159" t="s">
        <v>6587</v>
      </c>
      <c r="C99" s="159" t="s">
        <v>6588</v>
      </c>
    </row>
    <row r="100" spans="2:3">
      <c r="B100" s="108" t="s">
        <v>5263</v>
      </c>
      <c r="C100" s="108" t="s">
        <v>5264</v>
      </c>
    </row>
    <row r="101" spans="2:3">
      <c r="B101" s="108" t="s">
        <v>4093</v>
      </c>
      <c r="C101" s="108" t="s">
        <v>4092</v>
      </c>
    </row>
    <row r="102" spans="2:3">
      <c r="B102" s="205" t="s">
        <v>7135</v>
      </c>
      <c r="C102" s="205" t="s">
        <v>7136</v>
      </c>
    </row>
    <row r="103" spans="2:3">
      <c r="B103" s="175" t="s">
        <v>6982</v>
      </c>
      <c r="C103" s="175" t="s">
        <v>6983</v>
      </c>
    </row>
    <row r="104" spans="2:3">
      <c r="B104" s="108" t="s">
        <v>5187</v>
      </c>
      <c r="C104" s="108" t="s">
        <v>5188</v>
      </c>
    </row>
    <row r="105" spans="2:3">
      <c r="B105" s="272" t="s">
        <v>9443</v>
      </c>
      <c r="C105" s="272" t="s">
        <v>9444</v>
      </c>
    </row>
    <row r="106" spans="2:3">
      <c r="B106" s="108" t="s">
        <v>5259</v>
      </c>
      <c r="C106" s="108" t="s">
        <v>5260</v>
      </c>
    </row>
    <row r="107" spans="2:3">
      <c r="B107" s="108" t="s">
        <v>5204</v>
      </c>
      <c r="C107" s="108" t="s">
        <v>5238</v>
      </c>
    </row>
    <row r="108" spans="2:3">
      <c r="B108" s="108" t="s">
        <v>5205</v>
      </c>
    </row>
    <row r="109" spans="2:3">
      <c r="B109" s="108" t="s">
        <v>5271</v>
      </c>
      <c r="C109" s="108" t="s">
        <v>5272</v>
      </c>
    </row>
    <row r="110" spans="2:3">
      <c r="B110" s="108" t="s">
        <v>4442</v>
      </c>
      <c r="C110" s="108" t="s">
        <v>4443</v>
      </c>
    </row>
    <row r="111" spans="2:3">
      <c r="B111" s="108" t="s">
        <v>4091</v>
      </c>
      <c r="C111" s="390" t="s">
        <v>9790</v>
      </c>
    </row>
    <row r="112" spans="2:3">
      <c r="B112" s="245" t="s">
        <v>7658</v>
      </c>
    </row>
    <row r="113" spans="2:3">
      <c r="B113" s="205" t="s">
        <v>7182</v>
      </c>
      <c r="C113" s="205" t="s">
        <v>7183</v>
      </c>
    </row>
    <row r="114" spans="2:3">
      <c r="B114" s="108" t="s">
        <v>4090</v>
      </c>
    </row>
    <row r="115" spans="2:3">
      <c r="B115" s="245" t="s">
        <v>7638</v>
      </c>
      <c r="C115" s="245" t="s">
        <v>7639</v>
      </c>
    </row>
    <row r="116" spans="2:3">
      <c r="B116" s="108" t="s">
        <v>4640</v>
      </c>
    </row>
    <row r="117" spans="2:3">
      <c r="B117" s="205" t="s">
        <v>7178</v>
      </c>
      <c r="C117" s="205" t="s">
        <v>7179</v>
      </c>
    </row>
    <row r="118" spans="2:3">
      <c r="B118" s="390" t="s">
        <v>9749</v>
      </c>
      <c r="C118" s="390" t="s">
        <v>9750</v>
      </c>
    </row>
    <row r="119" spans="2:3">
      <c r="B119" s="378" t="s">
        <v>9469</v>
      </c>
      <c r="C119" s="378" t="s">
        <v>9470</v>
      </c>
    </row>
    <row r="120" spans="2:3">
      <c r="B120" s="108" t="s">
        <v>4432</v>
      </c>
    </row>
    <row r="121" spans="2:3">
      <c r="B121" s="108" t="s">
        <v>4089</v>
      </c>
    </row>
    <row r="122" spans="2:3">
      <c r="B122" s="108" t="s">
        <v>4088</v>
      </c>
      <c r="C122" s="108" t="s">
        <v>4087</v>
      </c>
    </row>
    <row r="123" spans="2:3">
      <c r="B123" s="270" t="s">
        <v>7947</v>
      </c>
    </row>
    <row r="124" spans="2:3">
      <c r="B124" s="108" t="s">
        <v>4250</v>
      </c>
      <c r="C124" s="108" t="s">
        <v>4251</v>
      </c>
    </row>
    <row r="125" spans="2:3">
      <c r="B125" s="108" t="s">
        <v>4086</v>
      </c>
      <c r="C125" s="108" t="s">
        <v>4085</v>
      </c>
    </row>
    <row r="126" spans="2:3">
      <c r="B126" s="108" t="s">
        <v>5258</v>
      </c>
    </row>
    <row r="127" spans="2:3">
      <c r="B127" s="108" t="s">
        <v>4084</v>
      </c>
      <c r="C127" s="108" t="s">
        <v>5373</v>
      </c>
    </row>
    <row r="128" spans="2:3">
      <c r="B128" s="108" t="s">
        <v>4083</v>
      </c>
    </row>
    <row r="129" spans="2:3">
      <c r="B129" s="108" t="s">
        <v>4082</v>
      </c>
      <c r="C129" s="108" t="s">
        <v>4081</v>
      </c>
    </row>
    <row r="130" spans="2:3">
      <c r="B130" s="175" t="s">
        <v>7095</v>
      </c>
      <c r="C130" s="175" t="s">
        <v>7096</v>
      </c>
    </row>
    <row r="131" spans="2:3">
      <c r="B131" s="108" t="s">
        <v>4080</v>
      </c>
      <c r="C131" s="108" t="s">
        <v>4079</v>
      </c>
    </row>
    <row r="132" spans="2:3">
      <c r="B132" s="108" t="s">
        <v>4078</v>
      </c>
      <c r="C132" s="108" t="s">
        <v>4077</v>
      </c>
    </row>
    <row r="133" spans="2:3">
      <c r="B133" s="390" t="s">
        <v>9661</v>
      </c>
      <c r="C133" s="390" t="s">
        <v>9662</v>
      </c>
    </row>
    <row r="134" spans="2:3">
      <c r="B134" s="272" t="s">
        <v>8216</v>
      </c>
      <c r="C134" s="390" t="s">
        <v>9669</v>
      </c>
    </row>
    <row r="135" spans="2:3">
      <c r="B135" s="108" t="s">
        <v>4076</v>
      </c>
      <c r="C135" s="245" t="s">
        <v>7764</v>
      </c>
    </row>
    <row r="136" spans="2:3">
      <c r="B136" s="390" t="s">
        <v>9738</v>
      </c>
      <c r="C136" s="390" t="s">
        <v>9742</v>
      </c>
    </row>
    <row r="137" spans="2:3">
      <c r="B137" s="272" t="s">
        <v>8217</v>
      </c>
      <c r="C137" s="272" t="s">
        <v>8218</v>
      </c>
    </row>
    <row r="138" spans="2:3">
      <c r="B138" s="108" t="s">
        <v>5660</v>
      </c>
      <c r="C138" s="108" t="s">
        <v>5936</v>
      </c>
    </row>
    <row r="139" spans="2:3">
      <c r="B139" s="108" t="s">
        <v>5256</v>
      </c>
    </row>
    <row r="140" spans="2:3">
      <c r="B140" s="108" t="s">
        <v>4075</v>
      </c>
      <c r="C140" s="272" t="s">
        <v>8132</v>
      </c>
    </row>
    <row r="141" spans="2:3">
      <c r="B141" s="108" t="s">
        <v>5248</v>
      </c>
    </row>
    <row r="142" spans="2:3">
      <c r="B142" s="272" t="s">
        <v>8009</v>
      </c>
      <c r="C142" s="272" t="s">
        <v>8017</v>
      </c>
    </row>
    <row r="143" spans="2:3">
      <c r="B143" s="108" t="s">
        <v>4074</v>
      </c>
      <c r="C143" s="108" t="s">
        <v>4073</v>
      </c>
    </row>
    <row r="144" spans="2:3">
      <c r="B144" s="108" t="s">
        <v>4431</v>
      </c>
    </row>
    <row r="145" spans="2:3">
      <c r="B145" s="245" t="s">
        <v>7762</v>
      </c>
    </row>
    <row r="146" spans="2:3">
      <c r="B146" s="205" t="s">
        <v>7133</v>
      </c>
      <c r="C146" s="205" t="s">
        <v>7134</v>
      </c>
    </row>
    <row r="147" spans="2:3">
      <c r="B147" s="108" t="s">
        <v>4853</v>
      </c>
      <c r="C147" s="108" t="s">
        <v>4854</v>
      </c>
    </row>
    <row r="148" spans="2:3">
      <c r="B148" s="205" t="s">
        <v>7189</v>
      </c>
    </row>
    <row r="149" spans="2:3">
      <c r="B149" s="108" t="s">
        <v>5196</v>
      </c>
      <c r="C149" s="108" t="s">
        <v>5240</v>
      </c>
    </row>
    <row r="150" spans="2:3">
      <c r="B150" s="108" t="s">
        <v>5209</v>
      </c>
      <c r="C150" s="108" t="s">
        <v>5210</v>
      </c>
    </row>
    <row r="151" spans="2:3">
      <c r="B151" s="108" t="s">
        <v>926</v>
      </c>
      <c r="C151" s="108" t="s">
        <v>4425</v>
      </c>
    </row>
    <row r="152" spans="2:3">
      <c r="B152" s="108" t="s">
        <v>4862</v>
      </c>
      <c r="C152" s="272" t="s">
        <v>8021</v>
      </c>
    </row>
    <row r="153" spans="2:3">
      <c r="B153" s="108" t="s">
        <v>4424</v>
      </c>
      <c r="C153" s="245" t="s">
        <v>7757</v>
      </c>
    </row>
    <row r="154" spans="2:3">
      <c r="B154" s="175" t="s">
        <v>6975</v>
      </c>
      <c r="C154" s="175" t="s">
        <v>6976</v>
      </c>
    </row>
    <row r="155" spans="2:3">
      <c r="B155" s="108" t="s">
        <v>6105</v>
      </c>
      <c r="C155" s="108" t="s">
        <v>6115</v>
      </c>
    </row>
    <row r="156" spans="2:3">
      <c r="B156" s="108" t="s">
        <v>4242</v>
      </c>
      <c r="C156" s="390" t="s">
        <v>9673</v>
      </c>
    </row>
    <row r="157" spans="2:3">
      <c r="B157" s="390" t="s">
        <v>7675</v>
      </c>
      <c r="C157" s="390"/>
    </row>
    <row r="158" spans="2:3">
      <c r="B158" s="159" t="s">
        <v>6593</v>
      </c>
      <c r="C158" s="159" t="s">
        <v>6594</v>
      </c>
    </row>
    <row r="159" spans="2:3">
      <c r="B159" s="108" t="s">
        <v>6303</v>
      </c>
      <c r="C159" s="108" t="s">
        <v>6304</v>
      </c>
    </row>
    <row r="160" spans="2:3">
      <c r="B160" s="108" t="s">
        <v>5181</v>
      </c>
      <c r="C160" s="108" t="s">
        <v>5182</v>
      </c>
    </row>
    <row r="161" spans="2:3">
      <c r="B161" s="272" t="s">
        <v>8214</v>
      </c>
      <c r="C161" s="390" t="s">
        <v>9657</v>
      </c>
    </row>
    <row r="162" spans="2:3">
      <c r="B162" s="108" t="s">
        <v>4437</v>
      </c>
      <c r="C162" s="205" t="s">
        <v>7132</v>
      </c>
    </row>
    <row r="163" spans="2:3">
      <c r="B163" s="175" t="s">
        <v>7089</v>
      </c>
      <c r="C163" s="175" t="s">
        <v>7090</v>
      </c>
    </row>
    <row r="164" spans="2:3">
      <c r="B164" s="245" t="s">
        <v>7777</v>
      </c>
      <c r="C164" s="245" t="s">
        <v>7778</v>
      </c>
    </row>
    <row r="165" spans="2:3" ht="16">
      <c r="B165"/>
    </row>
    <row r="166" spans="2:3" ht="16">
      <c r="B166"/>
    </row>
    <row r="167" spans="2:3" ht="16">
      <c r="B167"/>
    </row>
    <row r="168" spans="2:3" ht="16">
      <c r="B168"/>
    </row>
    <row r="169" spans="2:3">
      <c r="B169" s="108" t="s">
        <v>6103</v>
      </c>
      <c r="C169" s="108" t="s">
        <v>6104</v>
      </c>
    </row>
    <row r="170" spans="2:3">
      <c r="B170" s="108" t="s">
        <v>4232</v>
      </c>
    </row>
    <row r="171" spans="2:3">
      <c r="B171" s="245" t="s">
        <v>7659</v>
      </c>
    </row>
    <row r="172" spans="2:3">
      <c r="B172" s="108" t="s">
        <v>5265</v>
      </c>
      <c r="C172" s="108" t="s">
        <v>5266</v>
      </c>
    </row>
    <row r="173" spans="2:3">
      <c r="B173" s="245" t="s">
        <v>7770</v>
      </c>
      <c r="C173" s="245" t="s">
        <v>7771</v>
      </c>
    </row>
    <row r="174" spans="2:3">
      <c r="B174" s="108" t="s">
        <v>4072</v>
      </c>
      <c r="C174" s="108" t="s">
        <v>4071</v>
      </c>
    </row>
    <row r="175" spans="2:3">
      <c r="B175" s="108" t="s">
        <v>4070</v>
      </c>
    </row>
    <row r="176" spans="2:3">
      <c r="B176" s="108" t="s">
        <v>4069</v>
      </c>
      <c r="C176" s="108" t="s">
        <v>4068</v>
      </c>
    </row>
    <row r="177" spans="2:3">
      <c r="B177" s="108" t="s">
        <v>4423</v>
      </c>
    </row>
    <row r="178" spans="2:3">
      <c r="B178" s="108" t="s">
        <v>4416</v>
      </c>
      <c r="C178" s="245" t="s">
        <v>7755</v>
      </c>
    </row>
    <row r="179" spans="2:3">
      <c r="B179" s="108" t="s">
        <v>4067</v>
      </c>
      <c r="C179" s="108" t="s">
        <v>4066</v>
      </c>
    </row>
    <row r="180" spans="2:3">
      <c r="B180" s="108" t="s">
        <v>4065</v>
      </c>
      <c r="C180" s="108" t="s">
        <v>4064</v>
      </c>
    </row>
    <row r="181" spans="2:3">
      <c r="B181" s="108" t="s">
        <v>5199</v>
      </c>
    </row>
    <row r="182" spans="2:3">
      <c r="B182" s="390" t="s">
        <v>9667</v>
      </c>
    </row>
    <row r="183" spans="2:3">
      <c r="B183" s="245" t="s">
        <v>7756</v>
      </c>
    </row>
    <row r="184" spans="2:3">
      <c r="B184" s="108" t="s">
        <v>4063</v>
      </c>
      <c r="C184" s="108" t="s">
        <v>6005</v>
      </c>
    </row>
    <row r="185" spans="2:3">
      <c r="B185" s="212" t="s">
        <v>7304</v>
      </c>
      <c r="C185" s="212" t="s">
        <v>7305</v>
      </c>
    </row>
    <row r="186" spans="2:3">
      <c r="B186" s="108" t="s">
        <v>5200</v>
      </c>
    </row>
    <row r="187" spans="2:3">
      <c r="B187" s="108" t="s">
        <v>6110</v>
      </c>
    </row>
    <row r="188" spans="2:3">
      <c r="B188" s="205" t="s">
        <v>7205</v>
      </c>
      <c r="C188" s="205" t="s">
        <v>7206</v>
      </c>
    </row>
    <row r="189" spans="2:3">
      <c r="B189" s="205" t="s">
        <v>7306</v>
      </c>
      <c r="C189" s="205" t="s">
        <v>7307</v>
      </c>
    </row>
    <row r="190" spans="2:3">
      <c r="B190" s="205" t="s">
        <v>7308</v>
      </c>
      <c r="C190" s="205" t="s">
        <v>7309</v>
      </c>
    </row>
    <row r="191" spans="2:3">
      <c r="B191" s="108" t="s">
        <v>4062</v>
      </c>
      <c r="C191" s="108" t="s">
        <v>4897</v>
      </c>
    </row>
    <row r="192" spans="2:3">
      <c r="B192" s="108" t="s">
        <v>4061</v>
      </c>
    </row>
    <row r="193" spans="2:4">
      <c r="B193" s="108" t="s">
        <v>4060</v>
      </c>
      <c r="C193" s="390" t="s">
        <v>9670</v>
      </c>
    </row>
    <row r="194" spans="2:4" ht="18">
      <c r="C194" s="273" t="s">
        <v>8011</v>
      </c>
      <c r="D194" s="272" t="s">
        <v>8010</v>
      </c>
    </row>
    <row r="195" spans="2:4" ht="18">
      <c r="C195" s="273" t="s">
        <v>8012</v>
      </c>
      <c r="D195" s="272" t="s">
        <v>8010</v>
      </c>
    </row>
    <row r="196" spans="2:4" ht="18">
      <c r="C196" s="273" t="s">
        <v>8013</v>
      </c>
      <c r="D196" s="272" t="s">
        <v>8015</v>
      </c>
    </row>
    <row r="197" spans="2:4" ht="18">
      <c r="C197" s="273" t="s">
        <v>8014</v>
      </c>
      <c r="D197" s="272" t="s">
        <v>8010</v>
      </c>
    </row>
    <row r="198" spans="2:4" ht="18">
      <c r="C198" s="273" t="s">
        <v>8018</v>
      </c>
      <c r="D198" s="272" t="s">
        <v>8016</v>
      </c>
    </row>
    <row r="199" spans="2:4" ht="18">
      <c r="C199" s="273" t="s">
        <v>8019</v>
      </c>
      <c r="D199" s="272"/>
    </row>
    <row r="200" spans="2:4">
      <c r="B200" s="412" t="s">
        <v>10751</v>
      </c>
      <c r="C200" s="413" t="s">
        <v>10752</v>
      </c>
      <c r="D200" s="272"/>
    </row>
    <row r="201" spans="2:4">
      <c r="B201" s="43" t="s">
        <v>4059</v>
      </c>
      <c r="C201" s="43" t="s">
        <v>9753</v>
      </c>
    </row>
    <row r="202" spans="2:4">
      <c r="B202" s="490" t="s">
        <v>15219</v>
      </c>
      <c r="C202" s="490" t="s">
        <v>15220</v>
      </c>
    </row>
    <row r="203" spans="2:4">
      <c r="B203" s="43" t="s">
        <v>5201</v>
      </c>
      <c r="C203" s="43"/>
    </row>
    <row r="204" spans="2:4">
      <c r="B204" s="108" t="s">
        <v>4439</v>
      </c>
      <c r="C204" s="108" t="s">
        <v>4440</v>
      </c>
    </row>
    <row r="205" spans="2:4">
      <c r="B205" s="108" t="s">
        <v>4246</v>
      </c>
      <c r="C205" s="108" t="s">
        <v>4247</v>
      </c>
    </row>
    <row r="206" spans="2:4">
      <c r="B206" s="108" t="s">
        <v>4414</v>
      </c>
    </row>
    <row r="207" spans="2:4">
      <c r="B207" s="108" t="s">
        <v>4058</v>
      </c>
      <c r="C207" s="108" t="s">
        <v>4057</v>
      </c>
    </row>
    <row r="208" spans="2:4">
      <c r="B208" s="108" t="s">
        <v>4056</v>
      </c>
      <c r="C208" s="108" t="s">
        <v>4055</v>
      </c>
    </row>
    <row r="209" spans="2:3">
      <c r="B209" s="175" t="s">
        <v>7113</v>
      </c>
      <c r="C209" s="175" t="s">
        <v>7114</v>
      </c>
    </row>
    <row r="210" spans="2:3">
      <c r="B210" s="108" t="s">
        <v>4054</v>
      </c>
      <c r="C210" s="108" t="s">
        <v>4053</v>
      </c>
    </row>
    <row r="211" spans="2:3">
      <c r="B211" s="205" t="s">
        <v>7184</v>
      </c>
      <c r="C211" s="205" t="s">
        <v>7185</v>
      </c>
    </row>
    <row r="212" spans="2:3">
      <c r="B212" s="159" t="s">
        <v>6591</v>
      </c>
      <c r="C212" s="159" t="s">
        <v>6592</v>
      </c>
    </row>
    <row r="213" spans="2:3">
      <c r="B213" s="108" t="s">
        <v>4252</v>
      </c>
      <c r="C213" s="108" t="s">
        <v>4253</v>
      </c>
    </row>
    <row r="214" spans="2:3">
      <c r="B214" s="108" t="s">
        <v>4052</v>
      </c>
      <c r="C214" s="108" t="s">
        <v>5969</v>
      </c>
    </row>
    <row r="215" spans="2:3">
      <c r="B215" s="108" t="s">
        <v>5234</v>
      </c>
      <c r="C215" s="108" t="s">
        <v>5241</v>
      </c>
    </row>
    <row r="216" spans="2:3">
      <c r="B216" s="108" t="s">
        <v>5206</v>
      </c>
      <c r="C216" s="108" t="s">
        <v>5239</v>
      </c>
    </row>
    <row r="217" spans="2:3">
      <c r="B217" s="245" t="s">
        <v>7753</v>
      </c>
      <c r="C217" s="245" t="s">
        <v>7754</v>
      </c>
    </row>
    <row r="218" spans="2:3">
      <c r="B218" s="390" t="s">
        <v>9786</v>
      </c>
      <c r="C218" s="390" t="s">
        <v>9788</v>
      </c>
    </row>
    <row r="219" spans="2:3">
      <c r="B219" s="108" t="s">
        <v>4051</v>
      </c>
      <c r="C219" s="108" t="s">
        <v>4046</v>
      </c>
    </row>
    <row r="220" spans="2:3">
      <c r="B220" s="108" t="s">
        <v>4240</v>
      </c>
      <c r="C220" s="108" t="s">
        <v>4241</v>
      </c>
    </row>
    <row r="221" spans="2:3">
      <c r="B221" s="108" t="s">
        <v>6116</v>
      </c>
    </row>
    <row r="222" spans="2:3">
      <c r="B222" s="108" t="s">
        <v>5276</v>
      </c>
      <c r="C222" s="108" t="s">
        <v>5277</v>
      </c>
    </row>
    <row r="223" spans="2:3">
      <c r="B223" s="108" t="s">
        <v>4406</v>
      </c>
    </row>
    <row r="224" spans="2:3">
      <c r="B224" s="108" t="s">
        <v>4050</v>
      </c>
      <c r="C224" s="108" t="s">
        <v>4049</v>
      </c>
    </row>
    <row r="225" spans="2:3">
      <c r="B225" s="390" t="s">
        <v>9787</v>
      </c>
      <c r="C225" s="390" t="s">
        <v>9789</v>
      </c>
    </row>
    <row r="226" spans="2:3">
      <c r="B226" s="108" t="s">
        <v>5374</v>
      </c>
      <c r="C226" s="108" t="s">
        <v>5375</v>
      </c>
    </row>
    <row r="227" spans="2:3">
      <c r="B227" s="108" t="s">
        <v>4048</v>
      </c>
      <c r="C227" s="108" t="s">
        <v>3996</v>
      </c>
    </row>
    <row r="228" spans="2:3">
      <c r="B228" s="108" t="s">
        <v>5947</v>
      </c>
      <c r="C228" s="108" t="s">
        <v>5946</v>
      </c>
    </row>
    <row r="229" spans="2:3">
      <c r="B229" s="205" t="s">
        <v>7137</v>
      </c>
      <c r="C229" s="205" t="s">
        <v>7138</v>
      </c>
    </row>
    <row r="230" spans="2:3">
      <c r="B230" s="108" t="s">
        <v>4441</v>
      </c>
      <c r="C230" s="387" t="s">
        <v>9622</v>
      </c>
    </row>
    <row r="231" spans="2:3">
      <c r="B231" s="378" t="s">
        <v>9477</v>
      </c>
      <c r="C231" s="378" t="s">
        <v>9478</v>
      </c>
    </row>
    <row r="232" spans="2:3">
      <c r="B232" s="108" t="s">
        <v>4047</v>
      </c>
      <c r="C232" s="108" t="s">
        <v>4046</v>
      </c>
    </row>
    <row r="233" spans="2:3">
      <c r="B233" s="175" t="s">
        <v>7087</v>
      </c>
      <c r="C233" s="175" t="s">
        <v>7088</v>
      </c>
    </row>
    <row r="234" spans="2:3">
      <c r="B234" s="108" t="s">
        <v>4045</v>
      </c>
      <c r="C234" s="108" t="s">
        <v>4044</v>
      </c>
    </row>
    <row r="235" spans="2:3">
      <c r="B235" s="108" t="s">
        <v>4237</v>
      </c>
      <c r="C235" s="108" t="s">
        <v>5929</v>
      </c>
    </row>
    <row r="236" spans="2:3">
      <c r="B236" s="108" t="s">
        <v>4236</v>
      </c>
    </row>
    <row r="237" spans="2:3">
      <c r="B237" s="108" t="s">
        <v>4043</v>
      </c>
      <c r="C237" s="390" t="s">
        <v>9791</v>
      </c>
    </row>
    <row r="238" spans="2:3">
      <c r="B238" s="245" t="s">
        <v>7761</v>
      </c>
    </row>
    <row r="239" spans="2:3">
      <c r="B239" s="108" t="s">
        <v>4042</v>
      </c>
    </row>
    <row r="240" spans="2:3">
      <c r="B240" s="108" t="s">
        <v>4041</v>
      </c>
      <c r="C240" s="108" t="s">
        <v>4040</v>
      </c>
    </row>
    <row r="241" spans="2:3">
      <c r="B241" s="378" t="s">
        <v>9481</v>
      </c>
      <c r="C241" s="378" t="s">
        <v>9482</v>
      </c>
    </row>
    <row r="242" spans="2:3">
      <c r="B242" s="108" t="s">
        <v>4404</v>
      </c>
    </row>
    <row r="243" spans="2:3">
      <c r="B243" s="108" t="s">
        <v>6096</v>
      </c>
      <c r="C243" s="108" t="s">
        <v>6097</v>
      </c>
    </row>
    <row r="244" spans="2:3">
      <c r="B244" s="108" t="s">
        <v>4401</v>
      </c>
    </row>
    <row r="245" spans="2:3">
      <c r="B245" s="108" t="s">
        <v>4235</v>
      </c>
    </row>
    <row r="246" spans="2:3">
      <c r="B246" s="175" t="s">
        <v>6980</v>
      </c>
      <c r="C246" s="175" t="s">
        <v>6981</v>
      </c>
    </row>
    <row r="247" spans="2:3">
      <c r="B247" s="108" t="s">
        <v>4258</v>
      </c>
      <c r="C247" s="108" t="s">
        <v>4259</v>
      </c>
    </row>
    <row r="248" spans="2:3">
      <c r="B248" s="390" t="s">
        <v>9751</v>
      </c>
      <c r="C248" s="390" t="s">
        <v>9752</v>
      </c>
    </row>
    <row r="249" spans="2:3">
      <c r="B249" s="245" t="s">
        <v>7750</v>
      </c>
      <c r="C249" s="245" t="s">
        <v>7751</v>
      </c>
    </row>
    <row r="250" spans="2:3">
      <c r="B250" s="108" t="s">
        <v>6106</v>
      </c>
      <c r="C250" s="175" t="s">
        <v>6984</v>
      </c>
    </row>
    <row r="251" spans="2:3">
      <c r="B251" s="159" t="s">
        <v>6586</v>
      </c>
      <c r="C251" s="175" t="s">
        <v>6987</v>
      </c>
    </row>
    <row r="252" spans="2:3">
      <c r="B252" s="108" t="s">
        <v>4230</v>
      </c>
      <c r="C252" s="108" t="s">
        <v>4231</v>
      </c>
    </row>
    <row r="253" spans="2:3">
      <c r="B253" s="108" t="s">
        <v>4434</v>
      </c>
    </row>
    <row r="254" spans="2:3">
      <c r="B254" s="108" t="s">
        <v>4400</v>
      </c>
    </row>
    <row r="255" spans="2:3">
      <c r="B255" s="245" t="s">
        <v>7640</v>
      </c>
      <c r="C255" s="245" t="s">
        <v>7641</v>
      </c>
    </row>
    <row r="256" spans="2:3">
      <c r="B256" s="108" t="s">
        <v>6107</v>
      </c>
      <c r="C256" s="108" t="s">
        <v>6108</v>
      </c>
    </row>
    <row r="257" spans="2:3">
      <c r="B257" s="175" t="s">
        <v>6664</v>
      </c>
      <c r="C257" s="175" t="s">
        <v>6665</v>
      </c>
    </row>
    <row r="258" spans="2:3">
      <c r="B258" s="108" t="s">
        <v>4039</v>
      </c>
      <c r="C258" s="108" t="s">
        <v>4038</v>
      </c>
    </row>
    <row r="259" spans="2:3">
      <c r="B259" s="108" t="s">
        <v>4402</v>
      </c>
    </row>
    <row r="260" spans="2:3">
      <c r="B260" s="378" t="s">
        <v>9479</v>
      </c>
      <c r="C260" s="378" t="s">
        <v>9480</v>
      </c>
    </row>
    <row r="261" spans="2:3">
      <c r="B261" s="108" t="s">
        <v>4893</v>
      </c>
      <c r="C261" s="108" t="s">
        <v>4894</v>
      </c>
    </row>
    <row r="262" spans="2:3">
      <c r="B262" s="108" t="s">
        <v>7310</v>
      </c>
      <c r="C262" s="108" t="s">
        <v>7311</v>
      </c>
    </row>
    <row r="263" spans="2:3">
      <c r="B263" s="108" t="s">
        <v>7312</v>
      </c>
      <c r="C263" s="108" t="s">
        <v>7313</v>
      </c>
    </row>
    <row r="264" spans="2:3">
      <c r="B264" s="245" t="s">
        <v>7543</v>
      </c>
    </row>
    <row r="265" spans="2:3">
      <c r="B265" s="205" t="s">
        <v>7176</v>
      </c>
      <c r="C265" s="205" t="s">
        <v>7177</v>
      </c>
    </row>
    <row r="266" spans="2:3">
      <c r="B266" s="108" t="s">
        <v>4855</v>
      </c>
      <c r="C266" s="108" t="s">
        <v>4856</v>
      </c>
    </row>
    <row r="267" spans="2:3">
      <c r="B267" s="108" t="s">
        <v>4417</v>
      </c>
    </row>
    <row r="268" spans="2:3">
      <c r="B268" s="108" t="s">
        <v>4037</v>
      </c>
      <c r="C268" s="108" t="s">
        <v>4891</v>
      </c>
    </row>
    <row r="269" spans="2:3">
      <c r="B269" s="108" t="s">
        <v>4426</v>
      </c>
      <c r="C269" s="108" t="s">
        <v>4427</v>
      </c>
    </row>
    <row r="270" spans="2:3">
      <c r="B270" s="108" t="s">
        <v>4418</v>
      </c>
    </row>
    <row r="271" spans="2:3">
      <c r="B271" s="272" t="s">
        <v>8024</v>
      </c>
      <c r="C271" s="272" t="s">
        <v>8025</v>
      </c>
    </row>
    <row r="272" spans="2:3">
      <c r="B272" s="205" t="s">
        <v>7175</v>
      </c>
    </row>
    <row r="273" spans="2:3">
      <c r="B273" s="108" t="s">
        <v>5207</v>
      </c>
      <c r="C273" s="108" t="s">
        <v>5208</v>
      </c>
    </row>
    <row r="274" spans="2:3">
      <c r="B274" s="108" t="s">
        <v>4429</v>
      </c>
      <c r="C274" s="108" t="s">
        <v>4892</v>
      </c>
    </row>
    <row r="275" spans="2:3">
      <c r="B275" s="108" t="s">
        <v>5941</v>
      </c>
      <c r="C275" s="108" t="s">
        <v>5940</v>
      </c>
    </row>
    <row r="276" spans="2:3">
      <c r="B276" s="108" t="s">
        <v>5942</v>
      </c>
      <c r="C276" s="490" t="s">
        <v>15222</v>
      </c>
    </row>
    <row r="277" spans="2:3">
      <c r="B277" s="205" t="s">
        <v>7180</v>
      </c>
      <c r="C277" s="205" t="s">
        <v>7181</v>
      </c>
    </row>
    <row r="278" spans="2:3">
      <c r="B278" s="272" t="s">
        <v>8215</v>
      </c>
      <c r="C278" s="390" t="s">
        <v>9660</v>
      </c>
    </row>
    <row r="279" spans="2:3">
      <c r="B279" s="175" t="s">
        <v>6967</v>
      </c>
      <c r="C279" s="175" t="s">
        <v>6968</v>
      </c>
    </row>
    <row r="280" spans="2:3">
      <c r="B280" s="108" t="s">
        <v>4864</v>
      </c>
      <c r="C280" s="108" t="s">
        <v>6112</v>
      </c>
    </row>
    <row r="281" spans="2:3">
      <c r="B281" s="108" t="s">
        <v>4036</v>
      </c>
      <c r="C281" s="272" t="s">
        <v>8008</v>
      </c>
    </row>
    <row r="282" spans="2:3">
      <c r="B282" s="108" t="s">
        <v>4421</v>
      </c>
    </row>
    <row r="283" spans="2:3">
      <c r="B283" s="175" t="s">
        <v>6965</v>
      </c>
      <c r="C283" s="175" t="s">
        <v>6966</v>
      </c>
    </row>
    <row r="284" spans="2:3">
      <c r="B284" s="108" t="s">
        <v>4398</v>
      </c>
      <c r="C284" s="108" t="s">
        <v>4399</v>
      </c>
    </row>
    <row r="285" spans="2:3">
      <c r="B285" s="108" t="s">
        <v>4863</v>
      </c>
      <c r="C285" s="108" t="s">
        <v>6111</v>
      </c>
    </row>
    <row r="286" spans="2:3">
      <c r="B286" s="108" t="s">
        <v>4444</v>
      </c>
      <c r="C286" s="108" t="s">
        <v>4448</v>
      </c>
    </row>
    <row r="287" spans="2:3">
      <c r="B287" s="108" t="s">
        <v>4035</v>
      </c>
      <c r="C287" s="43" t="s">
        <v>9744</v>
      </c>
    </row>
    <row r="288" spans="2:3">
      <c r="B288" s="270" t="s">
        <v>7972</v>
      </c>
      <c r="C288" s="270" t="s">
        <v>7973</v>
      </c>
    </row>
    <row r="289" spans="2:3">
      <c r="B289" s="245" t="s">
        <v>7776</v>
      </c>
    </row>
    <row r="290" spans="2:3">
      <c r="B290" s="108" t="s">
        <v>5261</v>
      </c>
      <c r="C290" s="108" t="s">
        <v>5262</v>
      </c>
    </row>
    <row r="291" spans="2:3">
      <c r="B291" s="108" t="s">
        <v>4034</v>
      </c>
    </row>
    <row r="292" spans="2:3">
      <c r="B292" s="108" t="s">
        <v>4033</v>
      </c>
      <c r="C292" s="245" t="s">
        <v>7623</v>
      </c>
    </row>
    <row r="293" spans="2:3">
      <c r="B293" s="442" t="s">
        <v>13920</v>
      </c>
      <c r="C293" s="442" t="s">
        <v>13921</v>
      </c>
    </row>
    <row r="294" spans="2:3">
      <c r="B294" s="108" t="s">
        <v>4032</v>
      </c>
      <c r="C294" s="108" t="s">
        <v>3996</v>
      </c>
    </row>
    <row r="295" spans="2:3">
      <c r="B295" s="108" t="s">
        <v>5273</v>
      </c>
      <c r="C295" s="108" t="s">
        <v>5274</v>
      </c>
    </row>
    <row r="296" spans="2:3">
      <c r="B296" s="108" t="s">
        <v>7316</v>
      </c>
      <c r="C296" s="108" t="s">
        <v>7317</v>
      </c>
    </row>
    <row r="297" spans="2:3">
      <c r="B297" s="378" t="s">
        <v>9501</v>
      </c>
      <c r="C297" s="378" t="s">
        <v>9502</v>
      </c>
    </row>
    <row r="298" spans="2:3">
      <c r="B298" s="108" t="s">
        <v>4031</v>
      </c>
      <c r="C298" s="108" t="s">
        <v>4030</v>
      </c>
    </row>
    <row r="299" spans="2:3">
      <c r="B299" s="108" t="s">
        <v>4029</v>
      </c>
    </row>
    <row r="300" spans="2:3">
      <c r="B300" s="108" t="s">
        <v>4405</v>
      </c>
      <c r="C300" s="175" t="s">
        <v>6977</v>
      </c>
    </row>
    <row r="301" spans="2:3">
      <c r="B301" s="108" t="s">
        <v>4028</v>
      </c>
      <c r="C301" s="108" t="s">
        <v>4027</v>
      </c>
    </row>
    <row r="302" spans="2:3">
      <c r="B302" s="108" t="s">
        <v>4026</v>
      </c>
      <c r="C302" s="108" t="s">
        <v>4025</v>
      </c>
    </row>
    <row r="303" spans="2:3">
      <c r="B303" s="108" t="s">
        <v>4419</v>
      </c>
      <c r="C303" s="108" t="s">
        <v>4420</v>
      </c>
    </row>
    <row r="304" spans="2:3">
      <c r="B304" s="108" t="s">
        <v>7314</v>
      </c>
      <c r="C304" s="108" t="s">
        <v>7315</v>
      </c>
    </row>
    <row r="305" spans="2:3">
      <c r="B305" s="108" t="s">
        <v>4858</v>
      </c>
      <c r="C305" s="108" t="s">
        <v>4859</v>
      </c>
    </row>
    <row r="306" spans="2:3">
      <c r="B306" s="108" t="s">
        <v>5179</v>
      </c>
      <c r="C306" s="108" t="s">
        <v>5180</v>
      </c>
    </row>
    <row r="307" spans="2:3">
      <c r="B307" s="108" t="s">
        <v>4024</v>
      </c>
      <c r="C307" s="108" t="s">
        <v>4023</v>
      </c>
    </row>
    <row r="308" spans="2:3">
      <c r="B308" s="212" t="s">
        <v>7342</v>
      </c>
      <c r="C308" s="212" t="s">
        <v>7343</v>
      </c>
    </row>
    <row r="309" spans="2:3">
      <c r="B309" s="205" t="s">
        <v>7192</v>
      </c>
      <c r="C309" s="205" t="s">
        <v>7193</v>
      </c>
    </row>
    <row r="310" spans="2:3">
      <c r="B310" s="108" t="s">
        <v>4865</v>
      </c>
      <c r="C310" s="245" t="s">
        <v>7752</v>
      </c>
    </row>
    <row r="311" spans="2:3">
      <c r="B311" s="412" t="s">
        <v>10755</v>
      </c>
      <c r="C311" s="412" t="s">
        <v>10756</v>
      </c>
    </row>
    <row r="312" spans="2:3">
      <c r="B312" s="108" t="s">
        <v>5189</v>
      </c>
      <c r="C312" s="108" t="s">
        <v>5190</v>
      </c>
    </row>
    <row r="313" spans="2:3">
      <c r="B313" s="108" t="s">
        <v>4407</v>
      </c>
    </row>
    <row r="314" spans="2:3">
      <c r="B314" s="43" t="s">
        <v>4022</v>
      </c>
      <c r="C314" s="43" t="s">
        <v>5376</v>
      </c>
    </row>
    <row r="315" spans="2:3">
      <c r="B315" s="175" t="s">
        <v>6974</v>
      </c>
      <c r="C315" s="175" t="s">
        <v>4059</v>
      </c>
    </row>
    <row r="316" spans="2:3">
      <c r="B316" s="159" t="s">
        <v>6589</v>
      </c>
      <c r="C316" s="159" t="s">
        <v>6590</v>
      </c>
    </row>
    <row r="317" spans="2:3">
      <c r="B317" s="108" t="s">
        <v>4021</v>
      </c>
      <c r="C317" s="43"/>
    </row>
    <row r="318" spans="2:3">
      <c r="B318" s="205" t="s">
        <v>7197</v>
      </c>
      <c r="C318" s="205" t="s">
        <v>7198</v>
      </c>
    </row>
    <row r="319" spans="2:3">
      <c r="B319" s="378" t="s">
        <v>9594</v>
      </c>
      <c r="C319" s="378" t="s">
        <v>9595</v>
      </c>
    </row>
    <row r="320" spans="2:3">
      <c r="B320" s="245" t="s">
        <v>7760</v>
      </c>
      <c r="C320" s="205"/>
    </row>
    <row r="321" spans="2:16">
      <c r="B321" s="378" t="s">
        <v>9465</v>
      </c>
      <c r="C321" s="40" t="s">
        <v>9466</v>
      </c>
    </row>
    <row r="322" spans="2:16">
      <c r="B322" s="108" t="s">
        <v>4020</v>
      </c>
      <c r="C322" s="108" t="s">
        <v>5925</v>
      </c>
    </row>
    <row r="323" spans="2:16">
      <c r="B323" s="175" t="s">
        <v>6961</v>
      </c>
      <c r="C323" s="175" t="s">
        <v>6962</v>
      </c>
    </row>
    <row r="324" spans="2:16">
      <c r="B324" s="108" t="s">
        <v>4019</v>
      </c>
      <c r="C324" s="108" t="s">
        <v>4018</v>
      </c>
    </row>
    <row r="325" spans="2:16">
      <c r="B325" s="108" t="s">
        <v>4017</v>
      </c>
      <c r="C325" s="108" t="s">
        <v>4016</v>
      </c>
    </row>
    <row r="326" spans="2:16">
      <c r="B326" s="108" t="s">
        <v>6093</v>
      </c>
      <c r="C326" s="108" t="s">
        <v>6094</v>
      </c>
    </row>
    <row r="327" spans="2:16">
      <c r="B327" s="108" t="s">
        <v>4015</v>
      </c>
      <c r="C327" s="389" t="s">
        <v>9654</v>
      </c>
    </row>
    <row r="328" spans="2:16">
      <c r="B328" s="108" t="s">
        <v>5267</v>
      </c>
      <c r="C328" s="108" t="s">
        <v>5268</v>
      </c>
    </row>
    <row r="329" spans="2:16">
      <c r="B329" s="108" t="s">
        <v>4014</v>
      </c>
      <c r="C329" s="108" t="s">
        <v>4013</v>
      </c>
    </row>
    <row r="330" spans="2:16">
      <c r="B330" s="108" t="s">
        <v>4243</v>
      </c>
      <c r="C330" s="108" t="s">
        <v>4244</v>
      </c>
    </row>
    <row r="331" spans="2:16">
      <c r="B331" s="108" t="s">
        <v>4012</v>
      </c>
      <c r="C331" s="108" t="s">
        <v>4011</v>
      </c>
    </row>
    <row r="332" spans="2:16">
      <c r="B332" s="108" t="s">
        <v>4010</v>
      </c>
      <c r="C332" s="108" t="s">
        <v>4009</v>
      </c>
    </row>
    <row r="333" spans="2:16">
      <c r="B333" s="108" t="s">
        <v>5202</v>
      </c>
      <c r="C333" s="108" t="s">
        <v>5237</v>
      </c>
    </row>
    <row r="334" spans="2:16">
      <c r="B334" s="108" t="s">
        <v>4433</v>
      </c>
    </row>
    <row r="335" spans="2:16">
      <c r="B335" s="108" t="s">
        <v>4412</v>
      </c>
      <c r="P335" s="107"/>
    </row>
    <row r="336" spans="2:16">
      <c r="B336" s="108" t="s">
        <v>4413</v>
      </c>
    </row>
    <row r="337" spans="2:3">
      <c r="B337" s="108" t="s">
        <v>4860</v>
      </c>
      <c r="C337" s="108" t="s">
        <v>4861</v>
      </c>
    </row>
    <row r="338" spans="2:3">
      <c r="B338" s="245" t="s">
        <v>7763</v>
      </c>
    </row>
    <row r="339" spans="2:3">
      <c r="B339" s="108" t="s">
        <v>5939</v>
      </c>
      <c r="C339" s="175" t="s">
        <v>6735</v>
      </c>
    </row>
    <row r="340" spans="2:3">
      <c r="B340" s="108" t="s">
        <v>4239</v>
      </c>
    </row>
    <row r="341" spans="2:3">
      <c r="B341" s="108" t="s">
        <v>4008</v>
      </c>
      <c r="C341" s="108" t="s">
        <v>4007</v>
      </c>
    </row>
    <row r="342" spans="2:3">
      <c r="B342" s="378" t="s">
        <v>9471</v>
      </c>
      <c r="C342" s="378" t="s">
        <v>9472</v>
      </c>
    </row>
    <row r="343" spans="2:3">
      <c r="B343" s="490" t="s">
        <v>15218</v>
      </c>
      <c r="C343" s="490" t="s">
        <v>15221</v>
      </c>
    </row>
    <row r="344" spans="2:3">
      <c r="B344" s="175" t="s">
        <v>7091</v>
      </c>
      <c r="C344" s="175" t="s">
        <v>7092</v>
      </c>
    </row>
    <row r="345" spans="2:3">
      <c r="B345" s="175" t="s">
        <v>6978</v>
      </c>
      <c r="C345" s="175" t="s">
        <v>6979</v>
      </c>
    </row>
    <row r="346" spans="2:3">
      <c r="B346" s="108" t="s">
        <v>4006</v>
      </c>
    </row>
    <row r="347" spans="2:3">
      <c r="B347" s="108" t="s">
        <v>4005</v>
      </c>
      <c r="C347" s="108" t="s">
        <v>4004</v>
      </c>
    </row>
    <row r="348" spans="2:3">
      <c r="B348" s="108" t="s">
        <v>5203</v>
      </c>
    </row>
    <row r="349" spans="2:3">
      <c r="B349" s="108" t="s">
        <v>4003</v>
      </c>
      <c r="C349" s="108" t="s">
        <v>4002</v>
      </c>
    </row>
    <row r="350" spans="2:3">
      <c r="B350" s="108" t="s">
        <v>4001</v>
      </c>
      <c r="C350" s="108" t="s">
        <v>4000</v>
      </c>
    </row>
    <row r="351" spans="2:3">
      <c r="B351" s="245" t="s">
        <v>7758</v>
      </c>
      <c r="C351" s="245" t="s">
        <v>7759</v>
      </c>
    </row>
    <row r="352" spans="2:3">
      <c r="B352" s="108" t="s">
        <v>5246</v>
      </c>
      <c r="C352" s="108" t="s">
        <v>5254</v>
      </c>
    </row>
    <row r="353" spans="2:21">
      <c r="B353" s="108" t="s">
        <v>2594</v>
      </c>
      <c r="C353" s="108" t="s">
        <v>5235</v>
      </c>
    </row>
    <row r="354" spans="2:21">
      <c r="B354" s="175" t="s">
        <v>7085</v>
      </c>
      <c r="C354" s="175" t="s">
        <v>7086</v>
      </c>
    </row>
    <row r="355" spans="2:21">
      <c r="B355" s="245" t="s">
        <v>7779</v>
      </c>
      <c r="C355" s="175"/>
    </row>
    <row r="356" spans="2:21">
      <c r="B356" s="175" t="s">
        <v>6985</v>
      </c>
      <c r="C356" s="175" t="s">
        <v>6986</v>
      </c>
    </row>
    <row r="357" spans="2:21">
      <c r="B357" s="390" t="s">
        <v>9784</v>
      </c>
      <c r="C357" s="390" t="s">
        <v>9785</v>
      </c>
    </row>
    <row r="358" spans="2:21">
      <c r="B358" s="108" t="s">
        <v>4644</v>
      </c>
      <c r="C358" s="108" t="s">
        <v>4646</v>
      </c>
    </row>
    <row r="359" spans="2:21">
      <c r="B359" s="108" t="s">
        <v>4645</v>
      </c>
      <c r="C359" s="108" t="s">
        <v>4399</v>
      </c>
    </row>
    <row r="360" spans="2:21">
      <c r="B360" s="108" t="s">
        <v>4971</v>
      </c>
      <c r="C360" s="108" t="s">
        <v>4972</v>
      </c>
    </row>
    <row r="361" spans="2:21">
      <c r="B361" s="272" t="s">
        <v>8020</v>
      </c>
      <c r="C361" s="272" t="s">
        <v>8022</v>
      </c>
    </row>
    <row r="362" spans="2:21">
      <c r="B362" s="108" t="s">
        <v>5243</v>
      </c>
      <c r="C362" s="108" t="s">
        <v>5245</v>
      </c>
    </row>
    <row r="363" spans="2:21">
      <c r="B363" s="108" t="s">
        <v>5249</v>
      </c>
      <c r="C363" s="108" t="s">
        <v>5250</v>
      </c>
    </row>
    <row r="364" spans="2:21">
      <c r="B364" s="108" t="s">
        <v>3999</v>
      </c>
      <c r="C364" s="108" t="s">
        <v>3998</v>
      </c>
    </row>
    <row r="365" spans="2:21">
      <c r="B365" s="108" t="s">
        <v>4895</v>
      </c>
      <c r="C365" s="108" t="s">
        <v>4896</v>
      </c>
    </row>
    <row r="366" spans="2:21">
      <c r="B366" s="108" t="s">
        <v>5257</v>
      </c>
      <c r="C366" s="108" t="s">
        <v>5275</v>
      </c>
    </row>
    <row r="367" spans="2:21">
      <c r="B367" s="108" t="s">
        <v>5183</v>
      </c>
      <c r="C367" s="108" t="s">
        <v>5184</v>
      </c>
      <c r="U367" s="108" t="s">
        <v>5246</v>
      </c>
    </row>
    <row r="368" spans="2:21">
      <c r="B368" s="108" t="s">
        <v>5233</v>
      </c>
      <c r="C368" s="108" t="s">
        <v>6006</v>
      </c>
    </row>
    <row r="369" spans="2:3">
      <c r="B369" s="108" t="s">
        <v>5215</v>
      </c>
      <c r="C369" s="108" t="s">
        <v>5216</v>
      </c>
    </row>
    <row r="370" spans="2:3">
      <c r="B370" s="108" t="s">
        <v>5244</v>
      </c>
      <c r="C370" s="108" t="s">
        <v>5253</v>
      </c>
    </row>
    <row r="371" spans="2:3">
      <c r="B371" s="108" t="s">
        <v>5198</v>
      </c>
      <c r="C371" s="108" t="s">
        <v>5247</v>
      </c>
    </row>
    <row r="372" spans="2:3">
      <c r="B372" s="108" t="s">
        <v>5193</v>
      </c>
      <c r="C372" s="245" t="s">
        <v>7542</v>
      </c>
    </row>
    <row r="373" spans="2:3">
      <c r="B373" s="108" t="s">
        <v>5195</v>
      </c>
      <c r="C373" s="108" t="s">
        <v>5194</v>
      </c>
    </row>
    <row r="374" spans="2:3">
      <c r="B374" s="108" t="s">
        <v>6117</v>
      </c>
      <c r="C374" s="108" t="s">
        <v>6118</v>
      </c>
    </row>
    <row r="375" spans="2:3">
      <c r="B375" s="390" t="s">
        <v>9740</v>
      </c>
      <c r="C375" s="390" t="s">
        <v>9741</v>
      </c>
    </row>
    <row r="376" spans="2:3">
      <c r="B376" s="108" t="s">
        <v>3997</v>
      </c>
      <c r="C376" s="108" t="s">
        <v>3996</v>
      </c>
    </row>
    <row r="377" spans="2:3">
      <c r="B377" s="108" t="s">
        <v>3995</v>
      </c>
      <c r="C377" s="108" t="s">
        <v>3994</v>
      </c>
    </row>
    <row r="378" spans="2:3">
      <c r="B378" s="108" t="s">
        <v>3993</v>
      </c>
    </row>
    <row r="379" spans="2:3">
      <c r="B379" s="108" t="s">
        <v>3992</v>
      </c>
      <c r="C379" s="108" t="s">
        <v>3991</v>
      </c>
    </row>
    <row r="380" spans="2:3">
      <c r="B380" s="108" t="s">
        <v>5185</v>
      </c>
      <c r="C380" s="108" t="s">
        <v>5186</v>
      </c>
    </row>
    <row r="381" spans="2:3">
      <c r="B381" s="108" t="s">
        <v>3990</v>
      </c>
      <c r="C381" s="108" t="s">
        <v>3989</v>
      </c>
    </row>
    <row r="382" spans="2:3">
      <c r="B382" s="108" t="s">
        <v>4254</v>
      </c>
      <c r="C382" s="108" t="s">
        <v>4255</v>
      </c>
    </row>
    <row r="383" spans="2:3">
      <c r="B383" s="390" t="s">
        <v>9746</v>
      </c>
    </row>
    <row r="384" spans="2:3">
      <c r="B384" s="390" t="s">
        <v>9668</v>
      </c>
    </row>
    <row r="385" spans="2:26">
      <c r="B385" s="245" t="s">
        <v>7624</v>
      </c>
      <c r="C385" s="245" t="s">
        <v>7625</v>
      </c>
    </row>
    <row r="386" spans="2:26">
      <c r="B386" s="108" t="s">
        <v>5927</v>
      </c>
      <c r="C386" s="108" t="s">
        <v>5928</v>
      </c>
    </row>
    <row r="387" spans="2:26">
      <c r="B387" s="175" t="s">
        <v>6972</v>
      </c>
      <c r="C387" s="175" t="s">
        <v>6973</v>
      </c>
    </row>
    <row r="389" spans="2:26">
      <c r="B389" s="108" t="s">
        <v>3988</v>
      </c>
    </row>
    <row r="391" spans="2:26">
      <c r="C391" s="131"/>
      <c r="D391" s="132"/>
      <c r="F391" s="132"/>
      <c r="G391" s="133"/>
      <c r="O391" s="109"/>
      <c r="P391" s="109"/>
      <c r="Q391" s="109"/>
      <c r="R391" s="109"/>
      <c r="S391" s="109"/>
      <c r="T391" s="109"/>
      <c r="U391" s="109"/>
      <c r="V391" s="109"/>
      <c r="W391" s="109"/>
      <c r="X391" s="109"/>
      <c r="Y391" s="109"/>
      <c r="Z391" s="109"/>
    </row>
    <row r="392" spans="2:26">
      <c r="P392" s="109"/>
      <c r="Q392" s="109"/>
      <c r="R392" s="109"/>
      <c r="S392" s="109"/>
      <c r="T392" s="109"/>
      <c r="U392" s="109"/>
      <c r="V392" s="109"/>
      <c r="W392" s="109"/>
      <c r="X392" s="109"/>
      <c r="Y392" s="109"/>
      <c r="Z392" s="109"/>
    </row>
    <row r="393" spans="2:26">
      <c r="P393" s="109"/>
      <c r="Q393" s="109"/>
      <c r="R393" s="109"/>
      <c r="S393" s="109"/>
      <c r="T393" s="109"/>
      <c r="U393" s="109"/>
      <c r="V393" s="109"/>
      <c r="W393" s="109"/>
      <c r="X393" s="109"/>
      <c r="Y393" s="109"/>
      <c r="Z393" s="109"/>
    </row>
    <row r="394" spans="2:26">
      <c r="P394" s="109"/>
      <c r="Q394" s="109"/>
      <c r="R394" s="109"/>
      <c r="S394" s="109"/>
      <c r="T394" s="109"/>
      <c r="U394" s="109"/>
      <c r="V394" s="109"/>
      <c r="W394" s="109"/>
      <c r="X394" s="109"/>
      <c r="Y394" s="109"/>
      <c r="Z394" s="109"/>
    </row>
    <row r="395" spans="2:26">
      <c r="P395" s="109"/>
      <c r="Q395" s="109"/>
      <c r="R395" s="109"/>
      <c r="S395" s="109"/>
      <c r="T395" s="109"/>
      <c r="U395" s="109"/>
      <c r="V395" s="109"/>
      <c r="W395" s="109"/>
      <c r="X395" s="109"/>
      <c r="Y395" s="109"/>
      <c r="Z395" s="109"/>
    </row>
    <row r="396" spans="2:26">
      <c r="P396" s="109"/>
      <c r="Q396" s="109"/>
      <c r="R396" s="109"/>
      <c r="S396" s="109"/>
      <c r="T396" s="109"/>
      <c r="U396" s="109"/>
      <c r="V396" s="109"/>
      <c r="W396" s="109"/>
      <c r="X396" s="109"/>
      <c r="Y396" s="109"/>
      <c r="Z396" s="109"/>
    </row>
    <row r="397" spans="2:26">
      <c r="P397" s="109"/>
      <c r="Q397" s="109"/>
      <c r="R397" s="109"/>
      <c r="S397" s="109"/>
      <c r="T397" s="109"/>
      <c r="U397" s="109"/>
      <c r="V397" s="109"/>
      <c r="W397" s="109"/>
      <c r="X397" s="109"/>
      <c r="Y397" s="109"/>
      <c r="Z397" s="109"/>
    </row>
    <row r="398" spans="2:26">
      <c r="P398" s="109"/>
      <c r="Q398" s="109"/>
      <c r="R398" s="109"/>
      <c r="S398" s="109"/>
      <c r="T398" s="109" t="s">
        <v>5243</v>
      </c>
      <c r="U398" s="109"/>
      <c r="V398" s="109"/>
      <c r="W398" s="109"/>
      <c r="X398" s="109"/>
      <c r="Y398" s="109"/>
      <c r="Z398" s="109"/>
    </row>
    <row r="399" spans="2:26">
      <c r="S399" s="107"/>
    </row>
  </sheetData>
  <hyperlinks>
    <hyperlink ref="A1" location="Main!A1" display="Main" xr:uid="{D82997CC-EBDC-274C-97F6-671DF0B7A033}"/>
  </hyperlink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88EFFA-498A-E642-8D28-2834841DB38C}">
  <dimension ref="A1:F68"/>
  <sheetViews>
    <sheetView zoomScale="130" zoomScaleNormal="130" workbookViewId="0">
      <selection activeCell="C68" sqref="C68"/>
    </sheetView>
  </sheetViews>
  <sheetFormatPr baseColWidth="10" defaultColWidth="10.83203125" defaultRowHeight="13"/>
  <cols>
    <col min="1" max="1" width="4.83203125" style="277" bestFit="1" customWidth="1"/>
    <col min="2" max="2" width="9.6640625" style="277" customWidth="1"/>
    <col min="3" max="16384" width="10.83203125" style="277"/>
  </cols>
  <sheetData>
    <row r="1" spans="1:4">
      <c r="A1" s="25" t="s">
        <v>1165</v>
      </c>
    </row>
    <row r="2" spans="1:4">
      <c r="A2" s="25"/>
      <c r="B2" s="142" t="s">
        <v>10964</v>
      </c>
    </row>
    <row r="3" spans="1:4">
      <c r="A3" s="25"/>
      <c r="C3" s="414" t="s">
        <v>10965</v>
      </c>
    </row>
    <row r="4" spans="1:4">
      <c r="A4" s="25"/>
      <c r="C4" s="414" t="s">
        <v>10966</v>
      </c>
    </row>
    <row r="5" spans="1:4">
      <c r="A5" s="25"/>
      <c r="C5" s="414"/>
      <c r="D5" s="414" t="s">
        <v>10967</v>
      </c>
    </row>
    <row r="6" spans="1:4">
      <c r="A6" s="25"/>
      <c r="C6" s="414"/>
      <c r="D6" s="414" t="s">
        <v>10968</v>
      </c>
    </row>
    <row r="7" spans="1:4">
      <c r="A7" s="25"/>
      <c r="C7" s="414"/>
      <c r="D7" s="414" t="s">
        <v>10969</v>
      </c>
    </row>
    <row r="8" spans="1:4">
      <c r="A8" s="25"/>
      <c r="C8" s="414"/>
      <c r="D8" s="414" t="s">
        <v>10970</v>
      </c>
    </row>
    <row r="9" spans="1:4">
      <c r="A9" s="25"/>
      <c r="C9" s="414" t="s">
        <v>10971</v>
      </c>
      <c r="D9" s="414"/>
    </row>
    <row r="11" spans="1:4">
      <c r="B11" s="391" t="s">
        <v>9821</v>
      </c>
      <c r="C11" s="142" t="s">
        <v>9822</v>
      </c>
    </row>
    <row r="13" spans="1:4">
      <c r="B13" s="406" t="s">
        <v>10744</v>
      </c>
      <c r="C13" s="142" t="s">
        <v>10745</v>
      </c>
    </row>
    <row r="16" spans="1:4">
      <c r="B16" s="277" t="s">
        <v>356</v>
      </c>
    </row>
    <row r="17" spans="2:3">
      <c r="C17" s="277" t="s">
        <v>8133</v>
      </c>
    </row>
    <row r="18" spans="2:3">
      <c r="C18" s="277" t="s">
        <v>8134</v>
      </c>
    </row>
    <row r="20" spans="2:3">
      <c r="C20" s="142" t="s">
        <v>14128</v>
      </c>
    </row>
    <row r="21" spans="2:3">
      <c r="C21" s="277" t="s">
        <v>14129</v>
      </c>
    </row>
    <row r="22" spans="2:3">
      <c r="C22" s="277" t="s">
        <v>14130</v>
      </c>
    </row>
    <row r="24" spans="2:3">
      <c r="C24" s="142" t="s">
        <v>10959</v>
      </c>
    </row>
    <row r="27" spans="2:3">
      <c r="B27" s="414" t="s">
        <v>10962</v>
      </c>
    </row>
    <row r="28" spans="2:3">
      <c r="C28" s="414" t="s">
        <v>10960</v>
      </c>
    </row>
    <row r="29" spans="2:3">
      <c r="C29" s="414" t="s">
        <v>10961</v>
      </c>
    </row>
    <row r="31" spans="2:3">
      <c r="C31" s="142" t="s">
        <v>14142</v>
      </c>
    </row>
    <row r="32" spans="2:3">
      <c r="C32" s="277" t="s">
        <v>14143</v>
      </c>
    </row>
    <row r="34" spans="2:6">
      <c r="C34" s="142" t="s">
        <v>15195</v>
      </c>
    </row>
    <row r="35" spans="2:6">
      <c r="C35" s="487" t="s">
        <v>15196</v>
      </c>
    </row>
    <row r="36" spans="2:6">
      <c r="C36" s="487"/>
    </row>
    <row r="37" spans="2:6">
      <c r="C37" s="487"/>
    </row>
    <row r="39" spans="2:6">
      <c r="B39" s="414" t="s">
        <v>10963</v>
      </c>
    </row>
    <row r="42" spans="2:6">
      <c r="B42" s="486" t="s">
        <v>14959</v>
      </c>
    </row>
    <row r="43" spans="2:6">
      <c r="C43" s="142" t="s">
        <v>15193</v>
      </c>
    </row>
    <row r="44" spans="2:6">
      <c r="C44" s="277" t="s">
        <v>15194</v>
      </c>
      <c r="F44" s="277" t="s">
        <v>15350</v>
      </c>
    </row>
    <row r="45" spans="2:6">
      <c r="C45" s="277" t="s">
        <v>15361</v>
      </c>
      <c r="F45" s="277" t="s">
        <v>15362</v>
      </c>
    </row>
    <row r="46" spans="2:6">
      <c r="C46" s="277" t="s">
        <v>15206</v>
      </c>
    </row>
    <row r="47" spans="2:6">
      <c r="C47" s="277" t="s">
        <v>15207</v>
      </c>
    </row>
    <row r="48" spans="2:6">
      <c r="C48" s="277" t="s">
        <v>15208</v>
      </c>
    </row>
    <row r="49" spans="2:3">
      <c r="C49" s="277" t="s">
        <v>15210</v>
      </c>
    </row>
    <row r="50" spans="2:3">
      <c r="C50" s="277" t="s">
        <v>15209</v>
      </c>
    </row>
    <row r="51" spans="2:3">
      <c r="C51" s="277" t="s">
        <v>15211</v>
      </c>
    </row>
    <row r="53" spans="2:3">
      <c r="C53" s="142" t="s">
        <v>15225</v>
      </c>
    </row>
    <row r="54" spans="2:3">
      <c r="C54" s="377" t="s">
        <v>15226</v>
      </c>
    </row>
    <row r="57" spans="2:3">
      <c r="B57" s="142" t="s">
        <v>15223</v>
      </c>
    </row>
    <row r="58" spans="2:3">
      <c r="B58" s="277" t="s">
        <v>15224</v>
      </c>
    </row>
    <row r="61" spans="2:3" ht="15">
      <c r="B61" s="44" t="s">
        <v>15340</v>
      </c>
    </row>
    <row r="62" spans="2:3">
      <c r="B62" s="277" t="s">
        <v>15350</v>
      </c>
    </row>
    <row r="64" spans="2:3">
      <c r="B64" s="142" t="s">
        <v>15364</v>
      </c>
    </row>
    <row r="65" spans="3:3">
      <c r="C65" s="277" t="s">
        <v>15363</v>
      </c>
    </row>
    <row r="68" spans="3:3">
      <c r="C68" s="277" t="s">
        <v>15365</v>
      </c>
    </row>
  </sheetData>
  <hyperlinks>
    <hyperlink ref="A1" location="Main!A1" display="Main" xr:uid="{3EFBAF92-3BB3-684E-A740-B8F2C3E81A5F}"/>
    <hyperlink ref="B61" r:id="rId1" xr:uid="{8A0B0565-D7AE-5E45-B258-FFDBFA26BFB8}"/>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6FC849-F0D5-EC41-9B68-F54EAB7602AE}">
  <dimension ref="A1:M1502"/>
  <sheetViews>
    <sheetView topLeftCell="A1491" zoomScale="205" zoomScaleNormal="205" workbookViewId="0">
      <selection activeCell="M1502" sqref="M1502"/>
    </sheetView>
  </sheetViews>
  <sheetFormatPr baseColWidth="10" defaultColWidth="8.83203125" defaultRowHeight="13"/>
  <cols>
    <col min="1" max="2" width="12.33203125" style="108" customWidth="1"/>
    <col min="3" max="3" width="9.5" style="109" customWidth="1"/>
    <col min="4" max="8" width="8.83203125" style="108"/>
    <col min="9" max="9" width="12.1640625" style="108" customWidth="1"/>
    <col min="10" max="16384" width="8.83203125" style="108"/>
  </cols>
  <sheetData>
    <row r="1" spans="1:3">
      <c r="A1" s="25" t="s">
        <v>1165</v>
      </c>
    </row>
    <row r="2" spans="1:3">
      <c r="A2" s="212" t="s">
        <v>7248</v>
      </c>
      <c r="B2" s="42" t="s">
        <v>7250</v>
      </c>
    </row>
    <row r="3" spans="1:3">
      <c r="A3" s="25"/>
      <c r="B3" s="212" t="s">
        <v>5733</v>
      </c>
      <c r="C3" s="213" t="s">
        <v>7249</v>
      </c>
    </row>
    <row r="4" spans="1:3">
      <c r="A4" s="25"/>
    </row>
    <row r="5" spans="1:3">
      <c r="A5" s="212" t="s">
        <v>7230</v>
      </c>
      <c r="B5" s="42" t="s">
        <v>7231</v>
      </c>
    </row>
    <row r="6" spans="1:3">
      <c r="A6" s="25"/>
      <c r="B6" s="212" t="s">
        <v>5733</v>
      </c>
      <c r="C6" s="213" t="s">
        <v>7232</v>
      </c>
    </row>
    <row r="7" spans="1:3">
      <c r="A7" s="25"/>
    </row>
    <row r="8" spans="1:3">
      <c r="A8" s="25"/>
    </row>
    <row r="9" spans="1:3">
      <c r="A9" s="212" t="s">
        <v>7236</v>
      </c>
      <c r="B9" s="42" t="s">
        <v>7237</v>
      </c>
    </row>
    <row r="10" spans="1:3">
      <c r="A10" s="25"/>
      <c r="B10" s="212" t="s">
        <v>5733</v>
      </c>
      <c r="C10" s="213" t="s">
        <v>7238</v>
      </c>
    </row>
    <row r="11" spans="1:3">
      <c r="A11" s="25"/>
    </row>
    <row r="12" spans="1:3">
      <c r="A12" s="25"/>
    </row>
    <row r="13" spans="1:3">
      <c r="A13" s="212" t="s">
        <v>7242</v>
      </c>
      <c r="B13" s="42" t="s">
        <v>7243</v>
      </c>
    </row>
    <row r="14" spans="1:3">
      <c r="A14" s="25"/>
      <c r="B14" s="212" t="s">
        <v>5733</v>
      </c>
      <c r="C14" s="213" t="s">
        <v>7244</v>
      </c>
    </row>
    <row r="15" spans="1:3">
      <c r="A15" s="25"/>
    </row>
    <row r="16" spans="1:3">
      <c r="A16" s="212" t="s">
        <v>7233</v>
      </c>
      <c r="B16" s="42" t="s">
        <v>7234</v>
      </c>
    </row>
    <row r="17" spans="1:3">
      <c r="A17" s="25"/>
      <c r="B17" s="212" t="s">
        <v>5733</v>
      </c>
      <c r="C17" s="213" t="s">
        <v>7235</v>
      </c>
    </row>
    <row r="18" spans="1:3">
      <c r="A18" s="25"/>
    </row>
    <row r="19" spans="1:3">
      <c r="A19" s="212" t="s">
        <v>7254</v>
      </c>
      <c r="B19" s="42" t="s">
        <v>7255</v>
      </c>
    </row>
    <row r="20" spans="1:3">
      <c r="A20" s="25"/>
      <c r="B20" s="212" t="s">
        <v>5733</v>
      </c>
      <c r="C20" s="213" t="s">
        <v>4098</v>
      </c>
    </row>
    <row r="21" spans="1:3">
      <c r="A21" s="25"/>
    </row>
    <row r="22" spans="1:3">
      <c r="A22" s="212" t="s">
        <v>7251</v>
      </c>
      <c r="B22" s="42" t="s">
        <v>7252</v>
      </c>
    </row>
    <row r="23" spans="1:3">
      <c r="A23" s="25"/>
      <c r="B23" s="212" t="s">
        <v>5733</v>
      </c>
      <c r="C23" s="213" t="s">
        <v>7253</v>
      </c>
    </row>
    <row r="24" spans="1:3">
      <c r="A24" s="25"/>
    </row>
    <row r="25" spans="1:3">
      <c r="A25" s="212" t="s">
        <v>7318</v>
      </c>
      <c r="B25" s="42" t="s">
        <v>7319</v>
      </c>
    </row>
    <row r="26" spans="1:3">
      <c r="A26" s="25"/>
      <c r="B26" s="108" t="s">
        <v>5733</v>
      </c>
      <c r="C26" s="109" t="s">
        <v>7320</v>
      </c>
    </row>
    <row r="27" spans="1:3">
      <c r="A27" s="25"/>
    </row>
    <row r="28" spans="1:3">
      <c r="A28" s="108" t="s">
        <v>6028</v>
      </c>
      <c r="B28" s="42" t="s">
        <v>6989</v>
      </c>
    </row>
    <row r="29" spans="1:3">
      <c r="A29" s="25"/>
      <c r="B29" s="108" t="s">
        <v>5733</v>
      </c>
      <c r="C29" s="193" t="s">
        <v>6988</v>
      </c>
    </row>
    <row r="30" spans="1:3">
      <c r="A30" s="25"/>
      <c r="B30" s="108" t="s">
        <v>5668</v>
      </c>
      <c r="C30" s="112">
        <v>39254</v>
      </c>
    </row>
    <row r="31" spans="1:3">
      <c r="A31" s="25"/>
      <c r="B31" s="108" t="s">
        <v>5666</v>
      </c>
      <c r="C31" s="101" t="s">
        <v>6037</v>
      </c>
    </row>
    <row r="32" spans="1:3">
      <c r="A32" s="25"/>
      <c r="B32" s="175" t="s">
        <v>6994</v>
      </c>
      <c r="C32" s="193" t="s">
        <v>7017</v>
      </c>
    </row>
    <row r="33" spans="1:3">
      <c r="A33" s="25"/>
      <c r="B33" s="175" t="s">
        <v>4201</v>
      </c>
      <c r="C33" s="193" t="s">
        <v>6995</v>
      </c>
    </row>
    <row r="34" spans="1:3">
      <c r="A34" s="25"/>
      <c r="B34" s="175"/>
      <c r="C34" s="193" t="s">
        <v>6996</v>
      </c>
    </row>
    <row r="35" spans="1:3">
      <c r="A35" s="25"/>
      <c r="B35" s="175"/>
      <c r="C35" s="193" t="s">
        <v>6997</v>
      </c>
    </row>
    <row r="36" spans="1:3">
      <c r="A36" s="25"/>
      <c r="B36" s="175"/>
      <c r="C36" s="193" t="s">
        <v>6998</v>
      </c>
    </row>
    <row r="37" spans="1:3">
      <c r="A37" s="25"/>
      <c r="B37" s="175"/>
      <c r="C37" s="193" t="s">
        <v>6999</v>
      </c>
    </row>
    <row r="38" spans="1:3">
      <c r="A38" s="25"/>
      <c r="B38" s="175"/>
      <c r="C38" s="193" t="s">
        <v>7000</v>
      </c>
    </row>
    <row r="39" spans="1:3">
      <c r="A39" s="25"/>
      <c r="B39" s="175"/>
      <c r="C39" s="193" t="s">
        <v>7001</v>
      </c>
    </row>
    <row r="40" spans="1:3">
      <c r="A40" s="25"/>
      <c r="B40" s="175"/>
      <c r="C40" s="193" t="s">
        <v>7002</v>
      </c>
    </row>
    <row r="41" spans="1:3">
      <c r="A41" s="25"/>
      <c r="B41" s="175"/>
      <c r="C41" s="193" t="s">
        <v>7003</v>
      </c>
    </row>
    <row r="42" spans="1:3">
      <c r="A42" s="25"/>
      <c r="B42" s="175"/>
      <c r="C42" s="193" t="s">
        <v>7004</v>
      </c>
    </row>
    <row r="43" spans="1:3">
      <c r="A43" s="25"/>
      <c r="B43" s="175"/>
      <c r="C43" s="193" t="s">
        <v>7005</v>
      </c>
    </row>
    <row r="44" spans="1:3">
      <c r="A44" s="25"/>
      <c r="B44" s="175"/>
      <c r="C44" s="193" t="s">
        <v>7006</v>
      </c>
    </row>
    <row r="45" spans="1:3">
      <c r="A45" s="25"/>
      <c r="B45" s="175"/>
      <c r="C45" s="193" t="s">
        <v>7007</v>
      </c>
    </row>
    <row r="46" spans="1:3">
      <c r="A46" s="25"/>
      <c r="B46" s="175"/>
      <c r="C46" s="193" t="s">
        <v>7008</v>
      </c>
    </row>
    <row r="47" spans="1:3">
      <c r="A47" s="25"/>
      <c r="B47" s="175"/>
      <c r="C47" s="193" t="s">
        <v>7009</v>
      </c>
    </row>
    <row r="48" spans="1:3">
      <c r="A48" s="25"/>
      <c r="B48" s="175"/>
      <c r="C48" s="193" t="s">
        <v>7010</v>
      </c>
    </row>
    <row r="49" spans="1:3">
      <c r="A49" s="25"/>
      <c r="B49" s="175"/>
      <c r="C49" s="193" t="s">
        <v>7011</v>
      </c>
    </row>
    <row r="50" spans="1:3">
      <c r="A50" s="25"/>
      <c r="B50" s="175"/>
      <c r="C50" s="193" t="s">
        <v>7012</v>
      </c>
    </row>
    <row r="51" spans="1:3">
      <c r="A51" s="25"/>
      <c r="B51" s="175"/>
      <c r="C51" s="193" t="s">
        <v>7013</v>
      </c>
    </row>
    <row r="52" spans="1:3">
      <c r="A52" s="25"/>
      <c r="B52" s="175"/>
      <c r="C52" s="193" t="s">
        <v>7014</v>
      </c>
    </row>
    <row r="53" spans="1:3">
      <c r="A53" s="25"/>
      <c r="B53" s="175"/>
      <c r="C53" s="193" t="s">
        <v>7015</v>
      </c>
    </row>
    <row r="54" spans="1:3">
      <c r="A54" s="25"/>
      <c r="B54" s="175"/>
      <c r="C54" s="193" t="s">
        <v>7016</v>
      </c>
    </row>
    <row r="55" spans="1:3">
      <c r="A55" s="25"/>
    </row>
    <row r="56" spans="1:3">
      <c r="A56" s="212" t="s">
        <v>7239</v>
      </c>
      <c r="B56" s="42" t="s">
        <v>7240</v>
      </c>
    </row>
    <row r="57" spans="1:3">
      <c r="A57" s="25"/>
      <c r="B57" s="212" t="s">
        <v>5733</v>
      </c>
      <c r="C57" s="213" t="s">
        <v>7241</v>
      </c>
    </row>
    <row r="58" spans="1:3">
      <c r="A58" s="25"/>
    </row>
    <row r="59" spans="1:3">
      <c r="A59" s="212" t="s">
        <v>7245</v>
      </c>
      <c r="B59" s="42" t="s">
        <v>7246</v>
      </c>
    </row>
    <row r="60" spans="1:3">
      <c r="A60" s="25"/>
      <c r="B60" s="212" t="s">
        <v>5733</v>
      </c>
      <c r="C60" s="213" t="s">
        <v>7247</v>
      </c>
    </row>
    <row r="61" spans="1:3">
      <c r="A61" s="25"/>
    </row>
    <row r="62" spans="1:3">
      <c r="A62" s="212" t="s">
        <v>7226</v>
      </c>
      <c r="B62" s="42" t="s">
        <v>7224</v>
      </c>
    </row>
    <row r="63" spans="1:3">
      <c r="A63" s="25"/>
      <c r="B63" s="212" t="s">
        <v>5733</v>
      </c>
      <c r="C63" s="213" t="s">
        <v>4098</v>
      </c>
    </row>
    <row r="64" spans="1:3">
      <c r="A64" s="25"/>
      <c r="B64" s="212" t="s">
        <v>5668</v>
      </c>
      <c r="C64" s="112">
        <v>21162</v>
      </c>
    </row>
    <row r="65" spans="1:3">
      <c r="A65" s="25"/>
      <c r="B65" s="212" t="s">
        <v>5666</v>
      </c>
      <c r="C65" s="101" t="s">
        <v>7225</v>
      </c>
    </row>
    <row r="66" spans="1:3">
      <c r="A66" s="25"/>
      <c r="B66" s="212" t="s">
        <v>6157</v>
      </c>
      <c r="C66" s="214">
        <v>45172</v>
      </c>
    </row>
    <row r="67" spans="1:3">
      <c r="A67" s="25"/>
      <c r="B67" s="212" t="s">
        <v>4201</v>
      </c>
      <c r="C67" s="214" t="s">
        <v>7256</v>
      </c>
    </row>
    <row r="68" spans="1:3">
      <c r="A68" s="25"/>
    </row>
    <row r="69" spans="1:3">
      <c r="A69" s="212" t="s">
        <v>7227</v>
      </c>
      <c r="B69" s="42" t="s">
        <v>7228</v>
      </c>
    </row>
    <row r="70" spans="1:3">
      <c r="A70" s="25"/>
      <c r="B70" s="212" t="s">
        <v>5733</v>
      </c>
      <c r="C70" s="213" t="s">
        <v>4098</v>
      </c>
    </row>
    <row r="71" spans="1:3">
      <c r="A71" s="25"/>
      <c r="B71" s="212" t="s">
        <v>5668</v>
      </c>
      <c r="C71" s="111">
        <v>259</v>
      </c>
    </row>
    <row r="72" spans="1:3">
      <c r="A72" s="25"/>
      <c r="B72" s="212" t="s">
        <v>5666</v>
      </c>
      <c r="C72" s="101" t="s">
        <v>7229</v>
      </c>
    </row>
    <row r="73" spans="1:3">
      <c r="A73" s="25"/>
    </row>
    <row r="74" spans="1:3">
      <c r="A74" s="175" t="s">
        <v>7018</v>
      </c>
      <c r="B74" s="42" t="s">
        <v>6036</v>
      </c>
    </row>
    <row r="75" spans="1:3">
      <c r="A75" s="25"/>
      <c r="B75" s="108" t="s">
        <v>5733</v>
      </c>
      <c r="C75" s="109" t="s">
        <v>6035</v>
      </c>
    </row>
    <row r="76" spans="1:3">
      <c r="A76" s="25"/>
      <c r="B76" s="108" t="s">
        <v>5668</v>
      </c>
      <c r="C76" s="111">
        <v>3169</v>
      </c>
    </row>
    <row r="77" spans="1:3">
      <c r="A77" s="25"/>
      <c r="B77" s="108" t="s">
        <v>5666</v>
      </c>
      <c r="C77" s="101" t="s">
        <v>6038</v>
      </c>
    </row>
    <row r="78" spans="1:3">
      <c r="A78" s="25"/>
    </row>
    <row r="79" spans="1:3">
      <c r="A79" s="108" t="s">
        <v>5678</v>
      </c>
      <c r="B79" s="42" t="s">
        <v>5472</v>
      </c>
    </row>
    <row r="80" spans="1:3">
      <c r="A80" s="25"/>
      <c r="B80" s="108" t="s">
        <v>5667</v>
      </c>
      <c r="C80" s="109" t="s">
        <v>5473</v>
      </c>
    </row>
    <row r="81" spans="1:3">
      <c r="A81" s="25"/>
      <c r="B81" s="108" t="s">
        <v>5668</v>
      </c>
      <c r="C81" s="111">
        <v>2971</v>
      </c>
    </row>
    <row r="82" spans="1:3">
      <c r="A82" s="25"/>
      <c r="B82" s="108" t="s">
        <v>5666</v>
      </c>
      <c r="C82" s="101" t="s">
        <v>5675</v>
      </c>
    </row>
    <row r="83" spans="1:3">
      <c r="A83" s="25"/>
      <c r="C83" s="25" t="s">
        <v>7223</v>
      </c>
    </row>
    <row r="84" spans="1:3">
      <c r="A84" s="25"/>
      <c r="B84" s="175" t="s">
        <v>6157</v>
      </c>
      <c r="C84" s="137">
        <v>45168</v>
      </c>
    </row>
    <row r="85" spans="1:3">
      <c r="A85" s="25"/>
    </row>
    <row r="86" spans="1:3">
      <c r="A86" s="108" t="s">
        <v>5679</v>
      </c>
      <c r="B86" s="42" t="s">
        <v>5676</v>
      </c>
    </row>
    <row r="87" spans="1:3">
      <c r="B87" s="108" t="s">
        <v>5667</v>
      </c>
      <c r="C87" s="109" t="s">
        <v>5299</v>
      </c>
    </row>
    <row r="88" spans="1:3">
      <c r="B88" s="108" t="s">
        <v>5668</v>
      </c>
      <c r="C88" s="112">
        <v>17453</v>
      </c>
    </row>
    <row r="89" spans="1:3">
      <c r="B89" s="108" t="s">
        <v>5666</v>
      </c>
      <c r="C89" s="228" t="s">
        <v>5677</v>
      </c>
    </row>
    <row r="91" spans="1:3">
      <c r="A91" s="108" t="s">
        <v>5680</v>
      </c>
      <c r="B91" s="42" t="s">
        <v>5485</v>
      </c>
    </row>
    <row r="92" spans="1:3">
      <c r="B92" s="108" t="s">
        <v>5667</v>
      </c>
      <c r="C92" s="109" t="s">
        <v>4124</v>
      </c>
    </row>
    <row r="93" spans="1:3">
      <c r="B93" s="108" t="s">
        <v>5668</v>
      </c>
      <c r="C93" s="111">
        <v>1984</v>
      </c>
    </row>
    <row r="94" spans="1:3">
      <c r="B94" s="108" t="s">
        <v>5666</v>
      </c>
      <c r="C94" s="101" t="s">
        <v>5689</v>
      </c>
    </row>
    <row r="96" spans="1:3">
      <c r="A96" s="108" t="s">
        <v>5681</v>
      </c>
      <c r="B96" s="42" t="s">
        <v>5691</v>
      </c>
    </row>
    <row r="97" spans="1:3">
      <c r="B97" s="108" t="s">
        <v>5667</v>
      </c>
      <c r="C97" s="109" t="s">
        <v>5690</v>
      </c>
    </row>
    <row r="98" spans="1:3">
      <c r="B98" s="108" t="s">
        <v>5668</v>
      </c>
      <c r="C98" s="111">
        <v>2957</v>
      </c>
    </row>
    <row r="99" spans="1:3">
      <c r="B99" s="108" t="s">
        <v>5666</v>
      </c>
      <c r="C99" s="101" t="s">
        <v>5692</v>
      </c>
    </row>
    <row r="101" spans="1:3">
      <c r="A101" s="108" t="s">
        <v>5682</v>
      </c>
      <c r="B101" s="42" t="s">
        <v>5305</v>
      </c>
    </row>
    <row r="102" spans="1:3">
      <c r="B102" s="108" t="s">
        <v>5667</v>
      </c>
      <c r="C102" s="109" t="s">
        <v>5299</v>
      </c>
    </row>
    <row r="103" spans="1:3">
      <c r="B103" s="108" t="s">
        <v>5668</v>
      </c>
      <c r="C103" s="113">
        <v>9588</v>
      </c>
    </row>
    <row r="104" spans="1:3">
      <c r="B104" s="108" t="s">
        <v>5666</v>
      </c>
      <c r="C104" s="101" t="s">
        <v>5693</v>
      </c>
    </row>
    <row r="106" spans="1:3">
      <c r="A106" s="108" t="s">
        <v>5683</v>
      </c>
      <c r="B106" s="42" t="s">
        <v>5694</v>
      </c>
    </row>
    <row r="107" spans="1:3">
      <c r="B107" s="108" t="s">
        <v>5667</v>
      </c>
      <c r="C107" s="109" t="s">
        <v>4482</v>
      </c>
    </row>
    <row r="108" spans="1:3">
      <c r="B108" s="108" t="s">
        <v>5668</v>
      </c>
      <c r="C108" s="111">
        <v>2896</v>
      </c>
    </row>
    <row r="109" spans="1:3">
      <c r="B109" s="108" t="s">
        <v>5666</v>
      </c>
      <c r="C109" s="101" t="s">
        <v>5695</v>
      </c>
    </row>
    <row r="111" spans="1:3">
      <c r="A111" s="108" t="s">
        <v>5684</v>
      </c>
      <c r="B111" s="42" t="s">
        <v>5306</v>
      </c>
    </row>
    <row r="112" spans="1:3">
      <c r="B112" s="108" t="s">
        <v>5667</v>
      </c>
      <c r="C112" s="109" t="s">
        <v>5307</v>
      </c>
    </row>
    <row r="113" spans="1:3">
      <c r="B113" s="108" t="s">
        <v>5668</v>
      </c>
      <c r="C113" s="114">
        <v>12004</v>
      </c>
    </row>
    <row r="114" spans="1:3">
      <c r="B114" s="108" t="s">
        <v>5666</v>
      </c>
      <c r="C114" s="101" t="s">
        <v>5698</v>
      </c>
    </row>
    <row r="116" spans="1:3">
      <c r="A116" s="108" t="s">
        <v>5685</v>
      </c>
      <c r="B116" s="42" t="s">
        <v>5696</v>
      </c>
    </row>
    <row r="117" spans="1:3">
      <c r="B117" s="108" t="s">
        <v>5667</v>
      </c>
      <c r="C117" s="109" t="s">
        <v>5697</v>
      </c>
    </row>
    <row r="118" spans="1:3">
      <c r="B118" s="108" t="s">
        <v>5668</v>
      </c>
      <c r="C118" s="111">
        <v>1026</v>
      </c>
    </row>
    <row r="119" spans="1:3">
      <c r="B119" s="108" t="s">
        <v>5666</v>
      </c>
      <c r="C119" s="101" t="s">
        <v>5699</v>
      </c>
    </row>
    <row r="121" spans="1:3">
      <c r="A121" s="108" t="s">
        <v>6282</v>
      </c>
      <c r="B121" s="42" t="s">
        <v>6284</v>
      </c>
    </row>
    <row r="122" spans="1:3">
      <c r="B122" s="108" t="s">
        <v>5667</v>
      </c>
      <c r="C122" s="109" t="s">
        <v>6283</v>
      </c>
    </row>
    <row r="123" spans="1:3">
      <c r="B123" s="108" t="s">
        <v>5668</v>
      </c>
      <c r="C123" s="111">
        <v>429</v>
      </c>
    </row>
    <row r="124" spans="1:3">
      <c r="B124" s="108" t="s">
        <v>5666</v>
      </c>
      <c r="C124" s="101" t="s">
        <v>6285</v>
      </c>
    </row>
    <row r="126" spans="1:3">
      <c r="A126" s="108" t="s">
        <v>5686</v>
      </c>
      <c r="B126" s="42" t="s">
        <v>5700</v>
      </c>
    </row>
    <row r="127" spans="1:3">
      <c r="B127" s="108" t="s">
        <v>5667</v>
      </c>
      <c r="C127" s="109" t="s">
        <v>5486</v>
      </c>
    </row>
    <row r="128" spans="1:3">
      <c r="B128" s="108" t="s">
        <v>5668</v>
      </c>
      <c r="C128" s="115">
        <v>17070</v>
      </c>
    </row>
    <row r="129" spans="1:3">
      <c r="B129" s="109" t="s">
        <v>5666</v>
      </c>
      <c r="C129" s="101" t="s">
        <v>5701</v>
      </c>
    </row>
    <row r="131" spans="1:3">
      <c r="A131" s="108" t="s">
        <v>6155</v>
      </c>
      <c r="B131" s="42" t="s">
        <v>6159</v>
      </c>
    </row>
    <row r="132" spans="1:3">
      <c r="B132" s="108" t="s">
        <v>5667</v>
      </c>
      <c r="C132" s="109" t="s">
        <v>6158</v>
      </c>
    </row>
    <row r="133" spans="1:3">
      <c r="B133" s="108" t="s">
        <v>5668</v>
      </c>
      <c r="C133" s="116">
        <v>8121</v>
      </c>
    </row>
    <row r="134" spans="1:3">
      <c r="B134" s="108" t="s">
        <v>5666</v>
      </c>
      <c r="C134" s="101" t="s">
        <v>6156</v>
      </c>
    </row>
    <row r="136" spans="1:3">
      <c r="B136" s="42" t="s">
        <v>7203</v>
      </c>
    </row>
    <row r="137" spans="1:3">
      <c r="B137" s="205" t="s">
        <v>5733</v>
      </c>
      <c r="C137" s="207" t="s">
        <v>7204</v>
      </c>
    </row>
    <row r="140" spans="1:3">
      <c r="A140" s="108" t="s">
        <v>5687</v>
      </c>
      <c r="B140" s="42" t="s">
        <v>5702</v>
      </c>
    </row>
    <row r="141" spans="1:3">
      <c r="B141" s="108" t="s">
        <v>5667</v>
      </c>
      <c r="C141" s="109" t="s">
        <v>5703</v>
      </c>
    </row>
    <row r="142" spans="1:3">
      <c r="B142" s="108" t="s">
        <v>5668</v>
      </c>
      <c r="C142" s="116">
        <v>6002</v>
      </c>
    </row>
    <row r="143" spans="1:3">
      <c r="B143" s="108" t="s">
        <v>5666</v>
      </c>
      <c r="C143" s="25" t="s">
        <v>5704</v>
      </c>
    </row>
    <row r="145" spans="1:3">
      <c r="A145" s="108" t="s">
        <v>5688</v>
      </c>
      <c r="B145" s="42" t="s">
        <v>5470</v>
      </c>
    </row>
    <row r="146" spans="1:3">
      <c r="B146" s="108" t="s">
        <v>5667</v>
      </c>
      <c r="C146" s="109" t="s">
        <v>5471</v>
      </c>
    </row>
    <row r="147" spans="1:3">
      <c r="B147" s="108" t="s">
        <v>5668</v>
      </c>
      <c r="C147" s="116">
        <v>9169</v>
      </c>
    </row>
    <row r="148" spans="1:3">
      <c r="B148" s="108" t="s">
        <v>5666</v>
      </c>
      <c r="C148" s="25" t="s">
        <v>5705</v>
      </c>
    </row>
    <row r="150" spans="1:3">
      <c r="A150" s="205" t="s">
        <v>7209</v>
      </c>
      <c r="B150" s="42" t="s">
        <v>7207</v>
      </c>
    </row>
    <row r="151" spans="1:3">
      <c r="B151" s="205" t="s">
        <v>5667</v>
      </c>
      <c r="C151" s="207" t="s">
        <v>7208</v>
      </c>
    </row>
    <row r="153" spans="1:3">
      <c r="A153" s="108" t="s">
        <v>5672</v>
      </c>
      <c r="B153" s="42" t="s">
        <v>5671</v>
      </c>
    </row>
    <row r="154" spans="1:3">
      <c r="B154" s="108" t="s">
        <v>5667</v>
      </c>
      <c r="C154" s="109" t="s">
        <v>5670</v>
      </c>
    </row>
    <row r="155" spans="1:3">
      <c r="B155" s="108" t="s">
        <v>5668</v>
      </c>
      <c r="C155" s="113">
        <v>5349</v>
      </c>
    </row>
    <row r="156" spans="1:3">
      <c r="B156" s="108" t="s">
        <v>5666</v>
      </c>
      <c r="C156" s="25" t="s">
        <v>5706</v>
      </c>
    </row>
    <row r="158" spans="1:3">
      <c r="A158" s="108" t="s">
        <v>5674</v>
      </c>
      <c r="B158" s="42" t="s">
        <v>5673</v>
      </c>
    </row>
    <row r="159" spans="1:3">
      <c r="B159" s="108" t="s">
        <v>5667</v>
      </c>
      <c r="C159" s="109" t="s">
        <v>4132</v>
      </c>
    </row>
    <row r="160" spans="1:3">
      <c r="B160" s="108" t="s">
        <v>5668</v>
      </c>
      <c r="C160" s="111">
        <v>391</v>
      </c>
    </row>
    <row r="161" spans="1:3">
      <c r="B161" s="108" t="s">
        <v>5666</v>
      </c>
      <c r="C161" s="101" t="s">
        <v>5707</v>
      </c>
    </row>
    <row r="162" spans="1:3">
      <c r="C162" s="101"/>
    </row>
    <row r="163" spans="1:3">
      <c r="A163" s="108" t="s">
        <v>5708</v>
      </c>
      <c r="B163" s="42" t="s">
        <v>5710</v>
      </c>
    </row>
    <row r="164" spans="1:3">
      <c r="B164" s="108" t="s">
        <v>5667</v>
      </c>
      <c r="C164" s="246" t="s">
        <v>5312</v>
      </c>
    </row>
    <row r="165" spans="1:3">
      <c r="B165" s="108" t="s">
        <v>5668</v>
      </c>
      <c r="C165" s="117">
        <v>34391</v>
      </c>
    </row>
    <row r="166" spans="1:3">
      <c r="B166" s="108" t="s">
        <v>5666</v>
      </c>
      <c r="C166" s="25" t="s">
        <v>5711</v>
      </c>
    </row>
    <row r="167" spans="1:3">
      <c r="B167" s="108" t="s">
        <v>4201</v>
      </c>
      <c r="C167" s="109" t="s">
        <v>5712</v>
      </c>
    </row>
    <row r="170" spans="1:3">
      <c r="A170" s="108" t="s">
        <v>5709</v>
      </c>
      <c r="B170" s="42" t="s">
        <v>5311</v>
      </c>
    </row>
    <row r="171" spans="1:3">
      <c r="B171" s="108" t="s">
        <v>5667</v>
      </c>
      <c r="C171" s="109" t="s">
        <v>5312</v>
      </c>
    </row>
    <row r="172" spans="1:3">
      <c r="B172" s="108" t="s">
        <v>5668</v>
      </c>
      <c r="C172" s="118">
        <v>26462</v>
      </c>
    </row>
    <row r="173" spans="1:3">
      <c r="B173" s="108" t="s">
        <v>5666</v>
      </c>
      <c r="C173" s="25" t="s">
        <v>5713</v>
      </c>
    </row>
    <row r="174" spans="1:3">
      <c r="C174" s="25"/>
    </row>
    <row r="175" spans="1:3">
      <c r="A175" s="108" t="s">
        <v>5997</v>
      </c>
      <c r="B175" s="42" t="s">
        <v>5998</v>
      </c>
      <c r="C175" s="25"/>
    </row>
    <row r="176" spans="1:3">
      <c r="B176" s="108" t="s">
        <v>5667</v>
      </c>
      <c r="C176" s="109" t="s">
        <v>5999</v>
      </c>
    </row>
    <row r="177" spans="1:3">
      <c r="B177" s="108" t="s">
        <v>5668</v>
      </c>
      <c r="C177" s="111">
        <v>193</v>
      </c>
    </row>
    <row r="178" spans="1:3">
      <c r="B178" s="108" t="s">
        <v>5666</v>
      </c>
      <c r="C178" s="25" t="s">
        <v>6000</v>
      </c>
    </row>
    <row r="180" spans="1:3">
      <c r="A180" s="205" t="s">
        <v>7190</v>
      </c>
      <c r="B180" s="42" t="s">
        <v>7191</v>
      </c>
    </row>
    <row r="181" spans="1:3">
      <c r="B181" s="205" t="s">
        <v>5733</v>
      </c>
      <c r="C181" s="207" t="s">
        <v>4501</v>
      </c>
    </row>
    <row r="185" spans="1:3">
      <c r="A185" s="108" t="s">
        <v>5714</v>
      </c>
      <c r="B185" s="42" t="s">
        <v>5489</v>
      </c>
    </row>
    <row r="186" spans="1:3">
      <c r="B186" s="108" t="s">
        <v>5667</v>
      </c>
      <c r="C186" s="109" t="s">
        <v>5490</v>
      </c>
    </row>
    <row r="187" spans="1:3">
      <c r="B187" s="108" t="s">
        <v>5668</v>
      </c>
      <c r="C187" s="119">
        <v>14928</v>
      </c>
    </row>
    <row r="188" spans="1:3">
      <c r="B188" s="108" t="s">
        <v>5666</v>
      </c>
      <c r="C188" s="25" t="s">
        <v>5725</v>
      </c>
    </row>
    <row r="190" spans="1:3">
      <c r="A190" s="108" t="s">
        <v>5715</v>
      </c>
      <c r="B190" s="42" t="s">
        <v>5726</v>
      </c>
    </row>
    <row r="191" spans="1:3">
      <c r="B191" s="108" t="s">
        <v>5667</v>
      </c>
      <c r="C191" s="109" t="s">
        <v>5727</v>
      </c>
    </row>
    <row r="192" spans="1:3">
      <c r="B192" s="108" t="s">
        <v>5668</v>
      </c>
      <c r="C192" s="116">
        <v>5956</v>
      </c>
    </row>
    <row r="193" spans="1:3">
      <c r="B193" s="108" t="s">
        <v>5666</v>
      </c>
      <c r="C193" s="25" t="s">
        <v>5728</v>
      </c>
    </row>
    <row r="194" spans="1:3">
      <c r="C194" s="25"/>
    </row>
    <row r="195" spans="1:3">
      <c r="A195" s="108" t="s">
        <v>6001</v>
      </c>
      <c r="B195" s="42" t="s">
        <v>6003</v>
      </c>
      <c r="C195" s="25"/>
    </row>
    <row r="196" spans="1:3">
      <c r="B196" s="108" t="s">
        <v>5667</v>
      </c>
      <c r="C196" s="120" t="s">
        <v>6004</v>
      </c>
    </row>
    <row r="197" spans="1:3">
      <c r="B197" s="108" t="s">
        <v>5668</v>
      </c>
      <c r="C197" s="111">
        <v>1950</v>
      </c>
    </row>
    <row r="198" spans="1:3">
      <c r="B198" s="108" t="s">
        <v>5666</v>
      </c>
      <c r="C198" s="25" t="s">
        <v>6002</v>
      </c>
    </row>
    <row r="200" spans="1:3">
      <c r="A200" s="108" t="s">
        <v>5717</v>
      </c>
      <c r="B200" s="42" t="s">
        <v>5729</v>
      </c>
    </row>
    <row r="201" spans="1:3">
      <c r="B201" s="108" t="s">
        <v>5667</v>
      </c>
      <c r="C201" s="109" t="s">
        <v>5730</v>
      </c>
    </row>
    <row r="202" spans="1:3">
      <c r="B202" s="108" t="s">
        <v>5668</v>
      </c>
      <c r="C202" s="119">
        <v>11169</v>
      </c>
    </row>
    <row r="203" spans="1:3">
      <c r="B203" s="108" t="s">
        <v>5666</v>
      </c>
      <c r="C203" s="25" t="s">
        <v>5731</v>
      </c>
    </row>
    <row r="205" spans="1:3">
      <c r="A205" s="108" t="s">
        <v>6189</v>
      </c>
      <c r="B205" s="42" t="s">
        <v>6186</v>
      </c>
    </row>
    <row r="206" spans="1:3">
      <c r="B206" s="108" t="s">
        <v>5667</v>
      </c>
      <c r="C206" s="109" t="s">
        <v>6188</v>
      </c>
    </row>
    <row r="207" spans="1:3">
      <c r="B207" s="108" t="s">
        <v>5668</v>
      </c>
      <c r="C207" s="116">
        <v>5749</v>
      </c>
    </row>
    <row r="208" spans="1:3">
      <c r="B208" s="108" t="s">
        <v>5666</v>
      </c>
      <c r="C208" s="101" t="s">
        <v>6187</v>
      </c>
    </row>
    <row r="210" spans="1:3">
      <c r="A210" s="108" t="s">
        <v>5716</v>
      </c>
      <c r="B210" s="42" t="s">
        <v>5484</v>
      </c>
    </row>
    <row r="211" spans="1:3">
      <c r="B211" s="108" t="s">
        <v>5733</v>
      </c>
      <c r="C211" s="246" t="s">
        <v>5732</v>
      </c>
    </row>
    <row r="212" spans="1:3">
      <c r="B212" s="108" t="s">
        <v>5668</v>
      </c>
      <c r="C212" s="121">
        <v>80021</v>
      </c>
    </row>
    <row r="213" spans="1:3">
      <c r="B213" s="108" t="s">
        <v>5666</v>
      </c>
      <c r="C213" s="25" t="s">
        <v>5734</v>
      </c>
    </row>
    <row r="215" spans="1:3">
      <c r="A215" s="175" t="s">
        <v>6841</v>
      </c>
      <c r="B215" s="42" t="s">
        <v>6844</v>
      </c>
    </row>
    <row r="216" spans="1:3">
      <c r="A216" s="175"/>
      <c r="B216" s="175" t="s">
        <v>5667</v>
      </c>
      <c r="C216" s="198" t="s">
        <v>6842</v>
      </c>
    </row>
    <row r="217" spans="1:3">
      <c r="B217" s="175" t="s">
        <v>5668</v>
      </c>
      <c r="C217" s="111">
        <v>4388</v>
      </c>
    </row>
    <row r="218" spans="1:3">
      <c r="B218" s="175" t="s">
        <v>5666</v>
      </c>
      <c r="C218" s="101" t="s">
        <v>6843</v>
      </c>
    </row>
    <row r="220" spans="1:3">
      <c r="A220" s="205" t="s">
        <v>7212</v>
      </c>
      <c r="B220" s="42" t="s">
        <v>7210</v>
      </c>
    </row>
    <row r="221" spans="1:3">
      <c r="B221" s="205" t="s">
        <v>5667</v>
      </c>
      <c r="C221" s="207" t="s">
        <v>7211</v>
      </c>
    </row>
    <row r="224" spans="1:3">
      <c r="A224" s="108" t="s">
        <v>5718</v>
      </c>
      <c r="B224" s="42" t="s">
        <v>5735</v>
      </c>
    </row>
    <row r="225" spans="1:3">
      <c r="B225" s="108" t="s">
        <v>5667</v>
      </c>
      <c r="C225" s="109" t="s">
        <v>5736</v>
      </c>
    </row>
    <row r="226" spans="1:3">
      <c r="B226" s="108" t="s">
        <v>5668</v>
      </c>
      <c r="C226" s="119">
        <v>11155</v>
      </c>
    </row>
    <row r="227" spans="1:3">
      <c r="B227" s="108" t="s">
        <v>5666</v>
      </c>
      <c r="C227" s="25" t="s">
        <v>5737</v>
      </c>
    </row>
    <row r="229" spans="1:3">
      <c r="A229" s="108" t="s">
        <v>5719</v>
      </c>
      <c r="B229" s="42" t="s">
        <v>5738</v>
      </c>
    </row>
    <row r="230" spans="1:3">
      <c r="B230" s="108" t="s">
        <v>5667</v>
      </c>
      <c r="C230" s="109" t="s">
        <v>5739</v>
      </c>
    </row>
    <row r="231" spans="1:3">
      <c r="B231" s="108" t="s">
        <v>5668</v>
      </c>
      <c r="C231" s="122">
        <v>1218</v>
      </c>
    </row>
    <row r="232" spans="1:3">
      <c r="B232" s="109" t="s">
        <v>5666</v>
      </c>
      <c r="C232" s="101" t="s">
        <v>5740</v>
      </c>
    </row>
    <row r="234" spans="1:3">
      <c r="A234" s="108" t="s">
        <v>5720</v>
      </c>
      <c r="B234" s="42" t="s">
        <v>5741</v>
      </c>
    </row>
    <row r="235" spans="1:3">
      <c r="B235" s="108" t="s">
        <v>5667</v>
      </c>
      <c r="C235" s="109" t="s">
        <v>5742</v>
      </c>
    </row>
    <row r="236" spans="1:3">
      <c r="B236" s="108" t="s">
        <v>5668</v>
      </c>
      <c r="C236" s="116">
        <v>6961</v>
      </c>
    </row>
    <row r="237" spans="1:3">
      <c r="B237" s="109" t="s">
        <v>5666</v>
      </c>
      <c r="C237" s="101" t="s">
        <v>5743</v>
      </c>
    </row>
    <row r="239" spans="1:3">
      <c r="A239" s="205" t="s">
        <v>7188</v>
      </c>
      <c r="B239" s="42" t="s">
        <v>7186</v>
      </c>
    </row>
    <row r="240" spans="1:3">
      <c r="B240" s="205" t="s">
        <v>5733</v>
      </c>
      <c r="C240" s="207" t="s">
        <v>7187</v>
      </c>
    </row>
    <row r="242" spans="1:3">
      <c r="A242" s="378" t="s">
        <v>9564</v>
      </c>
      <c r="B242" s="42" t="s">
        <v>9566</v>
      </c>
    </row>
    <row r="243" spans="1:3">
      <c r="B243" s="378" t="s">
        <v>5667</v>
      </c>
      <c r="C243" s="380" t="s">
        <v>9565</v>
      </c>
    </row>
    <row r="244" spans="1:3">
      <c r="B244" s="378" t="s">
        <v>5668</v>
      </c>
    </row>
    <row r="245" spans="1:3">
      <c r="B245" s="378" t="s">
        <v>5666</v>
      </c>
    </row>
    <row r="247" spans="1:3">
      <c r="A247" s="108" t="s">
        <v>5722</v>
      </c>
      <c r="B247" s="42" t="s">
        <v>5746</v>
      </c>
    </row>
    <row r="248" spans="1:3">
      <c r="B248" s="109" t="s">
        <v>5667</v>
      </c>
      <c r="C248" s="109" t="s">
        <v>5744</v>
      </c>
    </row>
    <row r="249" spans="1:3">
      <c r="B249" s="109" t="s">
        <v>5668</v>
      </c>
      <c r="C249" s="121">
        <v>62084</v>
      </c>
    </row>
    <row r="250" spans="1:3">
      <c r="B250" s="109" t="s">
        <v>5666</v>
      </c>
      <c r="C250" s="101" t="s">
        <v>5745</v>
      </c>
    </row>
    <row r="252" spans="1:3">
      <c r="A252" s="108" t="s">
        <v>5721</v>
      </c>
      <c r="B252" s="42" t="s">
        <v>5748</v>
      </c>
    </row>
    <row r="253" spans="1:3">
      <c r="B253" s="108" t="s">
        <v>5667</v>
      </c>
      <c r="C253" s="109" t="s">
        <v>5488</v>
      </c>
    </row>
    <row r="254" spans="1:3">
      <c r="B254" s="108" t="s">
        <v>5668</v>
      </c>
      <c r="C254" s="121">
        <v>57102</v>
      </c>
    </row>
    <row r="255" spans="1:3">
      <c r="B255" s="108" t="s">
        <v>5666</v>
      </c>
      <c r="C255" s="101" t="s">
        <v>5747</v>
      </c>
    </row>
    <row r="257" spans="1:3">
      <c r="A257" s="108" t="s">
        <v>6039</v>
      </c>
      <c r="B257" s="42" t="s">
        <v>6127</v>
      </c>
    </row>
    <row r="258" spans="1:3">
      <c r="B258" s="108" t="s">
        <v>5667</v>
      </c>
      <c r="C258" s="109" t="s">
        <v>6126</v>
      </c>
    </row>
    <row r="259" spans="1:3">
      <c r="B259" s="108" t="s">
        <v>5668</v>
      </c>
      <c r="C259" s="136">
        <v>113005</v>
      </c>
    </row>
    <row r="260" spans="1:3">
      <c r="B260" s="108" t="s">
        <v>5666</v>
      </c>
      <c r="C260" s="101" t="s">
        <v>6125</v>
      </c>
    </row>
    <row r="262" spans="1:3">
      <c r="A262" s="108" t="s">
        <v>5723</v>
      </c>
      <c r="B262" s="42" t="s">
        <v>5749</v>
      </c>
    </row>
    <row r="263" spans="1:3">
      <c r="B263" s="108" t="s">
        <v>5667</v>
      </c>
      <c r="C263" s="109" t="s">
        <v>5750</v>
      </c>
    </row>
    <row r="264" spans="1:3">
      <c r="B264" s="108" t="s">
        <v>5668</v>
      </c>
      <c r="C264" s="122">
        <v>1812</v>
      </c>
    </row>
    <row r="265" spans="1:3">
      <c r="B265" s="108" t="s">
        <v>5666</v>
      </c>
      <c r="C265" s="101" t="s">
        <v>5754</v>
      </c>
    </row>
    <row r="267" spans="1:3">
      <c r="B267" s="42" t="s">
        <v>6032</v>
      </c>
    </row>
    <row r="268" spans="1:3">
      <c r="B268" s="108" t="s">
        <v>5667</v>
      </c>
      <c r="C268" s="109" t="s">
        <v>6031</v>
      </c>
    </row>
    <row r="269" spans="1:3">
      <c r="B269" s="108" t="s">
        <v>5668</v>
      </c>
    </row>
    <row r="270" spans="1:3">
      <c r="B270" s="108" t="s">
        <v>5666</v>
      </c>
    </row>
    <row r="272" spans="1:3">
      <c r="A272" s="108" t="s">
        <v>5724</v>
      </c>
      <c r="B272" s="42" t="s">
        <v>5637</v>
      </c>
    </row>
    <row r="273" spans="1:3">
      <c r="B273" s="108" t="s">
        <v>5667</v>
      </c>
      <c r="C273" s="109" t="s">
        <v>5638</v>
      </c>
    </row>
    <row r="274" spans="1:3">
      <c r="B274" s="108" t="s">
        <v>5668</v>
      </c>
      <c r="C274" s="119">
        <v>12844</v>
      </c>
    </row>
    <row r="275" spans="1:3">
      <c r="B275" s="108" t="s">
        <v>4203</v>
      </c>
      <c r="C275" s="108" t="s">
        <v>5769</v>
      </c>
    </row>
    <row r="276" spans="1:3">
      <c r="B276" s="108" t="s">
        <v>5666</v>
      </c>
      <c r="C276" s="25" t="s">
        <v>5768</v>
      </c>
    </row>
    <row r="278" spans="1:3">
      <c r="A278" s="108" t="s">
        <v>6151</v>
      </c>
      <c r="B278" s="42" t="s">
        <v>6153</v>
      </c>
    </row>
    <row r="279" spans="1:3">
      <c r="B279" s="108" t="s">
        <v>5667</v>
      </c>
      <c r="C279" s="109" t="s">
        <v>6152</v>
      </c>
    </row>
    <row r="280" spans="1:3">
      <c r="B280" s="108" t="s">
        <v>5668</v>
      </c>
      <c r="C280" s="122">
        <v>4936</v>
      </c>
    </row>
    <row r="281" spans="1:3">
      <c r="B281" s="108" t="s">
        <v>5666</v>
      </c>
      <c r="C281" s="25" t="s">
        <v>6150</v>
      </c>
    </row>
    <row r="282" spans="1:3">
      <c r="B282" s="108" t="s">
        <v>5666</v>
      </c>
      <c r="C282" s="25" t="s">
        <v>6154</v>
      </c>
    </row>
    <row r="284" spans="1:3">
      <c r="A284" s="108" t="s">
        <v>6193</v>
      </c>
      <c r="B284" s="42" t="s">
        <v>6190</v>
      </c>
    </row>
    <row r="285" spans="1:3">
      <c r="B285" s="108" t="s">
        <v>5667</v>
      </c>
      <c r="C285" s="109" t="s">
        <v>6191</v>
      </c>
    </row>
    <row r="286" spans="1:3">
      <c r="B286" s="108" t="s">
        <v>5668</v>
      </c>
      <c r="C286" s="122">
        <v>1783</v>
      </c>
    </row>
    <row r="287" spans="1:3">
      <c r="B287" s="108" t="s">
        <v>5666</v>
      </c>
      <c r="C287" s="101" t="s">
        <v>6192</v>
      </c>
    </row>
    <row r="289" spans="1:3">
      <c r="A289" s="175" t="s">
        <v>6824</v>
      </c>
      <c r="B289" s="42" t="s">
        <v>6825</v>
      </c>
    </row>
    <row r="290" spans="1:3">
      <c r="B290" s="175" t="s">
        <v>5667</v>
      </c>
      <c r="C290" s="193" t="s">
        <v>6826</v>
      </c>
    </row>
    <row r="291" spans="1:3">
      <c r="B291" s="175" t="s">
        <v>5668</v>
      </c>
      <c r="C291" s="122">
        <v>1669</v>
      </c>
    </row>
    <row r="292" spans="1:3">
      <c r="B292" s="175" t="s">
        <v>5666</v>
      </c>
      <c r="C292" s="101" t="s">
        <v>6827</v>
      </c>
    </row>
    <row r="294" spans="1:3">
      <c r="A294" s="175" t="s">
        <v>6874</v>
      </c>
      <c r="B294" s="42" t="s">
        <v>6875</v>
      </c>
    </row>
    <row r="295" spans="1:3">
      <c r="B295" s="175" t="s">
        <v>5667</v>
      </c>
      <c r="C295" s="193" t="s">
        <v>6877</v>
      </c>
    </row>
    <row r="296" spans="1:3">
      <c r="B296" s="175" t="s">
        <v>5668</v>
      </c>
      <c r="C296" s="122">
        <v>1323</v>
      </c>
    </row>
    <row r="297" spans="1:3">
      <c r="B297" s="175" t="s">
        <v>5666</v>
      </c>
      <c r="C297" s="101" t="s">
        <v>6876</v>
      </c>
    </row>
    <row r="299" spans="1:3">
      <c r="A299" s="108" t="s">
        <v>5751</v>
      </c>
      <c r="B299" s="42" t="s">
        <v>5770</v>
      </c>
    </row>
    <row r="300" spans="1:3">
      <c r="B300" s="108" t="s">
        <v>5667</v>
      </c>
      <c r="C300" s="109" t="s">
        <v>5771</v>
      </c>
    </row>
    <row r="301" spans="1:3">
      <c r="B301" s="108" t="s">
        <v>5668</v>
      </c>
      <c r="C301" s="121">
        <v>65618</v>
      </c>
    </row>
    <row r="302" spans="1:3">
      <c r="B302" s="108" t="s">
        <v>5666</v>
      </c>
      <c r="C302" s="25" t="s">
        <v>5773</v>
      </c>
    </row>
    <row r="304" spans="1:3">
      <c r="A304" s="108" t="s">
        <v>5753</v>
      </c>
      <c r="B304" s="42" t="s">
        <v>5494</v>
      </c>
    </row>
    <row r="305" spans="1:3">
      <c r="B305" s="108" t="s">
        <v>5667</v>
      </c>
      <c r="C305" s="109" t="s">
        <v>5495</v>
      </c>
    </row>
    <row r="306" spans="1:3">
      <c r="B306" s="108" t="s">
        <v>5668</v>
      </c>
      <c r="C306" s="123">
        <v>20836</v>
      </c>
    </row>
    <row r="307" spans="1:3">
      <c r="B307" s="108" t="s">
        <v>5666</v>
      </c>
      <c r="C307" s="101" t="s">
        <v>5774</v>
      </c>
    </row>
    <row r="309" spans="1:3">
      <c r="A309" s="108" t="s">
        <v>5752</v>
      </c>
      <c r="B309" s="42" t="s">
        <v>5772</v>
      </c>
    </row>
    <row r="310" spans="1:3">
      <c r="B310" s="108" t="s">
        <v>5667</v>
      </c>
      <c r="C310" s="109" t="s">
        <v>5775</v>
      </c>
    </row>
    <row r="311" spans="1:3">
      <c r="B311" s="108" t="s">
        <v>5668</v>
      </c>
      <c r="C311" s="119">
        <v>19905</v>
      </c>
    </row>
    <row r="312" spans="1:3">
      <c r="B312" s="108" t="s">
        <v>5666</v>
      </c>
      <c r="C312" s="101" t="s">
        <v>5776</v>
      </c>
    </row>
    <row r="314" spans="1:3">
      <c r="A314" s="175" t="s">
        <v>6833</v>
      </c>
      <c r="B314" s="42" t="s">
        <v>6836</v>
      </c>
    </row>
    <row r="315" spans="1:3">
      <c r="B315" s="175" t="s">
        <v>5667</v>
      </c>
      <c r="C315" s="193" t="s">
        <v>6834</v>
      </c>
    </row>
    <row r="316" spans="1:3">
      <c r="B316" s="175" t="s">
        <v>5668</v>
      </c>
      <c r="C316" s="122">
        <v>1875</v>
      </c>
    </row>
    <row r="317" spans="1:3">
      <c r="B317" s="175" t="s">
        <v>5666</v>
      </c>
      <c r="C317" s="101" t="s">
        <v>6835</v>
      </c>
    </row>
    <row r="319" spans="1:3">
      <c r="A319" s="108" t="s">
        <v>6119</v>
      </c>
      <c r="B319" s="42" t="s">
        <v>6163</v>
      </c>
    </row>
    <row r="320" spans="1:3">
      <c r="B320" s="108" t="s">
        <v>5667</v>
      </c>
      <c r="C320" s="109" t="s">
        <v>6162</v>
      </c>
    </row>
    <row r="321" spans="1:3">
      <c r="B321" s="108" t="s">
        <v>5668</v>
      </c>
      <c r="C321" s="122">
        <v>2736</v>
      </c>
    </row>
    <row r="322" spans="1:3">
      <c r="B322" s="108" t="s">
        <v>5666</v>
      </c>
      <c r="C322" s="101" t="s">
        <v>6164</v>
      </c>
    </row>
    <row r="324" spans="1:3">
      <c r="A324" s="108" t="s">
        <v>6165</v>
      </c>
      <c r="B324" s="42" t="s">
        <v>6122</v>
      </c>
    </row>
    <row r="325" spans="1:3">
      <c r="B325" s="108" t="s">
        <v>5667</v>
      </c>
      <c r="C325" s="109" t="s">
        <v>6120</v>
      </c>
    </row>
    <row r="326" spans="1:3">
      <c r="B326" s="108" t="s">
        <v>5668</v>
      </c>
      <c r="C326" s="122">
        <v>1161</v>
      </c>
    </row>
    <row r="327" spans="1:3">
      <c r="B327" s="108" t="s">
        <v>5666</v>
      </c>
      <c r="C327" s="101" t="s">
        <v>6121</v>
      </c>
    </row>
    <row r="329" spans="1:3">
      <c r="A329" s="108" t="s">
        <v>5777</v>
      </c>
      <c r="B329" s="42" t="s">
        <v>5778</v>
      </c>
    </row>
    <row r="330" spans="1:3">
      <c r="B330" s="108" t="s">
        <v>5667</v>
      </c>
      <c r="C330" s="109" t="s">
        <v>5779</v>
      </c>
    </row>
    <row r="331" spans="1:3">
      <c r="B331" s="108" t="s">
        <v>5668</v>
      </c>
      <c r="C331" s="121">
        <v>35378</v>
      </c>
    </row>
    <row r="332" spans="1:3">
      <c r="B332" s="108" t="s">
        <v>5666</v>
      </c>
      <c r="C332" s="25" t="s">
        <v>5780</v>
      </c>
    </row>
    <row r="334" spans="1:3">
      <c r="A334" s="175" t="s">
        <v>6861</v>
      </c>
      <c r="B334" s="42" t="s">
        <v>6862</v>
      </c>
    </row>
    <row r="335" spans="1:3">
      <c r="B335" s="175" t="s">
        <v>5667</v>
      </c>
      <c r="C335" s="193" t="s">
        <v>6863</v>
      </c>
    </row>
    <row r="336" spans="1:3">
      <c r="B336" s="175" t="s">
        <v>5668</v>
      </c>
      <c r="C336" s="116">
        <v>7185</v>
      </c>
    </row>
    <row r="337" spans="1:3">
      <c r="B337" s="175" t="s">
        <v>5666</v>
      </c>
      <c r="C337" s="101" t="s">
        <v>6864</v>
      </c>
    </row>
    <row r="339" spans="1:3">
      <c r="A339" s="108" t="s">
        <v>5781</v>
      </c>
      <c r="B339" s="42" t="s">
        <v>6140</v>
      </c>
    </row>
    <row r="340" spans="1:3">
      <c r="B340" s="108" t="s">
        <v>5667</v>
      </c>
      <c r="C340" s="109" t="s">
        <v>6141</v>
      </c>
    </row>
    <row r="341" spans="1:3">
      <c r="B341" s="108" t="s">
        <v>5668</v>
      </c>
      <c r="C341" s="121">
        <v>55215</v>
      </c>
    </row>
    <row r="342" spans="1:3">
      <c r="B342" s="108" t="s">
        <v>5666</v>
      </c>
      <c r="C342" s="101" t="s">
        <v>6142</v>
      </c>
    </row>
    <row r="344" spans="1:3">
      <c r="A344" s="108" t="s">
        <v>5881</v>
      </c>
      <c r="B344" s="42" t="s">
        <v>5497</v>
      </c>
    </row>
    <row r="345" spans="1:3">
      <c r="B345" s="108" t="s">
        <v>5667</v>
      </c>
      <c r="C345" s="109" t="s">
        <v>5496</v>
      </c>
    </row>
    <row r="346" spans="1:3">
      <c r="B346" s="108" t="s">
        <v>5668</v>
      </c>
      <c r="C346" s="123">
        <v>23440</v>
      </c>
    </row>
    <row r="347" spans="1:3">
      <c r="B347" s="108" t="s">
        <v>5666</v>
      </c>
      <c r="C347" s="25" t="s">
        <v>5783</v>
      </c>
    </row>
    <row r="349" spans="1:3">
      <c r="A349" s="108" t="s">
        <v>6143</v>
      </c>
      <c r="B349" s="42" t="s">
        <v>6279</v>
      </c>
    </row>
    <row r="350" spans="1:3">
      <c r="B350" s="108" t="s">
        <v>5667</v>
      </c>
      <c r="C350" s="109" t="s">
        <v>6280</v>
      </c>
    </row>
    <row r="351" spans="1:3">
      <c r="B351" s="108" t="s">
        <v>5668</v>
      </c>
      <c r="C351" s="122">
        <v>3366</v>
      </c>
    </row>
    <row r="352" spans="1:3" ht="14">
      <c r="B352" s="108" t="s">
        <v>5666</v>
      </c>
      <c r="C352" s="144" t="s">
        <v>6278</v>
      </c>
    </row>
    <row r="354" spans="1:3">
      <c r="A354" s="108" t="s">
        <v>6177</v>
      </c>
      <c r="B354" s="42" t="s">
        <v>6175</v>
      </c>
    </row>
    <row r="355" spans="1:3">
      <c r="B355" s="108" t="s">
        <v>5667</v>
      </c>
      <c r="C355" s="109" t="s">
        <v>6176</v>
      </c>
    </row>
    <row r="356" spans="1:3">
      <c r="B356" s="108" t="s">
        <v>5668</v>
      </c>
      <c r="C356" s="122">
        <v>2819</v>
      </c>
    </row>
    <row r="357" spans="1:3">
      <c r="B357" s="108" t="s">
        <v>5666</v>
      </c>
      <c r="C357" s="101" t="s">
        <v>6174</v>
      </c>
    </row>
    <row r="358" spans="1:3">
      <c r="C358" s="101"/>
    </row>
    <row r="359" spans="1:3">
      <c r="A359" s="175" t="s">
        <v>6281</v>
      </c>
      <c r="B359" s="42" t="s">
        <v>6939</v>
      </c>
      <c r="C359" s="101"/>
    </row>
    <row r="360" spans="1:3">
      <c r="B360" s="175" t="s">
        <v>5667</v>
      </c>
      <c r="C360" s="175" t="s">
        <v>6940</v>
      </c>
    </row>
    <row r="361" spans="1:3">
      <c r="B361" s="175" t="s">
        <v>5668</v>
      </c>
      <c r="C361" s="122">
        <v>1249</v>
      </c>
    </row>
    <row r="362" spans="1:3">
      <c r="B362" s="175" t="s">
        <v>5666</v>
      </c>
      <c r="C362" s="101" t="s">
        <v>6935</v>
      </c>
    </row>
    <row r="363" spans="1:3">
      <c r="C363" s="101"/>
    </row>
    <row r="364" spans="1:3">
      <c r="A364" s="175" t="s">
        <v>6828</v>
      </c>
      <c r="B364" s="42" t="s">
        <v>5880</v>
      </c>
    </row>
    <row r="365" spans="1:3">
      <c r="B365" s="108" t="s">
        <v>5667</v>
      </c>
      <c r="C365" s="109" t="s">
        <v>5496</v>
      </c>
    </row>
    <row r="366" spans="1:3">
      <c r="B366" s="108" t="s">
        <v>5668</v>
      </c>
      <c r="C366" s="122">
        <v>55</v>
      </c>
    </row>
    <row r="367" spans="1:3">
      <c r="B367" s="108" t="s">
        <v>5666</v>
      </c>
      <c r="C367" s="25" t="s">
        <v>5882</v>
      </c>
    </row>
    <row r="369" spans="1:3">
      <c r="A369" s="175" t="s">
        <v>6938</v>
      </c>
      <c r="B369" s="42" t="s">
        <v>6831</v>
      </c>
    </row>
    <row r="370" spans="1:3">
      <c r="B370" s="175" t="s">
        <v>5667</v>
      </c>
      <c r="C370" s="193" t="s">
        <v>6829</v>
      </c>
    </row>
    <row r="371" spans="1:3">
      <c r="B371" s="175" t="s">
        <v>5668</v>
      </c>
      <c r="C371" s="197" t="s">
        <v>1</v>
      </c>
    </row>
    <row r="372" spans="1:3" ht="15">
      <c r="B372" s="175" t="s">
        <v>5666</v>
      </c>
      <c r="C372" s="151" t="s">
        <v>6830</v>
      </c>
    </row>
    <row r="374" spans="1:3">
      <c r="A374" s="108" t="s">
        <v>5784</v>
      </c>
      <c r="B374" s="42" t="s">
        <v>7071</v>
      </c>
    </row>
    <row r="375" spans="1:3">
      <c r="B375" s="108" t="s">
        <v>5667</v>
      </c>
      <c r="C375" s="193" t="s">
        <v>7068</v>
      </c>
    </row>
    <row r="376" spans="1:3">
      <c r="B376" s="108" t="s">
        <v>5668</v>
      </c>
      <c r="C376" s="121">
        <v>55931</v>
      </c>
    </row>
    <row r="377" spans="1:3">
      <c r="B377" s="108" t="s">
        <v>5666</v>
      </c>
      <c r="C377" s="25" t="s">
        <v>5785</v>
      </c>
    </row>
    <row r="379" spans="1:3">
      <c r="A379" s="108" t="s">
        <v>5786</v>
      </c>
      <c r="B379" s="42" t="s">
        <v>5491</v>
      </c>
    </row>
    <row r="380" spans="1:3">
      <c r="B380" s="108" t="s">
        <v>5667</v>
      </c>
      <c r="C380" s="109" t="s">
        <v>5492</v>
      </c>
    </row>
    <row r="381" spans="1:3">
      <c r="B381" s="108" t="s">
        <v>5668</v>
      </c>
      <c r="C381" s="123">
        <v>21401</v>
      </c>
    </row>
    <row r="382" spans="1:3">
      <c r="B382" s="108" t="s">
        <v>5666</v>
      </c>
      <c r="C382" s="25" t="s">
        <v>5787</v>
      </c>
    </row>
    <row r="384" spans="1:3">
      <c r="A384" s="108" t="s">
        <v>5790</v>
      </c>
      <c r="B384" s="42" t="s">
        <v>5788</v>
      </c>
    </row>
    <row r="385" spans="1:3">
      <c r="B385" s="108" t="s">
        <v>5667</v>
      </c>
      <c r="C385" s="109" t="s">
        <v>5789</v>
      </c>
    </row>
    <row r="386" spans="1:3">
      <c r="B386" s="108" t="s">
        <v>5668</v>
      </c>
      <c r="C386" s="123">
        <v>22158</v>
      </c>
    </row>
    <row r="387" spans="1:3">
      <c r="B387" s="108" t="s">
        <v>5666</v>
      </c>
      <c r="C387" s="25" t="s">
        <v>5791</v>
      </c>
    </row>
    <row r="389" spans="1:3">
      <c r="A389" s="108" t="s">
        <v>5792</v>
      </c>
      <c r="B389" s="42" t="s">
        <v>6274</v>
      </c>
    </row>
    <row r="390" spans="1:3">
      <c r="B390" s="108" t="s">
        <v>5667</v>
      </c>
      <c r="C390" s="109" t="s">
        <v>6275</v>
      </c>
    </row>
    <row r="391" spans="1:3">
      <c r="B391" s="108" t="s">
        <v>5668</v>
      </c>
      <c r="C391" s="122">
        <v>2712</v>
      </c>
    </row>
    <row r="392" spans="1:3">
      <c r="B392" s="108" t="s">
        <v>5666</v>
      </c>
      <c r="C392" s="101" t="s">
        <v>6276</v>
      </c>
    </row>
    <row r="394" spans="1:3">
      <c r="A394" s="108" t="s">
        <v>6181</v>
      </c>
      <c r="B394" s="42" t="s">
        <v>5463</v>
      </c>
    </row>
    <row r="395" spans="1:3">
      <c r="B395" s="108" t="s">
        <v>5667</v>
      </c>
      <c r="C395" s="109" t="s">
        <v>5462</v>
      </c>
    </row>
    <row r="396" spans="1:3">
      <c r="B396" s="108" t="s">
        <v>5668</v>
      </c>
      <c r="C396" s="122">
        <v>1164</v>
      </c>
    </row>
    <row r="397" spans="1:3">
      <c r="B397" s="108" t="s">
        <v>5666</v>
      </c>
      <c r="C397" s="25" t="s">
        <v>5793</v>
      </c>
    </row>
    <row r="398" spans="1:3">
      <c r="C398" s="109" t="s">
        <v>4222</v>
      </c>
    </row>
    <row r="399" spans="1:3">
      <c r="C399" s="109" t="s">
        <v>4221</v>
      </c>
    </row>
    <row r="400" spans="1:3">
      <c r="C400" s="109" t="s">
        <v>4220</v>
      </c>
    </row>
    <row r="401" spans="1:3">
      <c r="C401" s="109" t="s">
        <v>4219</v>
      </c>
    </row>
    <row r="402" spans="1:3">
      <c r="C402" s="109" t="s">
        <v>4218</v>
      </c>
    </row>
    <row r="403" spans="1:3">
      <c r="C403" s="109" t="s">
        <v>4217</v>
      </c>
    </row>
    <row r="404" spans="1:3">
      <c r="C404" s="109" t="s">
        <v>4216</v>
      </c>
    </row>
    <row r="405" spans="1:3">
      <c r="C405" s="109" t="s">
        <v>4215</v>
      </c>
    </row>
    <row r="406" spans="1:3">
      <c r="C406" s="109" t="s">
        <v>4214</v>
      </c>
    </row>
    <row r="408" spans="1:3">
      <c r="A408" s="108" t="s">
        <v>6277</v>
      </c>
      <c r="B408" s="42" t="s">
        <v>6179</v>
      </c>
    </row>
    <row r="409" spans="1:3">
      <c r="B409" s="108" t="s">
        <v>5667</v>
      </c>
      <c r="C409" s="109" t="s">
        <v>4135</v>
      </c>
    </row>
    <row r="410" spans="1:3">
      <c r="B410" s="108" t="s">
        <v>5668</v>
      </c>
      <c r="C410" s="122">
        <v>780</v>
      </c>
    </row>
    <row r="411" spans="1:3">
      <c r="B411" s="108" t="s">
        <v>5666</v>
      </c>
      <c r="C411" s="101" t="s">
        <v>6180</v>
      </c>
    </row>
    <row r="413" spans="1:3">
      <c r="A413" s="272" t="s">
        <v>8939</v>
      </c>
      <c r="B413" s="42" t="s">
        <v>8940</v>
      </c>
    </row>
    <row r="414" spans="1:3">
      <c r="B414" s="272" t="s">
        <v>5667</v>
      </c>
      <c r="C414" s="278" t="s">
        <v>8941</v>
      </c>
    </row>
    <row r="415" spans="1:3">
      <c r="B415" s="272" t="s">
        <v>5668</v>
      </c>
      <c r="C415" s="278"/>
    </row>
    <row r="416" spans="1:3">
      <c r="B416" s="272" t="s">
        <v>5666</v>
      </c>
      <c r="C416" s="278" t="s">
        <v>8942</v>
      </c>
    </row>
    <row r="418" spans="1:3">
      <c r="A418" s="175" t="s">
        <v>6132</v>
      </c>
      <c r="B418" s="42" t="s">
        <v>6923</v>
      </c>
    </row>
    <row r="419" spans="1:3">
      <c r="B419" s="175" t="s">
        <v>5667</v>
      </c>
      <c r="C419" s="193" t="s">
        <v>6921</v>
      </c>
    </row>
    <row r="420" spans="1:3">
      <c r="B420" s="175" t="s">
        <v>5668</v>
      </c>
      <c r="C420" s="122">
        <v>1188</v>
      </c>
    </row>
    <row r="421" spans="1:3">
      <c r="B421" s="175" t="s">
        <v>5666</v>
      </c>
      <c r="C421" s="101" t="s">
        <v>6922</v>
      </c>
    </row>
    <row r="423" spans="1:3">
      <c r="A423" s="175" t="s">
        <v>6185</v>
      </c>
      <c r="B423" s="42" t="s">
        <v>6182</v>
      </c>
      <c r="C423" s="101"/>
    </row>
    <row r="424" spans="1:3">
      <c r="B424" s="108" t="s">
        <v>5667</v>
      </c>
      <c r="C424" s="108" t="s">
        <v>6184</v>
      </c>
    </row>
    <row r="425" spans="1:3">
      <c r="B425" s="108" t="s">
        <v>5668</v>
      </c>
      <c r="C425" s="122">
        <v>554</v>
      </c>
    </row>
    <row r="426" spans="1:3">
      <c r="B426" s="108" t="s">
        <v>5666</v>
      </c>
      <c r="C426" s="101" t="s">
        <v>6183</v>
      </c>
    </row>
    <row r="428" spans="1:3">
      <c r="A428" s="175" t="s">
        <v>6920</v>
      </c>
      <c r="B428" s="42" t="s">
        <v>6133</v>
      </c>
    </row>
    <row r="429" spans="1:3">
      <c r="B429" s="108" t="s">
        <v>5667</v>
      </c>
      <c r="C429" s="109" t="s">
        <v>6134</v>
      </c>
    </row>
    <row r="430" spans="1:3">
      <c r="B430" s="108" t="s">
        <v>5668</v>
      </c>
      <c r="C430" s="122">
        <v>383</v>
      </c>
    </row>
    <row r="431" spans="1:3">
      <c r="B431" s="108" t="s">
        <v>5666</v>
      </c>
      <c r="C431" s="101" t="s">
        <v>6135</v>
      </c>
    </row>
    <row r="432" spans="1:3">
      <c r="C432" s="101"/>
    </row>
    <row r="433" spans="1:3">
      <c r="A433" s="378" t="s">
        <v>9567</v>
      </c>
      <c r="B433" s="110" t="s">
        <v>9568</v>
      </c>
      <c r="C433" s="108"/>
    </row>
    <row r="434" spans="1:3">
      <c r="A434" s="378"/>
      <c r="B434" s="380" t="s">
        <v>5667</v>
      </c>
      <c r="C434" s="378" t="s">
        <v>9569</v>
      </c>
    </row>
    <row r="435" spans="1:3">
      <c r="A435" s="378"/>
      <c r="B435" s="380" t="s">
        <v>5668</v>
      </c>
      <c r="C435" s="378"/>
    </row>
    <row r="436" spans="1:3">
      <c r="A436" s="378"/>
      <c r="B436" s="380" t="s">
        <v>5666</v>
      </c>
      <c r="C436" s="108"/>
    </row>
    <row r="438" spans="1:3">
      <c r="A438" s="108" t="s">
        <v>5794</v>
      </c>
      <c r="B438" s="42" t="s">
        <v>6101</v>
      </c>
    </row>
    <row r="439" spans="1:3">
      <c r="B439" s="108" t="s">
        <v>5667</v>
      </c>
      <c r="C439" s="109" t="s">
        <v>6102</v>
      </c>
    </row>
    <row r="440" spans="1:3">
      <c r="B440" s="108" t="s">
        <v>5668</v>
      </c>
      <c r="C440" s="136">
        <v>119294</v>
      </c>
    </row>
    <row r="441" spans="1:3">
      <c r="B441" s="108" t="s">
        <v>5666</v>
      </c>
      <c r="C441" s="101" t="s">
        <v>5644</v>
      </c>
    </row>
    <row r="442" spans="1:3">
      <c r="B442" s="108" t="s">
        <v>5666</v>
      </c>
      <c r="C442" s="101" t="s">
        <v>6123</v>
      </c>
    </row>
    <row r="443" spans="1:3">
      <c r="B443" s="108" t="s">
        <v>5666</v>
      </c>
      <c r="C443" s="101" t="s">
        <v>6124</v>
      </c>
    </row>
    <row r="444" spans="1:3">
      <c r="C444" s="101"/>
    </row>
    <row r="445" spans="1:3">
      <c r="A445" s="108" t="s">
        <v>5795</v>
      </c>
      <c r="B445" s="42" t="s">
        <v>6173</v>
      </c>
      <c r="C445" s="101"/>
    </row>
    <row r="446" spans="1:3">
      <c r="B446" s="108" t="s">
        <v>5667</v>
      </c>
      <c r="C446" s="108" t="s">
        <v>6172</v>
      </c>
    </row>
    <row r="447" spans="1:3">
      <c r="B447" s="108" t="s">
        <v>5668</v>
      </c>
      <c r="C447" s="119">
        <v>10383</v>
      </c>
    </row>
    <row r="448" spans="1:3">
      <c r="B448" s="108" t="s">
        <v>5666</v>
      </c>
      <c r="C448" s="101" t="s">
        <v>6171</v>
      </c>
    </row>
    <row r="449" spans="1:3">
      <c r="C449" s="101"/>
    </row>
    <row r="450" spans="1:3">
      <c r="A450" s="108" t="s">
        <v>5862</v>
      </c>
      <c r="B450" s="42" t="s">
        <v>5796</v>
      </c>
    </row>
    <row r="451" spans="1:3">
      <c r="B451" s="108" t="s">
        <v>5667</v>
      </c>
      <c r="C451" s="109" t="s">
        <v>5493</v>
      </c>
    </row>
    <row r="452" spans="1:3">
      <c r="B452" s="108" t="s">
        <v>5668</v>
      </c>
      <c r="C452" s="119">
        <v>10224</v>
      </c>
    </row>
    <row r="453" spans="1:3">
      <c r="B453" s="108" t="s">
        <v>5666</v>
      </c>
      <c r="C453" s="25" t="s">
        <v>5797</v>
      </c>
    </row>
    <row r="455" spans="1:3">
      <c r="A455" s="108" t="s">
        <v>6136</v>
      </c>
      <c r="B455" s="42" t="s">
        <v>6137</v>
      </c>
    </row>
    <row r="456" spans="1:3">
      <c r="B456" s="108" t="s">
        <v>5667</v>
      </c>
      <c r="C456" s="109" t="s">
        <v>6139</v>
      </c>
    </row>
    <row r="457" spans="1:3">
      <c r="B457" s="108" t="s">
        <v>5668</v>
      </c>
      <c r="C457" s="116">
        <v>6961</v>
      </c>
    </row>
    <row r="458" spans="1:3">
      <c r="B458" s="108" t="s">
        <v>5666</v>
      </c>
      <c r="C458" s="101" t="s">
        <v>6138</v>
      </c>
    </row>
    <row r="460" spans="1:3">
      <c r="A460" s="108" t="s">
        <v>6170</v>
      </c>
      <c r="B460" s="42" t="s">
        <v>5863</v>
      </c>
    </row>
    <row r="461" spans="1:3">
      <c r="B461" s="108" t="s">
        <v>5667</v>
      </c>
      <c r="C461" s="109" t="s">
        <v>5864</v>
      </c>
    </row>
    <row r="462" spans="1:3">
      <c r="B462" s="108" t="s">
        <v>5668</v>
      </c>
      <c r="C462" s="122">
        <v>592</v>
      </c>
    </row>
    <row r="463" spans="1:3">
      <c r="B463" s="108" t="s">
        <v>5666</v>
      </c>
      <c r="C463" s="101" t="s">
        <v>5865</v>
      </c>
    </row>
    <row r="465" spans="1:3">
      <c r="A465" s="108" t="s">
        <v>5798</v>
      </c>
      <c r="B465" s="42" t="s">
        <v>5589</v>
      </c>
    </row>
    <row r="466" spans="1:3">
      <c r="B466" s="108" t="s">
        <v>5667</v>
      </c>
      <c r="C466" s="109" t="s">
        <v>5590</v>
      </c>
    </row>
    <row r="467" spans="1:3">
      <c r="B467" s="108" t="s">
        <v>5668</v>
      </c>
      <c r="C467" s="121">
        <v>39916</v>
      </c>
    </row>
    <row r="468" spans="1:3">
      <c r="B468" s="108" t="s">
        <v>5666</v>
      </c>
      <c r="C468" s="25" t="s">
        <v>5799</v>
      </c>
    </row>
    <row r="470" spans="1:3">
      <c r="A470" s="108" t="s">
        <v>5800</v>
      </c>
      <c r="B470" s="42" t="s">
        <v>5801</v>
      </c>
    </row>
    <row r="471" spans="1:3">
      <c r="B471" s="108" t="s">
        <v>5667</v>
      </c>
      <c r="C471" s="109" t="s">
        <v>5802</v>
      </c>
    </row>
    <row r="472" spans="1:3">
      <c r="B472" s="108" t="s">
        <v>5668</v>
      </c>
      <c r="C472" s="121">
        <v>36613</v>
      </c>
    </row>
    <row r="473" spans="1:3">
      <c r="B473" s="108" t="s">
        <v>5666</v>
      </c>
      <c r="C473" s="25" t="s">
        <v>5803</v>
      </c>
    </row>
    <row r="475" spans="1:3">
      <c r="A475" s="108" t="s">
        <v>5804</v>
      </c>
      <c r="B475" s="42" t="s">
        <v>5474</v>
      </c>
    </row>
    <row r="476" spans="1:3">
      <c r="B476" s="108" t="s">
        <v>5667</v>
      </c>
      <c r="C476" s="109" t="s">
        <v>5475</v>
      </c>
    </row>
    <row r="477" spans="1:3">
      <c r="B477" s="108" t="s">
        <v>5668</v>
      </c>
      <c r="C477" s="119">
        <v>13688</v>
      </c>
    </row>
    <row r="478" spans="1:3">
      <c r="B478" s="108" t="s">
        <v>5666</v>
      </c>
      <c r="C478" s="25" t="s">
        <v>5805</v>
      </c>
    </row>
    <row r="480" spans="1:3">
      <c r="A480" s="108" t="s">
        <v>5806</v>
      </c>
      <c r="B480" s="42" t="s">
        <v>5817</v>
      </c>
    </row>
    <row r="481" spans="1:3">
      <c r="B481" s="108" t="s">
        <v>5667</v>
      </c>
      <c r="C481" s="109" t="s">
        <v>5454</v>
      </c>
    </row>
    <row r="482" spans="1:3">
      <c r="B482" s="108" t="s">
        <v>5668</v>
      </c>
      <c r="C482" s="119">
        <v>12509</v>
      </c>
    </row>
    <row r="483" spans="1:3">
      <c r="B483" s="108" t="s">
        <v>5666</v>
      </c>
      <c r="C483" s="25" t="s">
        <v>5829</v>
      </c>
    </row>
    <row r="485" spans="1:3">
      <c r="A485" s="108" t="s">
        <v>5807</v>
      </c>
      <c r="B485" s="42" t="s">
        <v>5830</v>
      </c>
    </row>
    <row r="486" spans="1:3">
      <c r="B486" s="108" t="s">
        <v>5667</v>
      </c>
      <c r="C486" s="109" t="s">
        <v>5832</v>
      </c>
    </row>
    <row r="487" spans="1:3">
      <c r="B487" s="108" t="s">
        <v>5668</v>
      </c>
      <c r="C487" s="119">
        <v>10378</v>
      </c>
    </row>
    <row r="488" spans="1:3">
      <c r="B488" s="108" t="s">
        <v>5666</v>
      </c>
      <c r="C488" s="25" t="s">
        <v>5831</v>
      </c>
    </row>
    <row r="490" spans="1:3">
      <c r="A490" s="175" t="s">
        <v>6849</v>
      </c>
      <c r="B490" s="42" t="s">
        <v>6850</v>
      </c>
    </row>
    <row r="491" spans="1:3">
      <c r="B491" s="175" t="s">
        <v>5667</v>
      </c>
      <c r="C491" s="193" t="s">
        <v>6851</v>
      </c>
    </row>
    <row r="492" spans="1:3">
      <c r="B492" s="175" t="s">
        <v>5668</v>
      </c>
      <c r="C492" s="122">
        <v>1142</v>
      </c>
    </row>
    <row r="493" spans="1:3">
      <c r="B493" s="175" t="s">
        <v>5666</v>
      </c>
      <c r="C493" s="101" t="s">
        <v>6852</v>
      </c>
    </row>
    <row r="495" spans="1:3">
      <c r="A495" s="108" t="s">
        <v>5808</v>
      </c>
      <c r="B495" s="42" t="s">
        <v>5833</v>
      </c>
    </row>
    <row r="496" spans="1:3">
      <c r="B496" s="108" t="s">
        <v>5667</v>
      </c>
      <c r="C496" s="109" t="s">
        <v>5835</v>
      </c>
    </row>
    <row r="497" spans="1:3">
      <c r="B497" s="108" t="s">
        <v>5668</v>
      </c>
      <c r="C497" s="121">
        <v>58870</v>
      </c>
    </row>
    <row r="498" spans="1:3">
      <c r="B498" s="108" t="s">
        <v>5666</v>
      </c>
      <c r="C498" s="25" t="s">
        <v>5834</v>
      </c>
    </row>
    <row r="500" spans="1:3">
      <c r="A500" s="108" t="s">
        <v>5809</v>
      </c>
      <c r="B500" s="42" t="s">
        <v>5837</v>
      </c>
    </row>
    <row r="501" spans="1:3">
      <c r="B501" s="108" t="s">
        <v>5667</v>
      </c>
      <c r="C501" s="109" t="s">
        <v>5836</v>
      </c>
    </row>
    <row r="502" spans="1:3">
      <c r="B502" s="108" t="s">
        <v>5668</v>
      </c>
      <c r="C502" s="121">
        <v>44997</v>
      </c>
    </row>
    <row r="503" spans="1:3">
      <c r="B503" s="108" t="s">
        <v>5666</v>
      </c>
      <c r="C503" s="25" t="s">
        <v>5838</v>
      </c>
    </row>
    <row r="505" spans="1:3">
      <c r="A505" s="108" t="s">
        <v>5810</v>
      </c>
      <c r="B505" s="42" t="s">
        <v>5840</v>
      </c>
    </row>
    <row r="506" spans="1:3">
      <c r="B506" s="108" t="s">
        <v>5667</v>
      </c>
      <c r="C506" s="109" t="s">
        <v>5839</v>
      </c>
    </row>
    <row r="507" spans="1:3">
      <c r="B507" s="108" t="s">
        <v>5668</v>
      </c>
      <c r="C507" s="121">
        <v>37576</v>
      </c>
    </row>
    <row r="508" spans="1:3">
      <c r="B508" s="108" t="s">
        <v>5666</v>
      </c>
      <c r="C508" s="25" t="s">
        <v>5841</v>
      </c>
    </row>
    <row r="510" spans="1:3">
      <c r="A510" s="175" t="s">
        <v>6948</v>
      </c>
      <c r="B510" s="42" t="s">
        <v>6946</v>
      </c>
    </row>
    <row r="511" spans="1:3">
      <c r="B511" s="175" t="s">
        <v>5667</v>
      </c>
      <c r="C511" s="193" t="s">
        <v>6947</v>
      </c>
    </row>
    <row r="512" spans="1:3">
      <c r="B512" s="175" t="s">
        <v>5668</v>
      </c>
      <c r="C512" s="121">
        <v>36262</v>
      </c>
    </row>
    <row r="513" spans="1:3">
      <c r="B513" s="175" t="s">
        <v>5666</v>
      </c>
      <c r="C513" s="101" t="s">
        <v>6949</v>
      </c>
    </row>
    <row r="515" spans="1:3">
      <c r="A515" s="108" t="s">
        <v>5811</v>
      </c>
      <c r="B515" s="42" t="s">
        <v>5842</v>
      </c>
    </row>
    <row r="516" spans="1:3">
      <c r="B516" s="108" t="s">
        <v>5667</v>
      </c>
      <c r="C516" s="109" t="s">
        <v>5843</v>
      </c>
    </row>
    <row r="517" spans="1:3">
      <c r="B517" s="108" t="s">
        <v>5668</v>
      </c>
      <c r="C517" s="121">
        <v>30303</v>
      </c>
    </row>
    <row r="518" spans="1:3">
      <c r="B518" s="108" t="s">
        <v>5666</v>
      </c>
      <c r="C518" s="25" t="s">
        <v>5844</v>
      </c>
    </row>
    <row r="520" spans="1:3">
      <c r="A520" s="108" t="s">
        <v>5812</v>
      </c>
      <c r="B520" s="42" t="s">
        <v>5845</v>
      </c>
    </row>
    <row r="521" spans="1:3">
      <c r="B521" s="108" t="s">
        <v>5667</v>
      </c>
      <c r="C521" s="109" t="s">
        <v>5846</v>
      </c>
    </row>
    <row r="522" spans="1:3">
      <c r="B522" s="108" t="s">
        <v>5668</v>
      </c>
      <c r="C522" s="123">
        <v>25278</v>
      </c>
    </row>
    <row r="523" spans="1:3">
      <c r="B523" s="108" t="s">
        <v>5666</v>
      </c>
      <c r="C523" s="25" t="s">
        <v>5847</v>
      </c>
    </row>
    <row r="525" spans="1:3">
      <c r="A525" s="272" t="s">
        <v>9447</v>
      </c>
      <c r="B525" s="42" t="s">
        <v>8195</v>
      </c>
    </row>
    <row r="526" spans="1:3">
      <c r="B526" s="272" t="s">
        <v>5667</v>
      </c>
      <c r="C526" s="278" t="s">
        <v>9445</v>
      </c>
    </row>
    <row r="527" spans="1:3">
      <c r="B527" s="272" t="s">
        <v>5668</v>
      </c>
      <c r="C527" s="123">
        <v>25360</v>
      </c>
    </row>
    <row r="528" spans="1:3">
      <c r="B528" s="272" t="s">
        <v>5666</v>
      </c>
      <c r="C528" s="109" t="s">
        <v>9446</v>
      </c>
    </row>
    <row r="530" spans="1:3">
      <c r="A530" s="175" t="s">
        <v>5813</v>
      </c>
      <c r="B530" s="42" t="s">
        <v>6915</v>
      </c>
    </row>
    <row r="531" spans="1:3">
      <c r="B531" s="175" t="s">
        <v>5667</v>
      </c>
      <c r="C531" s="193" t="s">
        <v>6916</v>
      </c>
    </row>
    <row r="532" spans="1:3">
      <c r="B532" s="175" t="s">
        <v>5668</v>
      </c>
      <c r="C532" s="119">
        <v>11388</v>
      </c>
    </row>
    <row r="533" spans="1:3" ht="15">
      <c r="B533" s="175" t="s">
        <v>5666</v>
      </c>
      <c r="C533" s="151" t="s">
        <v>6917</v>
      </c>
    </row>
    <row r="535" spans="1:3">
      <c r="A535" s="108" t="s">
        <v>5813</v>
      </c>
      <c r="B535" s="42" t="s">
        <v>5850</v>
      </c>
    </row>
    <row r="536" spans="1:3">
      <c r="B536" s="108" t="s">
        <v>5667</v>
      </c>
      <c r="C536" s="109" t="s">
        <v>5849</v>
      </c>
    </row>
    <row r="537" spans="1:3">
      <c r="B537" s="108" t="s">
        <v>5668</v>
      </c>
      <c r="C537" s="116">
        <v>6423</v>
      </c>
    </row>
    <row r="538" spans="1:3">
      <c r="B538" s="108" t="s">
        <v>5666</v>
      </c>
      <c r="C538" s="25" t="s">
        <v>5851</v>
      </c>
    </row>
    <row r="540" spans="1:3">
      <c r="A540" s="108" t="s">
        <v>5869</v>
      </c>
      <c r="B540" s="42" t="s">
        <v>5870</v>
      </c>
    </row>
    <row r="541" spans="1:3">
      <c r="B541" s="108" t="s">
        <v>5667</v>
      </c>
      <c r="C541" s="109" t="s">
        <v>5872</v>
      </c>
    </row>
    <row r="542" spans="1:3">
      <c r="B542" s="108" t="s">
        <v>5668</v>
      </c>
      <c r="C542" s="116">
        <v>1202</v>
      </c>
    </row>
    <row r="543" spans="1:3">
      <c r="B543" s="108" t="s">
        <v>5666</v>
      </c>
      <c r="C543" s="101" t="s">
        <v>5871</v>
      </c>
    </row>
    <row r="545" spans="1:4">
      <c r="A545" s="108" t="s">
        <v>5814</v>
      </c>
      <c r="B545" s="42" t="s">
        <v>6166</v>
      </c>
    </row>
    <row r="546" spans="1:4">
      <c r="B546" s="108" t="s">
        <v>5667</v>
      </c>
      <c r="C546" s="109" t="s">
        <v>6168</v>
      </c>
    </row>
    <row r="547" spans="1:4">
      <c r="B547" s="108" t="s">
        <v>5668</v>
      </c>
      <c r="C547" s="136">
        <v>176062</v>
      </c>
    </row>
    <row r="548" spans="1:4">
      <c r="B548" s="108" t="s">
        <v>5666</v>
      </c>
      <c r="C548" s="101" t="s">
        <v>6167</v>
      </c>
    </row>
    <row r="550" spans="1:4">
      <c r="A550" s="108" t="s">
        <v>5815</v>
      </c>
      <c r="B550" s="42" t="s">
        <v>5848</v>
      </c>
    </row>
    <row r="551" spans="1:4">
      <c r="B551" s="108" t="s">
        <v>5667</v>
      </c>
      <c r="C551" s="109" t="s">
        <v>5464</v>
      </c>
    </row>
    <row r="552" spans="1:4">
      <c r="B552" s="108" t="s">
        <v>5668</v>
      </c>
      <c r="C552" s="121">
        <v>64876</v>
      </c>
    </row>
    <row r="553" spans="1:4">
      <c r="B553" s="108" t="s">
        <v>5666</v>
      </c>
      <c r="C553" s="25" t="s">
        <v>5658</v>
      </c>
    </row>
    <row r="554" spans="1:4">
      <c r="B554" s="108" t="s">
        <v>4201</v>
      </c>
      <c r="C554" s="109" t="s">
        <v>6040</v>
      </c>
    </row>
    <row r="555" spans="1:4">
      <c r="C555" s="109" t="s">
        <v>4189</v>
      </c>
    </row>
    <row r="556" spans="1:4">
      <c r="C556" s="109" t="s">
        <v>6041</v>
      </c>
    </row>
    <row r="557" spans="1:4">
      <c r="C557" s="109" t="s">
        <v>4188</v>
      </c>
    </row>
    <row r="558" spans="1:4">
      <c r="C558" s="109" t="s">
        <v>4187</v>
      </c>
    </row>
    <row r="559" spans="1:4">
      <c r="D559" s="108" t="s">
        <v>5659</v>
      </c>
    </row>
    <row r="560" spans="1:4">
      <c r="C560" s="109" t="s">
        <v>4186</v>
      </c>
    </row>
    <row r="561" spans="3:4">
      <c r="C561" s="109" t="s">
        <v>4185</v>
      </c>
    </row>
    <row r="562" spans="3:4">
      <c r="C562" s="109" t="s">
        <v>4184</v>
      </c>
    </row>
    <row r="563" spans="3:4">
      <c r="C563" s="109" t="s">
        <v>4183</v>
      </c>
    </row>
    <row r="564" spans="3:4">
      <c r="C564" s="109" t="s">
        <v>4182</v>
      </c>
    </row>
    <row r="565" spans="3:4">
      <c r="C565" s="109" t="s">
        <v>4181</v>
      </c>
    </row>
    <row r="566" spans="3:4">
      <c r="C566" s="109" t="s">
        <v>4180</v>
      </c>
    </row>
    <row r="568" spans="3:4">
      <c r="C568" s="109" t="s">
        <v>4179</v>
      </c>
    </row>
    <row r="569" spans="3:4">
      <c r="C569" s="109" t="s">
        <v>4178</v>
      </c>
    </row>
    <row r="570" spans="3:4">
      <c r="C570" s="198" t="s">
        <v>4177</v>
      </c>
    </row>
    <row r="571" spans="3:4">
      <c r="D571" s="108" t="s">
        <v>4176</v>
      </c>
    </row>
    <row r="572" spans="3:4">
      <c r="C572" s="109" t="s">
        <v>4175</v>
      </c>
    </row>
    <row r="573" spans="3:4">
      <c r="C573" s="109" t="s">
        <v>4174</v>
      </c>
    </row>
    <row r="574" spans="3:4">
      <c r="C574" s="109" t="s">
        <v>4173</v>
      </c>
    </row>
    <row r="575" spans="3:4">
      <c r="C575" s="109" t="s">
        <v>4172</v>
      </c>
    </row>
    <row r="576" spans="3:4">
      <c r="C576" s="109" t="s">
        <v>4171</v>
      </c>
    </row>
    <row r="578" spans="1:3">
      <c r="A578" s="108" t="s">
        <v>5816</v>
      </c>
      <c r="B578" s="42" t="s">
        <v>5883</v>
      </c>
    </row>
    <row r="579" spans="1:3">
      <c r="B579" s="108" t="s">
        <v>5667</v>
      </c>
      <c r="C579" s="109" t="s">
        <v>5884</v>
      </c>
    </row>
    <row r="580" spans="1:3">
      <c r="B580" s="108" t="s">
        <v>5668</v>
      </c>
      <c r="C580" s="124">
        <v>30303</v>
      </c>
    </row>
    <row r="581" spans="1:3">
      <c r="B581" s="108" t="s">
        <v>5885</v>
      </c>
      <c r="C581" s="101" t="s">
        <v>5886</v>
      </c>
    </row>
    <row r="582" spans="1:3">
      <c r="B582" s="108" t="s">
        <v>5887</v>
      </c>
      <c r="C582" s="101" t="s">
        <v>5844</v>
      </c>
    </row>
    <row r="583" spans="1:3">
      <c r="C583" s="101"/>
    </row>
    <row r="584" spans="1:3">
      <c r="A584" s="108" t="s">
        <v>5866</v>
      </c>
      <c r="B584" s="42" t="s">
        <v>5852</v>
      </c>
    </row>
    <row r="585" spans="1:3">
      <c r="B585" s="108" t="s">
        <v>5667</v>
      </c>
      <c r="C585" s="109" t="s">
        <v>5853</v>
      </c>
    </row>
    <row r="586" spans="1:3">
      <c r="B586" s="108" t="s">
        <v>5668</v>
      </c>
      <c r="C586" s="119">
        <v>19618</v>
      </c>
    </row>
    <row r="587" spans="1:3">
      <c r="B587" s="108" t="s">
        <v>5666</v>
      </c>
      <c r="C587" s="25" t="s">
        <v>5854</v>
      </c>
    </row>
    <row r="589" spans="1:3">
      <c r="A589" s="108" t="s">
        <v>5873</v>
      </c>
      <c r="B589" s="42" t="s">
        <v>5855</v>
      </c>
    </row>
    <row r="590" spans="1:3">
      <c r="B590" s="108" t="s">
        <v>5667</v>
      </c>
      <c r="C590" s="109" t="s">
        <v>5856</v>
      </c>
    </row>
    <row r="591" spans="1:3">
      <c r="B591" s="108" t="s">
        <v>5668</v>
      </c>
      <c r="C591" s="119">
        <v>15123</v>
      </c>
    </row>
    <row r="592" spans="1:3">
      <c r="B592" s="108" t="s">
        <v>5666</v>
      </c>
      <c r="C592" s="25" t="s">
        <v>5857</v>
      </c>
    </row>
    <row r="594" spans="1:7">
      <c r="A594" s="442" t="s">
        <v>13914</v>
      </c>
      <c r="B594" s="42" t="s">
        <v>13915</v>
      </c>
    </row>
    <row r="595" spans="1:7">
      <c r="B595" s="442" t="s">
        <v>5667</v>
      </c>
      <c r="C595" s="443" t="s">
        <v>13917</v>
      </c>
    </row>
    <row r="596" spans="1:7">
      <c r="B596" s="442" t="s">
        <v>5668</v>
      </c>
      <c r="C596" s="119">
        <v>4587</v>
      </c>
    </row>
    <row r="597" spans="1:7">
      <c r="B597" s="442" t="s">
        <v>5666</v>
      </c>
      <c r="C597" s="109" t="s">
        <v>13916</v>
      </c>
    </row>
    <row r="598" spans="1:7">
      <c r="B598" s="442" t="s">
        <v>4203</v>
      </c>
      <c r="C598" s="444" t="s">
        <v>13918</v>
      </c>
    </row>
    <row r="600" spans="1:7">
      <c r="A600" s="175" t="s">
        <v>5879</v>
      </c>
      <c r="B600" s="42" t="s">
        <v>6837</v>
      </c>
    </row>
    <row r="601" spans="1:7">
      <c r="A601" s="175"/>
      <c r="B601" s="175" t="s">
        <v>5667</v>
      </c>
      <c r="C601" s="193" t="s">
        <v>6838</v>
      </c>
      <c r="D601" s="175"/>
      <c r="E601" s="175"/>
      <c r="F601" s="175"/>
      <c r="G601" s="175"/>
    </row>
    <row r="602" spans="1:7">
      <c r="A602" s="175"/>
      <c r="B602" s="175" t="s">
        <v>5668</v>
      </c>
      <c r="C602" s="197">
        <v>3864</v>
      </c>
      <c r="D602" s="175"/>
      <c r="E602" s="175"/>
      <c r="F602" s="175"/>
      <c r="G602" s="175"/>
    </row>
    <row r="603" spans="1:7" ht="14">
      <c r="B603" s="175" t="s">
        <v>5666</v>
      </c>
      <c r="C603" s="144" t="s">
        <v>6839</v>
      </c>
      <c r="D603" s="175"/>
      <c r="E603" s="175"/>
      <c r="F603" s="175"/>
      <c r="G603" s="175"/>
    </row>
    <row r="605" spans="1:7">
      <c r="A605" s="175" t="s">
        <v>5888</v>
      </c>
      <c r="B605" s="42" t="s">
        <v>6911</v>
      </c>
    </row>
    <row r="606" spans="1:7">
      <c r="B606" s="175" t="s">
        <v>5667</v>
      </c>
      <c r="C606" s="193" t="s">
        <v>6912</v>
      </c>
    </row>
    <row r="607" spans="1:7">
      <c r="B607" s="175" t="s">
        <v>5668</v>
      </c>
      <c r="C607" s="197">
        <v>2903</v>
      </c>
    </row>
    <row r="608" spans="1:7">
      <c r="B608" s="175" t="s">
        <v>5666</v>
      </c>
      <c r="C608" s="101" t="s">
        <v>6913</v>
      </c>
    </row>
    <row r="610" spans="1:3">
      <c r="A610" s="175" t="s">
        <v>6169</v>
      </c>
      <c r="B610" s="42" t="s">
        <v>6869</v>
      </c>
    </row>
    <row r="611" spans="1:3">
      <c r="B611" s="175" t="s">
        <v>5667</v>
      </c>
      <c r="C611" s="193" t="s">
        <v>6870</v>
      </c>
    </row>
    <row r="612" spans="1:3">
      <c r="B612" s="175" t="s">
        <v>5668</v>
      </c>
      <c r="C612" s="197">
        <v>1436</v>
      </c>
    </row>
    <row r="613" spans="1:3">
      <c r="B613" s="175" t="s">
        <v>5666</v>
      </c>
      <c r="C613" s="101" t="s">
        <v>6871</v>
      </c>
    </row>
    <row r="615" spans="1:3">
      <c r="A615" s="175" t="s">
        <v>6840</v>
      </c>
      <c r="B615" s="42" t="s">
        <v>7664</v>
      </c>
    </row>
    <row r="616" spans="1:3">
      <c r="B616" s="108" t="s">
        <v>5667</v>
      </c>
      <c r="C616" s="109" t="s">
        <v>5868</v>
      </c>
    </row>
    <row r="617" spans="1:3">
      <c r="B617" s="108" t="s">
        <v>5668</v>
      </c>
      <c r="C617" s="122">
        <v>66</v>
      </c>
    </row>
    <row r="618" spans="1:3">
      <c r="B618" s="108" t="s">
        <v>5666</v>
      </c>
      <c r="C618" s="25" t="s">
        <v>5867</v>
      </c>
    </row>
    <row r="619" spans="1:3">
      <c r="C619" s="25"/>
    </row>
    <row r="620" spans="1:3">
      <c r="A620" s="175" t="s">
        <v>6872</v>
      </c>
      <c r="B620" s="42" t="s">
        <v>5874</v>
      </c>
      <c r="C620" s="25"/>
    </row>
    <row r="621" spans="1:3">
      <c r="B621" s="108" t="s">
        <v>5667</v>
      </c>
      <c r="C621" s="109" t="s">
        <v>5876</v>
      </c>
    </row>
    <row r="622" spans="1:3">
      <c r="B622" s="108" t="s">
        <v>5668</v>
      </c>
      <c r="C622" s="122">
        <v>14</v>
      </c>
    </row>
    <row r="623" spans="1:3">
      <c r="B623" s="108" t="s">
        <v>5666</v>
      </c>
      <c r="C623" s="25" t="s">
        <v>5875</v>
      </c>
    </row>
    <row r="624" spans="1:3">
      <c r="C624" s="25"/>
    </row>
    <row r="625" spans="1:13">
      <c r="A625" s="175" t="s">
        <v>6914</v>
      </c>
      <c r="B625" s="42" t="s">
        <v>6023</v>
      </c>
      <c r="C625" s="25"/>
      <c r="M625" s="229"/>
    </row>
    <row r="626" spans="1:13">
      <c r="B626" s="108" t="s">
        <v>5667</v>
      </c>
      <c r="C626" s="109" t="s">
        <v>5878</v>
      </c>
    </row>
    <row r="627" spans="1:13">
      <c r="B627" s="108" t="s">
        <v>5668</v>
      </c>
      <c r="C627" s="122">
        <v>5</v>
      </c>
    </row>
    <row r="628" spans="1:13">
      <c r="B628" s="108" t="s">
        <v>5666</v>
      </c>
      <c r="C628" s="25" t="s">
        <v>5877</v>
      </c>
    </row>
    <row r="629" spans="1:13">
      <c r="C629" s="25"/>
    </row>
    <row r="630" spans="1:13">
      <c r="B630" s="42" t="s">
        <v>6021</v>
      </c>
    </row>
    <row r="631" spans="1:13">
      <c r="B631" s="108" t="s">
        <v>5667</v>
      </c>
      <c r="C631" s="109" t="s">
        <v>6022</v>
      </c>
    </row>
    <row r="632" spans="1:13">
      <c r="B632" s="108" t="s">
        <v>5668</v>
      </c>
    </row>
    <row r="633" spans="1:13">
      <c r="B633" s="108" t="s">
        <v>5666</v>
      </c>
    </row>
    <row r="634" spans="1:13">
      <c r="F634" s="109"/>
    </row>
    <row r="635" spans="1:13">
      <c r="B635" s="42" t="s">
        <v>6043</v>
      </c>
      <c r="F635" s="109"/>
    </row>
    <row r="636" spans="1:13">
      <c r="B636" s="108" t="s">
        <v>5667</v>
      </c>
      <c r="C636" s="109" t="s">
        <v>6042</v>
      </c>
      <c r="F636" s="109"/>
    </row>
    <row r="637" spans="1:13">
      <c r="B637" s="108" t="s">
        <v>5668</v>
      </c>
      <c r="F637" s="109"/>
    </row>
    <row r="638" spans="1:13">
      <c r="B638" s="108" t="s">
        <v>5666</v>
      </c>
      <c r="F638" s="109"/>
    </row>
    <row r="640" spans="1:13">
      <c r="B640" s="42" t="s">
        <v>8205</v>
      </c>
    </row>
    <row r="641" spans="1:3">
      <c r="B641" s="272" t="s">
        <v>5667</v>
      </c>
    </row>
    <row r="642" spans="1:3">
      <c r="B642" s="272" t="s">
        <v>5668</v>
      </c>
    </row>
    <row r="643" spans="1:3">
      <c r="B643" s="272" t="s">
        <v>5666</v>
      </c>
    </row>
    <row r="645" spans="1:3">
      <c r="A645" s="108" t="s">
        <v>5662</v>
      </c>
      <c r="B645" s="42" t="s">
        <v>5669</v>
      </c>
    </row>
    <row r="646" spans="1:3">
      <c r="B646" s="108" t="s">
        <v>5667</v>
      </c>
      <c r="C646" s="109" t="s">
        <v>5467</v>
      </c>
    </row>
    <row r="647" spans="1:3">
      <c r="B647" s="108" t="s">
        <v>5668</v>
      </c>
      <c r="C647" s="124">
        <v>53562</v>
      </c>
    </row>
    <row r="648" spans="1:3">
      <c r="B648" s="108" t="s">
        <v>5666</v>
      </c>
      <c r="C648" s="101" t="s">
        <v>5643</v>
      </c>
    </row>
    <row r="649" spans="1:3">
      <c r="B649" s="108" t="s">
        <v>5666</v>
      </c>
      <c r="C649" s="101" t="s">
        <v>5924</v>
      </c>
    </row>
    <row r="650" spans="1:3">
      <c r="B650" s="108" t="s">
        <v>4201</v>
      </c>
      <c r="C650" s="193" t="s">
        <v>6918</v>
      </c>
    </row>
    <row r="651" spans="1:3">
      <c r="B651" s="25"/>
    </row>
    <row r="652" spans="1:3">
      <c r="A652" s="108" t="s">
        <v>5663</v>
      </c>
      <c r="B652" s="42" t="s">
        <v>5600</v>
      </c>
    </row>
    <row r="653" spans="1:3">
      <c r="B653" s="108" t="s">
        <v>5667</v>
      </c>
      <c r="C653" s="109" t="s">
        <v>5601</v>
      </c>
    </row>
    <row r="654" spans="1:3">
      <c r="B654" s="108" t="s">
        <v>5668</v>
      </c>
      <c r="C654" s="123">
        <v>26946</v>
      </c>
    </row>
    <row r="655" spans="1:3">
      <c r="B655" s="108" t="s">
        <v>5666</v>
      </c>
      <c r="C655" s="25" t="s">
        <v>5656</v>
      </c>
    </row>
    <row r="657" spans="1:3">
      <c r="A657" s="108" t="s">
        <v>5664</v>
      </c>
      <c r="B657" s="42" t="s">
        <v>5455</v>
      </c>
    </row>
    <row r="658" spans="1:3">
      <c r="B658" s="108" t="s">
        <v>5667</v>
      </c>
      <c r="C658" s="109" t="s">
        <v>5456</v>
      </c>
    </row>
    <row r="659" spans="1:3">
      <c r="B659" s="108" t="s">
        <v>5668</v>
      </c>
      <c r="C659" s="125">
        <v>16402</v>
      </c>
    </row>
    <row r="660" spans="1:3">
      <c r="B660" s="108" t="s">
        <v>5666</v>
      </c>
      <c r="C660" s="108"/>
    </row>
    <row r="662" spans="1:3">
      <c r="A662" s="108" t="s">
        <v>5665</v>
      </c>
      <c r="B662" s="42" t="s">
        <v>6888</v>
      </c>
    </row>
    <row r="663" spans="1:3">
      <c r="B663" s="175" t="s">
        <v>5667</v>
      </c>
      <c r="C663" s="193" t="s">
        <v>6889</v>
      </c>
    </row>
    <row r="664" spans="1:3">
      <c r="B664" s="175" t="s">
        <v>5668</v>
      </c>
      <c r="C664" s="116">
        <v>8476</v>
      </c>
    </row>
    <row r="665" spans="1:3">
      <c r="B665" s="108" t="s">
        <v>5666</v>
      </c>
      <c r="C665" s="25" t="s">
        <v>5657</v>
      </c>
    </row>
    <row r="666" spans="1:3">
      <c r="B666" s="25"/>
    </row>
    <row r="667" spans="1:3">
      <c r="A667" s="108" t="s">
        <v>5861</v>
      </c>
      <c r="B667" s="42" t="s">
        <v>6885</v>
      </c>
    </row>
    <row r="668" spans="1:3">
      <c r="B668" s="175" t="s">
        <v>5667</v>
      </c>
      <c r="C668" s="193" t="s">
        <v>6886</v>
      </c>
    </row>
    <row r="669" spans="1:3">
      <c r="B669" s="175" t="s">
        <v>5668</v>
      </c>
      <c r="C669" s="116">
        <v>7940</v>
      </c>
    </row>
    <row r="670" spans="1:3">
      <c r="B670" s="175" t="s">
        <v>5666</v>
      </c>
      <c r="C670" s="101" t="s">
        <v>6887</v>
      </c>
    </row>
    <row r="672" spans="1:3">
      <c r="A672" s="245" t="s">
        <v>7538</v>
      </c>
      <c r="B672" s="42" t="s">
        <v>7539</v>
      </c>
    </row>
    <row r="673" spans="1:3">
      <c r="B673" s="245" t="s">
        <v>5667</v>
      </c>
      <c r="C673" s="246" t="s">
        <v>7540</v>
      </c>
    </row>
    <row r="674" spans="1:3">
      <c r="B674" s="245" t="s">
        <v>5668</v>
      </c>
      <c r="C674" s="116">
        <v>5849</v>
      </c>
    </row>
    <row r="675" spans="1:3">
      <c r="B675" s="245" t="s">
        <v>5666</v>
      </c>
      <c r="C675" s="101" t="s">
        <v>7541</v>
      </c>
    </row>
    <row r="677" spans="1:3">
      <c r="A677" s="272" t="s">
        <v>9448</v>
      </c>
      <c r="B677" s="42" t="s">
        <v>9267</v>
      </c>
    </row>
    <row r="678" spans="1:3">
      <c r="A678" s="272"/>
      <c r="B678" s="272" t="s">
        <v>5667</v>
      </c>
      <c r="C678" s="278" t="s">
        <v>9450</v>
      </c>
    </row>
    <row r="679" spans="1:3">
      <c r="B679" s="272" t="s">
        <v>5668</v>
      </c>
      <c r="C679" s="116">
        <v>3562</v>
      </c>
    </row>
    <row r="680" spans="1:3">
      <c r="B680" s="272" t="s">
        <v>5666</v>
      </c>
      <c r="C680" s="101" t="s">
        <v>9449</v>
      </c>
    </row>
    <row r="682" spans="1:3">
      <c r="A682" s="175" t="s">
        <v>6890</v>
      </c>
      <c r="B682" s="42" t="s">
        <v>6882</v>
      </c>
    </row>
    <row r="683" spans="1:3">
      <c r="B683" s="175" t="s">
        <v>5667</v>
      </c>
      <c r="C683" s="193" t="s">
        <v>6883</v>
      </c>
    </row>
    <row r="684" spans="1:3">
      <c r="B684" s="175" t="s">
        <v>5668</v>
      </c>
      <c r="C684" s="116">
        <v>3290</v>
      </c>
    </row>
    <row r="685" spans="1:3" ht="15">
      <c r="B685" s="175" t="s">
        <v>5666</v>
      </c>
      <c r="C685" s="151" t="s">
        <v>6884</v>
      </c>
    </row>
    <row r="687" spans="1:3">
      <c r="A687" s="175" t="s">
        <v>6891</v>
      </c>
      <c r="B687" s="42" t="s">
        <v>6941</v>
      </c>
    </row>
    <row r="688" spans="1:3">
      <c r="B688" s="175" t="s">
        <v>5667</v>
      </c>
      <c r="C688" s="193" t="s">
        <v>6944</v>
      </c>
    </row>
    <row r="689" spans="1:6">
      <c r="B689" s="175" t="s">
        <v>5668</v>
      </c>
      <c r="C689" s="116">
        <v>1505</v>
      </c>
    </row>
    <row r="690" spans="1:6">
      <c r="B690" s="175" t="s">
        <v>5666</v>
      </c>
      <c r="C690" s="101" t="s">
        <v>6943</v>
      </c>
    </row>
    <row r="692" spans="1:6">
      <c r="A692" s="175" t="s">
        <v>6894</v>
      </c>
      <c r="B692" s="42" t="s">
        <v>6942</v>
      </c>
    </row>
    <row r="693" spans="1:6">
      <c r="B693" s="175" t="s">
        <v>5667</v>
      </c>
      <c r="C693" s="193" t="s">
        <v>6892</v>
      </c>
    </row>
    <row r="694" spans="1:6">
      <c r="B694" s="175" t="s">
        <v>5668</v>
      </c>
      <c r="C694" s="116">
        <v>639</v>
      </c>
    </row>
    <row r="695" spans="1:6">
      <c r="B695" s="175" t="s">
        <v>5666</v>
      </c>
      <c r="C695" s="101" t="s">
        <v>6893</v>
      </c>
    </row>
    <row r="697" spans="1:6">
      <c r="A697" s="175" t="s">
        <v>6934</v>
      </c>
      <c r="B697" s="42" t="s">
        <v>6936</v>
      </c>
      <c r="C697" s="193"/>
      <c r="D697" s="175"/>
      <c r="E697" s="175"/>
      <c r="F697" s="175"/>
    </row>
    <row r="698" spans="1:6">
      <c r="A698" s="175"/>
      <c r="B698" s="175" t="s">
        <v>5667</v>
      </c>
      <c r="C698" s="193" t="s">
        <v>6937</v>
      </c>
      <c r="D698" s="175"/>
      <c r="E698" s="175"/>
      <c r="F698" s="175"/>
    </row>
    <row r="699" spans="1:6">
      <c r="A699" s="175"/>
      <c r="B699" s="175" t="s">
        <v>5668</v>
      </c>
      <c r="C699" s="196">
        <v>599</v>
      </c>
      <c r="D699" s="175"/>
      <c r="E699" s="175"/>
      <c r="F699" s="175"/>
    </row>
    <row r="700" spans="1:6">
      <c r="A700" s="175"/>
      <c r="B700" s="175" t="s">
        <v>5666</v>
      </c>
      <c r="C700" s="101" t="s">
        <v>6935</v>
      </c>
      <c r="D700" s="175"/>
      <c r="E700" s="175"/>
      <c r="F700" s="175"/>
    </row>
    <row r="702" spans="1:6">
      <c r="A702" s="175" t="s">
        <v>6945</v>
      </c>
      <c r="B702" s="42" t="s">
        <v>6436</v>
      </c>
    </row>
    <row r="703" spans="1:6">
      <c r="B703" s="159" t="s">
        <v>5667</v>
      </c>
      <c r="C703" s="160" t="s">
        <v>6435</v>
      </c>
    </row>
    <row r="704" spans="1:6">
      <c r="B704" s="159" t="s">
        <v>5668</v>
      </c>
      <c r="C704" s="116">
        <v>469</v>
      </c>
    </row>
    <row r="705" spans="1:3" ht="15">
      <c r="B705" s="159" t="s">
        <v>5666</v>
      </c>
      <c r="C705" s="151" t="s">
        <v>6434</v>
      </c>
    </row>
    <row r="707" spans="1:3">
      <c r="A707" s="272" t="s">
        <v>8199</v>
      </c>
      <c r="B707" s="42" t="s">
        <v>8200</v>
      </c>
    </row>
    <row r="708" spans="1:3">
      <c r="B708" s="272" t="s">
        <v>5667</v>
      </c>
      <c r="C708" s="278" t="s">
        <v>8201</v>
      </c>
    </row>
    <row r="709" spans="1:3">
      <c r="B709" s="272" t="s">
        <v>5668</v>
      </c>
    </row>
    <row r="710" spans="1:3">
      <c r="B710" s="272" t="s">
        <v>5666</v>
      </c>
    </row>
    <row r="711" spans="1:3">
      <c r="B711" s="272"/>
    </row>
    <row r="712" spans="1:3">
      <c r="A712" s="272" t="s">
        <v>8219</v>
      </c>
      <c r="B712" s="42" t="s">
        <v>8220</v>
      </c>
    </row>
    <row r="713" spans="1:3">
      <c r="A713" s="272"/>
      <c r="B713" s="272" t="s">
        <v>5667</v>
      </c>
      <c r="C713" s="278" t="s">
        <v>8221</v>
      </c>
    </row>
    <row r="714" spans="1:3">
      <c r="B714" s="272" t="s">
        <v>5668</v>
      </c>
    </row>
    <row r="715" spans="1:3">
      <c r="B715" s="272" t="s">
        <v>5666</v>
      </c>
      <c r="C715" s="109" t="s">
        <v>8222</v>
      </c>
    </row>
    <row r="717" spans="1:3">
      <c r="A717" s="378" t="s">
        <v>9503</v>
      </c>
      <c r="B717" s="42" t="s">
        <v>9504</v>
      </c>
    </row>
    <row r="718" spans="1:3">
      <c r="B718" s="378" t="s">
        <v>5667</v>
      </c>
      <c r="C718" s="380" t="s">
        <v>9505</v>
      </c>
    </row>
    <row r="719" spans="1:3">
      <c r="B719" s="378" t="s">
        <v>5668</v>
      </c>
    </row>
    <row r="720" spans="1:3">
      <c r="B720" s="378" t="s">
        <v>5666</v>
      </c>
    </row>
    <row r="722" spans="1:9">
      <c r="A722" s="108" t="s">
        <v>5661</v>
      </c>
      <c r="B722" s="42" t="s">
        <v>6161</v>
      </c>
    </row>
    <row r="723" spans="1:9">
      <c r="B723" s="108" t="s">
        <v>5667</v>
      </c>
      <c r="C723" s="109" t="s">
        <v>6160</v>
      </c>
    </row>
    <row r="724" spans="1:9">
      <c r="B724" s="108" t="s">
        <v>5668</v>
      </c>
      <c r="C724" s="121">
        <v>83673</v>
      </c>
    </row>
    <row r="725" spans="1:9">
      <c r="B725" s="108" t="s">
        <v>5666</v>
      </c>
      <c r="C725" s="25" t="s">
        <v>5645</v>
      </c>
    </row>
    <row r="727" spans="1:9">
      <c r="A727" s="108" t="s">
        <v>6046</v>
      </c>
      <c r="B727" s="42" t="s">
        <v>6129</v>
      </c>
    </row>
    <row r="728" spans="1:9">
      <c r="B728" s="108" t="s">
        <v>5667</v>
      </c>
      <c r="C728" s="109" t="s">
        <v>6128</v>
      </c>
    </row>
    <row r="729" spans="1:9">
      <c r="B729" s="108" t="s">
        <v>5668</v>
      </c>
      <c r="C729" s="123">
        <v>22849</v>
      </c>
    </row>
    <row r="730" spans="1:9">
      <c r="B730" s="108" t="s">
        <v>5666</v>
      </c>
      <c r="C730" s="25" t="s">
        <v>5644</v>
      </c>
    </row>
    <row r="731" spans="1:9">
      <c r="B731" s="108" t="s">
        <v>5666</v>
      </c>
      <c r="C731" s="101" t="s">
        <v>6131</v>
      </c>
    </row>
    <row r="732" spans="1:9">
      <c r="B732" s="108" t="s">
        <v>6130</v>
      </c>
      <c r="C732" s="109" t="s">
        <v>4202</v>
      </c>
    </row>
    <row r="733" spans="1:9">
      <c r="B733" s="108" t="s">
        <v>4201</v>
      </c>
      <c r="C733" s="193" t="s">
        <v>6919</v>
      </c>
    </row>
    <row r="734" spans="1:9">
      <c r="B734" s="108" t="s">
        <v>6157</v>
      </c>
      <c r="C734" s="137">
        <v>45144</v>
      </c>
    </row>
    <row r="735" spans="1:9">
      <c r="A735" s="175"/>
      <c r="B735" s="175"/>
      <c r="C735" s="193" t="s">
        <v>4200</v>
      </c>
      <c r="D735" s="175"/>
      <c r="E735" s="175"/>
      <c r="F735" s="175"/>
      <c r="G735" s="175"/>
      <c r="H735" s="175"/>
      <c r="I735" s="175"/>
    </row>
    <row r="736" spans="1:9">
      <c r="A736" s="175"/>
      <c r="B736" s="175"/>
      <c r="C736" s="193" t="s">
        <v>4199</v>
      </c>
      <c r="D736" s="175"/>
      <c r="E736" s="175"/>
      <c r="F736" s="175"/>
      <c r="G736" s="175"/>
      <c r="H736" s="175"/>
      <c r="I736" s="175"/>
    </row>
    <row r="737" spans="1:9">
      <c r="A737" s="175"/>
      <c r="B737" s="175"/>
      <c r="C737" s="193" t="s">
        <v>4198</v>
      </c>
      <c r="D737" s="175"/>
      <c r="E737" s="175"/>
      <c r="F737" s="175"/>
      <c r="G737" s="175"/>
      <c r="H737" s="175"/>
      <c r="I737" s="175"/>
    </row>
    <row r="738" spans="1:9">
      <c r="A738" s="175"/>
      <c r="B738" s="175"/>
      <c r="C738" s="193" t="s">
        <v>4197</v>
      </c>
      <c r="D738" s="175"/>
      <c r="E738" s="175"/>
      <c r="F738" s="175"/>
      <c r="G738" s="175"/>
      <c r="H738" s="175"/>
      <c r="I738" s="175"/>
    </row>
    <row r="739" spans="1:9">
      <c r="A739" s="175"/>
      <c r="B739" s="175"/>
      <c r="C739" s="193" t="s">
        <v>4196</v>
      </c>
      <c r="D739" s="175"/>
      <c r="E739" s="175"/>
      <c r="F739" s="175"/>
      <c r="G739" s="175"/>
      <c r="H739" s="175"/>
      <c r="I739" s="175"/>
    </row>
    <row r="740" spans="1:9">
      <c r="A740" s="175"/>
      <c r="B740" s="175"/>
      <c r="C740" s="193" t="s">
        <v>4195</v>
      </c>
      <c r="D740" s="175"/>
      <c r="E740" s="175"/>
      <c r="F740" s="175"/>
      <c r="G740" s="175"/>
      <c r="H740" s="175"/>
      <c r="I740" s="175"/>
    </row>
    <row r="741" spans="1:9">
      <c r="A741" s="175"/>
      <c r="B741" s="175"/>
      <c r="C741" s="193" t="s">
        <v>4194</v>
      </c>
      <c r="D741" s="175"/>
      <c r="E741" s="175"/>
      <c r="F741" s="175"/>
      <c r="G741" s="175"/>
      <c r="H741" s="175"/>
      <c r="I741" s="175"/>
    </row>
    <row r="742" spans="1:9">
      <c r="A742" s="175"/>
      <c r="B742" s="175"/>
      <c r="C742" s="193" t="s">
        <v>4193</v>
      </c>
      <c r="D742" s="175"/>
      <c r="E742" s="175"/>
      <c r="F742" s="175"/>
      <c r="G742" s="175"/>
      <c r="H742" s="175"/>
      <c r="I742" s="175"/>
    </row>
    <row r="743" spans="1:9">
      <c r="A743" s="175"/>
      <c r="B743" s="175"/>
      <c r="C743" s="193" t="s">
        <v>4192</v>
      </c>
      <c r="D743" s="175"/>
      <c r="E743" s="175"/>
      <c r="F743" s="175"/>
      <c r="G743" s="175"/>
      <c r="H743" s="175"/>
      <c r="I743" s="175"/>
    </row>
    <row r="744" spans="1:9">
      <c r="A744" s="175"/>
      <c r="B744" s="175"/>
      <c r="C744" s="193" t="s">
        <v>4191</v>
      </c>
      <c r="D744" s="175"/>
      <c r="E744" s="175"/>
      <c r="F744" s="175"/>
      <c r="G744" s="175"/>
      <c r="H744" s="175"/>
      <c r="I744" s="175"/>
    </row>
    <row r="745" spans="1:9">
      <c r="A745" s="175"/>
      <c r="B745" s="175"/>
      <c r="C745" s="193" t="s">
        <v>4190</v>
      </c>
      <c r="D745" s="175"/>
      <c r="E745" s="175"/>
      <c r="F745" s="175"/>
      <c r="G745" s="175"/>
      <c r="H745" s="175"/>
      <c r="I745" s="175"/>
    </row>
    <row r="746" spans="1:9">
      <c r="A746" s="175"/>
      <c r="B746" s="175"/>
      <c r="C746" s="193"/>
      <c r="D746" s="175"/>
      <c r="E746" s="175"/>
      <c r="F746" s="175"/>
      <c r="G746" s="175"/>
      <c r="H746" s="175"/>
      <c r="I746" s="175"/>
    </row>
    <row r="747" spans="1:9">
      <c r="A747" s="378" t="s">
        <v>9555</v>
      </c>
      <c r="B747" s="42" t="s">
        <v>9552</v>
      </c>
    </row>
    <row r="748" spans="1:9">
      <c r="B748" s="378" t="s">
        <v>5667</v>
      </c>
      <c r="C748" s="380" t="s">
        <v>9554</v>
      </c>
    </row>
    <row r="749" spans="1:9">
      <c r="B749" s="378" t="s">
        <v>5668</v>
      </c>
      <c r="C749" s="123">
        <v>11920</v>
      </c>
    </row>
    <row r="750" spans="1:9" ht="15">
      <c r="B750" s="378" t="s">
        <v>5666</v>
      </c>
      <c r="C750" s="151" t="s">
        <v>9553</v>
      </c>
    </row>
    <row r="752" spans="1:9">
      <c r="A752" s="175" t="s">
        <v>6811</v>
      </c>
      <c r="B752" s="42" t="s">
        <v>6044</v>
      </c>
      <c r="C752" s="193"/>
      <c r="D752" s="193"/>
      <c r="E752" s="175"/>
      <c r="F752" s="175"/>
      <c r="G752" s="175"/>
      <c r="H752" s="175"/>
      <c r="I752" s="175"/>
    </row>
    <row r="753" spans="1:9">
      <c r="A753" s="175"/>
      <c r="B753" s="175" t="s">
        <v>5667</v>
      </c>
      <c r="C753" s="193" t="s">
        <v>6045</v>
      </c>
      <c r="D753" s="193"/>
      <c r="E753" s="175"/>
      <c r="F753" s="175"/>
      <c r="G753" s="175"/>
      <c r="H753" s="175"/>
      <c r="I753" s="175"/>
    </row>
    <row r="754" spans="1:9">
      <c r="A754" s="175"/>
      <c r="B754" s="175" t="s">
        <v>5668</v>
      </c>
      <c r="C754" s="197">
        <v>9412</v>
      </c>
      <c r="D754" s="193"/>
      <c r="E754" s="175"/>
      <c r="F754" s="175"/>
      <c r="G754" s="175"/>
      <c r="H754" s="175"/>
      <c r="I754" s="175"/>
    </row>
    <row r="755" spans="1:9">
      <c r="A755" s="175"/>
      <c r="B755" s="175" t="s">
        <v>5666</v>
      </c>
      <c r="C755" s="101" t="s">
        <v>6808</v>
      </c>
      <c r="D755" s="193"/>
      <c r="E755" s="175"/>
      <c r="F755" s="175"/>
      <c r="G755" s="175"/>
      <c r="H755" s="175"/>
      <c r="I755" s="175"/>
    </row>
    <row r="756" spans="1:9">
      <c r="A756" s="175"/>
      <c r="B756" s="175"/>
      <c r="C756" s="193"/>
      <c r="D756" s="193"/>
      <c r="E756" s="175"/>
      <c r="F756" s="175"/>
      <c r="G756" s="175"/>
      <c r="H756" s="175"/>
      <c r="I756" s="175"/>
    </row>
    <row r="757" spans="1:9">
      <c r="A757" s="272" t="s">
        <v>9455</v>
      </c>
      <c r="B757" s="42" t="s">
        <v>9456</v>
      </c>
      <c r="C757" s="193"/>
      <c r="D757" s="193"/>
      <c r="E757" s="175"/>
      <c r="F757" s="175"/>
      <c r="G757" s="175"/>
      <c r="H757" s="175"/>
      <c r="I757" s="175"/>
    </row>
    <row r="758" spans="1:9">
      <c r="A758" s="175"/>
      <c r="B758" s="272" t="s">
        <v>5667</v>
      </c>
      <c r="C758" s="278" t="s">
        <v>9458</v>
      </c>
      <c r="D758" s="193"/>
      <c r="E758" s="175"/>
      <c r="F758" s="175"/>
      <c r="G758" s="175"/>
      <c r="H758" s="175"/>
      <c r="I758" s="175"/>
    </row>
    <row r="759" spans="1:9">
      <c r="A759" s="175"/>
      <c r="B759" s="272" t="s">
        <v>5668</v>
      </c>
      <c r="C759" s="197">
        <v>6414</v>
      </c>
      <c r="D759" s="193"/>
      <c r="E759" s="175"/>
      <c r="F759" s="175"/>
      <c r="G759" s="175"/>
      <c r="H759" s="175"/>
      <c r="I759" s="175"/>
    </row>
    <row r="760" spans="1:9">
      <c r="A760" s="175"/>
      <c r="B760" s="272" t="s">
        <v>5666</v>
      </c>
      <c r="C760" s="101" t="s">
        <v>9457</v>
      </c>
      <c r="D760" s="193"/>
      <c r="E760" s="175"/>
      <c r="F760" s="175"/>
      <c r="G760" s="175"/>
      <c r="H760" s="175"/>
      <c r="I760" s="175"/>
    </row>
    <row r="761" spans="1:9">
      <c r="A761" s="175"/>
      <c r="B761" s="175"/>
      <c r="C761" s="193"/>
      <c r="D761" s="193"/>
      <c r="E761" s="175"/>
      <c r="F761" s="175"/>
      <c r="G761" s="175"/>
      <c r="H761" s="175"/>
      <c r="I761" s="175"/>
    </row>
    <row r="762" spans="1:9">
      <c r="A762" s="272" t="s">
        <v>9462</v>
      </c>
      <c r="B762" s="42" t="s">
        <v>9459</v>
      </c>
    </row>
    <row r="763" spans="1:9">
      <c r="B763" s="272" t="s">
        <v>5667</v>
      </c>
      <c r="C763" s="278" t="s">
        <v>9461</v>
      </c>
    </row>
    <row r="764" spans="1:9">
      <c r="B764" s="272" t="s">
        <v>5668</v>
      </c>
      <c r="C764" s="197">
        <v>2946</v>
      </c>
    </row>
    <row r="765" spans="1:9">
      <c r="B765" s="272" t="s">
        <v>5666</v>
      </c>
      <c r="C765" s="101" t="s">
        <v>9460</v>
      </c>
    </row>
    <row r="767" spans="1:9">
      <c r="A767" s="175" t="s">
        <v>6812</v>
      </c>
      <c r="B767" s="42" t="s">
        <v>6865</v>
      </c>
      <c r="C767" s="193"/>
      <c r="D767" s="193"/>
      <c r="E767" s="175"/>
      <c r="F767" s="175"/>
      <c r="G767" s="175"/>
      <c r="H767" s="175"/>
      <c r="I767" s="175"/>
    </row>
    <row r="768" spans="1:9">
      <c r="A768" s="175"/>
      <c r="B768" s="175" t="s">
        <v>5667</v>
      </c>
      <c r="C768" s="193" t="s">
        <v>6866</v>
      </c>
      <c r="D768" s="193"/>
      <c r="E768" s="175"/>
      <c r="F768" s="175"/>
      <c r="G768" s="175"/>
      <c r="H768" s="175"/>
      <c r="I768" s="175"/>
    </row>
    <row r="769" spans="1:9">
      <c r="A769" s="175"/>
      <c r="B769" s="175" t="s">
        <v>5668</v>
      </c>
      <c r="C769" s="197">
        <v>2251</v>
      </c>
      <c r="D769" s="193"/>
      <c r="E769" s="175"/>
      <c r="F769" s="175"/>
      <c r="G769" s="175"/>
      <c r="H769" s="175"/>
      <c r="I769" s="175"/>
    </row>
    <row r="770" spans="1:9">
      <c r="A770" s="175"/>
      <c r="B770" s="175" t="s">
        <v>5666</v>
      </c>
      <c r="C770" s="101" t="s">
        <v>6867</v>
      </c>
      <c r="D770" s="193"/>
      <c r="E770" s="175"/>
      <c r="F770" s="175"/>
      <c r="G770" s="175"/>
      <c r="H770" s="175"/>
      <c r="I770" s="175"/>
    </row>
    <row r="771" spans="1:9">
      <c r="A771" s="175"/>
      <c r="B771" s="175"/>
      <c r="C771" s="193"/>
      <c r="D771" s="193"/>
      <c r="E771" s="175"/>
      <c r="F771" s="175"/>
      <c r="G771" s="175"/>
      <c r="H771" s="175"/>
      <c r="I771" s="175"/>
    </row>
    <row r="772" spans="1:9">
      <c r="A772" s="175" t="s">
        <v>6813</v>
      </c>
      <c r="B772" s="42" t="s">
        <v>6845</v>
      </c>
    </row>
    <row r="773" spans="1:9">
      <c r="B773" s="175" t="s">
        <v>5667</v>
      </c>
      <c r="C773" s="193" t="s">
        <v>6846</v>
      </c>
    </row>
    <row r="774" spans="1:9">
      <c r="B774" s="175" t="s">
        <v>5668</v>
      </c>
      <c r="C774" s="197">
        <v>1503</v>
      </c>
    </row>
    <row r="775" spans="1:9">
      <c r="B775" s="175" t="s">
        <v>5666</v>
      </c>
      <c r="C775" s="101" t="s">
        <v>6847</v>
      </c>
    </row>
    <row r="777" spans="1:9">
      <c r="A777" s="175" t="s">
        <v>6814</v>
      </c>
      <c r="B777" s="42" t="s">
        <v>6907</v>
      </c>
    </row>
    <row r="778" spans="1:9">
      <c r="B778" s="175" t="s">
        <v>5667</v>
      </c>
      <c r="C778" s="193" t="s">
        <v>6908</v>
      </c>
    </row>
    <row r="779" spans="1:9">
      <c r="B779" s="175" t="s">
        <v>5668</v>
      </c>
      <c r="C779" s="197">
        <v>1369</v>
      </c>
    </row>
    <row r="780" spans="1:9">
      <c r="B780" s="175" t="s">
        <v>5666</v>
      </c>
      <c r="C780" s="101" t="s">
        <v>6909</v>
      </c>
    </row>
    <row r="782" spans="1:9">
      <c r="A782" s="175" t="s">
        <v>6848</v>
      </c>
      <c r="B782" s="42" t="s">
        <v>5577</v>
      </c>
      <c r="C782" s="193"/>
      <c r="D782" s="175"/>
      <c r="E782" s="175"/>
      <c r="F782" s="175"/>
      <c r="G782" s="175"/>
      <c r="H782" s="175"/>
      <c r="I782" s="175"/>
    </row>
    <row r="783" spans="1:9">
      <c r="A783" s="175"/>
      <c r="B783" s="175" t="s">
        <v>5667</v>
      </c>
      <c r="C783" s="193" t="s">
        <v>5578</v>
      </c>
      <c r="D783" s="175"/>
      <c r="E783" s="175"/>
      <c r="F783" s="175"/>
      <c r="G783" s="175"/>
      <c r="H783" s="175"/>
      <c r="I783" s="175"/>
    </row>
    <row r="784" spans="1:9">
      <c r="A784" s="175"/>
      <c r="B784" s="175" t="s">
        <v>5668</v>
      </c>
      <c r="C784" s="197">
        <v>1345</v>
      </c>
      <c r="D784" s="175"/>
      <c r="E784" s="175"/>
      <c r="F784" s="175"/>
      <c r="G784" s="175"/>
      <c r="H784" s="175"/>
      <c r="I784" s="175"/>
    </row>
    <row r="785" spans="1:9">
      <c r="A785" s="175"/>
      <c r="B785" s="175" t="s">
        <v>5666</v>
      </c>
      <c r="C785" s="25" t="s">
        <v>5655</v>
      </c>
      <c r="D785" s="193"/>
      <c r="E785" s="175"/>
      <c r="F785" s="175"/>
      <c r="G785" s="175"/>
      <c r="H785" s="175"/>
      <c r="I785" s="175"/>
    </row>
    <row r="786" spans="1:9">
      <c r="A786" s="175"/>
      <c r="B786" s="175" t="s">
        <v>4201</v>
      </c>
      <c r="C786" s="193"/>
      <c r="D786" s="193"/>
      <c r="E786" s="175"/>
      <c r="F786" s="175"/>
      <c r="G786" s="175"/>
      <c r="H786" s="175"/>
      <c r="I786" s="175"/>
    </row>
    <row r="787" spans="1:9">
      <c r="A787" s="175"/>
      <c r="B787" s="175"/>
      <c r="C787" s="193"/>
      <c r="D787" s="193"/>
      <c r="E787" s="175"/>
      <c r="F787" s="175"/>
      <c r="G787" s="175"/>
      <c r="H787" s="175"/>
      <c r="I787" s="175"/>
    </row>
    <row r="788" spans="1:9">
      <c r="A788" s="175" t="s">
        <v>6856</v>
      </c>
      <c r="B788" s="42" t="s">
        <v>6929</v>
      </c>
      <c r="C788" s="193"/>
      <c r="D788" s="193"/>
      <c r="E788" s="175"/>
      <c r="F788" s="175"/>
      <c r="G788" s="175"/>
      <c r="H788" s="175"/>
      <c r="I788" s="175"/>
    </row>
    <row r="789" spans="1:9">
      <c r="A789" s="175"/>
      <c r="B789" s="175" t="s">
        <v>5667</v>
      </c>
      <c r="C789" s="193" t="s">
        <v>6931</v>
      </c>
      <c r="D789" s="193"/>
      <c r="E789" s="175"/>
      <c r="F789" s="175"/>
      <c r="G789" s="175"/>
      <c r="H789" s="175"/>
      <c r="I789" s="175"/>
    </row>
    <row r="790" spans="1:9">
      <c r="A790" s="175"/>
      <c r="B790" s="175" t="s">
        <v>5668</v>
      </c>
      <c r="C790" s="197">
        <v>1115</v>
      </c>
      <c r="D790" s="193"/>
      <c r="E790" s="175"/>
      <c r="F790" s="175"/>
      <c r="G790" s="175"/>
      <c r="H790" s="175"/>
      <c r="I790" s="175"/>
    </row>
    <row r="791" spans="1:9">
      <c r="A791" s="175"/>
      <c r="B791" s="175" t="s">
        <v>5666</v>
      </c>
      <c r="C791" s="101" t="s">
        <v>6930</v>
      </c>
      <c r="D791" s="193"/>
      <c r="E791" s="175"/>
      <c r="F791" s="175"/>
      <c r="G791" s="175"/>
      <c r="H791" s="175"/>
      <c r="I791" s="175"/>
    </row>
    <row r="792" spans="1:9">
      <c r="A792" s="175"/>
      <c r="B792" s="175"/>
      <c r="C792" s="193"/>
      <c r="D792" s="193"/>
      <c r="E792" s="175"/>
      <c r="F792" s="175"/>
      <c r="G792" s="175"/>
      <c r="H792" s="175"/>
      <c r="I792" s="175"/>
    </row>
    <row r="793" spans="1:9">
      <c r="A793" s="175" t="s">
        <v>6953</v>
      </c>
      <c r="B793" s="42" t="s">
        <v>6950</v>
      </c>
      <c r="C793" s="193"/>
      <c r="D793" s="193"/>
      <c r="E793" s="175"/>
      <c r="F793" s="175"/>
      <c r="G793" s="175"/>
      <c r="H793" s="175"/>
      <c r="I793" s="175"/>
    </row>
    <row r="794" spans="1:9">
      <c r="A794" s="175"/>
      <c r="B794" s="175" t="s">
        <v>5667</v>
      </c>
      <c r="C794" s="193" t="s">
        <v>6952</v>
      </c>
      <c r="D794" s="193"/>
      <c r="E794" s="175"/>
      <c r="F794" s="175"/>
      <c r="G794" s="175"/>
      <c r="H794" s="175"/>
      <c r="I794" s="175"/>
    </row>
    <row r="795" spans="1:9">
      <c r="A795" s="175"/>
      <c r="B795" s="175" t="s">
        <v>5668</v>
      </c>
      <c r="C795" s="197">
        <v>750</v>
      </c>
      <c r="D795" s="193"/>
      <c r="E795" s="175"/>
      <c r="F795" s="175"/>
      <c r="G795" s="175"/>
      <c r="H795" s="175"/>
      <c r="I795" s="175"/>
    </row>
    <row r="796" spans="1:9">
      <c r="A796" s="175"/>
      <c r="B796" s="175" t="s">
        <v>5666</v>
      </c>
      <c r="C796" s="101" t="s">
        <v>6951</v>
      </c>
      <c r="D796" s="193"/>
      <c r="E796" s="175"/>
      <c r="F796" s="175"/>
      <c r="G796" s="175"/>
      <c r="H796" s="175"/>
      <c r="I796" s="175"/>
    </row>
    <row r="797" spans="1:9">
      <c r="A797" s="175"/>
      <c r="B797" s="175"/>
      <c r="C797" s="193"/>
      <c r="D797" s="193"/>
      <c r="E797" s="175"/>
      <c r="F797" s="175"/>
      <c r="G797" s="175"/>
      <c r="H797" s="175"/>
      <c r="I797" s="175"/>
    </row>
    <row r="798" spans="1:9">
      <c r="A798" s="175" t="s">
        <v>6868</v>
      </c>
      <c r="B798" s="42" t="s">
        <v>5399</v>
      </c>
      <c r="C798" s="193"/>
      <c r="D798" s="175"/>
      <c r="E798" s="175"/>
      <c r="F798" s="175"/>
      <c r="G798" s="175"/>
      <c r="H798" s="175"/>
      <c r="I798" s="175"/>
    </row>
    <row r="799" spans="1:9">
      <c r="A799" s="175"/>
      <c r="B799" s="175" t="s">
        <v>5667</v>
      </c>
      <c r="C799" s="193" t="s">
        <v>6026</v>
      </c>
      <c r="D799" s="175"/>
      <c r="E799" s="175"/>
      <c r="F799" s="175"/>
      <c r="G799" s="175"/>
      <c r="H799" s="175"/>
      <c r="I799" s="175"/>
    </row>
    <row r="800" spans="1:9">
      <c r="A800" s="175"/>
      <c r="B800" s="175" t="s">
        <v>5668</v>
      </c>
      <c r="C800" s="197">
        <v>710</v>
      </c>
      <c r="D800" s="175"/>
      <c r="E800" s="175"/>
      <c r="F800" s="175"/>
      <c r="G800" s="175"/>
      <c r="H800" s="175"/>
      <c r="I800" s="175"/>
    </row>
    <row r="801" spans="1:9">
      <c r="A801" s="175"/>
      <c r="B801" s="175" t="s">
        <v>5666</v>
      </c>
      <c r="C801" s="101" t="s">
        <v>6810</v>
      </c>
      <c r="D801" s="175"/>
      <c r="E801" s="175"/>
      <c r="F801" s="175"/>
      <c r="G801" s="175"/>
      <c r="H801" s="175"/>
      <c r="I801" s="175"/>
    </row>
    <row r="802" spans="1:9">
      <c r="A802" s="175"/>
      <c r="B802" s="175"/>
      <c r="C802" s="193"/>
      <c r="D802" s="175"/>
      <c r="E802" s="175"/>
      <c r="F802" s="175"/>
      <c r="G802" s="175"/>
      <c r="H802" s="175"/>
      <c r="I802" s="175"/>
    </row>
    <row r="803" spans="1:9">
      <c r="A803" s="175" t="s">
        <v>6902</v>
      </c>
      <c r="B803" s="42" t="s">
        <v>6854</v>
      </c>
      <c r="C803" s="193"/>
      <c r="D803" s="175"/>
      <c r="E803" s="175"/>
      <c r="F803" s="175"/>
      <c r="G803" s="175"/>
      <c r="H803" s="175"/>
      <c r="I803" s="175"/>
    </row>
    <row r="804" spans="1:9">
      <c r="A804" s="175"/>
      <c r="B804" s="175" t="s">
        <v>5667</v>
      </c>
      <c r="C804" s="193" t="s">
        <v>6855</v>
      </c>
      <c r="D804" s="175"/>
      <c r="E804" s="175"/>
      <c r="F804" s="175"/>
      <c r="G804" s="175"/>
      <c r="H804" s="175"/>
      <c r="I804" s="175"/>
    </row>
    <row r="805" spans="1:9">
      <c r="A805" s="175"/>
      <c r="B805" s="175" t="s">
        <v>5668</v>
      </c>
      <c r="C805" s="197">
        <v>427</v>
      </c>
      <c r="D805" s="175"/>
      <c r="E805" s="175"/>
      <c r="F805" s="175"/>
      <c r="G805" s="175"/>
      <c r="H805" s="175"/>
      <c r="I805" s="175"/>
    </row>
    <row r="806" spans="1:9">
      <c r="A806" s="175"/>
      <c r="B806" s="175" t="s">
        <v>5666</v>
      </c>
      <c r="C806" s="25" t="s">
        <v>6853</v>
      </c>
      <c r="D806" s="175"/>
      <c r="E806" s="175"/>
      <c r="F806" s="175"/>
      <c r="G806" s="175"/>
      <c r="H806" s="175"/>
      <c r="I806" s="175"/>
    </row>
    <row r="807" spans="1:9">
      <c r="A807" s="175"/>
      <c r="B807" s="175"/>
      <c r="C807" s="193"/>
      <c r="D807" s="175"/>
      <c r="E807" s="175"/>
      <c r="F807" s="175"/>
      <c r="G807" s="175"/>
      <c r="H807" s="175"/>
      <c r="I807" s="175"/>
    </row>
    <row r="808" spans="1:9">
      <c r="A808" s="175" t="s">
        <v>6906</v>
      </c>
      <c r="B808" s="42" t="s">
        <v>6899</v>
      </c>
      <c r="C808" s="193"/>
      <c r="D808" s="175"/>
      <c r="E808" s="175"/>
      <c r="F808" s="175"/>
      <c r="G808" s="175"/>
      <c r="H808" s="175"/>
      <c r="I808" s="175"/>
    </row>
    <row r="809" spans="1:9">
      <c r="A809" s="175"/>
      <c r="B809" s="175" t="s">
        <v>5667</v>
      </c>
      <c r="C809" s="193" t="s">
        <v>6901</v>
      </c>
      <c r="D809" s="175"/>
      <c r="E809" s="175"/>
      <c r="F809" s="175"/>
      <c r="G809" s="175"/>
      <c r="H809" s="175"/>
      <c r="I809" s="175"/>
    </row>
    <row r="810" spans="1:9">
      <c r="A810" s="175"/>
      <c r="B810" s="175" t="s">
        <v>5668</v>
      </c>
      <c r="C810" s="197">
        <v>214</v>
      </c>
      <c r="D810" s="175"/>
      <c r="E810" s="175"/>
      <c r="F810" s="175"/>
      <c r="G810" s="175"/>
      <c r="H810" s="175"/>
      <c r="I810" s="175"/>
    </row>
    <row r="811" spans="1:9" ht="15">
      <c r="A811" s="175"/>
      <c r="B811" s="175" t="s">
        <v>5666</v>
      </c>
      <c r="C811" s="151" t="s">
        <v>6900</v>
      </c>
      <c r="D811" s="175"/>
      <c r="E811" s="175"/>
      <c r="F811" s="175"/>
      <c r="G811" s="175"/>
      <c r="H811" s="175"/>
      <c r="I811" s="175"/>
    </row>
    <row r="812" spans="1:9">
      <c r="A812" s="175"/>
      <c r="B812" s="175"/>
      <c r="C812" s="193"/>
      <c r="D812" s="175"/>
      <c r="E812" s="175"/>
      <c r="F812" s="175"/>
      <c r="G812" s="175"/>
      <c r="H812" s="175"/>
      <c r="I812" s="175"/>
    </row>
    <row r="813" spans="1:9">
      <c r="A813" s="175" t="s">
        <v>6910</v>
      </c>
      <c r="B813" s="42" t="s">
        <v>6904</v>
      </c>
      <c r="C813" s="193"/>
      <c r="D813" s="175"/>
      <c r="E813" s="175"/>
      <c r="F813" s="175"/>
      <c r="G813" s="175"/>
      <c r="H813" s="175"/>
      <c r="I813" s="175"/>
    </row>
    <row r="814" spans="1:9">
      <c r="A814" s="175"/>
      <c r="B814" s="175" t="s">
        <v>5667</v>
      </c>
      <c r="C814" s="193" t="s">
        <v>6905</v>
      </c>
      <c r="D814" s="175"/>
      <c r="E814" s="175"/>
      <c r="F814" s="175"/>
      <c r="G814" s="175"/>
      <c r="H814" s="175"/>
      <c r="I814" s="175"/>
    </row>
    <row r="815" spans="1:9">
      <c r="A815" s="175"/>
      <c r="B815" s="175" t="s">
        <v>5668</v>
      </c>
      <c r="C815" s="197">
        <v>102</v>
      </c>
      <c r="D815" s="175"/>
      <c r="E815" s="175"/>
      <c r="F815" s="175"/>
      <c r="G815" s="175"/>
      <c r="H815" s="175"/>
      <c r="I815" s="175"/>
    </row>
    <row r="816" spans="1:9">
      <c r="A816" s="175"/>
      <c r="B816" s="175" t="s">
        <v>5666</v>
      </c>
      <c r="C816" s="101" t="s">
        <v>6903</v>
      </c>
      <c r="D816" s="175"/>
      <c r="E816" s="175"/>
      <c r="F816" s="175"/>
      <c r="G816" s="175"/>
      <c r="H816" s="175"/>
      <c r="I816" s="175"/>
    </row>
    <row r="817" spans="1:9">
      <c r="A817" s="175"/>
      <c r="B817" s="175"/>
      <c r="C817" s="193"/>
      <c r="D817" s="175"/>
      <c r="E817" s="175"/>
      <c r="F817" s="175"/>
      <c r="G817" s="175"/>
      <c r="H817" s="175"/>
      <c r="I817" s="175"/>
    </row>
    <row r="818" spans="1:9">
      <c r="A818" s="175" t="s">
        <v>6932</v>
      </c>
      <c r="B818" s="42" t="s">
        <v>6030</v>
      </c>
      <c r="C818" s="193"/>
      <c r="D818" s="175"/>
      <c r="E818" s="175"/>
      <c r="F818" s="175"/>
      <c r="G818" s="175"/>
      <c r="H818" s="175"/>
      <c r="I818" s="175"/>
    </row>
    <row r="819" spans="1:9">
      <c r="A819" s="175"/>
      <c r="B819" s="175" t="s">
        <v>5667</v>
      </c>
      <c r="C819" s="193" t="s">
        <v>6029</v>
      </c>
      <c r="D819" s="175"/>
      <c r="E819" s="175"/>
      <c r="F819" s="175"/>
      <c r="G819" s="175"/>
      <c r="H819" s="175"/>
      <c r="I819" s="175"/>
    </row>
    <row r="820" spans="1:9">
      <c r="A820" s="175"/>
      <c r="B820" s="175" t="s">
        <v>5668</v>
      </c>
      <c r="C820" s="197">
        <v>49</v>
      </c>
      <c r="D820" s="175"/>
      <c r="E820" s="175"/>
      <c r="F820" s="175"/>
      <c r="G820" s="175"/>
      <c r="H820" s="175"/>
      <c r="I820" s="175"/>
    </row>
    <row r="821" spans="1:9">
      <c r="A821" s="175"/>
      <c r="B821" s="175" t="s">
        <v>5666</v>
      </c>
      <c r="C821" s="101" t="s">
        <v>6809</v>
      </c>
      <c r="D821" s="175"/>
      <c r="E821" s="175"/>
      <c r="F821" s="175"/>
      <c r="G821" s="175"/>
      <c r="H821" s="175"/>
      <c r="I821" s="175"/>
    </row>
    <row r="823" spans="1:9">
      <c r="A823" s="245" t="s">
        <v>7668</v>
      </c>
      <c r="B823" s="42" t="s">
        <v>7665</v>
      </c>
    </row>
    <row r="824" spans="1:9">
      <c r="B824" s="245" t="s">
        <v>5667</v>
      </c>
      <c r="C824" s="246" t="s">
        <v>7666</v>
      </c>
    </row>
    <row r="825" spans="1:9">
      <c r="B825" s="245" t="s">
        <v>5668</v>
      </c>
      <c r="C825" s="197">
        <v>34</v>
      </c>
    </row>
    <row r="826" spans="1:9">
      <c r="B826" s="245" t="s">
        <v>5666</v>
      </c>
      <c r="C826" s="101" t="s">
        <v>7667</v>
      </c>
    </row>
    <row r="828" spans="1:9">
      <c r="A828" s="272" t="s">
        <v>8196</v>
      </c>
      <c r="B828" s="42" t="s">
        <v>8197</v>
      </c>
    </row>
    <row r="829" spans="1:9">
      <c r="B829" s="272" t="s">
        <v>5667</v>
      </c>
      <c r="C829" s="278" t="s">
        <v>8198</v>
      </c>
    </row>
    <row r="830" spans="1:9">
      <c r="B830" s="272" t="s">
        <v>5668</v>
      </c>
    </row>
    <row r="831" spans="1:9">
      <c r="B831" s="272" t="s">
        <v>5666</v>
      </c>
    </row>
    <row r="833" spans="1:3">
      <c r="A833" s="378" t="s">
        <v>9547</v>
      </c>
      <c r="B833" s="42" t="s">
        <v>9548</v>
      </c>
    </row>
    <row r="834" spans="1:3">
      <c r="B834" s="378" t="s">
        <v>5667</v>
      </c>
      <c r="C834" s="380" t="s">
        <v>9549</v>
      </c>
    </row>
    <row r="835" spans="1:3">
      <c r="B835" s="378" t="s">
        <v>5668</v>
      </c>
      <c r="C835" s="380" t="s">
        <v>9551</v>
      </c>
    </row>
    <row r="836" spans="1:3">
      <c r="B836" s="378" t="s">
        <v>5666</v>
      </c>
      <c r="C836" s="101" t="s">
        <v>9550</v>
      </c>
    </row>
    <row r="838" spans="1:3">
      <c r="A838" s="175" t="s">
        <v>6803</v>
      </c>
      <c r="B838" s="42" t="s">
        <v>6024</v>
      </c>
    </row>
    <row r="839" spans="1:3">
      <c r="B839" s="108" t="s">
        <v>5667</v>
      </c>
      <c r="C839" s="109" t="s">
        <v>6025</v>
      </c>
    </row>
    <row r="840" spans="1:3">
      <c r="B840" s="108" t="s">
        <v>5668</v>
      </c>
      <c r="C840" s="121">
        <v>74060</v>
      </c>
    </row>
    <row r="841" spans="1:3">
      <c r="B841" s="108" t="s">
        <v>5666</v>
      </c>
      <c r="C841" s="25" t="s">
        <v>5646</v>
      </c>
    </row>
    <row r="842" spans="1:3">
      <c r="B842" s="108" t="s">
        <v>4201</v>
      </c>
      <c r="C842" s="175" t="s">
        <v>6959</v>
      </c>
    </row>
    <row r="843" spans="1:3">
      <c r="C843" s="108" t="s">
        <v>5379</v>
      </c>
    </row>
    <row r="844" spans="1:3">
      <c r="C844" s="175" t="s">
        <v>5381</v>
      </c>
    </row>
    <row r="846" spans="1:3">
      <c r="C846" s="108" t="s">
        <v>5382</v>
      </c>
    </row>
    <row r="847" spans="1:3">
      <c r="C847" s="108" t="s">
        <v>5383</v>
      </c>
    </row>
    <row r="848" spans="1:3">
      <c r="C848" s="108" t="s">
        <v>5384</v>
      </c>
    </row>
    <row r="849" spans="1:3">
      <c r="C849" s="108" t="s">
        <v>5385</v>
      </c>
    </row>
    <row r="850" spans="1:3">
      <c r="C850" s="108" t="s">
        <v>5386</v>
      </c>
    </row>
    <row r="851" spans="1:3">
      <c r="C851" s="108" t="s">
        <v>5387</v>
      </c>
    </row>
    <row r="852" spans="1:3">
      <c r="C852" s="108" t="s">
        <v>5388</v>
      </c>
    </row>
    <row r="853" spans="1:3">
      <c r="C853" s="108" t="s">
        <v>5389</v>
      </c>
    </row>
    <row r="854" spans="1:3">
      <c r="C854" s="108" t="s">
        <v>5390</v>
      </c>
    </row>
    <row r="855" spans="1:3">
      <c r="C855" s="108" t="s">
        <v>5391</v>
      </c>
    </row>
    <row r="856" spans="1:3">
      <c r="C856" s="108" t="s">
        <v>5392</v>
      </c>
    </row>
    <row r="857" spans="1:3">
      <c r="C857" s="108" t="s">
        <v>5393</v>
      </c>
    </row>
    <row r="858" spans="1:3">
      <c r="C858" s="108" t="s">
        <v>5394</v>
      </c>
    </row>
    <row r="859" spans="1:3">
      <c r="C859" s="108" t="s">
        <v>5395</v>
      </c>
    </row>
    <row r="860" spans="1:3">
      <c r="C860" s="108" t="s">
        <v>5396</v>
      </c>
    </row>
    <row r="861" spans="1:3">
      <c r="C861" s="108" t="s">
        <v>5397</v>
      </c>
    </row>
    <row r="862" spans="1:3">
      <c r="C862" s="108" t="s">
        <v>5398</v>
      </c>
    </row>
    <row r="864" spans="1:3">
      <c r="A864" s="175" t="s">
        <v>6804</v>
      </c>
      <c r="B864" s="42" t="s">
        <v>5480</v>
      </c>
    </row>
    <row r="865" spans="1:3">
      <c r="B865" s="108" t="s">
        <v>5667</v>
      </c>
      <c r="C865" s="109" t="s">
        <v>5481</v>
      </c>
    </row>
    <row r="866" spans="1:3">
      <c r="B866" s="108" t="s">
        <v>5668</v>
      </c>
      <c r="C866" s="117">
        <v>62570</v>
      </c>
    </row>
    <row r="867" spans="1:3">
      <c r="B867" s="108" t="s">
        <v>5666</v>
      </c>
      <c r="C867" s="25" t="s">
        <v>6958</v>
      </c>
    </row>
    <row r="869" spans="1:3">
      <c r="A869" s="175" t="s">
        <v>6954</v>
      </c>
      <c r="B869" s="42" t="s">
        <v>6955</v>
      </c>
    </row>
    <row r="870" spans="1:3">
      <c r="B870" s="175" t="s">
        <v>5667</v>
      </c>
      <c r="C870" s="193" t="s">
        <v>6957</v>
      </c>
    </row>
    <row r="871" spans="1:3">
      <c r="B871" s="175" t="s">
        <v>5668</v>
      </c>
      <c r="C871" s="117">
        <v>13472</v>
      </c>
    </row>
    <row r="872" spans="1:3">
      <c r="B872" s="175" t="s">
        <v>5666</v>
      </c>
      <c r="C872" s="101" t="s">
        <v>6956</v>
      </c>
    </row>
    <row r="874" spans="1:3">
      <c r="A874" s="175" t="s">
        <v>6805</v>
      </c>
      <c r="B874" s="42" t="s">
        <v>5469</v>
      </c>
    </row>
    <row r="875" spans="1:3">
      <c r="B875" s="108" t="s">
        <v>5667</v>
      </c>
      <c r="C875" s="109" t="s">
        <v>5468</v>
      </c>
    </row>
    <row r="876" spans="1:3">
      <c r="B876" s="108" t="s">
        <v>5668</v>
      </c>
      <c r="C876" s="116">
        <v>5402</v>
      </c>
    </row>
    <row r="877" spans="1:3">
      <c r="B877" s="108" t="s">
        <v>5666</v>
      </c>
      <c r="C877" s="25" t="s">
        <v>6960</v>
      </c>
    </row>
    <row r="879" spans="1:3">
      <c r="A879" s="245" t="s">
        <v>7672</v>
      </c>
      <c r="B879" s="42" t="s">
        <v>7671</v>
      </c>
    </row>
    <row r="880" spans="1:3">
      <c r="B880" s="245" t="s">
        <v>5667</v>
      </c>
      <c r="C880" s="246" t="s">
        <v>7670</v>
      </c>
    </row>
    <row r="881" spans="1:3">
      <c r="B881" s="245" t="s">
        <v>5668</v>
      </c>
      <c r="C881" s="122">
        <v>4718</v>
      </c>
    </row>
    <row r="882" spans="1:3">
      <c r="B882" s="245" t="s">
        <v>5666</v>
      </c>
      <c r="C882" s="101" t="s">
        <v>7673</v>
      </c>
    </row>
    <row r="884" spans="1:3">
      <c r="A884" s="175" t="s">
        <v>6806</v>
      </c>
      <c r="B884" s="42" t="s">
        <v>6895</v>
      </c>
    </row>
    <row r="885" spans="1:3">
      <c r="B885" s="175" t="s">
        <v>5667</v>
      </c>
      <c r="C885" s="193" t="s">
        <v>6897</v>
      </c>
    </row>
    <row r="886" spans="1:3">
      <c r="B886" s="175" t="s">
        <v>5668</v>
      </c>
      <c r="C886" s="122">
        <v>3782</v>
      </c>
    </row>
    <row r="887" spans="1:3">
      <c r="B887" s="175" t="s">
        <v>5666</v>
      </c>
      <c r="C887" s="101" t="s">
        <v>6896</v>
      </c>
    </row>
    <row r="889" spans="1:3">
      <c r="A889" s="175" t="s">
        <v>6807</v>
      </c>
      <c r="B889" s="42" t="s">
        <v>6736</v>
      </c>
    </row>
    <row r="890" spans="1:3">
      <c r="B890" s="108" t="s">
        <v>5667</v>
      </c>
      <c r="C890" s="109" t="s">
        <v>5457</v>
      </c>
    </row>
    <row r="891" spans="1:3">
      <c r="B891" s="108" t="s">
        <v>5668</v>
      </c>
      <c r="C891" s="122">
        <v>3443</v>
      </c>
    </row>
    <row r="892" spans="1:3">
      <c r="B892" s="108" t="s">
        <v>5666</v>
      </c>
      <c r="C892" s="25" t="s">
        <v>6737</v>
      </c>
    </row>
    <row r="894" spans="1:3">
      <c r="A894" s="175" t="s">
        <v>6819</v>
      </c>
      <c r="B894" s="42" t="s">
        <v>6818</v>
      </c>
    </row>
    <row r="895" spans="1:3">
      <c r="B895" s="175" t="s">
        <v>5667</v>
      </c>
      <c r="C895" s="193" t="s">
        <v>6816</v>
      </c>
    </row>
    <row r="896" spans="1:3">
      <c r="B896" s="175" t="s">
        <v>5668</v>
      </c>
      <c r="C896" s="122">
        <v>1538</v>
      </c>
    </row>
    <row r="897" spans="1:3">
      <c r="B897" s="175" t="s">
        <v>5666</v>
      </c>
      <c r="C897" s="101" t="s">
        <v>6817</v>
      </c>
    </row>
    <row r="899" spans="1:3">
      <c r="A899" s="378" t="s">
        <v>9576</v>
      </c>
      <c r="B899" s="42" t="s">
        <v>9574</v>
      </c>
    </row>
    <row r="900" spans="1:3">
      <c r="B900" s="378" t="s">
        <v>5667</v>
      </c>
      <c r="C900" s="380" t="s">
        <v>9575</v>
      </c>
    </row>
    <row r="901" spans="1:3">
      <c r="B901" s="378" t="s">
        <v>5668</v>
      </c>
      <c r="C901" s="122">
        <v>1097</v>
      </c>
    </row>
    <row r="902" spans="1:3">
      <c r="B902" s="378" t="s">
        <v>5666</v>
      </c>
      <c r="C902" s="101" t="s">
        <v>9573</v>
      </c>
    </row>
    <row r="904" spans="1:3">
      <c r="A904" s="378" t="s">
        <v>9556</v>
      </c>
      <c r="B904" s="42" t="s">
        <v>9557</v>
      </c>
    </row>
    <row r="905" spans="1:3">
      <c r="B905" s="378" t="s">
        <v>5667</v>
      </c>
      <c r="C905" s="380" t="s">
        <v>9559</v>
      </c>
    </row>
    <row r="906" spans="1:3">
      <c r="B906" s="378" t="s">
        <v>5668</v>
      </c>
      <c r="C906" s="122">
        <v>646</v>
      </c>
    </row>
    <row r="907" spans="1:3">
      <c r="B907" s="378" t="s">
        <v>5666</v>
      </c>
      <c r="C907" s="109" t="s">
        <v>9558</v>
      </c>
    </row>
    <row r="909" spans="1:3">
      <c r="A909" s="175" t="s">
        <v>6823</v>
      </c>
      <c r="B909" s="42" t="s">
        <v>6927</v>
      </c>
    </row>
    <row r="910" spans="1:3">
      <c r="B910" s="175" t="s">
        <v>5667</v>
      </c>
      <c r="C910" s="193" t="s">
        <v>6926</v>
      </c>
    </row>
    <row r="911" spans="1:3">
      <c r="B911" s="175" t="s">
        <v>5668</v>
      </c>
      <c r="C911" s="122">
        <v>553</v>
      </c>
    </row>
    <row r="912" spans="1:3">
      <c r="B912" s="175" t="s">
        <v>5666</v>
      </c>
      <c r="C912" s="25" t="s">
        <v>6925</v>
      </c>
    </row>
    <row r="914" spans="1:3">
      <c r="A914" s="175" t="s">
        <v>6860</v>
      </c>
      <c r="B914" s="42" t="s">
        <v>6878</v>
      </c>
    </row>
    <row r="915" spans="1:3">
      <c r="B915" s="175" t="s">
        <v>5667</v>
      </c>
      <c r="C915" s="193" t="s">
        <v>6879</v>
      </c>
    </row>
    <row r="916" spans="1:3">
      <c r="B916" s="175" t="s">
        <v>5668</v>
      </c>
      <c r="C916" s="122">
        <v>550</v>
      </c>
    </row>
    <row r="917" spans="1:3" ht="15">
      <c r="B917" s="175" t="s">
        <v>5666</v>
      </c>
      <c r="C917" s="151" t="s">
        <v>6880</v>
      </c>
    </row>
    <row r="919" spans="1:3">
      <c r="A919" s="175" t="s">
        <v>6881</v>
      </c>
      <c r="B919" s="42" t="s">
        <v>6859</v>
      </c>
    </row>
    <row r="920" spans="1:3">
      <c r="B920" s="175" t="s">
        <v>5667</v>
      </c>
      <c r="C920" s="193" t="s">
        <v>6858</v>
      </c>
    </row>
    <row r="921" spans="1:3">
      <c r="B921" s="175" t="s">
        <v>5668</v>
      </c>
      <c r="C921" s="122">
        <v>409</v>
      </c>
    </row>
    <row r="922" spans="1:3">
      <c r="B922" s="175" t="s">
        <v>5666</v>
      </c>
      <c r="C922" s="25" t="s">
        <v>6857</v>
      </c>
    </row>
    <row r="924" spans="1:3">
      <c r="A924" s="272" t="s">
        <v>9451</v>
      </c>
      <c r="B924" s="42" t="s">
        <v>9452</v>
      </c>
    </row>
    <row r="925" spans="1:3">
      <c r="B925" s="272" t="s">
        <v>5667</v>
      </c>
      <c r="C925" s="278" t="s">
        <v>9453</v>
      </c>
    </row>
    <row r="926" spans="1:3">
      <c r="B926" s="272" t="s">
        <v>5668</v>
      </c>
      <c r="C926" s="122">
        <v>403</v>
      </c>
    </row>
    <row r="927" spans="1:3">
      <c r="B927" s="272" t="s">
        <v>5666</v>
      </c>
      <c r="C927" s="101" t="s">
        <v>9454</v>
      </c>
    </row>
    <row r="930" spans="1:3">
      <c r="A930" s="175" t="s">
        <v>6898</v>
      </c>
      <c r="B930" s="42" t="s">
        <v>6822</v>
      </c>
    </row>
    <row r="931" spans="1:3">
      <c r="B931" s="175" t="s">
        <v>5667</v>
      </c>
      <c r="C931" s="193" t="s">
        <v>6821</v>
      </c>
    </row>
    <row r="932" spans="1:3">
      <c r="B932" s="175" t="s">
        <v>5668</v>
      </c>
      <c r="C932" s="122">
        <v>339</v>
      </c>
    </row>
    <row r="933" spans="1:3" ht="15">
      <c r="B933" s="175" t="s">
        <v>5666</v>
      </c>
      <c r="C933" s="151" t="s">
        <v>6820</v>
      </c>
    </row>
    <row r="935" spans="1:3">
      <c r="A935" s="175" t="s">
        <v>6928</v>
      </c>
      <c r="B935" s="42" t="s">
        <v>6578</v>
      </c>
    </row>
    <row r="936" spans="1:3">
      <c r="B936" s="159" t="s">
        <v>5667</v>
      </c>
      <c r="C936" s="160" t="s">
        <v>6523</v>
      </c>
    </row>
    <row r="937" spans="1:3">
      <c r="B937" s="159" t="s">
        <v>5668</v>
      </c>
      <c r="C937" s="122">
        <v>241</v>
      </c>
    </row>
    <row r="938" spans="1:3">
      <c r="B938" s="159" t="s">
        <v>5666</v>
      </c>
      <c r="C938" s="101" t="s">
        <v>6579</v>
      </c>
    </row>
    <row r="940" spans="1:3">
      <c r="A940" s="272" t="s">
        <v>7672</v>
      </c>
      <c r="B940" s="42" t="s">
        <v>8202</v>
      </c>
    </row>
    <row r="941" spans="1:3">
      <c r="B941" s="272" t="s">
        <v>5667</v>
      </c>
      <c r="C941" s="278" t="s">
        <v>8203</v>
      </c>
    </row>
    <row r="942" spans="1:3">
      <c r="B942" s="272" t="s">
        <v>5668</v>
      </c>
    </row>
    <row r="943" spans="1:3">
      <c r="B943" s="272" t="s">
        <v>5666</v>
      </c>
      <c r="C943" s="109" t="s">
        <v>8204</v>
      </c>
    </row>
    <row r="945" spans="1:3">
      <c r="A945" s="272" t="s">
        <v>8935</v>
      </c>
      <c r="B945" s="42" t="s">
        <v>8936</v>
      </c>
    </row>
    <row r="946" spans="1:3">
      <c r="B946" s="272" t="s">
        <v>5667</v>
      </c>
      <c r="C946" s="278" t="s">
        <v>8938</v>
      </c>
    </row>
    <row r="947" spans="1:3">
      <c r="B947" s="272" t="s">
        <v>5668</v>
      </c>
    </row>
    <row r="948" spans="1:3">
      <c r="B948" s="272" t="s">
        <v>5666</v>
      </c>
      <c r="C948" s="109" t="s">
        <v>8937</v>
      </c>
    </row>
    <row r="950" spans="1:3">
      <c r="A950" s="378" t="s">
        <v>9485</v>
      </c>
      <c r="B950" s="42" t="s">
        <v>9488</v>
      </c>
    </row>
    <row r="951" spans="1:3">
      <c r="B951" s="378" t="s">
        <v>5667</v>
      </c>
      <c r="C951" s="380" t="s">
        <v>9486</v>
      </c>
    </row>
    <row r="952" spans="1:3">
      <c r="B952" s="378" t="s">
        <v>5668</v>
      </c>
    </row>
    <row r="953" spans="1:3">
      <c r="B953" s="378" t="s">
        <v>5666</v>
      </c>
      <c r="C953" s="101" t="s">
        <v>9487</v>
      </c>
    </row>
    <row r="955" spans="1:3">
      <c r="A955" s="378" t="s">
        <v>9560</v>
      </c>
      <c r="B955" s="42" t="s">
        <v>9561</v>
      </c>
    </row>
    <row r="956" spans="1:3">
      <c r="B956" s="378" t="s">
        <v>5667</v>
      </c>
      <c r="C956" s="380" t="s">
        <v>9563</v>
      </c>
    </row>
    <row r="957" spans="1:3">
      <c r="B957" s="378" t="s">
        <v>5668</v>
      </c>
      <c r="C957" s="122">
        <v>26</v>
      </c>
    </row>
    <row r="958" spans="1:3" ht="15">
      <c r="B958" s="378" t="s">
        <v>5666</v>
      </c>
      <c r="C958" s="151" t="s">
        <v>9562</v>
      </c>
    </row>
    <row r="960" spans="1:3">
      <c r="A960" s="378" t="s">
        <v>9570</v>
      </c>
      <c r="B960" s="42" t="s">
        <v>9571</v>
      </c>
    </row>
    <row r="961" spans="1:3">
      <c r="B961" s="378" t="s">
        <v>5667</v>
      </c>
      <c r="C961" s="380" t="s">
        <v>9572</v>
      </c>
    </row>
    <row r="962" spans="1:3">
      <c r="B962" s="378" t="s">
        <v>5668</v>
      </c>
    </row>
    <row r="963" spans="1:3">
      <c r="B963" s="378" t="s">
        <v>5666</v>
      </c>
    </row>
    <row r="964" spans="1:3">
      <c r="B964" s="378"/>
    </row>
    <row r="965" spans="1:3">
      <c r="A965" s="378" t="s">
        <v>9576</v>
      </c>
      <c r="B965" s="42" t="s">
        <v>9574</v>
      </c>
    </row>
    <row r="966" spans="1:3">
      <c r="B966" s="378" t="s">
        <v>5667</v>
      </c>
      <c r="C966" s="380" t="s">
        <v>9575</v>
      </c>
    </row>
    <row r="967" spans="1:3">
      <c r="B967" s="378" t="s">
        <v>5668</v>
      </c>
      <c r="C967" s="122">
        <v>1097</v>
      </c>
    </row>
    <row r="968" spans="1:3">
      <c r="B968" s="378" t="s">
        <v>5666</v>
      </c>
      <c r="C968" s="101" t="s">
        <v>9573</v>
      </c>
    </row>
    <row r="970" spans="1:3">
      <c r="A970" s="378" t="s">
        <v>9580</v>
      </c>
      <c r="B970" s="42" t="s">
        <v>9578</v>
      </c>
    </row>
    <row r="971" spans="1:3">
      <c r="B971" s="378" t="s">
        <v>5667</v>
      </c>
      <c r="C971" s="380" t="s">
        <v>9579</v>
      </c>
    </row>
    <row r="972" spans="1:3">
      <c r="B972" s="378" t="s">
        <v>5666</v>
      </c>
      <c r="C972" s="101" t="s">
        <v>9581</v>
      </c>
    </row>
    <row r="973" spans="1:3">
      <c r="B973" s="175"/>
    </row>
    <row r="974" spans="1:3">
      <c r="A974" s="175" t="s">
        <v>6740</v>
      </c>
      <c r="B974" s="42" t="s">
        <v>6581</v>
      </c>
    </row>
    <row r="975" spans="1:3">
      <c r="B975" s="159" t="s">
        <v>5667</v>
      </c>
      <c r="C975" s="160" t="s">
        <v>6584</v>
      </c>
    </row>
    <row r="976" spans="1:3">
      <c r="B976" s="159" t="s">
        <v>5668</v>
      </c>
      <c r="C976" s="117">
        <v>30753</v>
      </c>
    </row>
    <row r="977" spans="1:3">
      <c r="B977" s="159" t="s">
        <v>5666</v>
      </c>
      <c r="C977" s="25" t="s">
        <v>6580</v>
      </c>
    </row>
    <row r="979" spans="1:3">
      <c r="A979" s="272" t="s">
        <v>9432</v>
      </c>
      <c r="B979" s="42" t="s">
        <v>9433</v>
      </c>
    </row>
    <row r="980" spans="1:3">
      <c r="B980" s="272" t="s">
        <v>5667</v>
      </c>
      <c r="C980" s="278" t="s">
        <v>9439</v>
      </c>
    </row>
    <row r="981" spans="1:3">
      <c r="B981" s="272" t="s">
        <v>5668</v>
      </c>
      <c r="C981" s="196">
        <v>8902</v>
      </c>
    </row>
    <row r="982" spans="1:3">
      <c r="B982" s="272" t="s">
        <v>5666</v>
      </c>
      <c r="C982" s="101" t="s">
        <v>9434</v>
      </c>
    </row>
    <row r="983" spans="1:3">
      <c r="B983" s="272" t="s">
        <v>1150</v>
      </c>
      <c r="C983" s="278" t="s">
        <v>9440</v>
      </c>
    </row>
    <row r="984" spans="1:3">
      <c r="B984" s="272" t="s">
        <v>4201</v>
      </c>
      <c r="C984" s="380" t="s">
        <v>9577</v>
      </c>
    </row>
    <row r="985" spans="1:3">
      <c r="B985" s="272"/>
    </row>
    <row r="986" spans="1:3">
      <c r="A986" s="175" t="s">
        <v>6766</v>
      </c>
      <c r="B986" s="42" t="s">
        <v>5483</v>
      </c>
    </row>
    <row r="987" spans="1:3">
      <c r="B987" s="175" t="s">
        <v>5667</v>
      </c>
      <c r="C987" s="109" t="s">
        <v>5482</v>
      </c>
    </row>
    <row r="988" spans="1:3">
      <c r="B988" s="175" t="s">
        <v>5668</v>
      </c>
      <c r="C988" s="119">
        <v>14017</v>
      </c>
    </row>
    <row r="989" spans="1:3">
      <c r="B989" s="175" t="s">
        <v>5666</v>
      </c>
      <c r="C989" s="25" t="s">
        <v>6739</v>
      </c>
    </row>
    <row r="990" spans="1:3" s="175" customFormat="1"/>
    <row r="991" spans="1:3" s="175" customFormat="1">
      <c r="A991" s="175" t="s">
        <v>6767</v>
      </c>
      <c r="B991" s="42" t="s">
        <v>6475</v>
      </c>
      <c r="C991" s="193"/>
    </row>
    <row r="992" spans="1:3" s="175" customFormat="1">
      <c r="B992" s="175" t="s">
        <v>5667</v>
      </c>
      <c r="C992" s="193" t="s">
        <v>5498</v>
      </c>
    </row>
    <row r="993" spans="1:3" s="175" customFormat="1">
      <c r="B993" s="175" t="s">
        <v>5668</v>
      </c>
      <c r="C993" s="196">
        <v>9183</v>
      </c>
    </row>
    <row r="994" spans="1:3" s="175" customFormat="1" ht="14">
      <c r="B994" s="175" t="s">
        <v>5666</v>
      </c>
      <c r="C994" s="28" t="s">
        <v>6474</v>
      </c>
    </row>
    <row r="995" spans="1:3" s="175" customFormat="1">
      <c r="C995" s="193"/>
    </row>
    <row r="996" spans="1:3" s="175" customFormat="1">
      <c r="A996" s="175" t="s">
        <v>6768</v>
      </c>
      <c r="B996" s="42" t="s">
        <v>6502</v>
      </c>
      <c r="C996" s="193"/>
    </row>
    <row r="997" spans="1:3" s="175" customFormat="1">
      <c r="B997" s="175" t="s">
        <v>5667</v>
      </c>
      <c r="C997" s="193" t="s">
        <v>6489</v>
      </c>
    </row>
    <row r="998" spans="1:3" s="175" customFormat="1">
      <c r="B998" s="175" t="s">
        <v>5668</v>
      </c>
      <c r="C998" s="196">
        <v>8373</v>
      </c>
    </row>
    <row r="999" spans="1:3" s="175" customFormat="1">
      <c r="B999" s="175" t="s">
        <v>5666</v>
      </c>
      <c r="C999" s="101" t="s">
        <v>6490</v>
      </c>
    </row>
    <row r="1000" spans="1:3" s="175" customFormat="1" ht="14">
      <c r="C1000" s="144"/>
    </row>
    <row r="1001" spans="1:3" s="175" customFormat="1" ht="14">
      <c r="A1001" s="472" t="s">
        <v>14927</v>
      </c>
      <c r="B1001" s="42" t="s">
        <v>14928</v>
      </c>
      <c r="C1001" s="144"/>
    </row>
    <row r="1002" spans="1:3" s="175" customFormat="1">
      <c r="B1002" s="175" t="s">
        <v>5667</v>
      </c>
      <c r="C1002" s="473" t="s">
        <v>14930</v>
      </c>
    </row>
    <row r="1003" spans="1:3" s="175" customFormat="1">
      <c r="B1003" s="175" t="s">
        <v>5668</v>
      </c>
      <c r="C1003" s="196">
        <v>7306</v>
      </c>
    </row>
    <row r="1004" spans="1:3" s="175" customFormat="1">
      <c r="B1004" s="175" t="s">
        <v>5666</v>
      </c>
      <c r="C1004" s="101" t="s">
        <v>14929</v>
      </c>
    </row>
    <row r="1005" spans="1:3" s="175" customFormat="1" ht="14">
      <c r="C1005" s="144"/>
    </row>
    <row r="1006" spans="1:3" s="175" customFormat="1" ht="14">
      <c r="A1006" s="472" t="s">
        <v>14961</v>
      </c>
      <c r="B1006" s="477" t="s">
        <v>14962</v>
      </c>
      <c r="C1006" s="144"/>
    </row>
    <row r="1007" spans="1:3" s="175" customFormat="1">
      <c r="B1007" s="472" t="s">
        <v>5667</v>
      </c>
      <c r="C1007" s="473" t="s">
        <v>14941</v>
      </c>
    </row>
    <row r="1008" spans="1:3" s="175" customFormat="1">
      <c r="B1008" s="472" t="s">
        <v>5668</v>
      </c>
      <c r="C1008" s="196">
        <v>6706</v>
      </c>
    </row>
    <row r="1009" spans="1:3" s="175" customFormat="1">
      <c r="B1009" s="472" t="s">
        <v>5666</v>
      </c>
      <c r="C1009" s="101" t="s">
        <v>14963</v>
      </c>
    </row>
    <row r="1010" spans="1:3" s="175" customFormat="1" ht="14">
      <c r="C1010" s="144"/>
    </row>
    <row r="1011" spans="1:3" s="175" customFormat="1">
      <c r="A1011" s="175" t="s">
        <v>6769</v>
      </c>
      <c r="B1011" s="42" t="s">
        <v>6048</v>
      </c>
      <c r="C1011" s="193"/>
    </row>
    <row r="1012" spans="1:3" s="175" customFormat="1">
      <c r="B1012" s="175" t="s">
        <v>5667</v>
      </c>
      <c r="C1012" s="207" t="s">
        <v>6047</v>
      </c>
    </row>
    <row r="1013" spans="1:3" s="175" customFormat="1">
      <c r="B1013" s="175" t="s">
        <v>5668</v>
      </c>
      <c r="C1013" s="197">
        <v>3259</v>
      </c>
    </row>
    <row r="1014" spans="1:3" s="175" customFormat="1">
      <c r="B1014" s="175" t="s">
        <v>5666</v>
      </c>
      <c r="C1014" s="25" t="s">
        <v>6738</v>
      </c>
    </row>
    <row r="1015" spans="1:3" s="175" customFormat="1">
      <c r="C1015" s="193"/>
    </row>
    <row r="1016" spans="1:3" s="175" customFormat="1">
      <c r="A1016" s="472" t="s">
        <v>14955</v>
      </c>
      <c r="B1016" s="477" t="s">
        <v>14956</v>
      </c>
      <c r="C1016" s="193"/>
    </row>
    <row r="1017" spans="1:3" s="175" customFormat="1">
      <c r="B1017" s="472" t="s">
        <v>5667</v>
      </c>
      <c r="C1017" s="473" t="s">
        <v>14958</v>
      </c>
    </row>
    <row r="1018" spans="1:3" s="175" customFormat="1">
      <c r="B1018" s="472" t="s">
        <v>5668</v>
      </c>
      <c r="C1018" s="197">
        <v>1767</v>
      </c>
    </row>
    <row r="1019" spans="1:3" s="175" customFormat="1">
      <c r="B1019" s="472" t="s">
        <v>5666</v>
      </c>
      <c r="C1019" s="193" t="s">
        <v>14957</v>
      </c>
    </row>
    <row r="1020" spans="1:3" s="175" customFormat="1">
      <c r="C1020" s="193"/>
    </row>
    <row r="1021" spans="1:3" s="175" customFormat="1">
      <c r="A1021" s="175" t="s">
        <v>6770</v>
      </c>
      <c r="B1021" s="42" t="s">
        <v>6473</v>
      </c>
      <c r="C1021" s="193"/>
    </row>
    <row r="1022" spans="1:3" s="175" customFormat="1">
      <c r="B1022" s="175" t="s">
        <v>5667</v>
      </c>
      <c r="C1022" s="193" t="s">
        <v>6052</v>
      </c>
    </row>
    <row r="1023" spans="1:3" s="175" customFormat="1">
      <c r="B1023" s="175" t="s">
        <v>5668</v>
      </c>
      <c r="C1023" s="197">
        <v>1330</v>
      </c>
    </row>
    <row r="1024" spans="1:3" s="175" customFormat="1" ht="14">
      <c r="B1024" s="175" t="s">
        <v>5666</v>
      </c>
      <c r="C1024" s="144" t="s">
        <v>6472</v>
      </c>
    </row>
    <row r="1025" spans="1:3" s="175" customFormat="1" ht="14">
      <c r="C1025" s="144"/>
    </row>
    <row r="1026" spans="1:3">
      <c r="A1026" s="175" t="s">
        <v>6771</v>
      </c>
      <c r="B1026" s="42" t="s">
        <v>6476</v>
      </c>
    </row>
    <row r="1027" spans="1:3">
      <c r="B1027" s="108" t="s">
        <v>5667</v>
      </c>
      <c r="C1027" s="109" t="s">
        <v>5453</v>
      </c>
    </row>
    <row r="1028" spans="1:3">
      <c r="B1028" s="108" t="s">
        <v>5668</v>
      </c>
      <c r="C1028" s="122">
        <v>1302</v>
      </c>
    </row>
    <row r="1029" spans="1:3">
      <c r="B1029" s="108" t="s">
        <v>5666</v>
      </c>
      <c r="C1029" s="108"/>
    </row>
    <row r="1030" spans="1:3">
      <c r="B1030" s="108" t="s">
        <v>4201</v>
      </c>
      <c r="C1030" s="108" t="s">
        <v>6027</v>
      </c>
    </row>
    <row r="1031" spans="1:3">
      <c r="C1031" s="108" t="s">
        <v>5458</v>
      </c>
    </row>
    <row r="1032" spans="1:3">
      <c r="C1032" s="108" t="s">
        <v>5459</v>
      </c>
    </row>
    <row r="1033" spans="1:3">
      <c r="C1033" s="108" t="s">
        <v>5460</v>
      </c>
    </row>
    <row r="1034" spans="1:3">
      <c r="C1034" s="108" t="s">
        <v>5461</v>
      </c>
    </row>
    <row r="1035" spans="1:3">
      <c r="C1035" s="108"/>
    </row>
    <row r="1036" spans="1:3" s="175" customFormat="1">
      <c r="A1036" s="175" t="s">
        <v>6772</v>
      </c>
      <c r="B1036" s="42" t="s">
        <v>6503</v>
      </c>
      <c r="C1036" s="193"/>
    </row>
    <row r="1037" spans="1:3" s="175" customFormat="1">
      <c r="B1037" s="175" t="s">
        <v>5667</v>
      </c>
      <c r="C1037" s="193" t="s">
        <v>6026</v>
      </c>
    </row>
    <row r="1038" spans="1:3" s="175" customFormat="1">
      <c r="B1038" s="175" t="s">
        <v>5668</v>
      </c>
      <c r="C1038" s="197">
        <v>681</v>
      </c>
    </row>
    <row r="1039" spans="1:3" s="175" customFormat="1">
      <c r="B1039" s="175" t="s">
        <v>5666</v>
      </c>
      <c r="C1039" s="101" t="s">
        <v>6742</v>
      </c>
    </row>
    <row r="1040" spans="1:3" s="175" customFormat="1">
      <c r="C1040" s="193"/>
    </row>
    <row r="1041" spans="1:3" s="175" customFormat="1">
      <c r="A1041" s="472" t="s">
        <v>14950</v>
      </c>
      <c r="B1041" s="42" t="s">
        <v>14953</v>
      </c>
      <c r="C1041" s="193"/>
    </row>
    <row r="1042" spans="1:3" s="175" customFormat="1">
      <c r="B1042" s="472" t="s">
        <v>5667</v>
      </c>
      <c r="C1042" s="473" t="s">
        <v>14952</v>
      </c>
    </row>
    <row r="1043" spans="1:3" s="175" customFormat="1">
      <c r="B1043" s="472" t="s">
        <v>5668</v>
      </c>
      <c r="C1043" s="197">
        <v>538</v>
      </c>
    </row>
    <row r="1044" spans="1:3" s="175" customFormat="1">
      <c r="B1044" s="472" t="s">
        <v>5666</v>
      </c>
      <c r="C1044" s="101" t="s">
        <v>14951</v>
      </c>
    </row>
    <row r="1045" spans="1:3" s="175" customFormat="1">
      <c r="C1045" s="193"/>
    </row>
    <row r="1046" spans="1:3" s="175" customFormat="1">
      <c r="A1046" s="175" t="s">
        <v>6773</v>
      </c>
      <c r="B1046" s="42" t="s">
        <v>6348</v>
      </c>
      <c r="C1046" s="193"/>
    </row>
    <row r="1047" spans="1:3" s="175" customFormat="1">
      <c r="B1047" s="175" t="s">
        <v>5667</v>
      </c>
      <c r="C1047" s="193" t="s">
        <v>6347</v>
      </c>
    </row>
    <row r="1048" spans="1:3">
      <c r="B1048" s="108" t="s">
        <v>5668</v>
      </c>
      <c r="C1048" s="197">
        <v>341</v>
      </c>
    </row>
    <row r="1049" spans="1:3" ht="15">
      <c r="B1049" s="108" t="s">
        <v>5666</v>
      </c>
      <c r="C1049" s="151" t="s">
        <v>6349</v>
      </c>
    </row>
    <row r="1051" spans="1:3">
      <c r="A1051" s="270" t="s">
        <v>8004</v>
      </c>
      <c r="B1051" s="42" t="s">
        <v>8005</v>
      </c>
    </row>
    <row r="1052" spans="1:3">
      <c r="A1052" s="270"/>
      <c r="B1052" s="270" t="s">
        <v>5667</v>
      </c>
      <c r="C1052" s="271" t="s">
        <v>8006</v>
      </c>
    </row>
    <row r="1053" spans="1:3">
      <c r="B1053" s="270" t="s">
        <v>5668</v>
      </c>
    </row>
    <row r="1054" spans="1:3">
      <c r="B1054" s="270" t="s">
        <v>5666</v>
      </c>
      <c r="C1054" s="109" t="s">
        <v>8007</v>
      </c>
    </row>
    <row r="1057" spans="1:3">
      <c r="A1057" s="245" t="s">
        <v>7652</v>
      </c>
      <c r="B1057" s="42" t="s">
        <v>7653</v>
      </c>
    </row>
    <row r="1058" spans="1:3">
      <c r="B1058" s="245" t="s">
        <v>5667</v>
      </c>
      <c r="C1058" s="246" t="s">
        <v>7654</v>
      </c>
    </row>
    <row r="1059" spans="1:3">
      <c r="B1059" s="245" t="s">
        <v>5668</v>
      </c>
      <c r="C1059" s="197">
        <v>4000</v>
      </c>
    </row>
    <row r="1060" spans="1:3">
      <c r="B1060" s="245" t="s">
        <v>5666</v>
      </c>
      <c r="C1060" s="25" t="s">
        <v>7655</v>
      </c>
    </row>
    <row r="1061" spans="1:3">
      <c r="B1061" s="245" t="s">
        <v>4201</v>
      </c>
      <c r="C1061" s="256" t="s">
        <v>7669</v>
      </c>
    </row>
    <row r="1063" spans="1:3">
      <c r="A1063" s="472" t="s">
        <v>14976</v>
      </c>
      <c r="B1063" s="477" t="s">
        <v>14977</v>
      </c>
    </row>
    <row r="1064" spans="1:3">
      <c r="B1064" s="472" t="s">
        <v>5667</v>
      </c>
      <c r="C1064" s="473" t="s">
        <v>14979</v>
      </c>
    </row>
    <row r="1065" spans="1:3">
      <c r="B1065" s="472" t="s">
        <v>5668</v>
      </c>
      <c r="C1065" s="197">
        <v>1595</v>
      </c>
    </row>
    <row r="1066" spans="1:3">
      <c r="B1066" s="159" t="s">
        <v>5666</v>
      </c>
      <c r="C1066" s="101" t="s">
        <v>14978</v>
      </c>
    </row>
    <row r="1068" spans="1:3">
      <c r="A1068" s="472" t="s">
        <v>14938</v>
      </c>
      <c r="B1068" s="42" t="s">
        <v>14939</v>
      </c>
    </row>
    <row r="1069" spans="1:3">
      <c r="B1069" s="472" t="s">
        <v>5667</v>
      </c>
      <c r="C1069" s="473" t="s">
        <v>14941</v>
      </c>
    </row>
    <row r="1070" spans="1:3">
      <c r="B1070" s="472" t="s">
        <v>5668</v>
      </c>
      <c r="C1070" s="197">
        <v>411</v>
      </c>
    </row>
    <row r="1071" spans="1:3">
      <c r="B1071" s="159" t="s">
        <v>5666</v>
      </c>
      <c r="C1071" s="101" t="s">
        <v>14940</v>
      </c>
    </row>
    <row r="1073" spans="1:3">
      <c r="A1073" s="175" t="s">
        <v>6764</v>
      </c>
      <c r="B1073" s="42" t="s">
        <v>6469</v>
      </c>
    </row>
    <row r="1074" spans="1:3">
      <c r="B1074" s="159" t="s">
        <v>5667</v>
      </c>
      <c r="C1074" s="160" t="s">
        <v>6470</v>
      </c>
    </row>
    <row r="1075" spans="1:3">
      <c r="B1075" s="159" t="s">
        <v>5668</v>
      </c>
      <c r="C1075" s="197">
        <v>226</v>
      </c>
    </row>
    <row r="1076" spans="1:3">
      <c r="B1076" s="159" t="s">
        <v>5666</v>
      </c>
      <c r="C1076" s="101" t="s">
        <v>6471</v>
      </c>
    </row>
    <row r="1077" spans="1:3">
      <c r="C1077" s="473"/>
    </row>
    <row r="1078" spans="1:3">
      <c r="A1078" s="472" t="s">
        <v>14972</v>
      </c>
      <c r="B1078" s="477" t="s">
        <v>14973</v>
      </c>
      <c r="C1078" s="473"/>
    </row>
    <row r="1079" spans="1:3">
      <c r="B1079" s="159" t="s">
        <v>5667</v>
      </c>
      <c r="C1079" s="473" t="s">
        <v>14975</v>
      </c>
    </row>
    <row r="1080" spans="1:3">
      <c r="B1080" s="159" t="s">
        <v>5668</v>
      </c>
      <c r="C1080" s="197">
        <v>82</v>
      </c>
    </row>
    <row r="1081" spans="1:3">
      <c r="B1081" s="159" t="s">
        <v>5666</v>
      </c>
      <c r="C1081" s="101" t="s">
        <v>14974</v>
      </c>
    </row>
    <row r="1082" spans="1:3">
      <c r="C1082" s="473"/>
    </row>
    <row r="1083" spans="1:3">
      <c r="A1083" s="175" t="s">
        <v>6765</v>
      </c>
      <c r="B1083" s="42" t="s">
        <v>6477</v>
      </c>
      <c r="C1083" s="472"/>
    </row>
    <row r="1084" spans="1:3">
      <c r="B1084" s="159" t="s">
        <v>5667</v>
      </c>
      <c r="C1084" s="472" t="s">
        <v>6478</v>
      </c>
    </row>
    <row r="1085" spans="1:3">
      <c r="B1085" s="159" t="s">
        <v>5668</v>
      </c>
      <c r="C1085" s="475">
        <v>46</v>
      </c>
    </row>
    <row r="1086" spans="1:3">
      <c r="B1086" s="159" t="s">
        <v>5666</v>
      </c>
      <c r="C1086" s="25" t="s">
        <v>6479</v>
      </c>
    </row>
    <row r="1087" spans="1:3">
      <c r="C1087" s="473"/>
    </row>
    <row r="1088" spans="1:3">
      <c r="A1088" s="378" t="s">
        <v>9506</v>
      </c>
      <c r="B1088" s="42" t="s">
        <v>9507</v>
      </c>
      <c r="C1088" s="473"/>
    </row>
    <row r="1089" spans="1:3">
      <c r="B1089" s="378" t="s">
        <v>5667</v>
      </c>
      <c r="C1089" s="473" t="s">
        <v>9508</v>
      </c>
    </row>
    <row r="1090" spans="1:3">
      <c r="B1090" s="378" t="s">
        <v>5668</v>
      </c>
      <c r="C1090" s="473"/>
    </row>
    <row r="1091" spans="1:3">
      <c r="B1091" s="378" t="s">
        <v>5666</v>
      </c>
      <c r="C1091" s="473"/>
    </row>
    <row r="1092" spans="1:3">
      <c r="C1092" s="473"/>
    </row>
    <row r="1093" spans="1:3">
      <c r="A1093" s="378" t="s">
        <v>9513</v>
      </c>
      <c r="B1093" s="42" t="s">
        <v>9515</v>
      </c>
      <c r="C1093" s="473"/>
    </row>
    <row r="1094" spans="1:3">
      <c r="A1094" s="378"/>
      <c r="B1094" s="378" t="s">
        <v>5667</v>
      </c>
      <c r="C1094" s="473" t="s">
        <v>9514</v>
      </c>
    </row>
    <row r="1095" spans="1:3">
      <c r="A1095" s="378"/>
      <c r="B1095" s="378" t="s">
        <v>5668</v>
      </c>
      <c r="C1095" s="473"/>
    </row>
    <row r="1096" spans="1:3">
      <c r="B1096" s="378" t="s">
        <v>5666</v>
      </c>
      <c r="C1096" s="473"/>
    </row>
    <row r="1097" spans="1:3">
      <c r="C1097" s="473"/>
    </row>
    <row r="1098" spans="1:3">
      <c r="A1098" s="272" t="s">
        <v>8207</v>
      </c>
      <c r="B1098" s="42" t="s">
        <v>6465</v>
      </c>
      <c r="C1098" s="473"/>
    </row>
    <row r="1099" spans="1:3">
      <c r="B1099" s="159" t="s">
        <v>5733</v>
      </c>
      <c r="C1099" s="473" t="s">
        <v>4498</v>
      </c>
    </row>
    <row r="1100" spans="1:3">
      <c r="B1100" s="159" t="s">
        <v>5668</v>
      </c>
      <c r="C1100" s="476">
        <v>5145</v>
      </c>
    </row>
    <row r="1101" spans="1:3">
      <c r="B1101" s="159" t="s">
        <v>5666</v>
      </c>
      <c r="C1101" s="25" t="s">
        <v>6466</v>
      </c>
    </row>
    <row r="1102" spans="1:3">
      <c r="C1102" s="246"/>
    </row>
    <row r="1103" spans="1:3">
      <c r="A1103" s="175" t="s">
        <v>6774</v>
      </c>
      <c r="B1103" s="42" t="s">
        <v>6468</v>
      </c>
      <c r="C1103" s="246"/>
    </row>
    <row r="1104" spans="1:3">
      <c r="B1104" s="159" t="s">
        <v>5667</v>
      </c>
      <c r="C1104" s="246" t="s">
        <v>5487</v>
      </c>
    </row>
    <row r="1105" spans="1:5">
      <c r="B1105" s="159" t="s">
        <v>5668</v>
      </c>
      <c r="C1105" s="255">
        <v>2033</v>
      </c>
    </row>
    <row r="1106" spans="1:5">
      <c r="B1106" s="159" t="s">
        <v>5666</v>
      </c>
      <c r="C1106" s="25" t="s">
        <v>6467</v>
      </c>
    </row>
    <row r="1107" spans="1:5">
      <c r="C1107" s="246"/>
    </row>
    <row r="1108" spans="1:5">
      <c r="A1108" s="175" t="s">
        <v>6775</v>
      </c>
      <c r="B1108" s="42" t="s">
        <v>6443</v>
      </c>
      <c r="C1108" s="246"/>
    </row>
    <row r="1109" spans="1:5">
      <c r="B1109" s="159" t="s">
        <v>5667</v>
      </c>
      <c r="C1109" s="246" t="s">
        <v>5574</v>
      </c>
    </row>
    <row r="1110" spans="1:5">
      <c r="B1110" s="159" t="s">
        <v>5668</v>
      </c>
      <c r="C1110" s="255">
        <v>806</v>
      </c>
    </row>
    <row r="1111" spans="1:5">
      <c r="B1111" s="160" t="s">
        <v>5666</v>
      </c>
      <c r="C1111" s="101" t="s">
        <v>6444</v>
      </c>
    </row>
    <row r="1112" spans="1:5">
      <c r="B1112" s="160"/>
      <c r="C1112" s="246"/>
    </row>
    <row r="1113" spans="1:5">
      <c r="A1113" s="245" t="s">
        <v>7648</v>
      </c>
      <c r="B1113" s="110" t="s">
        <v>7651</v>
      </c>
      <c r="C1113" s="246"/>
    </row>
    <row r="1114" spans="1:5">
      <c r="B1114" s="246" t="s">
        <v>5667</v>
      </c>
      <c r="C1114" s="246" t="s">
        <v>7650</v>
      </c>
    </row>
    <row r="1115" spans="1:5">
      <c r="B1115" s="246" t="s">
        <v>5668</v>
      </c>
      <c r="C1115" s="255">
        <v>300</v>
      </c>
    </row>
    <row r="1116" spans="1:5">
      <c r="B1116" s="246" t="s">
        <v>5666</v>
      </c>
      <c r="C1116" s="101" t="s">
        <v>7649</v>
      </c>
    </row>
    <row r="1117" spans="1:5">
      <c r="B1117" s="246" t="s">
        <v>4201</v>
      </c>
    </row>
    <row r="1118" spans="1:5">
      <c r="B1118" s="160"/>
      <c r="C1118" s="278"/>
      <c r="D1118" s="272"/>
      <c r="E1118" s="272"/>
    </row>
    <row r="1119" spans="1:5">
      <c r="A1119" s="245" t="s">
        <v>7660</v>
      </c>
      <c r="B1119" s="110" t="s">
        <v>7661</v>
      </c>
      <c r="C1119" s="278"/>
      <c r="D1119" s="272"/>
      <c r="E1119" s="272"/>
    </row>
    <row r="1120" spans="1:5">
      <c r="B1120" s="246" t="s">
        <v>5667</v>
      </c>
      <c r="C1120" s="278" t="s">
        <v>7662</v>
      </c>
      <c r="D1120" s="272"/>
      <c r="E1120" s="272"/>
    </row>
    <row r="1121" spans="1:5">
      <c r="B1121" s="246" t="s">
        <v>5668</v>
      </c>
      <c r="C1121" s="279">
        <v>113</v>
      </c>
      <c r="D1121" s="272"/>
      <c r="E1121" s="272"/>
    </row>
    <row r="1122" spans="1:5">
      <c r="B1122" s="246" t="s">
        <v>5666</v>
      </c>
      <c r="C1122" s="101" t="s">
        <v>7663</v>
      </c>
      <c r="D1122" s="272"/>
      <c r="E1122" s="272"/>
    </row>
    <row r="1123" spans="1:5">
      <c r="B1123" s="160"/>
      <c r="C1123" s="278"/>
      <c r="D1123" s="272"/>
      <c r="E1123" s="272"/>
    </row>
    <row r="1124" spans="1:5">
      <c r="A1124" s="175" t="s">
        <v>6776</v>
      </c>
      <c r="B1124" s="42" t="s">
        <v>6504</v>
      </c>
      <c r="C1124" s="278"/>
      <c r="D1124" s="272"/>
      <c r="E1124" s="272"/>
    </row>
    <row r="1125" spans="1:5">
      <c r="B1125" s="159" t="s">
        <v>5667</v>
      </c>
      <c r="C1125" s="278" t="s">
        <v>6505</v>
      </c>
      <c r="D1125" s="272"/>
      <c r="E1125" s="272"/>
    </row>
    <row r="1126" spans="1:5">
      <c r="B1126" s="159" t="s">
        <v>5668</v>
      </c>
      <c r="C1126" s="279">
        <v>54</v>
      </c>
      <c r="D1126" s="272"/>
      <c r="E1126" s="272"/>
    </row>
    <row r="1127" spans="1:5">
      <c r="B1127" s="159" t="s">
        <v>5666</v>
      </c>
      <c r="C1127" s="101" t="s">
        <v>6506</v>
      </c>
      <c r="D1127" s="272"/>
      <c r="E1127" s="272"/>
    </row>
    <row r="1128" spans="1:5">
      <c r="C1128" s="278"/>
      <c r="D1128" s="272"/>
      <c r="E1128" s="272"/>
    </row>
    <row r="1129" spans="1:5">
      <c r="A1129" s="175" t="s">
        <v>6777</v>
      </c>
      <c r="B1129" s="42" t="s">
        <v>6446</v>
      </c>
      <c r="C1129" s="278"/>
      <c r="D1129" s="272"/>
      <c r="E1129" s="272"/>
    </row>
    <row r="1130" spans="1:5">
      <c r="B1130" s="108" t="s">
        <v>5667</v>
      </c>
      <c r="C1130" s="278" t="s">
        <v>6341</v>
      </c>
      <c r="D1130" s="272"/>
      <c r="E1130" s="272"/>
    </row>
    <row r="1131" spans="1:5">
      <c r="B1131" s="108" t="s">
        <v>5668</v>
      </c>
      <c r="C1131" s="279">
        <v>44</v>
      </c>
      <c r="D1131" s="272"/>
      <c r="E1131" s="272"/>
    </row>
    <row r="1132" spans="1:5">
      <c r="B1132" s="108" t="s">
        <v>5666</v>
      </c>
      <c r="C1132" s="101" t="s">
        <v>6340</v>
      </c>
      <c r="D1132" s="272"/>
      <c r="E1132" s="272"/>
    </row>
    <row r="1133" spans="1:5">
      <c r="C1133" s="278"/>
      <c r="D1133" s="272"/>
      <c r="E1133" s="272"/>
    </row>
    <row r="1134" spans="1:5">
      <c r="A1134" s="175" t="s">
        <v>6778</v>
      </c>
      <c r="B1134" s="110" t="s">
        <v>6462</v>
      </c>
      <c r="C1134" s="278"/>
      <c r="D1134" s="272"/>
      <c r="E1134" s="272"/>
    </row>
    <row r="1135" spans="1:5">
      <c r="B1135" s="160" t="s">
        <v>5667</v>
      </c>
      <c r="C1135" s="278" t="s">
        <v>6463</v>
      </c>
      <c r="D1135" s="272"/>
      <c r="E1135" s="272"/>
    </row>
    <row r="1136" spans="1:5">
      <c r="B1136" s="160" t="s">
        <v>5668</v>
      </c>
      <c r="C1136" s="279">
        <v>8</v>
      </c>
      <c r="D1136" s="272"/>
      <c r="E1136" s="272"/>
    </row>
    <row r="1137" spans="1:5">
      <c r="B1137" s="160" t="s">
        <v>5666</v>
      </c>
      <c r="C1137" s="101" t="s">
        <v>6464</v>
      </c>
      <c r="D1137" s="272"/>
      <c r="E1137" s="272"/>
    </row>
    <row r="1138" spans="1:5">
      <c r="B1138" s="160"/>
      <c r="C1138" s="278"/>
      <c r="D1138" s="272"/>
      <c r="E1138" s="272"/>
    </row>
    <row r="1139" spans="1:5">
      <c r="A1139" s="272" t="s">
        <v>7648</v>
      </c>
      <c r="B1139" s="110" t="s">
        <v>8041</v>
      </c>
      <c r="C1139" s="278"/>
      <c r="D1139" s="272"/>
      <c r="E1139" s="272"/>
    </row>
    <row r="1140" spans="1:5">
      <c r="B1140" s="278" t="s">
        <v>5667</v>
      </c>
      <c r="C1140" s="278" t="s">
        <v>8042</v>
      </c>
      <c r="D1140" s="272"/>
      <c r="E1140" s="272"/>
    </row>
    <row r="1141" spans="1:5">
      <c r="B1141" s="278" t="s">
        <v>5668</v>
      </c>
      <c r="C1141" s="279">
        <v>451</v>
      </c>
    </row>
    <row r="1142" spans="1:5">
      <c r="B1142" s="278" t="s">
        <v>5666</v>
      </c>
      <c r="C1142" s="101" t="s">
        <v>8043</v>
      </c>
      <c r="D1142" s="272"/>
      <c r="E1142" s="272"/>
    </row>
    <row r="1143" spans="1:5">
      <c r="B1143" s="160"/>
      <c r="C1143" s="278"/>
      <c r="D1143" s="272"/>
      <c r="E1143" s="272"/>
    </row>
    <row r="1144" spans="1:5">
      <c r="A1144" s="272" t="s">
        <v>7660</v>
      </c>
      <c r="B1144" s="110" t="s">
        <v>8126</v>
      </c>
      <c r="C1144" s="278"/>
      <c r="D1144" s="272"/>
      <c r="E1144" s="272"/>
    </row>
    <row r="1145" spans="1:5">
      <c r="B1145" s="278" t="s">
        <v>5667</v>
      </c>
      <c r="C1145" s="278" t="s">
        <v>8127</v>
      </c>
      <c r="D1145" s="272"/>
      <c r="E1145" s="272"/>
    </row>
    <row r="1146" spans="1:5">
      <c r="B1146" s="278" t="s">
        <v>5668</v>
      </c>
      <c r="C1146" s="323">
        <v>3052</v>
      </c>
      <c r="D1146" s="272"/>
      <c r="E1146" s="272"/>
    </row>
    <row r="1147" spans="1:5">
      <c r="B1147" s="278" t="s">
        <v>5666</v>
      </c>
      <c r="C1147" s="278" t="s">
        <v>8206</v>
      </c>
      <c r="D1147" s="272"/>
      <c r="E1147" s="272"/>
    </row>
    <row r="1148" spans="1:5">
      <c r="B1148" s="160"/>
      <c r="C1148" s="278"/>
      <c r="D1148" s="272"/>
      <c r="E1148" s="272"/>
    </row>
    <row r="1149" spans="1:5">
      <c r="A1149" s="272" t="s">
        <v>8270</v>
      </c>
      <c r="B1149" s="110" t="s">
        <v>8272</v>
      </c>
      <c r="C1149" s="278"/>
      <c r="D1149" s="272"/>
      <c r="E1149" s="272"/>
    </row>
    <row r="1150" spans="1:5">
      <c r="B1150" s="278" t="s">
        <v>5667</v>
      </c>
      <c r="C1150" s="278" t="s">
        <v>8127</v>
      </c>
      <c r="D1150" s="272"/>
      <c r="E1150" s="272"/>
    </row>
    <row r="1151" spans="1:5">
      <c r="B1151" s="278" t="s">
        <v>5668</v>
      </c>
      <c r="C1151" s="278"/>
      <c r="D1151" s="272"/>
      <c r="E1151" s="272"/>
    </row>
    <row r="1152" spans="1:5">
      <c r="B1152" s="278" t="s">
        <v>5666</v>
      </c>
      <c r="C1152" s="278" t="s">
        <v>8271</v>
      </c>
      <c r="D1152" s="272"/>
      <c r="E1152" s="272"/>
    </row>
    <row r="1153" spans="1:5">
      <c r="B1153" s="160"/>
      <c r="C1153" s="278"/>
      <c r="D1153" s="272"/>
      <c r="E1153" s="272"/>
    </row>
    <row r="1154" spans="1:5">
      <c r="A1154" s="472" t="s">
        <v>14933</v>
      </c>
      <c r="B1154" s="110" t="s">
        <v>14935</v>
      </c>
      <c r="C1154" s="278"/>
      <c r="D1154" s="272"/>
      <c r="E1154" s="272"/>
    </row>
    <row r="1155" spans="1:5">
      <c r="B1155" s="473" t="s">
        <v>5667</v>
      </c>
      <c r="C1155" s="473" t="s">
        <v>14936</v>
      </c>
      <c r="D1155" s="272"/>
      <c r="E1155" s="272"/>
    </row>
    <row r="1156" spans="1:5">
      <c r="B1156" s="473" t="s">
        <v>5668</v>
      </c>
      <c r="C1156" s="278">
        <v>182</v>
      </c>
      <c r="D1156" s="272"/>
      <c r="E1156" s="272"/>
    </row>
    <row r="1157" spans="1:5">
      <c r="B1157" s="473" t="s">
        <v>5666</v>
      </c>
      <c r="C1157" s="278" t="s">
        <v>14934</v>
      </c>
      <c r="D1157" s="272"/>
      <c r="E1157" s="272"/>
    </row>
    <row r="1158" spans="1:5">
      <c r="B1158" s="160"/>
      <c r="C1158" s="278"/>
      <c r="D1158" s="272"/>
      <c r="E1158" s="272"/>
    </row>
    <row r="1159" spans="1:5">
      <c r="A1159" s="472" t="s">
        <v>14942</v>
      </c>
      <c r="B1159" s="110" t="s">
        <v>14943</v>
      </c>
      <c r="C1159" s="278"/>
      <c r="D1159" s="272"/>
      <c r="E1159" s="272"/>
    </row>
    <row r="1160" spans="1:5">
      <c r="B1160" s="473" t="s">
        <v>5667</v>
      </c>
      <c r="C1160" s="473" t="s">
        <v>14945</v>
      </c>
      <c r="D1160" s="272"/>
      <c r="E1160" s="272"/>
    </row>
    <row r="1161" spans="1:5">
      <c r="B1161" s="473" t="s">
        <v>5668</v>
      </c>
      <c r="C1161" s="278">
        <v>23</v>
      </c>
      <c r="D1161" s="272"/>
      <c r="E1161" s="272"/>
    </row>
    <row r="1162" spans="1:5">
      <c r="B1162" s="473" t="s">
        <v>5666</v>
      </c>
      <c r="C1162" s="278" t="s">
        <v>14944</v>
      </c>
      <c r="D1162" s="272"/>
      <c r="E1162" s="272"/>
    </row>
    <row r="1163" spans="1:5">
      <c r="B1163" s="160"/>
      <c r="C1163" s="278"/>
      <c r="D1163" s="272"/>
      <c r="E1163" s="272"/>
    </row>
    <row r="1164" spans="1:5">
      <c r="A1164" s="472" t="s">
        <v>14946</v>
      </c>
      <c r="B1164" s="110" t="s">
        <v>14949</v>
      </c>
      <c r="C1164" s="278"/>
      <c r="D1164" s="272"/>
      <c r="E1164" s="272"/>
    </row>
    <row r="1165" spans="1:5">
      <c r="B1165" s="473" t="s">
        <v>5667</v>
      </c>
      <c r="C1165" s="473" t="s">
        <v>14947</v>
      </c>
      <c r="D1165" s="272"/>
      <c r="E1165" s="272"/>
    </row>
    <row r="1166" spans="1:5">
      <c r="B1166" s="473" t="s">
        <v>5668</v>
      </c>
      <c r="C1166" s="278">
        <v>302</v>
      </c>
      <c r="D1166" s="272"/>
      <c r="E1166" s="272"/>
    </row>
    <row r="1167" spans="1:5">
      <c r="B1167" s="473" t="s">
        <v>5666</v>
      </c>
      <c r="C1167" s="278" t="s">
        <v>14948</v>
      </c>
      <c r="D1167" s="272"/>
      <c r="E1167" s="272"/>
    </row>
    <row r="1168" spans="1:5">
      <c r="B1168" s="160"/>
      <c r="C1168" s="278"/>
      <c r="D1168" s="272"/>
      <c r="E1168" s="272"/>
    </row>
    <row r="1169" spans="1:9">
      <c r="A1169" s="175" t="s">
        <v>6781</v>
      </c>
      <c r="B1169" s="42" t="s">
        <v>6509</v>
      </c>
      <c r="C1169" s="278"/>
      <c r="D1169" s="272"/>
      <c r="E1169" s="272"/>
    </row>
    <row r="1170" spans="1:9">
      <c r="B1170" s="159" t="s">
        <v>5667</v>
      </c>
      <c r="C1170" s="278" t="s">
        <v>6510</v>
      </c>
      <c r="D1170" s="272"/>
      <c r="E1170" s="272"/>
    </row>
    <row r="1171" spans="1:9">
      <c r="B1171" s="159" t="s">
        <v>5668</v>
      </c>
      <c r="C1171" s="279">
        <v>1812</v>
      </c>
      <c r="D1171" s="272"/>
      <c r="E1171" s="272"/>
    </row>
    <row r="1172" spans="1:9">
      <c r="B1172" s="159" t="s">
        <v>5666</v>
      </c>
      <c r="C1172" s="101" t="s">
        <v>6511</v>
      </c>
      <c r="D1172" s="272"/>
      <c r="E1172" s="272"/>
    </row>
    <row r="1173" spans="1:9">
      <c r="C1173" s="278"/>
      <c r="D1173" s="272"/>
      <c r="E1173" s="272"/>
    </row>
    <row r="1174" spans="1:9">
      <c r="A1174" s="175" t="s">
        <v>6782</v>
      </c>
      <c r="B1174" s="42" t="s">
        <v>6445</v>
      </c>
    </row>
    <row r="1175" spans="1:9">
      <c r="B1175" s="159" t="s">
        <v>5667</v>
      </c>
      <c r="C1175" s="160" t="s">
        <v>6442</v>
      </c>
    </row>
    <row r="1176" spans="1:9">
      <c r="B1176" s="159" t="s">
        <v>5668</v>
      </c>
      <c r="C1176" s="122">
        <v>1259</v>
      </c>
    </row>
    <row r="1177" spans="1:9">
      <c r="B1177" s="160" t="s">
        <v>5666</v>
      </c>
      <c r="C1177" s="101" t="s">
        <v>6779</v>
      </c>
    </row>
    <row r="1178" spans="1:9">
      <c r="B1178" s="160"/>
    </row>
    <row r="1179" spans="1:9">
      <c r="A1179" s="175" t="s">
        <v>6783</v>
      </c>
      <c r="B1179" s="110" t="s">
        <v>6437</v>
      </c>
      <c r="C1179" s="473"/>
      <c r="D1179" s="159"/>
      <c r="E1179" s="159"/>
      <c r="F1179" s="159"/>
      <c r="G1179" s="159"/>
      <c r="H1179" s="159"/>
      <c r="I1179" s="159"/>
    </row>
    <row r="1180" spans="1:9">
      <c r="A1180" s="159"/>
      <c r="B1180" s="160" t="s">
        <v>5667</v>
      </c>
      <c r="C1180" s="473" t="s">
        <v>6438</v>
      </c>
      <c r="D1180" s="159"/>
      <c r="E1180" s="159"/>
      <c r="F1180" s="159"/>
      <c r="G1180" s="159"/>
      <c r="H1180" s="159"/>
      <c r="I1180" s="159"/>
    </row>
    <row r="1181" spans="1:9">
      <c r="A1181" s="159"/>
      <c r="B1181" s="160" t="s">
        <v>5668</v>
      </c>
      <c r="C1181" s="475">
        <v>398</v>
      </c>
      <c r="D1181" s="159"/>
      <c r="E1181" s="159"/>
      <c r="F1181" s="159"/>
      <c r="G1181" s="159"/>
      <c r="H1181" s="159"/>
      <c r="I1181" s="159"/>
    </row>
    <row r="1182" spans="1:9">
      <c r="A1182" s="159"/>
      <c r="B1182" s="160" t="s">
        <v>5666</v>
      </c>
      <c r="C1182" s="101" t="s">
        <v>6439</v>
      </c>
      <c r="D1182" s="159"/>
      <c r="E1182" s="159"/>
      <c r="F1182" s="159"/>
      <c r="G1182" s="159"/>
      <c r="H1182" s="159"/>
      <c r="I1182" s="159"/>
    </row>
    <row r="1183" spans="1:9">
      <c r="A1183" s="159"/>
      <c r="B1183" s="160"/>
      <c r="C1183" s="101"/>
      <c r="D1183" s="159"/>
      <c r="E1183" s="159"/>
      <c r="F1183" s="159"/>
      <c r="G1183" s="159"/>
      <c r="H1183" s="159"/>
      <c r="I1183" s="159"/>
    </row>
    <row r="1184" spans="1:9">
      <c r="A1184" s="175" t="s">
        <v>6784</v>
      </c>
      <c r="B1184" s="110" t="s">
        <v>6780</v>
      </c>
      <c r="C1184" s="473"/>
      <c r="D1184" s="159"/>
      <c r="E1184" s="159"/>
      <c r="F1184" s="159"/>
      <c r="G1184" s="159"/>
      <c r="H1184" s="159"/>
      <c r="I1184" s="159"/>
    </row>
    <row r="1185" spans="1:9">
      <c r="A1185" s="159"/>
      <c r="B1185" s="160" t="s">
        <v>5667</v>
      </c>
      <c r="C1185" s="473" t="s">
        <v>6524</v>
      </c>
      <c r="D1185" s="159"/>
      <c r="E1185" s="159"/>
      <c r="F1185" s="159"/>
      <c r="G1185" s="159"/>
      <c r="H1185" s="159"/>
      <c r="I1185" s="159"/>
    </row>
    <row r="1186" spans="1:9">
      <c r="A1186" s="159"/>
      <c r="B1186" s="160" t="s">
        <v>5668</v>
      </c>
      <c r="C1186" s="475">
        <v>185</v>
      </c>
      <c r="D1186" s="159"/>
      <c r="E1186" s="159"/>
      <c r="F1186" s="159"/>
      <c r="G1186" s="159"/>
      <c r="H1186" s="159"/>
      <c r="I1186" s="159"/>
    </row>
    <row r="1187" spans="1:9">
      <c r="A1187" s="159"/>
      <c r="B1187" s="160" t="s">
        <v>5666</v>
      </c>
      <c r="C1187" s="101" t="s">
        <v>6525</v>
      </c>
      <c r="D1187" s="159"/>
      <c r="E1187" s="159"/>
      <c r="F1187" s="159"/>
      <c r="G1187" s="159"/>
      <c r="H1187" s="159"/>
      <c r="I1187" s="159"/>
    </row>
    <row r="1188" spans="1:9">
      <c r="A1188" s="159"/>
      <c r="B1188" s="160"/>
      <c r="C1188" s="160"/>
      <c r="D1188" s="159"/>
      <c r="E1188" s="159"/>
      <c r="F1188" s="159"/>
      <c r="G1188" s="159"/>
      <c r="H1188" s="159"/>
      <c r="I1188" s="159"/>
    </row>
    <row r="1189" spans="1:9">
      <c r="A1189" s="472" t="s">
        <v>14964</v>
      </c>
      <c r="B1189" s="478" t="s">
        <v>14965</v>
      </c>
      <c r="C1189" s="160"/>
      <c r="D1189" s="159"/>
      <c r="E1189" s="159"/>
      <c r="F1189" s="159"/>
      <c r="G1189" s="159"/>
      <c r="H1189" s="159"/>
      <c r="I1189" s="159"/>
    </row>
    <row r="1190" spans="1:9">
      <c r="A1190" s="159"/>
      <c r="B1190" s="160" t="s">
        <v>5667</v>
      </c>
      <c r="C1190" s="473" t="s">
        <v>14967</v>
      </c>
      <c r="D1190" s="159"/>
      <c r="E1190" s="159"/>
      <c r="F1190" s="159"/>
      <c r="G1190" s="159"/>
      <c r="H1190" s="159"/>
      <c r="I1190" s="159"/>
    </row>
    <row r="1191" spans="1:9">
      <c r="A1191" s="159"/>
      <c r="B1191" s="160" t="s">
        <v>5668</v>
      </c>
      <c r="C1191" s="475">
        <v>181</v>
      </c>
      <c r="D1191" s="159"/>
      <c r="E1191" s="159"/>
      <c r="F1191" s="159"/>
      <c r="G1191" s="159"/>
      <c r="H1191" s="159"/>
      <c r="I1191" s="159"/>
    </row>
    <row r="1192" spans="1:9">
      <c r="A1192" s="159"/>
      <c r="B1192" s="160" t="s">
        <v>5666</v>
      </c>
      <c r="C1192" s="101" t="s">
        <v>14966</v>
      </c>
      <c r="D1192" s="159"/>
      <c r="E1192" s="159"/>
      <c r="F1192" s="159"/>
      <c r="G1192" s="159"/>
      <c r="H1192" s="159"/>
      <c r="I1192" s="159"/>
    </row>
    <row r="1193" spans="1:9">
      <c r="A1193" s="159"/>
      <c r="B1193" s="160"/>
      <c r="C1193" s="160"/>
      <c r="D1193" s="159"/>
      <c r="E1193" s="159"/>
      <c r="F1193" s="159"/>
      <c r="G1193" s="159"/>
      <c r="H1193" s="159"/>
      <c r="I1193" s="159"/>
    </row>
    <row r="1194" spans="1:9" ht="14">
      <c r="A1194" s="175" t="s">
        <v>6785</v>
      </c>
      <c r="B1194" s="110" t="s">
        <v>6488</v>
      </c>
      <c r="C1194" s="144"/>
      <c r="D1194" s="159"/>
      <c r="E1194" s="159"/>
      <c r="F1194" s="159"/>
      <c r="G1194" s="159"/>
      <c r="H1194" s="159"/>
      <c r="I1194" s="159"/>
    </row>
    <row r="1195" spans="1:9">
      <c r="A1195" s="159"/>
      <c r="B1195" s="160" t="s">
        <v>5667</v>
      </c>
      <c r="C1195" s="160" t="s">
        <v>6486</v>
      </c>
      <c r="D1195" s="159"/>
      <c r="E1195" s="159"/>
      <c r="F1195" s="159"/>
      <c r="G1195" s="159"/>
      <c r="H1195" s="159"/>
      <c r="I1195" s="159"/>
    </row>
    <row r="1196" spans="1:9">
      <c r="A1196" s="159"/>
      <c r="B1196" s="160" t="s">
        <v>5668</v>
      </c>
      <c r="C1196" s="122">
        <v>169</v>
      </c>
      <c r="D1196" s="159"/>
      <c r="E1196" s="159"/>
      <c r="F1196" s="159"/>
      <c r="G1196" s="159"/>
      <c r="H1196" s="159"/>
      <c r="I1196" s="159"/>
    </row>
    <row r="1197" spans="1:9" ht="14">
      <c r="A1197" s="159"/>
      <c r="B1197" s="160" t="s">
        <v>5666</v>
      </c>
      <c r="C1197" s="144" t="s">
        <v>6487</v>
      </c>
      <c r="D1197" s="159"/>
      <c r="E1197" s="159"/>
      <c r="F1197" s="159"/>
      <c r="G1197" s="159"/>
      <c r="H1197" s="159"/>
      <c r="I1197" s="159"/>
    </row>
    <row r="1198" spans="1:9">
      <c r="A1198" s="159"/>
      <c r="B1198" s="160"/>
      <c r="C1198" s="160"/>
      <c r="D1198" s="159"/>
      <c r="E1198" s="159"/>
      <c r="F1198" s="159"/>
      <c r="G1198" s="159"/>
      <c r="H1198" s="159"/>
      <c r="I1198" s="159"/>
    </row>
    <row r="1199" spans="1:9">
      <c r="A1199" s="175" t="s">
        <v>6786</v>
      </c>
      <c r="B1199" s="110" t="s">
        <v>6344</v>
      </c>
      <c r="C1199" s="160"/>
      <c r="D1199" s="159"/>
      <c r="E1199" s="159"/>
      <c r="F1199" s="159"/>
      <c r="G1199" s="159"/>
      <c r="H1199" s="159"/>
      <c r="I1199" s="159"/>
    </row>
    <row r="1200" spans="1:9">
      <c r="A1200" s="159"/>
      <c r="B1200" s="160" t="s">
        <v>5667</v>
      </c>
      <c r="C1200" s="160" t="s">
        <v>6343</v>
      </c>
      <c r="D1200" s="159"/>
      <c r="E1200" s="159"/>
      <c r="F1200" s="159"/>
      <c r="G1200" s="159"/>
      <c r="H1200" s="159"/>
      <c r="I1200" s="159"/>
    </row>
    <row r="1201" spans="1:9">
      <c r="A1201" s="159"/>
      <c r="B1201" s="160" t="s">
        <v>5668</v>
      </c>
      <c r="C1201" s="122">
        <v>123</v>
      </c>
      <c r="D1201" s="159"/>
      <c r="E1201" s="159"/>
      <c r="F1201" s="159"/>
      <c r="G1201" s="159"/>
      <c r="H1201" s="159"/>
      <c r="I1201" s="159"/>
    </row>
    <row r="1202" spans="1:9" ht="14">
      <c r="A1202" s="159"/>
      <c r="B1202" s="160" t="s">
        <v>5666</v>
      </c>
      <c r="C1202" s="144" t="s">
        <v>6342</v>
      </c>
      <c r="D1202" s="159"/>
      <c r="E1202" s="159"/>
      <c r="F1202" s="159"/>
      <c r="G1202" s="159"/>
      <c r="H1202" s="159"/>
      <c r="I1202" s="159"/>
    </row>
    <row r="1203" spans="1:9">
      <c r="A1203" s="159"/>
      <c r="B1203" s="160"/>
      <c r="C1203" s="160"/>
      <c r="D1203" s="159"/>
      <c r="E1203" s="159"/>
      <c r="F1203" s="159"/>
      <c r="G1203" s="159"/>
      <c r="H1203" s="159"/>
      <c r="I1203" s="159"/>
    </row>
    <row r="1204" spans="1:9">
      <c r="A1204" s="175" t="s">
        <v>6787</v>
      </c>
      <c r="B1204" s="42" t="s">
        <v>6576</v>
      </c>
      <c r="C1204" s="160"/>
      <c r="D1204" s="159"/>
      <c r="E1204" s="159"/>
      <c r="F1204" s="159"/>
      <c r="G1204" s="159"/>
      <c r="H1204" s="159"/>
    </row>
    <row r="1205" spans="1:9">
      <c r="B1205" s="159" t="s">
        <v>5667</v>
      </c>
      <c r="C1205" s="160" t="s">
        <v>6575</v>
      </c>
      <c r="D1205" s="159"/>
      <c r="E1205" s="159"/>
      <c r="F1205" s="159"/>
      <c r="G1205" s="159"/>
      <c r="H1205" s="159"/>
    </row>
    <row r="1206" spans="1:9">
      <c r="B1206" s="159" t="s">
        <v>5668</v>
      </c>
      <c r="C1206" s="122">
        <v>75</v>
      </c>
      <c r="D1206" s="159"/>
      <c r="E1206" s="159"/>
      <c r="F1206" s="159"/>
      <c r="G1206" s="159"/>
      <c r="H1206" s="159"/>
    </row>
    <row r="1207" spans="1:9">
      <c r="B1207" s="159" t="s">
        <v>5666</v>
      </c>
      <c r="C1207" s="101" t="s">
        <v>6574</v>
      </c>
      <c r="D1207" s="159"/>
      <c r="E1207" s="159"/>
      <c r="F1207" s="159"/>
      <c r="G1207" s="159"/>
      <c r="H1207" s="159"/>
    </row>
    <row r="1208" spans="1:9">
      <c r="B1208" s="109"/>
    </row>
    <row r="1209" spans="1:9">
      <c r="A1209" s="175" t="s">
        <v>6788</v>
      </c>
      <c r="B1209" s="42" t="s">
        <v>6461</v>
      </c>
    </row>
    <row r="1210" spans="1:9">
      <c r="B1210" s="108" t="s">
        <v>5667</v>
      </c>
      <c r="C1210" s="109" t="s">
        <v>4132</v>
      </c>
    </row>
    <row r="1211" spans="1:9">
      <c r="B1211" s="108" t="s">
        <v>5668</v>
      </c>
      <c r="C1211" s="122">
        <v>66</v>
      </c>
    </row>
    <row r="1212" spans="1:9">
      <c r="B1212" s="108" t="s">
        <v>5666</v>
      </c>
      <c r="C1212" s="105" t="s">
        <v>6010</v>
      </c>
    </row>
    <row r="1214" spans="1:9">
      <c r="A1214" s="175" t="s">
        <v>6789</v>
      </c>
      <c r="B1214" s="42" t="s">
        <v>6458</v>
      </c>
      <c r="C1214" s="160"/>
      <c r="D1214" s="159"/>
      <c r="E1214" s="159"/>
      <c r="F1214" s="159"/>
      <c r="G1214" s="159"/>
      <c r="H1214" s="159"/>
      <c r="I1214" s="159"/>
    </row>
    <row r="1215" spans="1:9">
      <c r="A1215" s="159"/>
      <c r="B1215" s="159" t="s">
        <v>5667</v>
      </c>
      <c r="C1215" s="160" t="s">
        <v>6457</v>
      </c>
      <c r="D1215" s="159"/>
      <c r="E1215" s="159"/>
      <c r="F1215" s="159"/>
      <c r="G1215" s="159"/>
      <c r="H1215" s="159"/>
      <c r="I1215" s="159"/>
    </row>
    <row r="1216" spans="1:9">
      <c r="A1216" s="159"/>
      <c r="B1216" s="159" t="s">
        <v>5668</v>
      </c>
      <c r="C1216" s="122">
        <v>29</v>
      </c>
      <c r="D1216" s="159"/>
      <c r="E1216" s="159"/>
      <c r="F1216" s="159"/>
      <c r="G1216" s="159"/>
      <c r="H1216" s="159"/>
      <c r="I1216" s="159"/>
    </row>
    <row r="1217" spans="1:9" ht="14">
      <c r="A1217" s="159"/>
      <c r="B1217" s="159" t="s">
        <v>5666</v>
      </c>
      <c r="C1217" s="144" t="s">
        <v>6459</v>
      </c>
      <c r="D1217" s="159"/>
      <c r="E1217" s="159"/>
      <c r="F1217" s="159"/>
      <c r="G1217" s="159"/>
      <c r="H1217" s="159"/>
      <c r="I1217" s="159"/>
    </row>
    <row r="1218" spans="1:9">
      <c r="A1218" s="159"/>
      <c r="B1218" s="159"/>
      <c r="C1218" s="160"/>
      <c r="D1218" s="159"/>
      <c r="E1218" s="159"/>
      <c r="F1218" s="159"/>
      <c r="G1218" s="159"/>
      <c r="H1218" s="159"/>
      <c r="I1218" s="159"/>
    </row>
    <row r="1219" spans="1:9">
      <c r="A1219" s="175" t="s">
        <v>6790</v>
      </c>
      <c r="B1219" s="110" t="s">
        <v>6440</v>
      </c>
    </row>
    <row r="1220" spans="1:9">
      <c r="B1220" s="109" t="s">
        <v>5667</v>
      </c>
      <c r="C1220" s="109" t="s">
        <v>6345</v>
      </c>
    </row>
    <row r="1221" spans="1:9">
      <c r="B1221" s="109" t="s">
        <v>5668</v>
      </c>
      <c r="C1221" s="122">
        <v>6</v>
      </c>
    </row>
    <row r="1222" spans="1:9" ht="15">
      <c r="B1222" s="109" t="s">
        <v>5666</v>
      </c>
      <c r="C1222" s="151" t="s">
        <v>6441</v>
      </c>
    </row>
    <row r="1223" spans="1:9">
      <c r="B1223" s="109"/>
    </row>
    <row r="1224" spans="1:9">
      <c r="A1224" s="270" t="s">
        <v>7943</v>
      </c>
      <c r="B1224" s="110" t="s">
        <v>7944</v>
      </c>
    </row>
    <row r="1225" spans="1:9">
      <c r="B1225" s="271" t="s">
        <v>5667</v>
      </c>
      <c r="C1225" s="271" t="s">
        <v>7945</v>
      </c>
    </row>
    <row r="1226" spans="1:9">
      <c r="B1226" s="271" t="s">
        <v>5668</v>
      </c>
      <c r="C1226" s="122">
        <v>58</v>
      </c>
    </row>
    <row r="1227" spans="1:9">
      <c r="B1227" s="271" t="s">
        <v>5666</v>
      </c>
      <c r="C1227" s="271" t="s">
        <v>7946</v>
      </c>
    </row>
    <row r="1228" spans="1:9">
      <c r="B1228" s="109"/>
    </row>
    <row r="1229" spans="1:9">
      <c r="A1229" s="272" t="s">
        <v>8930</v>
      </c>
      <c r="B1229" s="110" t="s">
        <v>8119</v>
      </c>
    </row>
    <row r="1230" spans="1:9">
      <c r="B1230" s="278" t="s">
        <v>5667</v>
      </c>
      <c r="C1230" s="278" t="s">
        <v>8118</v>
      </c>
    </row>
    <row r="1231" spans="1:9">
      <c r="B1231" s="278" t="s">
        <v>5668</v>
      </c>
    </row>
    <row r="1232" spans="1:9">
      <c r="B1232" s="278" t="s">
        <v>5666</v>
      </c>
      <c r="C1232" s="101" t="s">
        <v>8120</v>
      </c>
    </row>
    <row r="1233" spans="1:3">
      <c r="B1233" s="109"/>
    </row>
    <row r="1234" spans="1:3">
      <c r="A1234" s="272" t="s">
        <v>8931</v>
      </c>
      <c r="B1234" s="110" t="s">
        <v>8932</v>
      </c>
    </row>
    <row r="1235" spans="1:3">
      <c r="B1235" s="278" t="s">
        <v>5667</v>
      </c>
      <c r="C1235" s="278" t="s">
        <v>8933</v>
      </c>
    </row>
    <row r="1236" spans="1:3">
      <c r="B1236" s="278" t="s">
        <v>5668</v>
      </c>
    </row>
    <row r="1237" spans="1:3">
      <c r="B1237" s="278" t="s">
        <v>5666</v>
      </c>
      <c r="C1237" s="109" t="s">
        <v>8934</v>
      </c>
    </row>
    <row r="1238" spans="1:3">
      <c r="B1238" s="109"/>
    </row>
    <row r="1239" spans="1:3">
      <c r="A1239" s="378" t="s">
        <v>9494</v>
      </c>
      <c r="B1239" s="110" t="s">
        <v>9495</v>
      </c>
    </row>
    <row r="1240" spans="1:3">
      <c r="B1240" s="380" t="s">
        <v>5667</v>
      </c>
      <c r="C1240" s="380" t="s">
        <v>9496</v>
      </c>
    </row>
    <row r="1241" spans="1:3">
      <c r="B1241" s="380" t="s">
        <v>5668</v>
      </c>
    </row>
    <row r="1242" spans="1:3">
      <c r="B1242" s="380" t="s">
        <v>5666</v>
      </c>
      <c r="C1242" s="101" t="s">
        <v>9497</v>
      </c>
    </row>
    <row r="1243" spans="1:3">
      <c r="B1243" s="109"/>
    </row>
    <row r="1244" spans="1:3">
      <c r="A1244" s="378" t="s">
        <v>9510</v>
      </c>
      <c r="B1244" s="110" t="s">
        <v>9511</v>
      </c>
    </row>
    <row r="1245" spans="1:3">
      <c r="B1245" s="380" t="s">
        <v>5667</v>
      </c>
      <c r="C1245" s="380" t="s">
        <v>9512</v>
      </c>
    </row>
    <row r="1246" spans="1:3">
      <c r="B1246" s="380" t="s">
        <v>5668</v>
      </c>
      <c r="C1246" s="380"/>
    </row>
    <row r="1247" spans="1:3">
      <c r="B1247" s="380" t="s">
        <v>5666</v>
      </c>
      <c r="C1247" s="380"/>
    </row>
    <row r="1248" spans="1:3">
      <c r="B1248" s="109"/>
    </row>
    <row r="1249" spans="1:3">
      <c r="A1249" s="378" t="s">
        <v>9526</v>
      </c>
      <c r="B1249" s="110" t="s">
        <v>9527</v>
      </c>
    </row>
    <row r="1250" spans="1:3">
      <c r="B1250" s="380" t="s">
        <v>5667</v>
      </c>
      <c r="C1250" s="380" t="s">
        <v>9528</v>
      </c>
    </row>
    <row r="1251" spans="1:3">
      <c r="A1251" s="378"/>
      <c r="B1251" s="380" t="s">
        <v>5668</v>
      </c>
    </row>
    <row r="1252" spans="1:3">
      <c r="B1252" s="380" t="s">
        <v>5666</v>
      </c>
      <c r="C1252" s="101" t="s">
        <v>9529</v>
      </c>
    </row>
    <row r="1253" spans="1:3">
      <c r="B1253" s="109"/>
    </row>
    <row r="1254" spans="1:3">
      <c r="B1254" s="110" t="s">
        <v>9815</v>
      </c>
    </row>
    <row r="1255" spans="1:3">
      <c r="B1255" s="402" t="s">
        <v>5667</v>
      </c>
      <c r="C1255" s="402" t="s">
        <v>9816</v>
      </c>
    </row>
    <row r="1256" spans="1:3">
      <c r="B1256" s="402" t="s">
        <v>5668</v>
      </c>
    </row>
    <row r="1257" spans="1:3">
      <c r="B1257" s="402" t="s">
        <v>5666</v>
      </c>
      <c r="C1257" s="101" t="s">
        <v>9817</v>
      </c>
    </row>
    <row r="1258" spans="1:3">
      <c r="B1258" s="109"/>
    </row>
    <row r="1259" spans="1:3">
      <c r="A1259" s="472" t="s">
        <v>14968</v>
      </c>
      <c r="B1259" s="478" t="s">
        <v>14969</v>
      </c>
    </row>
    <row r="1260" spans="1:3">
      <c r="B1260" s="160" t="s">
        <v>5667</v>
      </c>
      <c r="C1260" s="473" t="s">
        <v>14971</v>
      </c>
    </row>
    <row r="1261" spans="1:3">
      <c r="B1261" s="160" t="s">
        <v>5668</v>
      </c>
      <c r="C1261" s="122">
        <v>5</v>
      </c>
    </row>
    <row r="1262" spans="1:3">
      <c r="B1262" s="160" t="s">
        <v>5666</v>
      </c>
      <c r="C1262" s="101" t="s">
        <v>14970</v>
      </c>
    </row>
    <row r="1263" spans="1:3">
      <c r="B1263" s="109"/>
    </row>
    <row r="1264" spans="1:3">
      <c r="A1264" s="472" t="s">
        <v>14980</v>
      </c>
      <c r="B1264" s="478" t="s">
        <v>14982</v>
      </c>
    </row>
    <row r="1265" spans="1:9">
      <c r="B1265" s="160" t="s">
        <v>5667</v>
      </c>
      <c r="C1265" s="473" t="s">
        <v>14983</v>
      </c>
    </row>
    <row r="1266" spans="1:9">
      <c r="B1266" s="160" t="s">
        <v>5668</v>
      </c>
      <c r="C1266" s="122">
        <v>30</v>
      </c>
    </row>
    <row r="1267" spans="1:9">
      <c r="B1267" s="160" t="s">
        <v>5666</v>
      </c>
      <c r="C1267" s="101" t="s">
        <v>14981</v>
      </c>
    </row>
    <row r="1268" spans="1:9">
      <c r="B1268" s="109"/>
    </row>
    <row r="1269" spans="1:9">
      <c r="A1269" s="175" t="s">
        <v>6792</v>
      </c>
      <c r="B1269" s="110" t="s">
        <v>6517</v>
      </c>
      <c r="C1269" s="160"/>
      <c r="D1269" s="159"/>
      <c r="E1269" s="159"/>
      <c r="F1269" s="159"/>
      <c r="G1269" s="159"/>
      <c r="H1269" s="159"/>
      <c r="I1269" s="159"/>
    </row>
    <row r="1270" spans="1:9">
      <c r="A1270" s="159"/>
      <c r="B1270" s="160" t="s">
        <v>5667</v>
      </c>
      <c r="C1270" s="160" t="s">
        <v>6519</v>
      </c>
      <c r="D1270" s="159"/>
      <c r="E1270" s="159"/>
      <c r="F1270" s="159"/>
      <c r="G1270" s="159"/>
      <c r="H1270" s="159"/>
      <c r="I1270" s="159"/>
    </row>
    <row r="1271" spans="1:9">
      <c r="A1271" s="159"/>
      <c r="B1271" s="160" t="s">
        <v>5668</v>
      </c>
      <c r="C1271" s="122">
        <v>878</v>
      </c>
      <c r="D1271" s="159"/>
      <c r="E1271" s="159"/>
      <c r="F1271" s="159"/>
      <c r="G1271" s="159"/>
      <c r="H1271" s="159"/>
      <c r="I1271" s="159"/>
    </row>
    <row r="1272" spans="1:9">
      <c r="A1272" s="159"/>
      <c r="B1272" s="160" t="s">
        <v>5666</v>
      </c>
      <c r="C1272" s="101" t="s">
        <v>6518</v>
      </c>
      <c r="D1272" s="159"/>
      <c r="E1272" s="159"/>
      <c r="F1272" s="159"/>
      <c r="G1272" s="159"/>
      <c r="H1272" s="159"/>
      <c r="I1272" s="159"/>
    </row>
    <row r="1273" spans="1:9">
      <c r="A1273" s="159"/>
      <c r="B1273" s="160"/>
      <c r="C1273" s="160"/>
      <c r="D1273" s="159"/>
      <c r="E1273" s="159"/>
      <c r="F1273" s="159"/>
      <c r="G1273" s="159"/>
      <c r="H1273" s="159"/>
      <c r="I1273" s="159"/>
    </row>
    <row r="1274" spans="1:9">
      <c r="A1274" s="378" t="s">
        <v>9537</v>
      </c>
      <c r="B1274" s="42" t="s">
        <v>9536</v>
      </c>
    </row>
    <row r="1275" spans="1:9">
      <c r="B1275" s="378" t="s">
        <v>5667</v>
      </c>
      <c r="C1275" s="380" t="s">
        <v>9539</v>
      </c>
    </row>
    <row r="1276" spans="1:9">
      <c r="B1276" s="378" t="s">
        <v>5668</v>
      </c>
      <c r="C1276" s="164">
        <v>614</v>
      </c>
    </row>
    <row r="1277" spans="1:9">
      <c r="B1277" s="378" t="s">
        <v>5666</v>
      </c>
      <c r="C1277" s="101" t="s">
        <v>9538</v>
      </c>
    </row>
    <row r="1279" spans="1:9">
      <c r="A1279" s="175" t="s">
        <v>6793</v>
      </c>
      <c r="B1279" s="42" t="s">
        <v>6424</v>
      </c>
      <c r="C1279" s="160"/>
      <c r="D1279" s="159"/>
      <c r="E1279" s="159"/>
      <c r="F1279" s="159"/>
      <c r="G1279" s="159"/>
      <c r="H1279" s="159"/>
      <c r="I1279" s="159"/>
    </row>
    <row r="1280" spans="1:9">
      <c r="A1280" s="159"/>
      <c r="B1280" s="159" t="s">
        <v>5667</v>
      </c>
      <c r="C1280" s="160" t="s">
        <v>6050</v>
      </c>
      <c r="D1280" s="159"/>
      <c r="E1280" s="159"/>
      <c r="F1280" s="159"/>
      <c r="G1280" s="159"/>
      <c r="H1280" s="159"/>
      <c r="I1280" s="159"/>
    </row>
    <row r="1281" spans="1:9">
      <c r="A1281" s="159"/>
      <c r="B1281" s="159" t="s">
        <v>5668</v>
      </c>
      <c r="C1281" s="122">
        <v>501</v>
      </c>
      <c r="D1281" s="159"/>
      <c r="E1281" s="159"/>
      <c r="F1281" s="159"/>
      <c r="G1281" s="159"/>
      <c r="H1281" s="159"/>
      <c r="I1281" s="159"/>
    </row>
    <row r="1282" spans="1:9" ht="14">
      <c r="A1282" s="159"/>
      <c r="B1282" s="159" t="s">
        <v>5666</v>
      </c>
      <c r="C1282" s="144" t="s">
        <v>6423</v>
      </c>
      <c r="D1282" s="159"/>
      <c r="E1282" s="159"/>
      <c r="F1282" s="159"/>
      <c r="G1282" s="159"/>
      <c r="H1282" s="159"/>
      <c r="I1282" s="159"/>
    </row>
    <row r="1283" spans="1:9" ht="14">
      <c r="A1283" s="159"/>
      <c r="B1283" s="159"/>
      <c r="C1283" s="144"/>
      <c r="D1283" s="159"/>
      <c r="E1283" s="159"/>
      <c r="F1283" s="159"/>
      <c r="G1283" s="159"/>
      <c r="H1283" s="159"/>
      <c r="I1283" s="159"/>
    </row>
    <row r="1284" spans="1:9">
      <c r="A1284" s="159"/>
      <c r="B1284" s="110" t="s">
        <v>6516</v>
      </c>
      <c r="C1284" s="160"/>
      <c r="D1284" s="159"/>
      <c r="E1284" s="159"/>
      <c r="F1284" s="159"/>
      <c r="G1284" s="159"/>
      <c r="H1284" s="159"/>
      <c r="I1284" s="159"/>
    </row>
    <row r="1285" spans="1:9">
      <c r="A1285" s="159"/>
      <c r="B1285" s="160" t="s">
        <v>5667</v>
      </c>
      <c r="C1285" s="160" t="s">
        <v>6491</v>
      </c>
      <c r="D1285" s="159"/>
      <c r="E1285" s="159"/>
      <c r="F1285" s="159"/>
      <c r="G1285" s="159"/>
      <c r="H1285" s="159"/>
      <c r="I1285" s="159"/>
    </row>
    <row r="1286" spans="1:9">
      <c r="A1286" s="159"/>
      <c r="B1286" s="160" t="s">
        <v>5668</v>
      </c>
      <c r="C1286" s="122">
        <v>75</v>
      </c>
      <c r="D1286" s="159"/>
      <c r="E1286" s="159"/>
      <c r="F1286" s="159"/>
      <c r="G1286" s="159"/>
      <c r="H1286" s="159"/>
      <c r="I1286" s="159"/>
    </row>
    <row r="1287" spans="1:9" ht="15">
      <c r="A1287" s="159"/>
      <c r="B1287" s="160" t="s">
        <v>5666</v>
      </c>
      <c r="C1287" s="151" t="s">
        <v>6492</v>
      </c>
      <c r="D1287" s="159"/>
      <c r="E1287" s="159"/>
      <c r="F1287" s="159"/>
      <c r="G1287" s="159"/>
      <c r="H1287" s="159"/>
      <c r="I1287" s="159"/>
    </row>
    <row r="1288" spans="1:9">
      <c r="A1288" s="159"/>
      <c r="B1288" s="160"/>
      <c r="C1288" s="160"/>
      <c r="D1288" s="159"/>
      <c r="E1288" s="159"/>
      <c r="F1288" s="159"/>
      <c r="G1288" s="159"/>
      <c r="H1288" s="159"/>
      <c r="I1288" s="159"/>
    </row>
    <row r="1289" spans="1:9">
      <c r="A1289" s="159"/>
      <c r="B1289" s="42" t="s">
        <v>6351</v>
      </c>
      <c r="C1289" s="160"/>
      <c r="D1289" s="159"/>
      <c r="E1289" s="159"/>
      <c r="F1289" s="159"/>
      <c r="G1289" s="159"/>
      <c r="H1289" s="159"/>
      <c r="I1289" s="159"/>
    </row>
    <row r="1290" spans="1:9">
      <c r="A1290" s="159"/>
      <c r="B1290" s="159" t="s">
        <v>5667</v>
      </c>
      <c r="C1290" s="160" t="s">
        <v>6330</v>
      </c>
      <c r="D1290" s="159"/>
      <c r="E1290" s="159"/>
      <c r="F1290" s="159"/>
      <c r="G1290" s="159"/>
      <c r="H1290" s="159"/>
      <c r="I1290" s="159"/>
    </row>
    <row r="1291" spans="1:9">
      <c r="A1291" s="159"/>
      <c r="B1291" s="159" t="s">
        <v>5668</v>
      </c>
      <c r="C1291" s="197" t="s">
        <v>1</v>
      </c>
      <c r="D1291" s="159"/>
      <c r="E1291" s="159"/>
      <c r="F1291" s="159"/>
      <c r="G1291" s="159"/>
      <c r="H1291" s="159"/>
      <c r="I1291" s="159"/>
    </row>
    <row r="1292" spans="1:9" ht="14">
      <c r="A1292" s="159"/>
      <c r="B1292" s="159" t="s">
        <v>5666</v>
      </c>
      <c r="C1292" s="144" t="s">
        <v>6350</v>
      </c>
      <c r="D1292" s="159"/>
      <c r="E1292" s="159"/>
      <c r="F1292" s="159"/>
      <c r="G1292" s="159"/>
      <c r="H1292" s="159"/>
      <c r="I1292" s="159"/>
    </row>
    <row r="1293" spans="1:9">
      <c r="A1293" s="159"/>
      <c r="B1293" s="159"/>
      <c r="C1293" s="160"/>
      <c r="D1293" s="159"/>
      <c r="E1293" s="159"/>
      <c r="F1293" s="159"/>
      <c r="G1293" s="159"/>
      <c r="H1293" s="159"/>
      <c r="I1293" s="159"/>
    </row>
    <row r="1294" spans="1:9">
      <c r="A1294" s="378" t="s">
        <v>9534</v>
      </c>
      <c r="B1294" s="42" t="s">
        <v>6507</v>
      </c>
      <c r="C1294" s="160"/>
      <c r="D1294" s="159"/>
      <c r="E1294" s="159"/>
      <c r="F1294" s="159"/>
      <c r="G1294" s="159"/>
      <c r="H1294" s="159"/>
      <c r="I1294" s="159"/>
    </row>
    <row r="1295" spans="1:9">
      <c r="A1295" s="159"/>
      <c r="B1295" s="159" t="s">
        <v>5667</v>
      </c>
      <c r="C1295" s="160" t="s">
        <v>0</v>
      </c>
      <c r="D1295" s="159"/>
      <c r="E1295" s="159"/>
      <c r="F1295" s="159"/>
      <c r="G1295" s="159"/>
      <c r="H1295" s="159"/>
      <c r="I1295" s="159"/>
    </row>
    <row r="1296" spans="1:9">
      <c r="A1296" s="159"/>
      <c r="B1296" s="159" t="s">
        <v>5668</v>
      </c>
      <c r="C1296" s="197" t="s">
        <v>1</v>
      </c>
      <c r="D1296" s="159"/>
      <c r="E1296" s="159"/>
      <c r="F1296" s="159"/>
      <c r="G1296" s="159"/>
      <c r="H1296" s="159"/>
      <c r="I1296" s="159"/>
    </row>
    <row r="1297" spans="1:9" ht="15">
      <c r="A1297" s="159"/>
      <c r="B1297" s="159" t="s">
        <v>5666</v>
      </c>
      <c r="C1297" s="151" t="s">
        <v>6508</v>
      </c>
      <c r="D1297" s="160"/>
      <c r="E1297" s="159"/>
      <c r="F1297" s="159"/>
      <c r="G1297" s="159"/>
      <c r="H1297" s="159"/>
      <c r="I1297" s="159"/>
    </row>
    <row r="1298" spans="1:9">
      <c r="A1298" s="159"/>
      <c r="B1298" s="159"/>
      <c r="C1298" s="160"/>
      <c r="D1298" s="159"/>
      <c r="E1298" s="159"/>
      <c r="F1298" s="159"/>
      <c r="G1298" s="159"/>
      <c r="H1298" s="159"/>
      <c r="I1298" s="159"/>
    </row>
    <row r="1299" spans="1:9">
      <c r="A1299" s="159"/>
      <c r="B1299" s="42" t="s">
        <v>6529</v>
      </c>
      <c r="C1299" s="160"/>
      <c r="D1299" s="159"/>
      <c r="E1299" s="159"/>
      <c r="F1299" s="159"/>
      <c r="G1299" s="159"/>
      <c r="H1299" s="159"/>
      <c r="I1299" s="159"/>
    </row>
    <row r="1300" spans="1:9">
      <c r="A1300" s="159"/>
      <c r="B1300" s="159" t="s">
        <v>5667</v>
      </c>
      <c r="C1300" s="160" t="s">
        <v>6530</v>
      </c>
      <c r="D1300" s="159"/>
      <c r="E1300" s="159"/>
      <c r="F1300" s="159"/>
      <c r="G1300" s="159"/>
      <c r="H1300" s="159"/>
      <c r="I1300" s="159"/>
    </row>
    <row r="1301" spans="1:9">
      <c r="A1301" s="159"/>
      <c r="B1301" s="159" t="s">
        <v>5668</v>
      </c>
      <c r="C1301" s="122">
        <v>29</v>
      </c>
      <c r="D1301" s="159"/>
      <c r="E1301" s="159"/>
      <c r="F1301" s="159"/>
      <c r="G1301" s="159"/>
      <c r="H1301" s="159"/>
      <c r="I1301" s="159"/>
    </row>
    <row r="1302" spans="1:9" ht="15">
      <c r="A1302" s="159"/>
      <c r="B1302" s="159" t="s">
        <v>5666</v>
      </c>
      <c r="C1302" s="151" t="s">
        <v>6531</v>
      </c>
      <c r="D1302" s="159"/>
      <c r="E1302" s="159"/>
      <c r="F1302" s="159"/>
      <c r="G1302" s="159"/>
      <c r="H1302" s="159"/>
      <c r="I1302" s="159"/>
    </row>
    <row r="1303" spans="1:9">
      <c r="A1303" s="159"/>
      <c r="B1303" s="159"/>
      <c r="C1303" s="160"/>
      <c r="D1303" s="159"/>
      <c r="E1303" s="159"/>
      <c r="F1303" s="159"/>
      <c r="G1303" s="159"/>
      <c r="H1303" s="159"/>
      <c r="I1303" s="159"/>
    </row>
    <row r="1304" spans="1:9">
      <c r="B1304" s="110" t="s">
        <v>6514</v>
      </c>
    </row>
    <row r="1305" spans="1:9">
      <c r="B1305" s="160" t="s">
        <v>5667</v>
      </c>
      <c r="C1305" s="160" t="s">
        <v>6512</v>
      </c>
    </row>
    <row r="1306" spans="1:9">
      <c r="B1306" s="160" t="s">
        <v>5668</v>
      </c>
      <c r="C1306" s="122">
        <v>93</v>
      </c>
    </row>
    <row r="1307" spans="1:9" ht="15">
      <c r="B1307" s="160" t="s">
        <v>5666</v>
      </c>
      <c r="C1307" s="151" t="s">
        <v>6513</v>
      </c>
    </row>
    <row r="1308" spans="1:9">
      <c r="A1308" s="159"/>
      <c r="B1308" s="159"/>
      <c r="C1308" s="160"/>
      <c r="D1308" s="159"/>
      <c r="E1308" s="159"/>
      <c r="F1308" s="159"/>
      <c r="G1308" s="159"/>
      <c r="H1308" s="159"/>
      <c r="I1308" s="159"/>
    </row>
    <row r="1309" spans="1:9">
      <c r="A1309" s="159"/>
      <c r="B1309" s="42" t="s">
        <v>6480</v>
      </c>
      <c r="C1309" s="160"/>
      <c r="D1309" s="159"/>
      <c r="E1309" s="159"/>
      <c r="F1309" s="159"/>
      <c r="G1309" s="159"/>
      <c r="H1309" s="159"/>
      <c r="I1309" s="159"/>
    </row>
    <row r="1310" spans="1:9">
      <c r="A1310" s="159"/>
      <c r="B1310" s="159" t="s">
        <v>5667</v>
      </c>
      <c r="C1310" s="160" t="s">
        <v>6482</v>
      </c>
      <c r="D1310" s="159"/>
      <c r="E1310" s="159"/>
      <c r="F1310" s="159"/>
      <c r="G1310" s="159"/>
      <c r="H1310" s="159"/>
      <c r="I1310" s="159"/>
    </row>
    <row r="1311" spans="1:9">
      <c r="A1311" s="159"/>
      <c r="B1311" s="159" t="s">
        <v>5668</v>
      </c>
      <c r="C1311" s="122">
        <v>35</v>
      </c>
      <c r="D1311" s="159"/>
      <c r="E1311" s="159"/>
      <c r="F1311" s="159"/>
      <c r="G1311" s="159"/>
      <c r="H1311" s="159"/>
      <c r="I1311" s="159"/>
    </row>
    <row r="1312" spans="1:9" ht="14">
      <c r="A1312" s="159"/>
      <c r="B1312" s="159" t="s">
        <v>5666</v>
      </c>
      <c r="C1312" s="144" t="s">
        <v>6483</v>
      </c>
      <c r="D1312" s="159"/>
      <c r="E1312" s="159"/>
      <c r="F1312" s="159"/>
      <c r="G1312" s="159"/>
      <c r="H1312" s="159"/>
      <c r="I1312" s="159"/>
    </row>
    <row r="1313" spans="1:9">
      <c r="A1313" s="159"/>
      <c r="B1313" s="159"/>
      <c r="C1313" s="160"/>
      <c r="D1313" s="159"/>
      <c r="E1313" s="159"/>
      <c r="F1313" s="159"/>
      <c r="G1313" s="159"/>
      <c r="H1313" s="159"/>
      <c r="I1313" s="159"/>
    </row>
    <row r="1314" spans="1:9">
      <c r="A1314" s="159"/>
      <c r="B1314" s="42" t="s">
        <v>6526</v>
      </c>
      <c r="C1314" s="160"/>
      <c r="D1314" s="159"/>
      <c r="E1314" s="159"/>
      <c r="F1314" s="159"/>
      <c r="G1314" s="159"/>
      <c r="H1314" s="159"/>
      <c r="I1314" s="159"/>
    </row>
    <row r="1315" spans="1:9">
      <c r="A1315" s="159"/>
      <c r="B1315" s="159" t="s">
        <v>5667</v>
      </c>
      <c r="C1315" s="160" t="s">
        <v>6528</v>
      </c>
      <c r="D1315" s="159"/>
      <c r="E1315" s="159"/>
      <c r="F1315" s="159"/>
      <c r="G1315" s="159"/>
      <c r="H1315" s="159"/>
      <c r="I1315" s="159"/>
    </row>
    <row r="1316" spans="1:9">
      <c r="A1316" s="159"/>
      <c r="B1316" s="159" t="s">
        <v>5668</v>
      </c>
      <c r="C1316" s="122">
        <v>20</v>
      </c>
      <c r="D1316" s="159"/>
      <c r="E1316" s="159"/>
      <c r="F1316" s="159"/>
      <c r="G1316" s="159"/>
      <c r="H1316" s="159"/>
      <c r="I1316" s="159"/>
    </row>
    <row r="1317" spans="1:9" ht="15">
      <c r="A1317" s="159"/>
      <c r="B1317" s="159" t="s">
        <v>5666</v>
      </c>
      <c r="C1317" s="151" t="s">
        <v>6527</v>
      </c>
      <c r="D1317" s="159"/>
      <c r="E1317" s="159"/>
      <c r="F1317" s="159"/>
      <c r="G1317" s="159"/>
      <c r="H1317" s="159"/>
      <c r="I1317" s="159"/>
    </row>
    <row r="1318" spans="1:9">
      <c r="A1318" s="159"/>
      <c r="B1318" s="159"/>
      <c r="C1318" s="160"/>
      <c r="D1318" s="159"/>
      <c r="E1318" s="159"/>
      <c r="F1318" s="159"/>
      <c r="G1318" s="159"/>
      <c r="H1318" s="159"/>
      <c r="I1318" s="159"/>
    </row>
    <row r="1319" spans="1:9">
      <c r="A1319" s="159"/>
      <c r="B1319" s="42" t="s">
        <v>6481</v>
      </c>
      <c r="C1319" s="160"/>
      <c r="D1319" s="159"/>
      <c r="E1319" s="159"/>
      <c r="F1319" s="159"/>
      <c r="G1319" s="159"/>
      <c r="H1319" s="159"/>
      <c r="I1319" s="159"/>
    </row>
    <row r="1320" spans="1:9">
      <c r="A1320" s="159"/>
      <c r="B1320" s="159" t="s">
        <v>5667</v>
      </c>
      <c r="C1320" s="160" t="s">
        <v>6418</v>
      </c>
      <c r="D1320" s="159"/>
      <c r="E1320" s="159"/>
      <c r="F1320" s="159"/>
      <c r="G1320" s="159"/>
      <c r="H1320" s="159"/>
      <c r="I1320" s="159"/>
    </row>
    <row r="1321" spans="1:9">
      <c r="A1321" s="159"/>
      <c r="B1321" s="159" t="s">
        <v>5668</v>
      </c>
      <c r="C1321" s="122">
        <v>2</v>
      </c>
      <c r="D1321" s="159"/>
      <c r="E1321" s="159"/>
      <c r="F1321" s="159"/>
      <c r="G1321" s="159"/>
      <c r="H1321" s="159"/>
      <c r="I1321" s="159"/>
    </row>
    <row r="1322" spans="1:9" ht="14">
      <c r="A1322" s="159"/>
      <c r="B1322" s="159" t="s">
        <v>5666</v>
      </c>
      <c r="C1322" s="144" t="s">
        <v>6426</v>
      </c>
      <c r="D1322" s="159"/>
      <c r="E1322" s="159"/>
      <c r="F1322" s="159"/>
      <c r="G1322" s="159"/>
      <c r="H1322" s="159"/>
      <c r="I1322" s="159"/>
    </row>
    <row r="1323" spans="1:9">
      <c r="A1323" s="159"/>
      <c r="B1323" s="159"/>
      <c r="C1323" s="160"/>
      <c r="D1323" s="159"/>
      <c r="E1323" s="159"/>
      <c r="F1323" s="159"/>
      <c r="G1323" s="159"/>
      <c r="H1323" s="159"/>
      <c r="I1323" s="159"/>
    </row>
    <row r="1324" spans="1:9">
      <c r="A1324" s="159"/>
      <c r="B1324" s="42" t="s">
        <v>6427</v>
      </c>
      <c r="C1324" s="160"/>
      <c r="D1324" s="159"/>
      <c r="E1324" s="159"/>
      <c r="F1324" s="159"/>
      <c r="G1324" s="159"/>
      <c r="H1324" s="159"/>
      <c r="I1324" s="159"/>
    </row>
    <row r="1325" spans="1:9">
      <c r="A1325" s="159"/>
      <c r="B1325" s="159" t="s">
        <v>5667</v>
      </c>
      <c r="C1325" s="160" t="s">
        <v>6418</v>
      </c>
      <c r="D1325" s="159"/>
      <c r="E1325" s="159"/>
      <c r="F1325" s="159"/>
      <c r="G1325" s="159"/>
      <c r="H1325" s="159"/>
      <c r="I1325" s="159"/>
    </row>
    <row r="1326" spans="1:9">
      <c r="A1326" s="159"/>
      <c r="B1326" s="159" t="s">
        <v>5668</v>
      </c>
      <c r="C1326" s="122">
        <v>1</v>
      </c>
      <c r="D1326" s="159"/>
      <c r="E1326" s="159"/>
      <c r="F1326" s="159"/>
      <c r="G1326" s="159"/>
      <c r="H1326" s="159"/>
      <c r="I1326" s="159"/>
    </row>
    <row r="1327" spans="1:9" ht="14">
      <c r="A1327" s="159"/>
      <c r="B1327" s="159" t="s">
        <v>5666</v>
      </c>
      <c r="C1327" s="144" t="s">
        <v>6428</v>
      </c>
      <c r="D1327" s="159"/>
      <c r="E1327" s="159"/>
      <c r="F1327" s="159"/>
      <c r="G1327" s="159"/>
      <c r="H1327" s="159"/>
      <c r="I1327" s="159"/>
    </row>
    <row r="1328" spans="1:9">
      <c r="A1328" s="159"/>
      <c r="B1328" s="159"/>
      <c r="C1328" s="160"/>
      <c r="D1328" s="159"/>
      <c r="E1328" s="159"/>
      <c r="F1328" s="159"/>
      <c r="G1328" s="159"/>
      <c r="H1328" s="159"/>
      <c r="I1328" s="159"/>
    </row>
    <row r="1329" spans="1:9">
      <c r="A1329" s="159"/>
      <c r="B1329" s="110" t="s">
        <v>6795</v>
      </c>
      <c r="C1329" s="160"/>
      <c r="D1329" s="159"/>
      <c r="E1329" s="159"/>
      <c r="F1329" s="159"/>
      <c r="G1329" s="159"/>
      <c r="H1329" s="159"/>
      <c r="I1329" s="159"/>
    </row>
    <row r="1330" spans="1:9">
      <c r="A1330" s="159"/>
      <c r="B1330" s="160" t="s">
        <v>5667</v>
      </c>
      <c r="C1330" s="160" t="s">
        <v>6332</v>
      </c>
      <c r="D1330" s="159"/>
      <c r="E1330" s="159"/>
      <c r="F1330" s="159"/>
      <c r="G1330" s="159"/>
      <c r="H1330" s="159"/>
      <c r="I1330" s="159"/>
    </row>
    <row r="1331" spans="1:9">
      <c r="A1331" s="159"/>
      <c r="B1331" s="160" t="s">
        <v>5668</v>
      </c>
      <c r="C1331" s="122">
        <v>5</v>
      </c>
      <c r="D1331" s="159"/>
      <c r="E1331" s="159"/>
      <c r="F1331" s="159"/>
      <c r="G1331" s="159"/>
      <c r="H1331" s="159"/>
      <c r="I1331" s="159"/>
    </row>
    <row r="1332" spans="1:9">
      <c r="A1332" s="159"/>
      <c r="B1332" s="160" t="s">
        <v>5666</v>
      </c>
      <c r="C1332" s="101" t="s">
        <v>6336</v>
      </c>
      <c r="D1332" s="159"/>
      <c r="E1332" s="159"/>
      <c r="F1332" s="159"/>
      <c r="G1332" s="159"/>
      <c r="H1332" s="159"/>
      <c r="I1332" s="159"/>
    </row>
    <row r="1333" spans="1:9">
      <c r="A1333" s="159"/>
      <c r="B1333" s="160"/>
      <c r="C1333" s="101"/>
      <c r="D1333" s="159"/>
      <c r="E1333" s="159"/>
      <c r="F1333" s="159"/>
      <c r="G1333" s="159"/>
      <c r="H1333" s="159"/>
      <c r="I1333" s="159"/>
    </row>
    <row r="1334" spans="1:9">
      <c r="A1334" s="159"/>
      <c r="B1334" s="110" t="s">
        <v>6796</v>
      </c>
      <c r="C1334" s="101"/>
      <c r="D1334" s="159"/>
      <c r="E1334" s="159"/>
      <c r="F1334" s="159"/>
      <c r="G1334" s="159"/>
      <c r="H1334" s="159"/>
      <c r="I1334" s="159"/>
    </row>
    <row r="1335" spans="1:9">
      <c r="A1335" s="159"/>
      <c r="B1335" s="193" t="s">
        <v>5667</v>
      </c>
      <c r="C1335" s="193" t="s">
        <v>6524</v>
      </c>
      <c r="D1335" s="159"/>
      <c r="E1335" s="159"/>
      <c r="F1335" s="159"/>
      <c r="G1335" s="159"/>
      <c r="H1335" s="159"/>
      <c r="I1335" s="159"/>
    </row>
    <row r="1336" spans="1:9">
      <c r="A1336" s="159"/>
      <c r="B1336" s="193" t="s">
        <v>5668</v>
      </c>
      <c r="C1336" s="101"/>
      <c r="D1336" s="159"/>
      <c r="E1336" s="159"/>
      <c r="F1336" s="159"/>
      <c r="G1336" s="159"/>
      <c r="H1336" s="159"/>
      <c r="I1336" s="159"/>
    </row>
    <row r="1337" spans="1:9" ht="15">
      <c r="A1337" s="159"/>
      <c r="B1337" s="193" t="s">
        <v>5666</v>
      </c>
      <c r="C1337" s="151" t="s">
        <v>6797</v>
      </c>
      <c r="D1337" s="159"/>
      <c r="E1337" s="159"/>
      <c r="F1337" s="159"/>
      <c r="G1337" s="159"/>
      <c r="H1337" s="159"/>
      <c r="I1337" s="159"/>
    </row>
    <row r="1338" spans="1:9">
      <c r="A1338" s="159"/>
      <c r="B1338" s="160"/>
      <c r="C1338" s="160"/>
      <c r="D1338" s="159"/>
      <c r="E1338" s="159"/>
      <c r="F1338" s="159"/>
      <c r="G1338" s="159"/>
      <c r="H1338" s="159"/>
      <c r="I1338" s="159"/>
    </row>
    <row r="1339" spans="1:9">
      <c r="A1339" s="159" t="s">
        <v>6337</v>
      </c>
      <c r="B1339" s="110" t="s">
        <v>6333</v>
      </c>
      <c r="C1339" s="160"/>
      <c r="D1339" s="159"/>
      <c r="E1339" s="159"/>
      <c r="F1339" s="159"/>
      <c r="G1339" s="159"/>
      <c r="H1339" s="159"/>
      <c r="I1339" s="159"/>
    </row>
    <row r="1340" spans="1:9">
      <c r="A1340" s="159"/>
      <c r="B1340" s="160" t="s">
        <v>5667</v>
      </c>
      <c r="C1340" s="160" t="s">
        <v>6334</v>
      </c>
      <c r="D1340" s="159"/>
      <c r="E1340" s="159"/>
      <c r="F1340" s="159"/>
      <c r="G1340" s="159"/>
      <c r="H1340" s="159"/>
      <c r="I1340" s="159"/>
    </row>
    <row r="1341" spans="1:9">
      <c r="A1341" s="159"/>
      <c r="B1341" s="160" t="s">
        <v>5668</v>
      </c>
      <c r="C1341" s="122">
        <v>84</v>
      </c>
      <c r="D1341" s="159"/>
      <c r="E1341" s="159"/>
      <c r="F1341" s="159"/>
      <c r="G1341" s="159"/>
      <c r="H1341" s="159"/>
      <c r="I1341" s="159"/>
    </row>
    <row r="1342" spans="1:9">
      <c r="A1342" s="159"/>
      <c r="B1342" s="160" t="s">
        <v>5666</v>
      </c>
      <c r="C1342" s="101" t="s">
        <v>6335</v>
      </c>
      <c r="D1342" s="159"/>
      <c r="E1342" s="159"/>
      <c r="F1342" s="159"/>
      <c r="G1342" s="159"/>
      <c r="H1342" s="159"/>
      <c r="I1342" s="159"/>
    </row>
    <row r="1343" spans="1:9">
      <c r="A1343" s="159"/>
      <c r="B1343" s="160"/>
      <c r="C1343" s="160"/>
      <c r="D1343" s="159"/>
      <c r="E1343" s="159"/>
      <c r="F1343" s="159"/>
      <c r="G1343" s="159"/>
      <c r="H1343" s="159"/>
      <c r="I1343" s="159"/>
    </row>
    <row r="1344" spans="1:9">
      <c r="A1344" s="159"/>
      <c r="B1344" s="42" t="s">
        <v>6794</v>
      </c>
      <c r="C1344" s="160"/>
      <c r="D1344" s="159"/>
      <c r="E1344" s="159"/>
      <c r="F1344" s="159"/>
      <c r="G1344" s="159"/>
      <c r="H1344" s="159"/>
      <c r="I1344" s="159"/>
    </row>
    <row r="1345" spans="1:9">
      <c r="A1345" s="159"/>
      <c r="B1345" s="159" t="s">
        <v>5667</v>
      </c>
      <c r="C1345" s="160" t="s">
        <v>6051</v>
      </c>
      <c r="D1345" s="159"/>
      <c r="E1345" s="159"/>
      <c r="F1345" s="159"/>
      <c r="G1345" s="159"/>
      <c r="H1345" s="159"/>
      <c r="I1345" s="159"/>
    </row>
    <row r="1346" spans="1:9">
      <c r="A1346" s="159"/>
      <c r="B1346" s="159" t="s">
        <v>5668</v>
      </c>
      <c r="C1346" s="122">
        <v>53</v>
      </c>
      <c r="D1346" s="159"/>
      <c r="E1346" s="159"/>
      <c r="F1346" s="159"/>
      <c r="G1346" s="159"/>
      <c r="H1346" s="159"/>
      <c r="I1346" s="159"/>
    </row>
    <row r="1347" spans="1:9">
      <c r="A1347" s="159"/>
      <c r="B1347" s="159" t="s">
        <v>5666</v>
      </c>
      <c r="C1347" s="101" t="s">
        <v>6422</v>
      </c>
      <c r="D1347" s="159"/>
      <c r="E1347" s="159"/>
      <c r="F1347" s="159"/>
      <c r="G1347" s="159"/>
      <c r="H1347" s="159"/>
      <c r="I1347" s="159"/>
    </row>
    <row r="1348" spans="1:9">
      <c r="A1348" s="159"/>
      <c r="B1348" s="159"/>
      <c r="C1348" s="101"/>
      <c r="D1348" s="159"/>
      <c r="E1348" s="159"/>
      <c r="F1348" s="159"/>
      <c r="G1348" s="159"/>
      <c r="H1348" s="159"/>
      <c r="I1348" s="159"/>
    </row>
    <row r="1349" spans="1:9" ht="14">
      <c r="A1349" s="159"/>
      <c r="B1349" s="42" t="s">
        <v>6535</v>
      </c>
      <c r="C1349" s="144"/>
      <c r="D1349" s="159"/>
      <c r="E1349" s="159"/>
      <c r="F1349" s="159"/>
      <c r="G1349" s="159"/>
      <c r="H1349" s="159"/>
      <c r="I1349" s="159"/>
    </row>
    <row r="1350" spans="1:9">
      <c r="A1350" s="159"/>
      <c r="B1350" s="159" t="s">
        <v>5667</v>
      </c>
      <c r="C1350" s="159" t="s">
        <v>6559</v>
      </c>
      <c r="D1350" s="159"/>
      <c r="E1350" s="159"/>
      <c r="F1350" s="159"/>
      <c r="G1350" s="159"/>
      <c r="H1350" s="159"/>
      <c r="I1350" s="159"/>
    </row>
    <row r="1351" spans="1:9">
      <c r="A1351" s="159"/>
      <c r="B1351" s="159" t="s">
        <v>5668</v>
      </c>
      <c r="C1351" s="164">
        <v>35</v>
      </c>
      <c r="D1351" s="159"/>
      <c r="E1351" s="159"/>
      <c r="F1351" s="159"/>
      <c r="G1351" s="159"/>
      <c r="H1351" s="159"/>
      <c r="I1351" s="159"/>
    </row>
    <row r="1352" spans="1:9">
      <c r="A1352" s="159"/>
      <c r="B1352" s="159" t="s">
        <v>5666</v>
      </c>
      <c r="C1352" s="101" t="s">
        <v>6536</v>
      </c>
      <c r="D1352" s="159"/>
      <c r="E1352" s="159"/>
      <c r="F1352" s="159"/>
      <c r="G1352" s="159"/>
      <c r="H1352" s="159"/>
      <c r="I1352" s="159"/>
    </row>
    <row r="1353" spans="1:9">
      <c r="A1353" s="159"/>
      <c r="B1353" s="159" t="s">
        <v>4201</v>
      </c>
      <c r="C1353" s="159" t="s">
        <v>6577</v>
      </c>
      <c r="D1353" s="159"/>
      <c r="E1353" s="159"/>
      <c r="F1353" s="159"/>
      <c r="G1353" s="159"/>
      <c r="H1353" s="159"/>
      <c r="I1353" s="159"/>
    </row>
    <row r="1354" spans="1:9">
      <c r="C1354" s="160"/>
      <c r="D1354" s="159"/>
      <c r="E1354" s="159"/>
      <c r="F1354" s="159"/>
    </row>
    <row r="1355" spans="1:9">
      <c r="B1355" s="42" t="s">
        <v>6452</v>
      </c>
      <c r="C1355" s="160"/>
      <c r="D1355" s="159"/>
      <c r="E1355" s="159"/>
      <c r="F1355" s="159"/>
    </row>
    <row r="1356" spans="1:9">
      <c r="B1356" s="159" t="s">
        <v>5667</v>
      </c>
      <c r="C1356" s="160" t="s">
        <v>6453</v>
      </c>
      <c r="D1356" s="159"/>
      <c r="E1356" s="159"/>
      <c r="F1356" s="159"/>
    </row>
    <row r="1357" spans="1:9">
      <c r="B1357" s="159" t="s">
        <v>5668</v>
      </c>
      <c r="C1357" s="164">
        <v>12</v>
      </c>
      <c r="D1357" s="159"/>
      <c r="E1357" s="159"/>
      <c r="F1357" s="159"/>
    </row>
    <row r="1358" spans="1:9">
      <c r="B1358" s="159" t="s">
        <v>5666</v>
      </c>
      <c r="C1358" s="160" t="s">
        <v>6454</v>
      </c>
      <c r="D1358" s="159"/>
      <c r="E1358" s="159"/>
      <c r="F1358" s="159"/>
    </row>
    <row r="1359" spans="1:9">
      <c r="C1359" s="160"/>
      <c r="D1359" s="159"/>
      <c r="E1359" s="159"/>
      <c r="F1359" s="159"/>
    </row>
    <row r="1360" spans="1:9">
      <c r="B1360" s="42" t="s">
        <v>6447</v>
      </c>
      <c r="C1360" s="160"/>
      <c r="D1360" s="159"/>
      <c r="E1360" s="159"/>
      <c r="F1360" s="159"/>
    </row>
    <row r="1361" spans="2:6">
      <c r="B1361" s="159" t="s">
        <v>5667</v>
      </c>
      <c r="C1361" s="160" t="s">
        <v>6448</v>
      </c>
      <c r="D1361" s="159"/>
      <c r="E1361" s="159"/>
      <c r="F1361" s="159"/>
    </row>
    <row r="1362" spans="2:6">
      <c r="B1362" s="159" t="s">
        <v>5668</v>
      </c>
      <c r="C1362" s="164">
        <v>6</v>
      </c>
      <c r="D1362" s="159"/>
      <c r="E1362" s="159"/>
      <c r="F1362" s="159"/>
    </row>
    <row r="1363" spans="2:6">
      <c r="B1363" s="159" t="s">
        <v>5666</v>
      </c>
      <c r="C1363" s="109" t="s">
        <v>6449</v>
      </c>
    </row>
    <row r="1365" spans="2:6">
      <c r="B1365" s="110" t="s">
        <v>6498</v>
      </c>
      <c r="C1365" s="160"/>
      <c r="D1365" s="159"/>
      <c r="E1365" s="159"/>
      <c r="F1365" s="159"/>
    </row>
    <row r="1366" spans="2:6">
      <c r="B1366" s="160" t="s">
        <v>5667</v>
      </c>
      <c r="C1366" s="160" t="s">
        <v>6497</v>
      </c>
      <c r="D1366" s="159"/>
      <c r="E1366" s="159"/>
      <c r="F1366" s="159"/>
    </row>
    <row r="1367" spans="2:6">
      <c r="B1367" s="159" t="s">
        <v>5668</v>
      </c>
      <c r="C1367" s="197" t="s">
        <v>1</v>
      </c>
      <c r="D1367" s="159"/>
      <c r="E1367" s="159"/>
      <c r="F1367" s="159"/>
    </row>
    <row r="1368" spans="2:6" ht="14">
      <c r="B1368" s="159" t="s">
        <v>5666</v>
      </c>
      <c r="C1368" s="144" t="s">
        <v>6339</v>
      </c>
      <c r="D1368" s="159"/>
      <c r="E1368" s="159"/>
      <c r="F1368" s="159"/>
    </row>
    <row r="1369" spans="2:6">
      <c r="B1369" s="159"/>
      <c r="C1369" s="160"/>
      <c r="D1369" s="159"/>
      <c r="E1369" s="159"/>
      <c r="F1369" s="159"/>
    </row>
    <row r="1370" spans="2:6">
      <c r="B1370" s="42" t="s">
        <v>6520</v>
      </c>
    </row>
    <row r="1371" spans="2:6">
      <c r="B1371" s="159" t="s">
        <v>5667</v>
      </c>
      <c r="C1371" s="160" t="s">
        <v>6521</v>
      </c>
    </row>
    <row r="1372" spans="2:6">
      <c r="B1372" s="159" t="s">
        <v>5668</v>
      </c>
      <c r="C1372" s="122">
        <v>17</v>
      </c>
    </row>
    <row r="1373" spans="2:6" ht="15">
      <c r="B1373" s="159" t="s">
        <v>5666</v>
      </c>
      <c r="C1373" s="151" t="s">
        <v>6522</v>
      </c>
    </row>
    <row r="1375" spans="2:6">
      <c r="B1375" s="42" t="s">
        <v>6421</v>
      </c>
    </row>
    <row r="1376" spans="2:6">
      <c r="B1376" s="159" t="s">
        <v>5667</v>
      </c>
      <c r="C1376" s="160" t="s">
        <v>6419</v>
      </c>
    </row>
    <row r="1377" spans="2:4">
      <c r="B1377" s="159" t="s">
        <v>5668</v>
      </c>
      <c r="C1377" s="122">
        <v>0</v>
      </c>
    </row>
    <row r="1378" spans="2:4" ht="15">
      <c r="B1378" s="159" t="s">
        <v>5666</v>
      </c>
      <c r="C1378" s="44" t="s">
        <v>6420</v>
      </c>
    </row>
    <row r="1380" spans="2:4">
      <c r="B1380" s="42" t="s">
        <v>6791</v>
      </c>
    </row>
    <row r="1381" spans="2:4">
      <c r="B1381" s="108" t="s">
        <v>5667</v>
      </c>
      <c r="C1381" s="109" t="s">
        <v>6049</v>
      </c>
    </row>
    <row r="1382" spans="2:4">
      <c r="B1382" s="108" t="s">
        <v>5668</v>
      </c>
      <c r="C1382" s="122">
        <v>1</v>
      </c>
    </row>
    <row r="1383" spans="2:4" ht="15">
      <c r="B1383" s="108" t="s">
        <v>5666</v>
      </c>
      <c r="C1383" s="151" t="s">
        <v>6425</v>
      </c>
    </row>
    <row r="1385" spans="2:4">
      <c r="B1385" s="42" t="s">
        <v>6430</v>
      </c>
      <c r="C1385" s="160"/>
      <c r="D1385" s="159"/>
    </row>
    <row r="1386" spans="2:4">
      <c r="B1386" s="159" t="s">
        <v>5667</v>
      </c>
      <c r="C1386" s="160" t="s">
        <v>6418</v>
      </c>
      <c r="D1386" s="159"/>
    </row>
    <row r="1387" spans="2:4">
      <c r="B1387" s="159" t="s">
        <v>5668</v>
      </c>
      <c r="C1387" s="122">
        <v>0</v>
      </c>
      <c r="D1387" s="159"/>
    </row>
    <row r="1388" spans="2:4" ht="14">
      <c r="B1388" s="159" t="s">
        <v>5666</v>
      </c>
      <c r="C1388" s="144" t="s">
        <v>6417</v>
      </c>
      <c r="D1388" s="159"/>
    </row>
    <row r="1390" spans="2:4">
      <c r="B1390" s="42" t="s">
        <v>6429</v>
      </c>
    </row>
    <row r="1391" spans="2:4">
      <c r="B1391" s="159" t="s">
        <v>5667</v>
      </c>
      <c r="C1391" s="160" t="s">
        <v>6431</v>
      </c>
    </row>
    <row r="1392" spans="2:4">
      <c r="B1392" s="159" t="s">
        <v>5668</v>
      </c>
      <c r="C1392" s="197" t="s">
        <v>1</v>
      </c>
    </row>
    <row r="1393" spans="1:3" ht="15">
      <c r="B1393" s="159" t="s">
        <v>5666</v>
      </c>
      <c r="C1393" s="151" t="s">
        <v>6432</v>
      </c>
    </row>
    <row r="1395" spans="1:3">
      <c r="B1395" s="42" t="s">
        <v>6532</v>
      </c>
    </row>
    <row r="1396" spans="1:3">
      <c r="B1396" s="159" t="s">
        <v>5667</v>
      </c>
      <c r="C1396" s="160" t="s">
        <v>6533</v>
      </c>
    </row>
    <row r="1397" spans="1:3">
      <c r="B1397" s="159" t="s">
        <v>5668</v>
      </c>
      <c r="C1397" s="122">
        <v>30</v>
      </c>
    </row>
    <row r="1398" spans="1:3" ht="15">
      <c r="B1398" s="159" t="s">
        <v>5666</v>
      </c>
      <c r="C1398" s="151" t="s">
        <v>6534</v>
      </c>
    </row>
    <row r="1400" spans="1:3">
      <c r="A1400" s="378" t="s">
        <v>9535</v>
      </c>
      <c r="B1400" s="42" t="s">
        <v>9531</v>
      </c>
    </row>
    <row r="1401" spans="1:3">
      <c r="B1401" s="378" t="s">
        <v>5667</v>
      </c>
      <c r="C1401" s="380" t="s">
        <v>9532</v>
      </c>
    </row>
    <row r="1402" spans="1:3">
      <c r="B1402" s="378" t="s">
        <v>5668</v>
      </c>
    </row>
    <row r="1403" spans="1:3">
      <c r="B1403" s="378" t="s">
        <v>5666</v>
      </c>
      <c r="C1403" s="101" t="s">
        <v>9533</v>
      </c>
    </row>
    <row r="1405" spans="1:3">
      <c r="B1405" s="42" t="s">
        <v>7635</v>
      </c>
    </row>
    <row r="1406" spans="1:3">
      <c r="B1406" s="245" t="s">
        <v>5667</v>
      </c>
      <c r="C1406" s="246" t="s">
        <v>7636</v>
      </c>
    </row>
    <row r="1407" spans="1:3">
      <c r="B1407" s="245" t="s">
        <v>5668</v>
      </c>
      <c r="C1407" s="122">
        <v>2</v>
      </c>
    </row>
    <row r="1408" spans="1:3">
      <c r="B1408" s="245" t="s">
        <v>5666</v>
      </c>
      <c r="C1408" s="101" t="s">
        <v>7637</v>
      </c>
    </row>
    <row r="1410" spans="1:6">
      <c r="B1410" s="42" t="s">
        <v>6493</v>
      </c>
      <c r="C1410" s="160"/>
      <c r="D1410" s="159"/>
      <c r="E1410" s="159"/>
      <c r="F1410" s="159"/>
    </row>
    <row r="1411" spans="1:6">
      <c r="B1411" s="159" t="s">
        <v>5667</v>
      </c>
      <c r="C1411" s="160" t="s">
        <v>6495</v>
      </c>
      <c r="D1411" s="159"/>
      <c r="E1411" s="159"/>
      <c r="F1411" s="159"/>
    </row>
    <row r="1412" spans="1:6">
      <c r="B1412" s="159" t="s">
        <v>5668</v>
      </c>
      <c r="C1412" s="122">
        <v>11</v>
      </c>
      <c r="D1412" s="159"/>
      <c r="E1412" s="159"/>
      <c r="F1412" s="159"/>
    </row>
    <row r="1413" spans="1:6">
      <c r="B1413" s="159" t="s">
        <v>5666</v>
      </c>
      <c r="C1413" s="101" t="s">
        <v>6496</v>
      </c>
      <c r="D1413" s="159"/>
      <c r="E1413" s="159"/>
      <c r="F1413" s="159"/>
    </row>
    <row r="1414" spans="1:6">
      <c r="B1414" s="159"/>
      <c r="C1414" s="160"/>
      <c r="D1414" s="159"/>
      <c r="E1414" s="159"/>
      <c r="F1414" s="159"/>
    </row>
    <row r="1415" spans="1:6">
      <c r="B1415" s="42" t="s">
        <v>14924</v>
      </c>
      <c r="C1415" s="160"/>
      <c r="D1415" s="159"/>
      <c r="E1415" s="159"/>
      <c r="F1415" s="159"/>
    </row>
    <row r="1416" spans="1:6">
      <c r="B1416" s="472" t="s">
        <v>5667</v>
      </c>
      <c r="C1416" s="473" t="s">
        <v>14925</v>
      </c>
      <c r="D1416" s="159"/>
      <c r="E1416" s="159"/>
      <c r="F1416" s="159"/>
    </row>
    <row r="1417" spans="1:6">
      <c r="B1417" s="472" t="s">
        <v>5668</v>
      </c>
      <c r="C1417" s="160"/>
      <c r="D1417" s="159"/>
      <c r="E1417" s="159"/>
      <c r="F1417" s="159"/>
    </row>
    <row r="1418" spans="1:6">
      <c r="B1418" s="472" t="s">
        <v>5666</v>
      </c>
      <c r="C1418" s="160" t="s">
        <v>14926</v>
      </c>
      <c r="D1418" s="159"/>
      <c r="E1418" s="159"/>
      <c r="F1418" s="159"/>
    </row>
    <row r="1419" spans="1:6">
      <c r="B1419" s="472"/>
      <c r="C1419" s="160" t="s">
        <v>14960</v>
      </c>
      <c r="D1419" s="159"/>
      <c r="E1419" s="159"/>
      <c r="F1419" s="159"/>
    </row>
    <row r="1420" spans="1:6">
      <c r="B1420" s="472" t="s">
        <v>4201</v>
      </c>
      <c r="C1420" s="473" t="s">
        <v>14984</v>
      </c>
      <c r="D1420" s="159"/>
      <c r="E1420" s="159"/>
      <c r="F1420" s="159"/>
    </row>
    <row r="1421" spans="1:6">
      <c r="B1421" s="159"/>
      <c r="C1421" s="160"/>
      <c r="D1421" s="159"/>
      <c r="E1421" s="159"/>
      <c r="F1421" s="159"/>
    </row>
    <row r="1422" spans="1:6">
      <c r="A1422" s="108" t="s">
        <v>6338</v>
      </c>
      <c r="B1422" s="42" t="s">
        <v>6494</v>
      </c>
      <c r="C1422" s="160"/>
      <c r="D1422" s="159"/>
      <c r="E1422" s="159"/>
      <c r="F1422" s="159"/>
    </row>
    <row r="1423" spans="1:6">
      <c r="B1423" s="159" t="s">
        <v>5667</v>
      </c>
      <c r="C1423" s="160" t="s">
        <v>6330</v>
      </c>
      <c r="D1423" s="159"/>
      <c r="E1423" s="159"/>
      <c r="F1423" s="159"/>
    </row>
    <row r="1424" spans="1:6">
      <c r="B1424" s="159" t="s">
        <v>5668</v>
      </c>
      <c r="C1424" s="122">
        <v>3</v>
      </c>
      <c r="D1424" s="159"/>
      <c r="E1424" s="159"/>
      <c r="F1424" s="159"/>
    </row>
    <row r="1425" spans="2:6">
      <c r="B1425" s="159" t="s">
        <v>5666</v>
      </c>
      <c r="C1425" s="101" t="s">
        <v>6331</v>
      </c>
      <c r="D1425" s="159"/>
      <c r="E1425" s="159"/>
      <c r="F1425" s="159"/>
    </row>
    <row r="1426" spans="2:6">
      <c r="B1426" s="159" t="s">
        <v>4201</v>
      </c>
      <c r="C1426" s="160" t="s">
        <v>6346</v>
      </c>
      <c r="D1426" s="159"/>
      <c r="E1426" s="159"/>
      <c r="F1426" s="159"/>
    </row>
    <row r="1427" spans="2:6">
      <c r="B1427" s="159" t="s">
        <v>6157</v>
      </c>
      <c r="C1427" s="163">
        <v>45149</v>
      </c>
      <c r="D1427" s="159"/>
      <c r="E1427" s="159"/>
      <c r="F1427" s="159"/>
    </row>
    <row r="1428" spans="2:6">
      <c r="B1428" s="159"/>
      <c r="C1428" s="160"/>
      <c r="D1428" s="159"/>
      <c r="E1428" s="159"/>
      <c r="F1428" s="159"/>
    </row>
    <row r="1429" spans="2:6">
      <c r="B1429" s="42" t="s">
        <v>6499</v>
      </c>
      <c r="C1429" s="160"/>
      <c r="D1429" s="159"/>
      <c r="E1429" s="159"/>
      <c r="F1429" s="159"/>
    </row>
    <row r="1430" spans="2:6">
      <c r="B1430" s="159" t="s">
        <v>5667</v>
      </c>
      <c r="C1430" s="160" t="s">
        <v>6501</v>
      </c>
      <c r="D1430" s="159"/>
      <c r="E1430" s="159"/>
      <c r="F1430" s="159"/>
    </row>
    <row r="1431" spans="2:6">
      <c r="B1431" s="159" t="s">
        <v>5668</v>
      </c>
      <c r="C1431" s="122">
        <v>0</v>
      </c>
      <c r="D1431" s="159"/>
      <c r="E1431" s="159"/>
      <c r="F1431" s="159"/>
    </row>
    <row r="1432" spans="2:6">
      <c r="B1432" s="159" t="s">
        <v>5666</v>
      </c>
      <c r="C1432" s="101" t="s">
        <v>6500</v>
      </c>
      <c r="D1432" s="159"/>
      <c r="E1432" s="159"/>
      <c r="F1432" s="159"/>
    </row>
    <row r="1433" spans="2:6">
      <c r="B1433" s="159"/>
      <c r="C1433" s="160"/>
      <c r="D1433" s="159"/>
      <c r="E1433" s="159"/>
      <c r="F1433" s="159"/>
    </row>
    <row r="1434" spans="2:6">
      <c r="B1434" s="42" t="s">
        <v>9809</v>
      </c>
      <c r="C1434" s="160"/>
      <c r="D1434" s="159"/>
      <c r="E1434" s="159"/>
      <c r="F1434" s="159"/>
    </row>
    <row r="1435" spans="2:6">
      <c r="B1435" s="390" t="s">
        <v>5667</v>
      </c>
      <c r="C1435" s="402" t="s">
        <v>9810</v>
      </c>
      <c r="D1435" s="159"/>
      <c r="E1435" s="159"/>
      <c r="F1435" s="159"/>
    </row>
    <row r="1436" spans="2:6">
      <c r="B1436" s="390" t="s">
        <v>5668</v>
      </c>
      <c r="C1436" s="160"/>
      <c r="D1436" s="159"/>
      <c r="E1436" s="159"/>
      <c r="F1436" s="159"/>
    </row>
    <row r="1437" spans="2:6">
      <c r="B1437" s="390" t="s">
        <v>5666</v>
      </c>
      <c r="C1437" s="101" t="s">
        <v>9811</v>
      </c>
      <c r="D1437" s="159"/>
      <c r="E1437" s="159"/>
      <c r="F1437" s="159"/>
    </row>
    <row r="1438" spans="2:6">
      <c r="B1438" s="159"/>
      <c r="C1438" s="160"/>
      <c r="D1438" s="159"/>
      <c r="E1438" s="159"/>
      <c r="F1438" s="159"/>
    </row>
    <row r="1439" spans="2:6">
      <c r="B1439" s="42" t="s">
        <v>9530</v>
      </c>
    </row>
    <row r="1440" spans="2:6">
      <c r="B1440" s="245" t="s">
        <v>5667</v>
      </c>
      <c r="C1440" s="246" t="s">
        <v>7563</v>
      </c>
    </row>
    <row r="1441" spans="1:6">
      <c r="B1441" s="245" t="s">
        <v>5668</v>
      </c>
    </row>
    <row r="1442" spans="1:6">
      <c r="B1442" s="245" t="s">
        <v>5666</v>
      </c>
      <c r="C1442" s="101" t="s">
        <v>7564</v>
      </c>
    </row>
    <row r="1444" spans="1:6">
      <c r="A1444" s="378" t="s">
        <v>9525</v>
      </c>
      <c r="B1444" s="42" t="s">
        <v>9522</v>
      </c>
      <c r="C1444" s="160"/>
      <c r="D1444" s="159"/>
      <c r="E1444" s="159"/>
      <c r="F1444" s="159"/>
    </row>
    <row r="1445" spans="1:6">
      <c r="B1445" s="378" t="s">
        <v>5667</v>
      </c>
      <c r="C1445" s="380" t="s">
        <v>9523</v>
      </c>
      <c r="D1445" s="159"/>
      <c r="E1445" s="159"/>
      <c r="F1445" s="159"/>
    </row>
    <row r="1446" spans="1:6">
      <c r="B1446" s="378" t="s">
        <v>5668</v>
      </c>
      <c r="C1446" s="160"/>
      <c r="D1446" s="159"/>
      <c r="E1446" s="159"/>
      <c r="F1446" s="159"/>
    </row>
    <row r="1447" spans="1:6">
      <c r="B1447" s="378" t="s">
        <v>5666</v>
      </c>
      <c r="C1447" s="160" t="s">
        <v>9524</v>
      </c>
      <c r="D1447" s="159"/>
      <c r="E1447" s="159"/>
      <c r="F1447" s="159"/>
    </row>
    <row r="1448" spans="1:6">
      <c r="B1448" s="159"/>
      <c r="C1448" s="160"/>
      <c r="D1448" s="159"/>
      <c r="E1448" s="159"/>
      <c r="F1448" s="159"/>
    </row>
    <row r="1449" spans="1:6">
      <c r="B1449" s="42" t="s">
        <v>9521</v>
      </c>
    </row>
    <row r="1450" spans="1:6">
      <c r="B1450" s="272" t="s">
        <v>5667</v>
      </c>
      <c r="C1450" s="278" t="s">
        <v>8121</v>
      </c>
    </row>
    <row r="1451" spans="1:6">
      <c r="B1451" s="272" t="s">
        <v>5668</v>
      </c>
    </row>
    <row r="1452" spans="1:6">
      <c r="B1452" s="272" t="s">
        <v>5666</v>
      </c>
      <c r="C1452" s="101" t="s">
        <v>8122</v>
      </c>
    </row>
    <row r="1454" spans="1:6">
      <c r="B1454" s="42" t="s">
        <v>9520</v>
      </c>
      <c r="C1454" s="160"/>
      <c r="D1454" s="159"/>
      <c r="E1454" s="159"/>
      <c r="F1454" s="159"/>
    </row>
    <row r="1455" spans="1:6">
      <c r="B1455" s="270" t="s">
        <v>5667</v>
      </c>
      <c r="C1455" s="271" t="s">
        <v>7970</v>
      </c>
      <c r="D1455" s="159"/>
      <c r="E1455" s="159"/>
      <c r="F1455" s="159"/>
    </row>
    <row r="1456" spans="1:6">
      <c r="B1456" s="270" t="s">
        <v>5668</v>
      </c>
      <c r="C1456" s="122">
        <v>0</v>
      </c>
      <c r="D1456" s="159"/>
      <c r="E1456" s="159"/>
      <c r="F1456" s="159"/>
    </row>
    <row r="1457" spans="1:6">
      <c r="B1457" s="270" t="s">
        <v>5666</v>
      </c>
      <c r="C1457" s="101" t="s">
        <v>7971</v>
      </c>
      <c r="D1457" s="159"/>
      <c r="E1457" s="159"/>
      <c r="F1457" s="159"/>
    </row>
    <row r="1458" spans="1:6">
      <c r="B1458" s="270" t="s">
        <v>4201</v>
      </c>
      <c r="C1458" s="271" t="s">
        <v>5662</v>
      </c>
      <c r="D1458" s="159"/>
      <c r="E1458" s="159"/>
      <c r="F1458" s="159"/>
    </row>
    <row r="1460" spans="1:6">
      <c r="A1460" s="485" t="s">
        <v>15186</v>
      </c>
      <c r="B1460" s="42" t="s">
        <v>9519</v>
      </c>
    </row>
    <row r="1461" spans="1:6">
      <c r="B1461" s="272" t="s">
        <v>5667</v>
      </c>
      <c r="C1461" s="380" t="s">
        <v>9517</v>
      </c>
    </row>
    <row r="1462" spans="1:6">
      <c r="B1462" s="272" t="s">
        <v>5668</v>
      </c>
    </row>
    <row r="1463" spans="1:6">
      <c r="B1463" s="272" t="s">
        <v>5666</v>
      </c>
      <c r="C1463" s="101" t="s">
        <v>9518</v>
      </c>
    </row>
    <row r="1464" spans="1:6">
      <c r="B1464" s="378" t="s">
        <v>4201</v>
      </c>
    </row>
    <row r="1465" spans="1:6">
      <c r="B1465" s="378"/>
    </row>
    <row r="1466" spans="1:6">
      <c r="A1466" s="376"/>
      <c r="B1466" s="42" t="s">
        <v>9431</v>
      </c>
    </row>
    <row r="1467" spans="1:6">
      <c r="B1467" s="272" t="s">
        <v>5667</v>
      </c>
      <c r="C1467" s="380" t="s">
        <v>9509</v>
      </c>
    </row>
    <row r="1468" spans="1:6">
      <c r="B1468" s="272" t="s">
        <v>5668</v>
      </c>
    </row>
    <row r="1469" spans="1:6">
      <c r="B1469" s="272" t="s">
        <v>5666</v>
      </c>
      <c r="C1469" s="101" t="s">
        <v>9430</v>
      </c>
    </row>
    <row r="1470" spans="1:6">
      <c r="B1470" s="378" t="s">
        <v>4201</v>
      </c>
      <c r="C1470" s="380" t="s">
        <v>9516</v>
      </c>
    </row>
    <row r="1472" spans="1:6">
      <c r="B1472" s="42" t="s">
        <v>9489</v>
      </c>
    </row>
    <row r="1473" spans="2:3">
      <c r="B1473" s="378" t="s">
        <v>5667</v>
      </c>
      <c r="C1473" s="380" t="s">
        <v>9491</v>
      </c>
    </row>
    <row r="1474" spans="2:3">
      <c r="B1474" s="378" t="s">
        <v>5668</v>
      </c>
    </row>
    <row r="1475" spans="2:3">
      <c r="B1475" s="378" t="s">
        <v>5666</v>
      </c>
      <c r="C1475" s="101" t="s">
        <v>9490</v>
      </c>
    </row>
    <row r="1476" spans="2:3">
      <c r="B1476" s="378" t="s">
        <v>4201</v>
      </c>
      <c r="C1476" s="380" t="s">
        <v>9540</v>
      </c>
    </row>
    <row r="1478" spans="2:3">
      <c r="B1478" s="42" t="s">
        <v>9812</v>
      </c>
    </row>
    <row r="1479" spans="2:3">
      <c r="B1479" s="390" t="s">
        <v>5667</v>
      </c>
      <c r="C1479" s="402" t="s">
        <v>9813</v>
      </c>
    </row>
    <row r="1480" spans="2:3">
      <c r="B1480" s="390" t="s">
        <v>5668</v>
      </c>
      <c r="C1480" s="404"/>
    </row>
    <row r="1481" spans="2:3">
      <c r="B1481" s="390" t="s">
        <v>5666</v>
      </c>
      <c r="C1481" s="101" t="s">
        <v>9814</v>
      </c>
    </row>
    <row r="1482" spans="2:3">
      <c r="C1482" s="404"/>
    </row>
    <row r="1483" spans="2:3">
      <c r="B1483" s="42" t="s">
        <v>9806</v>
      </c>
      <c r="C1483" s="404"/>
    </row>
    <row r="1484" spans="2:3">
      <c r="B1484" s="390" t="s">
        <v>5667</v>
      </c>
      <c r="C1484" s="404" t="s">
        <v>9807</v>
      </c>
    </row>
    <row r="1485" spans="2:3">
      <c r="B1485" s="390" t="s">
        <v>5668</v>
      </c>
      <c r="C1485" s="404"/>
    </row>
    <row r="1486" spans="2:3">
      <c r="B1486" s="390" t="s">
        <v>5666</v>
      </c>
      <c r="C1486" s="404"/>
    </row>
    <row r="1487" spans="2:3">
      <c r="B1487" s="390" t="s">
        <v>4201</v>
      </c>
      <c r="C1487" s="404"/>
    </row>
    <row r="1488" spans="2:3">
      <c r="C1488" s="404"/>
    </row>
    <row r="1489" spans="2:3">
      <c r="B1489" s="42" t="s">
        <v>9818</v>
      </c>
    </row>
    <row r="1490" spans="2:3">
      <c r="B1490" s="390" t="s">
        <v>5667</v>
      </c>
      <c r="C1490" s="402" t="s">
        <v>9820</v>
      </c>
    </row>
    <row r="1491" spans="2:3">
      <c r="B1491" s="390" t="s">
        <v>5668</v>
      </c>
      <c r="C1491" s="404"/>
    </row>
    <row r="1492" spans="2:3">
      <c r="B1492" s="390" t="s">
        <v>5666</v>
      </c>
      <c r="C1492" s="101" t="s">
        <v>9819</v>
      </c>
    </row>
    <row r="1493" spans="2:3">
      <c r="C1493" s="404"/>
    </row>
    <row r="1494" spans="2:3">
      <c r="B1494" s="42" t="s">
        <v>9823</v>
      </c>
      <c r="C1494" s="404"/>
    </row>
    <row r="1495" spans="2:3">
      <c r="B1495" s="403" t="s">
        <v>5667</v>
      </c>
      <c r="C1495" s="404" t="s">
        <v>9824</v>
      </c>
    </row>
    <row r="1496" spans="2:3">
      <c r="B1496" s="403" t="s">
        <v>5668</v>
      </c>
      <c r="C1496" s="404"/>
    </row>
    <row r="1497" spans="2:3">
      <c r="B1497" s="403" t="s">
        <v>5666</v>
      </c>
      <c r="C1497" s="404" t="s">
        <v>9825</v>
      </c>
    </row>
    <row r="1498" spans="2:3">
      <c r="C1498" s="404"/>
    </row>
    <row r="1499" spans="2:3">
      <c r="B1499" s="42" t="s">
        <v>15187</v>
      </c>
    </row>
    <row r="1500" spans="2:3">
      <c r="B1500" s="472" t="s">
        <v>5667</v>
      </c>
      <c r="C1500" s="473" t="s">
        <v>15189</v>
      </c>
    </row>
    <row r="1501" spans="2:3">
      <c r="B1501" s="472" t="s">
        <v>5668</v>
      </c>
    </row>
    <row r="1502" spans="2:3">
      <c r="B1502" s="472" t="s">
        <v>5666</v>
      </c>
      <c r="C1502" s="109" t="s">
        <v>15188</v>
      </c>
    </row>
  </sheetData>
  <hyperlinks>
    <hyperlink ref="A1" location="Main!A1" display="Main" xr:uid="{E842F38B-5DE4-E24B-BEAF-BDFBEBBEE4FE}"/>
    <hyperlink ref="C648" r:id="rId1" xr:uid="{B75F404B-6235-EC4F-B4CB-47F1D95CDD95}"/>
    <hyperlink ref="C730" r:id="rId2" xr:uid="{A96765DE-1CA0-FF43-9E3D-E6F3583423F1}"/>
    <hyperlink ref="C841" r:id="rId3" xr:uid="{97D9EB99-5E8D-0147-A720-B7B4A2CB8FB7}"/>
    <hyperlink ref="C785" r:id="rId4" xr:uid="{8160E1DD-EAC7-A94A-B1CD-CF0E6DD5FDC0}"/>
    <hyperlink ref="C553" r:id="rId5" xr:uid="{CD4B76E0-629B-BA4C-81D0-4C0E232400D7}"/>
    <hyperlink ref="C82" r:id="rId6" xr:uid="{0E3CA59B-3CF2-774C-A37A-B064DE74507E}"/>
    <hyperlink ref="C89" r:id="rId7" xr:uid="{26DC947B-93F7-4449-9246-BB5C716BA6D7}"/>
    <hyperlink ref="C94" r:id="rId8" xr:uid="{8ACB4DAE-CC7D-F541-9F25-C0F6CA31EFD6}"/>
    <hyperlink ref="C119" r:id="rId9" xr:uid="{CBFD3F32-3BB7-B545-9073-2BF4A3435DA6}"/>
    <hyperlink ref="C129" r:id="rId10" xr:uid="{FC141C75-C4F5-264C-A92A-7115FAAB29EA}"/>
    <hyperlink ref="C143" r:id="rId11" xr:uid="{9D369350-DB69-8E46-94F6-5055E6B54C76}"/>
    <hyperlink ref="C148" r:id="rId12" xr:uid="{DB28B0AE-FF8B-A840-AAA4-380994F3B22D}"/>
    <hyperlink ref="C156" r:id="rId13" xr:uid="{0F252224-46DD-7745-A25E-3B5D45494B63}"/>
    <hyperlink ref="C161" r:id="rId14" xr:uid="{D2711D8A-EA21-864A-BBB1-3E82857A18B4}"/>
    <hyperlink ref="C166" r:id="rId15" xr:uid="{53BA60B9-119C-3A49-B8D2-7392EB0454F6}"/>
    <hyperlink ref="C173" r:id="rId16" xr:uid="{4921A460-AAB3-F449-B2F9-594CC863FCBE}"/>
    <hyperlink ref="C188" r:id="rId17" xr:uid="{55C7BB2C-E7B9-9542-A7BE-4CD1CA2F9D97}"/>
    <hyperlink ref="C193" r:id="rId18" xr:uid="{001AFC96-6836-AC48-BE1B-015F7EF6F2AA}"/>
    <hyperlink ref="C203" r:id="rId19" xr:uid="{84FA73E1-8BBB-8F4A-814B-3941956AA976}"/>
    <hyperlink ref="C213" r:id="rId20" xr:uid="{D62C7EDC-4D15-8E4C-B505-24DE858A0EBF}"/>
    <hyperlink ref="C227" r:id="rId21" xr:uid="{71E545A1-8F52-E542-8968-83E137108761}"/>
    <hyperlink ref="C232" r:id="rId22" xr:uid="{BE4DEE62-4C1F-B547-AE60-5230CF8A687E}"/>
    <hyperlink ref="C237" r:id="rId23" xr:uid="{DEF1A8DB-22CC-FD4A-9493-1285B6E1C9B1}"/>
    <hyperlink ref="C250" r:id="rId24" xr:uid="{64D9C310-A77D-D64B-A936-ABBD8230951C}"/>
    <hyperlink ref="C255" r:id="rId25" xr:uid="{97DA62D7-453B-5749-A28E-982D47ECABD6}"/>
    <hyperlink ref="C265" r:id="rId26" xr:uid="{A3106F92-9575-6749-B74E-46E6FB6EAFBB}"/>
    <hyperlink ref="C276" r:id="rId27" xr:uid="{9B4D9D80-1ABC-A546-923D-41B609CDA3F9}"/>
    <hyperlink ref="C302" r:id="rId28" xr:uid="{CA873526-34CA-E541-86CE-1B6475ADA85D}"/>
    <hyperlink ref="C307" r:id="rId29" xr:uid="{624C364F-59C4-744F-BD02-99D301C468A2}"/>
    <hyperlink ref="C312" r:id="rId30" xr:uid="{441A96A4-8C43-D049-A0AD-16158FFFE185}"/>
    <hyperlink ref="C332" r:id="rId31" xr:uid="{490DA465-0DCD-4E4B-94F5-631E9ADE0F3D}"/>
    <hyperlink ref="C347" r:id="rId32" xr:uid="{DB323438-D249-5A49-B731-2378BC9FA88E}"/>
    <hyperlink ref="C377" r:id="rId33" xr:uid="{74118A2A-EDC6-B74D-9779-622F05AD974E}"/>
    <hyperlink ref="C382" r:id="rId34" xr:uid="{C0754A95-0EDA-3F47-9998-BD644EA24E7E}"/>
    <hyperlink ref="C387" r:id="rId35" xr:uid="{234E3B29-1FB2-D145-B370-86FA4B7C7E10}"/>
    <hyperlink ref="C397" r:id="rId36" xr:uid="{107BD621-960A-004C-9E7C-DB7C80EF2543}"/>
    <hyperlink ref="C441" r:id="rId37" xr:uid="{F64A3319-9323-194C-911B-8AFDE0437185}"/>
    <hyperlink ref="C453" r:id="rId38" xr:uid="{64E00EB1-1578-554B-8D05-504C6536257A}"/>
    <hyperlink ref="C468" r:id="rId39" xr:uid="{151CB9DC-88A2-E84B-8E47-E5887DD69482}"/>
    <hyperlink ref="C473" r:id="rId40" xr:uid="{145A48B6-0C94-0C4D-9CB3-17002EF9F7C2}"/>
    <hyperlink ref="C478" r:id="rId41" xr:uid="{F9BD52B9-2FF8-4A4A-836F-A2F9EC890C8C}"/>
    <hyperlink ref="C483" r:id="rId42" xr:uid="{4AC01902-6873-8341-892F-A9F03DAC0CE1}"/>
    <hyperlink ref="C488" r:id="rId43" xr:uid="{CE408303-9F2B-BC4E-954E-D4E27A248A4C}"/>
    <hyperlink ref="C498" r:id="rId44" xr:uid="{B4B82F8B-77CB-EC49-9449-AF7D11C7D77A}"/>
    <hyperlink ref="C503" r:id="rId45" xr:uid="{6238C12B-3D0F-A247-A429-1BD98C1C999E}"/>
    <hyperlink ref="C508" r:id="rId46" xr:uid="{E8CF55BE-13BD-9448-8666-B8C5BF4315AD}"/>
    <hyperlink ref="C518" r:id="rId47" xr:uid="{07C2808B-0F71-4446-A5E7-3606CBAF8A60}"/>
    <hyperlink ref="C523" r:id="rId48" xr:uid="{87B97A29-9C24-B54B-B795-B305FC927103}"/>
    <hyperlink ref="C538" r:id="rId49" xr:uid="{E62E0618-EF10-C94C-9C18-0B341434295F}"/>
    <hyperlink ref="C587" r:id="rId50" xr:uid="{B9A8F326-BE8F-7348-B604-61F073E9C465}"/>
    <hyperlink ref="C592" r:id="rId51" xr:uid="{FABCD6E5-E5ED-F34E-B936-6F8623DD6A44}"/>
    <hyperlink ref="C655" r:id="rId52" xr:uid="{67BB5F40-92B8-7D45-8557-B58D5BA61AE8}"/>
    <hyperlink ref="C665" r:id="rId53" xr:uid="{55CA27B6-10BD-A043-A850-26A299DE8E0D}"/>
    <hyperlink ref="C463" r:id="rId54" xr:uid="{D12565CB-7450-9445-B520-EA7B0BF91F55}"/>
    <hyperlink ref="C618" r:id="rId55" xr:uid="{917EA985-93AC-0B48-898D-D402E3914EC2}"/>
    <hyperlink ref="C543" r:id="rId56" xr:uid="{4FD52FAC-536C-7F48-B970-915B92D1F5C1}"/>
    <hyperlink ref="C623" r:id="rId57" xr:uid="{4526F574-931F-6140-9B5C-6BBC4A8B81BB}"/>
    <hyperlink ref="C628" r:id="rId58" xr:uid="{A6430DA0-F65C-484F-88F8-BF763E4D1F91}"/>
    <hyperlink ref="C367" r:id="rId59" xr:uid="{3723AF2D-6B65-1E49-BC66-2B4923DFCD40}"/>
    <hyperlink ref="C581" r:id="rId60" xr:uid="{536FB5F1-D47B-ED49-862E-0121BBD8B45F}"/>
    <hyperlink ref="C582" r:id="rId61" xr:uid="{DA687346-3813-0B4E-A1D3-C2B3CFAB989F}"/>
    <hyperlink ref="C649" r:id="rId62" xr:uid="{1A13592D-1DA4-A646-A6FC-0B096797BBCD}"/>
    <hyperlink ref="C178" r:id="rId63" xr:uid="{291AB511-09AF-A644-B835-BE4CCBBC1715}"/>
    <hyperlink ref="C198" r:id="rId64" xr:uid="{DEA3FBE9-E6D4-2647-806E-CF3FB75D17AD}"/>
    <hyperlink ref="C1212" r:id="rId65" xr:uid="{E00505D5-F40E-4DBD-AB73-7F6F159AA4ED}"/>
    <hyperlink ref="C31" r:id="rId66" xr:uid="{89F08FFE-DE20-4AF2-A218-7743BED737C2}"/>
    <hyperlink ref="C77" r:id="rId67" xr:uid="{CA671E33-CF5A-4115-A427-35A362FCCD24}"/>
    <hyperlink ref="C327" r:id="rId68" xr:uid="{7024F25A-C120-43B5-ACA3-7F263295CF0C}"/>
    <hyperlink ref="C442" r:id="rId69" xr:uid="{EA8AC199-90F7-42FB-89BF-4DE6127D41D4}"/>
    <hyperlink ref="C443" r:id="rId70" xr:uid="{65AB148F-63E1-4735-8071-D70EAD1DA258}"/>
    <hyperlink ref="C260" r:id="rId71" xr:uid="{5A3C4F96-1629-48E0-9131-1BC5086704AF}"/>
    <hyperlink ref="C731" r:id="rId72" xr:uid="{6811CAE8-3DC0-491E-930C-2FBFC6DC667E}"/>
    <hyperlink ref="C431" r:id="rId73" xr:uid="{11488EAE-F7CE-4AEE-AA70-68A286350988}"/>
    <hyperlink ref="C458" r:id="rId74" xr:uid="{05604071-EB76-484B-A569-38D4F6A39C67}"/>
    <hyperlink ref="C342" r:id="rId75" xr:uid="{32FA19B3-4BD1-4921-891C-BFBEF07E18A5}"/>
    <hyperlink ref="C281" r:id="rId76" xr:uid="{ADADCFB8-1208-9744-962C-82C8A9A7377A}"/>
    <hyperlink ref="C282" r:id="rId77" xr:uid="{CBC4AD32-B586-1F4F-86F9-6A31D20D8381}"/>
    <hyperlink ref="C134" r:id="rId78" xr:uid="{639ED53F-F913-EC4D-9DB7-770CF9661CC0}"/>
    <hyperlink ref="C725" r:id="rId79" xr:uid="{223C24C1-8518-EE48-AC6A-288F7E1B83E0}"/>
    <hyperlink ref="C322" r:id="rId80" xr:uid="{DE7EC465-D657-4E41-A5CC-93D0BCA95324}"/>
    <hyperlink ref="C548" r:id="rId81" xr:uid="{ED366585-3A3D-7346-A65E-A9B3D02834A8}"/>
    <hyperlink ref="C448" r:id="rId82" xr:uid="{18654478-0D0C-8842-BE0E-437CBF8AFD77}"/>
    <hyperlink ref="C357" r:id="rId83" xr:uid="{CD1244A2-804C-B944-A1B0-0C69F62D6108}"/>
    <hyperlink ref="C411" r:id="rId84" xr:uid="{F1B57C5A-C8A9-A04F-AE55-4D347484E7EB}"/>
    <hyperlink ref="C426" r:id="rId85" xr:uid="{1F2FE78E-63B6-7C4E-BB5C-4EAB4AF77990}"/>
    <hyperlink ref="C208" r:id="rId86" xr:uid="{82C06C91-90FF-9F41-9336-936407792C93}"/>
    <hyperlink ref="C287" r:id="rId87" xr:uid="{DD1F29DF-462A-A742-BF7D-15BEAAB17914}"/>
    <hyperlink ref="C392" r:id="rId88" xr:uid="{C5BFB832-F8B6-BB43-9A0A-A8F8B5A11382}"/>
    <hyperlink ref="C352" r:id="rId89" xr:uid="{53AD7263-0A0D-054E-8CC6-76D5FEE38853}"/>
    <hyperlink ref="C124" r:id="rId90" xr:uid="{5E8CF3C7-A434-D442-B2AB-4A08239FE60F}"/>
    <hyperlink ref="C1425" r:id="rId91" xr:uid="{FD3A88B9-DCDA-DE46-823F-1C8C4FA63047}"/>
    <hyperlink ref="C1342" r:id="rId92" xr:uid="{6B8CE6ED-0CF5-274B-9202-E5DE0FDDF19F}"/>
    <hyperlink ref="C1332" r:id="rId93" xr:uid="{D4229FD7-D012-F445-BEAE-0E9830BBAE3C}"/>
    <hyperlink ref="C1368" r:id="rId94" xr:uid="{848943F4-B5B0-254B-8526-9B8024478CD4}"/>
    <hyperlink ref="C1132" r:id="rId95" xr:uid="{8364F52D-63E0-5D4D-AC64-F23BDC88A271}"/>
    <hyperlink ref="C1202" r:id="rId96" xr:uid="{F4579EE8-FBB1-994E-9CE0-694DA8BA1467}"/>
    <hyperlink ref="C1049" r:id="rId97" xr:uid="{A8315BA0-DA63-0447-A866-D629B6FF396D}"/>
    <hyperlink ref="C1292" r:id="rId98" display="https://www.researchgate.net/publication/369233842_It_Takes_One_to_Tango_but_More_Make_Trouble_In-Context_Training_with_Different_Number_of_Demonstrations/fulltext/64113655a1b72772e4fad48c/It-Takes-One-to-Tango-but-More-Make-Trouble-In-Context-Training-with-Different-Number-of-Demonstrations.pdf" xr:uid="{2E82D625-D6CD-CB49-A502-988B8A9F2146}"/>
    <hyperlink ref="C1388" r:id="rId99" xr:uid="{459C5803-8A3E-0248-9040-073A526ADCB5}"/>
    <hyperlink ref="C1378" r:id="rId100" xr:uid="{6DBE0C48-C83E-3247-A142-2AD22FC2B571}"/>
    <hyperlink ref="C1347" r:id="rId101" xr:uid="{6346ED4F-C020-8F4F-9240-42870E4CC312}"/>
    <hyperlink ref="C1282" r:id="rId102" xr:uid="{B8CBDEC6-78EF-CC40-A230-504D56DF37EF}"/>
    <hyperlink ref="C1383" r:id="rId103" xr:uid="{D44B7B09-1E9E-F943-A454-FB76278C19A1}"/>
    <hyperlink ref="C1322" r:id="rId104" xr:uid="{3437F2CA-3229-3A41-A172-155769FA8B9B}"/>
    <hyperlink ref="C1327" r:id="rId105" xr:uid="{A07B1319-1110-104C-B6AC-BEB3D9CFB59B}"/>
    <hyperlink ref="C1393" r:id="rId106" xr:uid="{FBE0AFCB-98D4-F244-BF2A-52D26821FDA2}"/>
    <hyperlink ref="C705" r:id="rId107" xr:uid="{C1AB0838-840B-EB49-897B-672317863763}"/>
    <hyperlink ref="C1182" r:id="rId108" xr:uid="{5AC661D7-40AC-CD4A-B2CA-66D593B08369}"/>
    <hyperlink ref="C1222" r:id="rId109" xr:uid="{0F31D9BA-EBE8-764B-89B2-D7795DBE12B5}"/>
    <hyperlink ref="C1111" r:id="rId110" xr:uid="{A28D4F07-2086-8740-9EA9-F36012461027}"/>
    <hyperlink ref="C1217" r:id="rId111" xr:uid="{1BB8A6E5-880E-FC40-82F9-96418351263C}"/>
    <hyperlink ref="C1137" r:id="rId112" xr:uid="{4710B20A-B72D-014B-9C36-A29AAB374F99}"/>
    <hyperlink ref="C1101" r:id="rId113" xr:uid="{398C5A1B-5016-F841-96C3-A007F235A204}"/>
    <hyperlink ref="C1106" r:id="rId114" xr:uid="{D5EA6BA0-00E2-CA46-84B0-1BA2676A5577}"/>
    <hyperlink ref="C1076" r:id="rId115" xr:uid="{24B38ADB-2F1D-6041-8EFD-171C81721B89}"/>
    <hyperlink ref="C1024" r:id="rId116" xr:uid="{C48F5C24-6186-4B44-87F5-44704A9A47F8}"/>
    <hyperlink ref="C994" r:id="rId117" xr:uid="{ED91056C-FC46-8F4D-A37F-F4D146E21FB6}"/>
    <hyperlink ref="C1086" r:id="rId118" xr:uid="{E45377B3-F7CC-954F-ABBA-56BA64B5F00A}"/>
    <hyperlink ref="C1312" r:id="rId119" xr:uid="{4D488C27-ABC3-5C43-98D9-F258CEE285DD}"/>
    <hyperlink ref="C1197" r:id="rId120" xr:uid="{B49ECAEC-1371-4C44-842A-883BA8FD979B}"/>
    <hyperlink ref="C999" r:id="rId121" xr:uid="{B70D436A-91F9-7F4C-9FB5-97B56F762046}"/>
    <hyperlink ref="C1287" r:id="rId122" xr:uid="{3EA52B20-EB32-1F44-85BF-7ACA5503940A}"/>
    <hyperlink ref="C1413" r:id="rId123" xr:uid="{2BC94F57-CB8B-394C-81A2-FD1F5C5BB1ED}"/>
    <hyperlink ref="C1432" r:id="rId124" xr:uid="{94BD3665-0A67-9E47-9AB0-0105F746D88B}"/>
    <hyperlink ref="C1127" r:id="rId125" xr:uid="{687CDDCB-B9C2-244D-9919-61B2AF29A13C}"/>
    <hyperlink ref="C1297" r:id="rId126" xr:uid="{30B2DE27-E41B-C940-AE01-A926134BB4EE}"/>
    <hyperlink ref="C1172" r:id="rId127" xr:uid="{1CA3892F-EF26-8740-B4B4-62E365669BBE}"/>
    <hyperlink ref="C1307" r:id="rId128" xr:uid="{C117FE5E-2A01-2444-8D1F-35D90924DE9E}"/>
    <hyperlink ref="C1272" r:id="rId129" xr:uid="{F77B7F2B-2C51-944C-813A-B2DA6A20792E}"/>
    <hyperlink ref="C1373" r:id="rId130" xr:uid="{11C1F7AD-4FDB-744A-ABA8-B018C8906111}"/>
    <hyperlink ref="C938" r:id="rId131" xr:uid="{B15520CA-4185-CB4C-89B8-4D949917A183}"/>
    <hyperlink ref="C1187" r:id="rId132" xr:uid="{EA406DEA-E0ED-074A-91CB-C1203C307DFA}"/>
    <hyperlink ref="C1317" r:id="rId133" xr:uid="{E3A88A94-4F47-7E4E-ADA4-27E6BD39FD0A}"/>
    <hyperlink ref="C1302" r:id="rId134" xr:uid="{B3D732C6-5B85-9A41-9F8B-B7AAF3FDD9C6}"/>
    <hyperlink ref="C1398" r:id="rId135" xr:uid="{78DE8049-9434-2F4D-97B4-16015EC9530F}"/>
    <hyperlink ref="C1352" r:id="rId136" xr:uid="{535DA2C1-0506-4449-9FAD-E4C40D9E8C66}"/>
    <hyperlink ref="C114" r:id="rId137" xr:uid="{A907CC2A-87CD-3F44-B6E2-27037C94590A}"/>
    <hyperlink ref="C109" r:id="rId138" xr:uid="{8B35B1CB-E9B8-2040-A71B-3470B083E186}"/>
    <hyperlink ref="C104" r:id="rId139" xr:uid="{2D92E463-29CE-8F4F-8C1C-A83A92DA433A}"/>
    <hyperlink ref="C99" r:id="rId140" xr:uid="{84F643BF-475E-3345-9BD7-6D224BC9B250}"/>
    <hyperlink ref="C1207" r:id="rId141" xr:uid="{24BFF3F9-2387-524E-AB0E-5F470D6365C3}"/>
    <hyperlink ref="C977" r:id="rId142" xr:uid="{042FE013-CF2B-CE42-ABB4-15B99A6B9363}"/>
    <hyperlink ref="C892" r:id="rId143" xr:uid="{C1684F16-449C-1147-AFE0-A1C265DBB091}"/>
    <hyperlink ref="C1014" r:id="rId144" xr:uid="{ED20EC49-23B8-7040-935C-3014A2B81E14}"/>
    <hyperlink ref="C989" r:id="rId145" xr:uid="{10CA8F4D-9ECF-A744-BECA-1685B1AB99D9}"/>
    <hyperlink ref="C1039" r:id="rId146" xr:uid="{4FC9E964-2E34-034F-A061-186E0686B89A}"/>
    <hyperlink ref="C1177" r:id="rId147" xr:uid="{58D2BF0D-7D35-0347-BA2F-F21DD26EF245}"/>
    <hyperlink ref="C1337" r:id="rId148" xr:uid="{A78F8154-E694-864F-80F7-8D6BEEECFF97}"/>
    <hyperlink ref="C755" r:id="rId149" xr:uid="{5DDCEA16-A553-6A43-87F3-5FC5F066C47D}"/>
    <hyperlink ref="C821" r:id="rId150" xr:uid="{6A0FADF9-9BD2-164D-94BA-365B731ADE49}"/>
    <hyperlink ref="C801" r:id="rId151" xr:uid="{978BA8F3-1444-3E4B-BE00-AE74D0D5582A}"/>
    <hyperlink ref="C897" r:id="rId152" xr:uid="{49888EEA-3B1A-0140-96C5-690251E6C5E0}"/>
    <hyperlink ref="C933" r:id="rId153" xr:uid="{4B7DC938-89CA-D24A-99A6-F056355AC28C}"/>
    <hyperlink ref="C292" r:id="rId154" xr:uid="{A6AB49EC-C853-8E43-AC83-13264131B9E6}"/>
    <hyperlink ref="C372" r:id="rId155" xr:uid="{0DA2D259-E8B9-1642-A6B7-BEDC6A3524D9}"/>
    <hyperlink ref="C317" r:id="rId156" xr:uid="{FF72C67F-6A07-6B4D-8F20-100981002352}"/>
    <hyperlink ref="C603" r:id="rId157" xr:uid="{B2708534-5303-0A41-B0B5-F1BF8F0A62C6}"/>
    <hyperlink ref="C218" r:id="rId158" xr:uid="{2592557F-D039-DF4A-973E-07004F899910}"/>
    <hyperlink ref="C775" r:id="rId159" xr:uid="{D7095D0E-BAD1-7845-8886-384C59ADE628}"/>
    <hyperlink ref="C493" r:id="rId160" xr:uid="{C104D5D3-358A-A346-B2CE-F0DC4B3C0C37}"/>
    <hyperlink ref="C806" r:id="rId161" xr:uid="{3645FC3D-7BEA-9848-83E1-6DE28178915F}"/>
    <hyperlink ref="C922" r:id="rId162" xr:uid="{DF09463B-3680-FF4D-A465-ABBFF7027DFE}"/>
    <hyperlink ref="C337" r:id="rId163" xr:uid="{86091610-67C0-404D-A113-CD46C571741F}"/>
    <hyperlink ref="C770" r:id="rId164" xr:uid="{35DFFD4B-DB5F-024A-A86F-D9D2B85A1B1B}"/>
    <hyperlink ref="C613" r:id="rId165" xr:uid="{A8C1EB7E-D523-1547-BAEC-05C75022D12E}"/>
    <hyperlink ref="C297" r:id="rId166" xr:uid="{93331A00-6AD9-F447-AA6B-695E4E0412F6}"/>
    <hyperlink ref="C917" r:id="rId167" xr:uid="{1ACD323B-BE15-0E47-925C-A7C1CB8C7A12}"/>
    <hyperlink ref="C685" r:id="rId168" xr:uid="{54BAA312-4125-524E-B162-272DC6185E93}"/>
    <hyperlink ref="C670" r:id="rId169" xr:uid="{139E0F7A-E67C-3146-8FB4-D6324881A5EC}"/>
    <hyperlink ref="C695" r:id="rId170" xr:uid="{FB3BA88C-004A-FA4B-84C5-B23AE7F0730D}"/>
    <hyperlink ref="C887" r:id="rId171" xr:uid="{81E8AA09-A7AD-884E-8F45-9AE7A9B7EE0E}"/>
    <hyperlink ref="C811" r:id="rId172" xr:uid="{4D7EF12A-A14C-D549-A845-E3C95D74EE11}"/>
    <hyperlink ref="C816" r:id="rId173" xr:uid="{F504FE09-1464-D642-9E72-8D3955B3BE57}"/>
    <hyperlink ref="C780" r:id="rId174" xr:uid="{213E5DD9-5109-7545-92D8-093C641EEA62}"/>
    <hyperlink ref="C608" r:id="rId175" xr:uid="{A8AAB371-7B3E-2E4C-A0FF-3CAEED3A7367}"/>
    <hyperlink ref="C533" r:id="rId176" xr:uid="{6A91C4FB-4827-4D4C-A306-775B7483DF4C}"/>
    <hyperlink ref="C421" r:id="rId177" xr:uid="{0A02BC9C-06D0-334D-BE77-EE87867E6EA8}"/>
    <hyperlink ref="C912" r:id="rId178" xr:uid="{D3D085BD-5467-3445-84DC-04A369C49760}"/>
    <hyperlink ref="C791" r:id="rId179" xr:uid="{AD674261-FA3C-074A-9606-0A06F0B54254}"/>
    <hyperlink ref="C700" r:id="rId180" xr:uid="{7B790A06-4D85-074B-8F33-E36B2FAB398A}"/>
    <hyperlink ref="C362" r:id="rId181" xr:uid="{8E27422B-ECA1-1942-8061-1FC69A4A4795}"/>
    <hyperlink ref="C690" r:id="rId182" xr:uid="{F6B7FF9C-CB7B-AA47-91EF-B8B5CB597BE9}"/>
    <hyperlink ref="C513" r:id="rId183" xr:uid="{999F5062-5B85-1946-93B9-71B27DBDEF33}"/>
    <hyperlink ref="C796" r:id="rId184" xr:uid="{79577B2F-7DC5-7D4F-A3DB-D2B7FC73D409}"/>
    <hyperlink ref="C872" r:id="rId185" xr:uid="{7CD16CBE-4073-3D4D-B26F-86C1312ECD81}"/>
    <hyperlink ref="C867" r:id="rId186" xr:uid="{06DFC529-20F3-0C47-9A6B-C1F5BF084E7A}"/>
    <hyperlink ref="C877" r:id="rId187" xr:uid="{24F1F46F-FB9A-A04D-AC97-927B36BD78F6}"/>
    <hyperlink ref="C83" r:id="rId188" xr:uid="{9AD10541-9D41-4F4B-96CE-1C01C9E69EEE}"/>
    <hyperlink ref="C65" r:id="rId189" xr:uid="{217D77AF-1E78-470D-A0E7-3A03600EE61B}"/>
    <hyperlink ref="C72" r:id="rId190" xr:uid="{76BEEA39-1E29-45B1-B52D-CECEB31AAA62}"/>
    <hyperlink ref="C675" r:id="rId191" xr:uid="{CBD53DDD-37B9-8E4B-A139-AF94D73CEA3F}"/>
    <hyperlink ref="C1442" r:id="rId192" xr:uid="{37A8F447-6BC7-1945-BA30-5FD11C3EF162}"/>
    <hyperlink ref="C1408" r:id="rId193" xr:uid="{91FCD7EE-B584-2445-8438-4B264AF527FF}"/>
    <hyperlink ref="C1116" r:id="rId194" xr:uid="{E7E029FA-E246-DC45-9423-FE9C219B9FF6}"/>
    <hyperlink ref="C1060" r:id="rId195" xr:uid="{94C5AB1E-C5BD-8E4B-8051-235C18C32950}"/>
    <hyperlink ref="C1122" r:id="rId196" xr:uid="{A8419877-C611-8D4A-BBAC-0DCB61AD2E04}"/>
    <hyperlink ref="C826" r:id="rId197" xr:uid="{2895A439-8BD3-6941-BFBF-4E4D73315913}"/>
    <hyperlink ref="C882" r:id="rId198" xr:uid="{12424E96-7C3A-1F45-90F4-6972A8D53CC7}"/>
    <hyperlink ref="C1457" r:id="rId199" xr:uid="{2A88F843-EE3B-448D-8DD1-4AE71F7DEF7A}"/>
    <hyperlink ref="C1142" r:id="rId200" xr:uid="{D92504A6-7841-A447-B0C7-89094F91D2BD}"/>
    <hyperlink ref="C1232" r:id="rId201" xr:uid="{CEC1ED5B-0285-874F-B9CD-BF23E1D72CE6}"/>
    <hyperlink ref="C1452" r:id="rId202" xr:uid="{B582ECA0-462A-AD47-9572-1216679AB03C}"/>
    <hyperlink ref="C1469" r:id="rId203" xr:uid="{CD014168-9752-4842-9AF0-00EDAC4BFEFF}"/>
    <hyperlink ref="C982" r:id="rId204" xr:uid="{AF9F50D5-65B3-154F-95A8-2A09E00B907E}"/>
    <hyperlink ref="C680" r:id="rId205" xr:uid="{47CBECC9-83B1-254A-8417-84BA7966A077}"/>
    <hyperlink ref="C927" r:id="rId206" xr:uid="{8ED097C3-28CB-4C42-857C-607721DA02CB}"/>
    <hyperlink ref="C760" r:id="rId207" xr:uid="{A8023D5D-75F7-074D-9FC7-5E7D9CD5922F}"/>
    <hyperlink ref="C765" r:id="rId208" xr:uid="{EA330794-966E-9D4D-8792-5F50FD7AFCB1}"/>
    <hyperlink ref="C953" r:id="rId209" xr:uid="{B016AB63-CD97-2744-9581-E2948EF08A4B}"/>
    <hyperlink ref="C1475" r:id="rId210" xr:uid="{EFECEAEC-8A63-B143-825D-0B3C26492365}"/>
    <hyperlink ref="C1242" r:id="rId211" xr:uid="{62AF07AF-ED89-9B4D-8E30-1F017BF6D15A}"/>
    <hyperlink ref="C1463" r:id="rId212" xr:uid="{78FFC3C9-FA7D-F346-8386-17511B4ECCAD}"/>
    <hyperlink ref="C1252" r:id="rId213" xr:uid="{FC069C9F-E2B5-A247-BB83-2739EC749BFC}"/>
    <hyperlink ref="C1403" r:id="rId214" xr:uid="{D099E65E-E9AA-024A-85E0-102AFA37AEB2}"/>
    <hyperlink ref="C1277" r:id="rId215" xr:uid="{4EE7C65F-4AB2-8946-AFB0-A803767D01CE}"/>
    <hyperlink ref="C836" r:id="rId216" xr:uid="{DB7E90D6-DCD8-1242-902A-86D613E06DDC}"/>
    <hyperlink ref="C750" r:id="rId217" xr:uid="{1766A53C-8283-0746-A8CB-46F6D2A7EDDF}"/>
    <hyperlink ref="C958" r:id="rId218" xr:uid="{DE7E4991-DA42-7A4F-BE50-816DC25C818F}"/>
    <hyperlink ref="C968" r:id="rId219" xr:uid="{7FED1C18-28F2-6442-AF8A-47241D210D60}"/>
    <hyperlink ref="C902" r:id="rId220" xr:uid="{79E366AC-2ADD-B242-9B51-7AF6CA2D5793}"/>
    <hyperlink ref="C972" r:id="rId221" xr:uid="{A457C371-AA1D-9B4E-8F17-D0A7DC71B922}"/>
    <hyperlink ref="C1437" r:id="rId222" xr:uid="{F7732B80-EF95-DB49-B728-7D897F0336AC}"/>
    <hyperlink ref="C1481" r:id="rId223" xr:uid="{D05CF79B-F27D-3749-B753-365BCFBB22F0}"/>
    <hyperlink ref="C1257" r:id="rId224" xr:uid="{186888D9-4AF9-A540-875E-716BAC5572AF}"/>
    <hyperlink ref="C1492" r:id="rId225" xr:uid="{8461FF6B-1527-2445-8971-27D338D2AF09}"/>
  </hyperlinks>
  <pageMargins left="0.7" right="0.7" top="0.75" bottom="0.75" header="0.3" footer="0.3"/>
  <pageSetup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6C737F-B895-419B-BE90-4273A91F1E46}">
  <dimension ref="A1:I5507"/>
  <sheetViews>
    <sheetView zoomScale="175" zoomScaleNormal="175" workbookViewId="0">
      <pane xSplit="2" ySplit="2" topLeftCell="C6" activePane="bottomRight" state="frozen"/>
      <selection pane="topRight" activeCell="C1" sqref="C1"/>
      <selection pane="bottomLeft" activeCell="A3" sqref="A3"/>
      <selection pane="bottomRight" activeCell="E30" sqref="E30"/>
    </sheetView>
  </sheetViews>
  <sheetFormatPr baseColWidth="10" defaultColWidth="9" defaultRowHeight="13"/>
  <cols>
    <col min="1" max="1" width="4.33203125" style="406" bestFit="1" customWidth="1"/>
    <col min="2" max="2" width="6.33203125" style="406" customWidth="1"/>
    <col min="3" max="3" width="6.83203125" style="407" customWidth="1"/>
    <col min="4" max="4" width="9" style="407"/>
    <col min="5" max="5" width="21.6640625" style="406" customWidth="1"/>
    <col min="6" max="6" width="3.1640625" style="406" customWidth="1"/>
    <col min="7" max="7" width="6.5" style="406" bestFit="1" customWidth="1"/>
    <col min="8" max="16384" width="9" style="406"/>
  </cols>
  <sheetData>
    <row r="1" spans="1:8">
      <c r="A1" s="25" t="s">
        <v>1165</v>
      </c>
    </row>
    <row r="2" spans="1:8">
      <c r="B2" s="406" t="s">
        <v>9828</v>
      </c>
      <c r="C2" s="407" t="s">
        <v>9830</v>
      </c>
      <c r="D2" s="407" t="s">
        <v>1156</v>
      </c>
      <c r="E2" s="406" t="s">
        <v>6560</v>
      </c>
      <c r="F2" s="406" t="s">
        <v>10051</v>
      </c>
      <c r="G2" s="445" t="s">
        <v>5667</v>
      </c>
      <c r="H2" s="406" t="s">
        <v>6994</v>
      </c>
    </row>
    <row r="3" spans="1:8">
      <c r="B3" s="407">
        <v>2410</v>
      </c>
      <c r="C3" s="407">
        <v>19735</v>
      </c>
      <c r="D3" s="408">
        <v>45590</v>
      </c>
      <c r="E3" s="504" t="s">
        <v>15519</v>
      </c>
      <c r="G3" s="445"/>
    </row>
    <row r="4" spans="1:8">
      <c r="B4" s="407">
        <v>2410</v>
      </c>
      <c r="C4" s="407">
        <v>19733</v>
      </c>
      <c r="D4" s="408">
        <v>45590</v>
      </c>
      <c r="E4" s="504" t="s">
        <v>15520</v>
      </c>
      <c r="G4" s="445"/>
    </row>
    <row r="5" spans="1:8">
      <c r="B5" s="407">
        <v>2410</v>
      </c>
      <c r="C5" s="407">
        <v>19732</v>
      </c>
      <c r="D5" s="408">
        <v>45590</v>
      </c>
      <c r="E5" s="504" t="s">
        <v>15521</v>
      </c>
      <c r="G5" s="445"/>
    </row>
    <row r="6" spans="1:8">
      <c r="B6" s="407">
        <v>2410</v>
      </c>
      <c r="C6" s="407">
        <v>19730</v>
      </c>
      <c r="D6" s="408">
        <v>45590</v>
      </c>
      <c r="E6" s="504" t="s">
        <v>15522</v>
      </c>
      <c r="G6" s="445"/>
    </row>
    <row r="7" spans="1:8">
      <c r="B7" s="407">
        <v>2410</v>
      </c>
      <c r="C7" s="407">
        <v>19727</v>
      </c>
      <c r="D7" s="408">
        <v>45590</v>
      </c>
      <c r="E7" s="504" t="s">
        <v>15523</v>
      </c>
      <c r="G7" s="445"/>
    </row>
    <row r="8" spans="1:8">
      <c r="B8" s="407">
        <v>2410</v>
      </c>
      <c r="C8" s="407">
        <v>19725</v>
      </c>
      <c r="D8" s="408">
        <v>45590</v>
      </c>
      <c r="E8" s="504" t="s">
        <v>15524</v>
      </c>
      <c r="G8" s="445"/>
    </row>
    <row r="9" spans="1:8">
      <c r="B9" s="407">
        <v>2410</v>
      </c>
      <c r="C9" s="407">
        <v>19723</v>
      </c>
      <c r="D9" s="408">
        <v>45590</v>
      </c>
      <c r="E9" s="505" t="s">
        <v>15525</v>
      </c>
      <c r="G9" s="445"/>
    </row>
    <row r="10" spans="1:8">
      <c r="B10" s="407">
        <v>2410</v>
      </c>
      <c r="C10" s="407">
        <v>19722</v>
      </c>
      <c r="D10" s="408">
        <v>45590</v>
      </c>
      <c r="E10" s="505" t="s">
        <v>15526</v>
      </c>
      <c r="G10" s="445"/>
    </row>
    <row r="11" spans="1:8">
      <c r="B11" s="407">
        <v>2410</v>
      </c>
      <c r="C11" s="407">
        <v>19720</v>
      </c>
      <c r="D11" s="408">
        <v>45590</v>
      </c>
      <c r="E11" s="504" t="s">
        <v>15527</v>
      </c>
      <c r="G11" s="445"/>
    </row>
    <row r="12" spans="1:8">
      <c r="B12" s="407">
        <v>2410</v>
      </c>
      <c r="C12" s="407">
        <v>19719</v>
      </c>
      <c r="D12" s="408">
        <v>45590</v>
      </c>
      <c r="E12" s="505" t="s">
        <v>15528</v>
      </c>
      <c r="G12" s="445"/>
    </row>
    <row r="13" spans="1:8">
      <c r="B13" s="407">
        <v>2410</v>
      </c>
      <c r="C13" s="407">
        <v>19718</v>
      </c>
      <c r="D13" s="408">
        <v>45590</v>
      </c>
      <c r="E13" s="505" t="s">
        <v>15529</v>
      </c>
      <c r="G13" s="445"/>
    </row>
    <row r="14" spans="1:8">
      <c r="B14" s="407">
        <v>2410</v>
      </c>
      <c r="C14" s="407">
        <v>19717</v>
      </c>
      <c r="D14" s="408">
        <v>45590</v>
      </c>
      <c r="E14" s="504" t="s">
        <v>15530</v>
      </c>
      <c r="G14" s="445"/>
    </row>
    <row r="15" spans="1:8">
      <c r="B15" s="407">
        <v>2410</v>
      </c>
      <c r="C15" s="407">
        <v>19715</v>
      </c>
      <c r="D15" s="408">
        <v>45590</v>
      </c>
      <c r="E15" s="504" t="s">
        <v>15531</v>
      </c>
      <c r="G15" s="445"/>
    </row>
    <row r="16" spans="1:8">
      <c r="B16" s="407">
        <v>2410</v>
      </c>
      <c r="C16" s="407">
        <v>19712</v>
      </c>
      <c r="D16" s="408">
        <v>45590</v>
      </c>
      <c r="E16" s="504" t="s">
        <v>15532</v>
      </c>
      <c r="G16" s="445"/>
    </row>
    <row r="17" spans="2:7">
      <c r="B17" s="407">
        <v>2410</v>
      </c>
      <c r="C17" s="407">
        <v>19706</v>
      </c>
      <c r="D17" s="408">
        <v>45590</v>
      </c>
      <c r="E17" s="504" t="s">
        <v>15533</v>
      </c>
      <c r="G17" s="445"/>
    </row>
    <row r="18" spans="2:7">
      <c r="B18" s="407">
        <v>2410</v>
      </c>
      <c r="C18" s="407">
        <v>19705</v>
      </c>
      <c r="D18" s="408">
        <v>45590</v>
      </c>
      <c r="E18" s="504" t="s">
        <v>15534</v>
      </c>
      <c r="G18" s="445"/>
    </row>
    <row r="19" spans="2:7">
      <c r="B19" s="407">
        <v>2410</v>
      </c>
      <c r="C19" s="407">
        <v>19704</v>
      </c>
      <c r="D19" s="408">
        <v>45590</v>
      </c>
      <c r="E19" s="504" t="s">
        <v>15535</v>
      </c>
      <c r="G19" s="445"/>
    </row>
    <row r="20" spans="2:7">
      <c r="B20" s="407">
        <v>2410</v>
      </c>
      <c r="C20" s="407">
        <v>19702</v>
      </c>
      <c r="D20" s="408">
        <v>45590</v>
      </c>
      <c r="E20" s="505" t="s">
        <v>15536</v>
      </c>
      <c r="G20" s="445"/>
    </row>
    <row r="21" spans="2:7">
      <c r="B21" s="407">
        <v>2410</v>
      </c>
      <c r="C21" s="407">
        <v>19697</v>
      </c>
      <c r="D21" s="408">
        <v>45590</v>
      </c>
      <c r="E21" s="504" t="s">
        <v>15537</v>
      </c>
      <c r="G21" s="445"/>
    </row>
    <row r="22" spans="2:7">
      <c r="B22" s="407">
        <v>2410</v>
      </c>
      <c r="C22" s="407">
        <v>19694</v>
      </c>
      <c r="D22" s="408">
        <v>45590</v>
      </c>
      <c r="E22" s="504" t="s">
        <v>15538</v>
      </c>
      <c r="G22" s="445"/>
    </row>
    <row r="23" spans="2:7">
      <c r="B23" s="407">
        <v>2410</v>
      </c>
      <c r="C23" s="407">
        <v>19693</v>
      </c>
      <c r="D23" s="408">
        <v>45590</v>
      </c>
      <c r="E23" s="504" t="s">
        <v>15539</v>
      </c>
      <c r="G23" s="445"/>
    </row>
    <row r="24" spans="2:7">
      <c r="B24" s="407">
        <v>2410</v>
      </c>
      <c r="C24" s="407">
        <v>19692</v>
      </c>
      <c r="D24" s="408">
        <v>45590</v>
      </c>
      <c r="E24" s="504" t="s">
        <v>15540</v>
      </c>
      <c r="G24" s="445"/>
    </row>
    <row r="25" spans="2:7">
      <c r="B25" s="407">
        <v>2410</v>
      </c>
      <c r="C25" s="407">
        <v>19690</v>
      </c>
      <c r="D25" s="408">
        <v>45590</v>
      </c>
      <c r="E25" s="505" t="s">
        <v>15541</v>
      </c>
      <c r="G25" s="445"/>
    </row>
    <row r="26" spans="2:7">
      <c r="B26" s="407">
        <v>2410</v>
      </c>
      <c r="C26" s="407">
        <v>19681</v>
      </c>
      <c r="D26" s="408">
        <v>45590</v>
      </c>
      <c r="E26" s="504" t="s">
        <v>15542</v>
      </c>
      <c r="G26" s="445"/>
    </row>
    <row r="27" spans="2:7">
      <c r="B27" s="407">
        <v>2410</v>
      </c>
      <c r="C27" s="407">
        <v>19657</v>
      </c>
      <c r="D27" s="408">
        <v>45590</v>
      </c>
      <c r="E27" s="504" t="s">
        <v>15543</v>
      </c>
      <c r="G27" s="445"/>
    </row>
    <row r="28" spans="2:7">
      <c r="B28" s="407">
        <v>2410</v>
      </c>
      <c r="C28" s="407">
        <v>19646</v>
      </c>
      <c r="D28" s="408">
        <v>45590</v>
      </c>
      <c r="E28" s="505" t="s">
        <v>15544</v>
      </c>
      <c r="G28" s="445"/>
    </row>
    <row r="29" spans="2:7">
      <c r="B29" s="407">
        <v>2410</v>
      </c>
      <c r="C29" s="407">
        <v>19643</v>
      </c>
      <c r="D29" s="408">
        <v>45590</v>
      </c>
      <c r="E29" s="505" t="s">
        <v>15545</v>
      </c>
      <c r="G29" s="445"/>
    </row>
    <row r="30" spans="2:7">
      <c r="B30" s="407">
        <v>2410</v>
      </c>
      <c r="C30" s="407">
        <v>19639</v>
      </c>
      <c r="D30" s="408">
        <v>45590</v>
      </c>
      <c r="E30" s="505"/>
      <c r="G30" s="445"/>
    </row>
    <row r="31" spans="2:7">
      <c r="B31" s="407">
        <v>2410</v>
      </c>
      <c r="D31" s="408">
        <v>45590</v>
      </c>
      <c r="E31" s="505"/>
      <c r="G31" s="445"/>
    </row>
    <row r="32" spans="2:7">
      <c r="B32" s="407">
        <v>2410</v>
      </c>
      <c r="D32" s="408">
        <v>45590</v>
      </c>
      <c r="E32" s="505"/>
      <c r="G32" s="445"/>
    </row>
    <row r="33" spans="2:7">
      <c r="B33" s="407">
        <v>2410</v>
      </c>
      <c r="D33" s="408">
        <v>45590</v>
      </c>
      <c r="E33" s="505"/>
      <c r="G33" s="445"/>
    </row>
    <row r="34" spans="2:7">
      <c r="B34" s="407">
        <v>2410</v>
      </c>
      <c r="D34" s="408">
        <v>45590</v>
      </c>
      <c r="E34" s="505"/>
      <c r="G34" s="445"/>
    </row>
    <row r="35" spans="2:7">
      <c r="B35" s="407">
        <v>2410</v>
      </c>
      <c r="D35" s="408">
        <v>45590</v>
      </c>
      <c r="E35" s="504"/>
      <c r="G35" s="445"/>
    </row>
    <row r="36" spans="2:7">
      <c r="B36" s="407">
        <v>2409</v>
      </c>
      <c r="C36" s="407">
        <v>10516</v>
      </c>
      <c r="D36" s="408">
        <v>45552</v>
      </c>
      <c r="E36" s="502" t="s">
        <v>15464</v>
      </c>
      <c r="G36" s="445"/>
    </row>
    <row r="37" spans="2:7">
      <c r="B37" s="407">
        <v>2409</v>
      </c>
      <c r="C37" s="407">
        <v>10515</v>
      </c>
      <c r="D37" s="408">
        <v>45552</v>
      </c>
      <c r="E37" s="502" t="s">
        <v>15465</v>
      </c>
      <c r="G37" s="445"/>
    </row>
    <row r="38" spans="2:7">
      <c r="B38" s="407">
        <v>2409</v>
      </c>
      <c r="C38" s="407">
        <v>10509</v>
      </c>
      <c r="D38" s="408">
        <v>45552</v>
      </c>
      <c r="E38" s="503" t="s">
        <v>15466</v>
      </c>
      <c r="G38" s="445"/>
    </row>
    <row r="39" spans="2:7">
      <c r="B39" s="407">
        <v>2409</v>
      </c>
      <c r="C39" s="407">
        <v>10506</v>
      </c>
      <c r="D39" s="408">
        <v>45552</v>
      </c>
      <c r="E39" s="503" t="s">
        <v>15467</v>
      </c>
      <c r="G39" s="445"/>
    </row>
    <row r="40" spans="2:7">
      <c r="B40" s="407">
        <v>2409</v>
      </c>
      <c r="C40" s="407">
        <v>10504</v>
      </c>
      <c r="D40" s="408">
        <v>45552</v>
      </c>
      <c r="E40" s="503" t="s">
        <v>15468</v>
      </c>
      <c r="G40" s="445"/>
    </row>
    <row r="41" spans="2:7">
      <c r="B41" s="407">
        <v>2409</v>
      </c>
      <c r="C41" s="407">
        <v>10502</v>
      </c>
      <c r="D41" s="408">
        <v>45552</v>
      </c>
      <c r="E41" s="502" t="s">
        <v>15469</v>
      </c>
      <c r="G41" s="445"/>
    </row>
    <row r="42" spans="2:7">
      <c r="B42" s="407">
        <v>2409</v>
      </c>
      <c r="C42" s="407">
        <v>10499</v>
      </c>
      <c r="D42" s="408">
        <v>45552</v>
      </c>
      <c r="E42" s="503" t="s">
        <v>15470</v>
      </c>
      <c r="G42" s="445"/>
    </row>
    <row r="43" spans="2:7">
      <c r="B43" s="407">
        <v>2409</v>
      </c>
      <c r="C43" s="407">
        <v>10496</v>
      </c>
      <c r="D43" s="408">
        <v>45552</v>
      </c>
      <c r="E43" s="502" t="s">
        <v>15471</v>
      </c>
      <c r="G43" s="445"/>
    </row>
    <row r="44" spans="2:7">
      <c r="B44" s="407">
        <v>2409</v>
      </c>
      <c r="C44" s="407">
        <v>10494</v>
      </c>
      <c r="D44" s="408">
        <v>45552</v>
      </c>
      <c r="E44" s="502" t="s">
        <v>15472</v>
      </c>
      <c r="G44" s="445"/>
    </row>
    <row r="45" spans="2:7">
      <c r="B45" s="407">
        <v>2409</v>
      </c>
      <c r="C45" s="407">
        <v>10489</v>
      </c>
      <c r="D45" s="408">
        <v>45552</v>
      </c>
      <c r="E45" s="502" t="s">
        <v>15473</v>
      </c>
      <c r="G45" s="445"/>
    </row>
    <row r="46" spans="2:7">
      <c r="B46" s="407">
        <v>2409</v>
      </c>
      <c r="C46" s="407">
        <v>10488</v>
      </c>
      <c r="D46" s="408">
        <v>45552</v>
      </c>
      <c r="E46" s="503" t="s">
        <v>15474</v>
      </c>
      <c r="G46" s="445"/>
    </row>
    <row r="47" spans="2:7">
      <c r="B47" s="407">
        <v>2409</v>
      </c>
      <c r="C47" s="407">
        <v>10482</v>
      </c>
      <c r="D47" s="408">
        <v>45552</v>
      </c>
      <c r="E47" s="503" t="s">
        <v>15475</v>
      </c>
      <c r="G47" s="445"/>
    </row>
    <row r="48" spans="2:7">
      <c r="B48" s="407">
        <v>2409</v>
      </c>
      <c r="C48" s="407">
        <v>10481</v>
      </c>
      <c r="D48" s="408">
        <v>45552</v>
      </c>
      <c r="E48" s="503" t="s">
        <v>15476</v>
      </c>
      <c r="G48" s="445"/>
    </row>
    <row r="49" spans="2:7">
      <c r="B49" s="407">
        <v>2409</v>
      </c>
      <c r="C49" s="407">
        <v>10476</v>
      </c>
      <c r="D49" s="408">
        <v>45552</v>
      </c>
      <c r="E49" s="503" t="s">
        <v>15477</v>
      </c>
      <c r="G49" s="445"/>
    </row>
    <row r="50" spans="2:7">
      <c r="B50" s="407">
        <v>2409</v>
      </c>
      <c r="C50" s="407">
        <v>10473</v>
      </c>
      <c r="D50" s="408">
        <v>45552</v>
      </c>
      <c r="E50" s="503" t="s">
        <v>15478</v>
      </c>
      <c r="G50" s="445"/>
    </row>
    <row r="51" spans="2:7">
      <c r="B51" s="407">
        <v>2409</v>
      </c>
      <c r="C51" s="407">
        <v>10463</v>
      </c>
      <c r="D51" s="408">
        <v>45552</v>
      </c>
      <c r="E51" s="503" t="s">
        <v>15479</v>
      </c>
      <c r="G51" s="445"/>
    </row>
    <row r="52" spans="2:7">
      <c r="B52" s="407">
        <v>2409</v>
      </c>
      <c r="C52" s="407">
        <v>10452</v>
      </c>
      <c r="D52" s="408">
        <v>45552</v>
      </c>
      <c r="E52" s="503" t="s">
        <v>15480</v>
      </c>
      <c r="G52" s="445"/>
    </row>
    <row r="53" spans="2:7">
      <c r="B53" s="407">
        <v>2409</v>
      </c>
      <c r="C53" s="407">
        <v>10450</v>
      </c>
      <c r="D53" s="408">
        <v>45552</v>
      </c>
      <c r="E53" s="503" t="s">
        <v>15481</v>
      </c>
      <c r="G53" s="445"/>
    </row>
    <row r="54" spans="2:7">
      <c r="B54" s="407">
        <v>2409</v>
      </c>
      <c r="C54" s="407">
        <v>10446</v>
      </c>
      <c r="D54" s="408">
        <v>45552</v>
      </c>
      <c r="E54" s="503" t="s">
        <v>15482</v>
      </c>
      <c r="G54" s="445"/>
    </row>
    <row r="55" spans="2:7">
      <c r="B55" s="407">
        <v>2409</v>
      </c>
      <c r="C55" s="407">
        <v>10445</v>
      </c>
      <c r="D55" s="408">
        <v>45552</v>
      </c>
      <c r="E55" s="503" t="s">
        <v>15483</v>
      </c>
      <c r="G55" s="445"/>
    </row>
    <row r="56" spans="2:7">
      <c r="B56" s="407">
        <v>2409</v>
      </c>
      <c r="C56" s="407">
        <v>10432</v>
      </c>
      <c r="D56" s="408">
        <v>45552</v>
      </c>
      <c r="E56" s="503" t="s">
        <v>15484</v>
      </c>
      <c r="G56" s="445"/>
    </row>
    <row r="57" spans="2:7">
      <c r="B57" s="407">
        <v>2409</v>
      </c>
      <c r="C57" s="407">
        <v>10429</v>
      </c>
      <c r="D57" s="408">
        <v>45552</v>
      </c>
      <c r="E57" s="503" t="s">
        <v>15485</v>
      </c>
      <c r="G57" s="445"/>
    </row>
    <row r="58" spans="2:7">
      <c r="B58" s="407">
        <v>2409</v>
      </c>
      <c r="C58" s="407">
        <v>10422</v>
      </c>
      <c r="D58" s="408">
        <v>45552</v>
      </c>
      <c r="E58" s="503" t="s">
        <v>15486</v>
      </c>
      <c r="G58" s="445"/>
    </row>
    <row r="59" spans="2:7">
      <c r="B59" s="407">
        <v>2409</v>
      </c>
      <c r="C59" s="407">
        <v>10403</v>
      </c>
      <c r="D59" s="408">
        <v>45552</v>
      </c>
      <c r="E59" s="503" t="s">
        <v>15487</v>
      </c>
      <c r="G59" s="445"/>
    </row>
    <row r="60" spans="2:7">
      <c r="B60" s="407">
        <v>2409</v>
      </c>
      <c r="C60" s="407">
        <v>10394</v>
      </c>
      <c r="D60" s="408">
        <v>45552</v>
      </c>
      <c r="E60" s="503" t="s">
        <v>15488</v>
      </c>
      <c r="G60" s="445"/>
    </row>
    <row r="61" spans="2:7">
      <c r="B61" s="407">
        <v>2409</v>
      </c>
      <c r="C61" s="407">
        <v>10389</v>
      </c>
      <c r="D61" s="408">
        <v>45552</v>
      </c>
      <c r="E61" s="503" t="s">
        <v>15489</v>
      </c>
      <c r="G61" s="445"/>
    </row>
    <row r="62" spans="2:7">
      <c r="B62" s="407">
        <v>2409</v>
      </c>
      <c r="C62" s="407">
        <v>10388</v>
      </c>
      <c r="D62" s="408">
        <v>45552</v>
      </c>
      <c r="E62" s="503" t="s">
        <v>15490</v>
      </c>
      <c r="G62" s="445"/>
    </row>
    <row r="63" spans="2:7">
      <c r="B63" s="407">
        <v>2409</v>
      </c>
      <c r="C63" s="407">
        <v>10385</v>
      </c>
      <c r="D63" s="408">
        <v>45552</v>
      </c>
      <c r="E63" s="503" t="s">
        <v>15491</v>
      </c>
      <c r="G63" s="445"/>
    </row>
    <row r="64" spans="2:7" s="49" customFormat="1">
      <c r="B64" s="409">
        <v>2409</v>
      </c>
      <c r="C64" s="409">
        <v>10376</v>
      </c>
      <c r="D64" s="410">
        <v>45552</v>
      </c>
      <c r="E64" s="424" t="s">
        <v>15492</v>
      </c>
    </row>
    <row r="65" spans="2:7">
      <c r="B65" s="407">
        <v>2409</v>
      </c>
      <c r="C65" s="407">
        <v>10370</v>
      </c>
      <c r="D65" s="408">
        <v>45552</v>
      </c>
      <c r="E65" s="503" t="s">
        <v>15493</v>
      </c>
      <c r="G65" s="445"/>
    </row>
    <row r="66" spans="2:7">
      <c r="B66" s="407">
        <v>2409</v>
      </c>
      <c r="C66" s="407">
        <v>10365</v>
      </c>
      <c r="D66" s="408">
        <v>45552</v>
      </c>
      <c r="E66" s="503" t="s">
        <v>15494</v>
      </c>
      <c r="G66" s="445"/>
    </row>
    <row r="67" spans="2:7">
      <c r="B67" s="407">
        <v>2409</v>
      </c>
      <c r="C67" s="407">
        <v>10362</v>
      </c>
      <c r="D67" s="408">
        <v>45552</v>
      </c>
      <c r="E67" s="503" t="s">
        <v>15495</v>
      </c>
      <c r="G67" s="445"/>
    </row>
    <row r="68" spans="2:7">
      <c r="B68" s="407">
        <v>2409</v>
      </c>
      <c r="C68" s="407">
        <v>10358</v>
      </c>
      <c r="D68" s="408">
        <v>45552</v>
      </c>
      <c r="E68" s="503" t="s">
        <v>15496</v>
      </c>
      <c r="G68" s="445"/>
    </row>
    <row r="69" spans="2:7">
      <c r="B69" s="407">
        <v>2409</v>
      </c>
      <c r="C69" s="407">
        <v>10357</v>
      </c>
      <c r="D69" s="408">
        <v>45552</v>
      </c>
      <c r="E69" s="503" t="s">
        <v>15497</v>
      </c>
      <c r="G69" s="445"/>
    </row>
    <row r="70" spans="2:7">
      <c r="B70" s="407">
        <v>2409</v>
      </c>
      <c r="C70" s="407">
        <v>10354</v>
      </c>
      <c r="D70" s="408">
        <v>45552</v>
      </c>
      <c r="E70" s="503" t="s">
        <v>15498</v>
      </c>
      <c r="G70" s="445"/>
    </row>
    <row r="71" spans="2:7">
      <c r="B71" s="407">
        <v>2409</v>
      </c>
      <c r="C71" s="407">
        <v>10353</v>
      </c>
      <c r="D71" s="408">
        <v>45552</v>
      </c>
      <c r="E71" s="503" t="s">
        <v>15499</v>
      </c>
      <c r="G71" s="445"/>
    </row>
    <row r="72" spans="2:7">
      <c r="B72" s="407">
        <v>2409</v>
      </c>
      <c r="C72" s="407">
        <v>10343</v>
      </c>
      <c r="D72" s="408">
        <v>45552</v>
      </c>
      <c r="E72" s="503" t="s">
        <v>15500</v>
      </c>
      <c r="G72" s="445"/>
    </row>
    <row r="73" spans="2:7">
      <c r="B73" s="407">
        <v>2409</v>
      </c>
      <c r="C73" s="407">
        <v>10339</v>
      </c>
      <c r="D73" s="408">
        <v>45552</v>
      </c>
      <c r="E73" s="503" t="s">
        <v>15501</v>
      </c>
      <c r="G73" s="445"/>
    </row>
    <row r="74" spans="2:7">
      <c r="B74" s="407">
        <v>2409</v>
      </c>
      <c r="C74" s="407">
        <v>10338</v>
      </c>
      <c r="D74" s="408">
        <v>45552</v>
      </c>
      <c r="E74" s="503" t="s">
        <v>15502</v>
      </c>
      <c r="G74" s="445"/>
    </row>
    <row r="75" spans="2:7">
      <c r="B75" s="407">
        <v>2409</v>
      </c>
      <c r="C75" s="407">
        <v>10335</v>
      </c>
      <c r="D75" s="408">
        <v>45552</v>
      </c>
      <c r="E75" s="503" t="s">
        <v>15503</v>
      </c>
      <c r="G75" s="445"/>
    </row>
    <row r="76" spans="2:7">
      <c r="B76" s="407">
        <v>2409</v>
      </c>
      <c r="C76" s="407">
        <v>10331</v>
      </c>
      <c r="D76" s="408">
        <v>45552</v>
      </c>
      <c r="E76" s="503" t="s">
        <v>15504</v>
      </c>
      <c r="G76" s="445"/>
    </row>
    <row r="77" spans="2:7">
      <c r="B77" s="407">
        <v>2409</v>
      </c>
      <c r="C77" s="407">
        <v>10328</v>
      </c>
      <c r="D77" s="408">
        <v>45552</v>
      </c>
      <c r="E77" s="503" t="s">
        <v>15505</v>
      </c>
      <c r="G77" s="445"/>
    </row>
    <row r="78" spans="2:7">
      <c r="B78" s="407">
        <v>2409</v>
      </c>
      <c r="C78" s="407">
        <v>10327</v>
      </c>
      <c r="D78" s="408">
        <v>45552</v>
      </c>
      <c r="E78" s="503" t="s">
        <v>15506</v>
      </c>
      <c r="G78" s="445"/>
    </row>
    <row r="79" spans="2:7">
      <c r="B79" s="407">
        <v>2409</v>
      </c>
      <c r="C79" s="407">
        <v>10325</v>
      </c>
      <c r="D79" s="408">
        <v>45552</v>
      </c>
      <c r="E79" s="503" t="s">
        <v>15507</v>
      </c>
      <c r="G79" s="445"/>
    </row>
    <row r="80" spans="2:7">
      <c r="B80" s="407">
        <v>2409</v>
      </c>
      <c r="C80" s="407">
        <v>10304</v>
      </c>
      <c r="D80" s="408">
        <v>45552</v>
      </c>
      <c r="E80" s="503" t="s">
        <v>15508</v>
      </c>
      <c r="G80" s="445"/>
    </row>
    <row r="81" spans="2:7">
      <c r="B81" s="407">
        <v>2409</v>
      </c>
      <c r="C81" s="407">
        <v>10297</v>
      </c>
      <c r="D81" s="408">
        <v>45552</v>
      </c>
      <c r="E81" s="503" t="s">
        <v>15509</v>
      </c>
      <c r="G81" s="445"/>
    </row>
    <row r="82" spans="2:7">
      <c r="B82" s="407">
        <v>2409</v>
      </c>
      <c r="C82" s="407">
        <v>10294</v>
      </c>
      <c r="D82" s="408">
        <v>45552</v>
      </c>
      <c r="E82" s="503" t="s">
        <v>15510</v>
      </c>
      <c r="G82" s="445"/>
    </row>
    <row r="83" spans="2:7">
      <c r="B83" s="407">
        <v>2409</v>
      </c>
      <c r="C83" s="407">
        <v>10293</v>
      </c>
      <c r="D83" s="408">
        <v>45552</v>
      </c>
      <c r="E83" s="503" t="s">
        <v>15511</v>
      </c>
      <c r="G83" s="445"/>
    </row>
    <row r="84" spans="2:7">
      <c r="B84" s="407">
        <v>2409</v>
      </c>
      <c r="C84" s="407">
        <v>10291</v>
      </c>
      <c r="D84" s="408">
        <v>45552</v>
      </c>
      <c r="E84" s="503" t="s">
        <v>15512</v>
      </c>
      <c r="G84" s="445"/>
    </row>
    <row r="85" spans="2:7">
      <c r="B85" s="407">
        <v>2409</v>
      </c>
      <c r="C85" s="407">
        <v>10290</v>
      </c>
      <c r="D85" s="408">
        <v>45552</v>
      </c>
      <c r="E85" s="503" t="s">
        <v>15513</v>
      </c>
      <c r="G85" s="445"/>
    </row>
    <row r="86" spans="2:7">
      <c r="B86" s="407">
        <v>2409</v>
      </c>
      <c r="C86" s="407">
        <v>10289</v>
      </c>
      <c r="D86" s="408">
        <v>45552</v>
      </c>
      <c r="E86" s="503" t="s">
        <v>15514</v>
      </c>
      <c r="G86" s="445"/>
    </row>
    <row r="87" spans="2:7">
      <c r="B87" s="407">
        <v>2409</v>
      </c>
      <c r="C87" s="407">
        <v>10286</v>
      </c>
      <c r="D87" s="408">
        <v>45552</v>
      </c>
      <c r="E87" s="503" t="s">
        <v>15515</v>
      </c>
      <c r="G87" s="445"/>
    </row>
    <row r="88" spans="2:7">
      <c r="B88" s="407">
        <v>2409</v>
      </c>
      <c r="C88" s="407">
        <v>10281</v>
      </c>
      <c r="D88" s="408">
        <v>45552</v>
      </c>
      <c r="E88" s="503" t="s">
        <v>15516</v>
      </c>
      <c r="G88" s="445"/>
    </row>
    <row r="89" spans="2:7">
      <c r="B89" s="407">
        <v>2409</v>
      </c>
      <c r="C89" s="407">
        <v>10277</v>
      </c>
      <c r="D89" s="408">
        <v>45552</v>
      </c>
      <c r="E89" s="503" t="s">
        <v>15517</v>
      </c>
      <c r="G89" s="445"/>
    </row>
    <row r="90" spans="2:7">
      <c r="B90" s="407">
        <v>2409</v>
      </c>
      <c r="C90" s="407">
        <v>10267</v>
      </c>
      <c r="D90" s="408">
        <v>45552</v>
      </c>
      <c r="E90" s="503" t="s">
        <v>15518</v>
      </c>
      <c r="G90" s="445"/>
    </row>
    <row r="91" spans="2:7">
      <c r="B91" s="407">
        <v>2409</v>
      </c>
      <c r="D91" s="408">
        <v>45552</v>
      </c>
      <c r="E91" s="503"/>
      <c r="G91" s="445"/>
    </row>
    <row r="92" spans="2:7">
      <c r="B92" s="407">
        <v>2409</v>
      </c>
      <c r="D92" s="408">
        <v>45552</v>
      </c>
      <c r="E92" s="503"/>
      <c r="G92" s="445"/>
    </row>
    <row r="93" spans="2:7">
      <c r="B93" s="407">
        <v>2409</v>
      </c>
      <c r="D93" s="408">
        <v>45552</v>
      </c>
      <c r="E93" s="503"/>
      <c r="G93" s="445"/>
    </row>
    <row r="94" spans="2:7">
      <c r="B94" s="407">
        <v>2409</v>
      </c>
      <c r="C94" s="407">
        <v>7456</v>
      </c>
      <c r="D94" s="408">
        <v>45547</v>
      </c>
      <c r="E94" s="496" t="s">
        <v>15367</v>
      </c>
      <c r="G94" s="445"/>
    </row>
    <row r="95" spans="2:7">
      <c r="B95" s="407">
        <v>2409</v>
      </c>
      <c r="C95" s="407">
        <v>7454</v>
      </c>
      <c r="D95" s="408">
        <v>45547</v>
      </c>
      <c r="E95" s="496" t="s">
        <v>15368</v>
      </c>
      <c r="G95" s="445"/>
    </row>
    <row r="96" spans="2:7">
      <c r="B96" s="407">
        <v>2409</v>
      </c>
      <c r="C96" s="407">
        <v>7453</v>
      </c>
      <c r="D96" s="408">
        <v>45547</v>
      </c>
      <c r="E96" s="496" t="s">
        <v>15369</v>
      </c>
      <c r="G96" s="445"/>
    </row>
    <row r="97" spans="1:7">
      <c r="B97" s="407">
        <v>2409</v>
      </c>
      <c r="C97" s="407">
        <v>7452</v>
      </c>
      <c r="D97" s="408">
        <v>45547</v>
      </c>
      <c r="E97" s="496" t="s">
        <v>15370</v>
      </c>
      <c r="G97" s="445"/>
    </row>
    <row r="98" spans="1:7">
      <c r="B98" s="407">
        <v>2409</v>
      </c>
      <c r="C98" s="407">
        <v>7451</v>
      </c>
      <c r="D98" s="408">
        <v>45547</v>
      </c>
      <c r="E98" s="496" t="s">
        <v>15371</v>
      </c>
      <c r="G98" s="445"/>
    </row>
    <row r="99" spans="1:7">
      <c r="B99" s="407">
        <v>2409</v>
      </c>
      <c r="C99" s="407">
        <v>7450</v>
      </c>
      <c r="D99" s="408">
        <v>45547</v>
      </c>
      <c r="E99" s="496" t="s">
        <v>15372</v>
      </c>
      <c r="G99" s="445"/>
    </row>
    <row r="100" spans="1:7">
      <c r="B100" s="407">
        <v>2409</v>
      </c>
      <c r="C100" s="407">
        <v>7447</v>
      </c>
      <c r="D100" s="408">
        <v>45547</v>
      </c>
      <c r="E100" s="496" t="s">
        <v>15373</v>
      </c>
      <c r="G100" s="445"/>
    </row>
    <row r="101" spans="1:7">
      <c r="B101" s="407">
        <v>2409</v>
      </c>
      <c r="C101" s="407">
        <v>7440</v>
      </c>
      <c r="D101" s="408">
        <v>45547</v>
      </c>
      <c r="E101" s="496" t="s">
        <v>15374</v>
      </c>
      <c r="G101" s="445"/>
    </row>
    <row r="102" spans="1:7">
      <c r="B102" s="407">
        <v>2409</v>
      </c>
      <c r="C102" s="407">
        <v>7437</v>
      </c>
      <c r="D102" s="408">
        <v>45547</v>
      </c>
      <c r="E102" s="496" t="s">
        <v>15375</v>
      </c>
      <c r="G102" s="445"/>
    </row>
    <row r="103" spans="1:7">
      <c r="B103" s="407">
        <v>2409</v>
      </c>
      <c r="C103" s="407">
        <v>7434</v>
      </c>
      <c r="D103" s="408">
        <v>45547</v>
      </c>
      <c r="E103" s="496" t="s">
        <v>15376</v>
      </c>
      <c r="G103" s="445"/>
    </row>
    <row r="104" spans="1:7">
      <c r="B104" s="407">
        <v>2409</v>
      </c>
      <c r="C104" s="407">
        <v>7431</v>
      </c>
      <c r="D104" s="408">
        <v>45547</v>
      </c>
      <c r="E104" s="496" t="s">
        <v>15377</v>
      </c>
      <c r="G104" s="445"/>
    </row>
    <row r="105" spans="1:7">
      <c r="B105" s="407">
        <v>2409</v>
      </c>
      <c r="C105" s="407">
        <v>7429</v>
      </c>
      <c r="D105" s="408">
        <v>45547</v>
      </c>
      <c r="E105" s="496" t="s">
        <v>15378</v>
      </c>
      <c r="G105" s="445"/>
    </row>
    <row r="106" spans="1:7">
      <c r="B106" s="407">
        <v>2409</v>
      </c>
      <c r="C106" s="407">
        <v>7426</v>
      </c>
      <c r="D106" s="408">
        <v>45547</v>
      </c>
      <c r="E106" s="496" t="s">
        <v>15379</v>
      </c>
      <c r="G106" s="445"/>
    </row>
    <row r="107" spans="1:7">
      <c r="A107" s="49"/>
      <c r="B107" s="409">
        <v>2409</v>
      </c>
      <c r="C107" s="409">
        <v>7422</v>
      </c>
      <c r="D107" s="410">
        <v>45547</v>
      </c>
      <c r="E107" s="424" t="s">
        <v>15380</v>
      </c>
      <c r="G107" s="445"/>
    </row>
    <row r="108" spans="1:7">
      <c r="B108" s="407">
        <v>2409</v>
      </c>
      <c r="C108" s="407">
        <v>7417</v>
      </c>
      <c r="D108" s="408">
        <v>45547</v>
      </c>
      <c r="E108" s="496" t="s">
        <v>15381</v>
      </c>
      <c r="G108" s="445"/>
    </row>
    <row r="109" spans="1:7">
      <c r="B109" s="407">
        <v>2409</v>
      </c>
      <c r="C109" s="407">
        <v>7414</v>
      </c>
      <c r="D109" s="408">
        <v>45547</v>
      </c>
      <c r="E109" s="496" t="s">
        <v>15382</v>
      </c>
      <c r="G109" s="445"/>
    </row>
    <row r="110" spans="1:7">
      <c r="B110" s="407">
        <v>2409</v>
      </c>
      <c r="C110" s="407">
        <v>7402</v>
      </c>
      <c r="D110" s="408">
        <v>45547</v>
      </c>
      <c r="E110" s="496" t="s">
        <v>15383</v>
      </c>
      <c r="G110" s="445"/>
    </row>
    <row r="111" spans="1:7">
      <c r="B111" s="407">
        <v>2409</v>
      </c>
      <c r="C111" s="407">
        <v>7401</v>
      </c>
      <c r="D111" s="408">
        <v>45547</v>
      </c>
      <c r="E111" s="496" t="s">
        <v>15384</v>
      </c>
      <c r="G111" s="445"/>
    </row>
    <row r="112" spans="1:7">
      <c r="B112" s="407">
        <v>2409</v>
      </c>
      <c r="C112" s="407">
        <v>7394</v>
      </c>
      <c r="D112" s="408">
        <v>45547</v>
      </c>
      <c r="E112" s="496" t="s">
        <v>15385</v>
      </c>
      <c r="G112" s="445"/>
    </row>
    <row r="113" spans="2:7">
      <c r="B113" s="407">
        <v>2409</v>
      </c>
      <c r="C113" s="407">
        <v>7392</v>
      </c>
      <c r="D113" s="408">
        <v>45547</v>
      </c>
      <c r="E113" s="496" t="s">
        <v>15386</v>
      </c>
      <c r="G113" s="445"/>
    </row>
    <row r="114" spans="2:7">
      <c r="B114" s="407">
        <v>2409</v>
      </c>
      <c r="C114" s="407">
        <v>7388</v>
      </c>
      <c r="D114" s="408">
        <v>45547</v>
      </c>
      <c r="E114" s="496" t="s">
        <v>15387</v>
      </c>
      <c r="G114" s="445"/>
    </row>
    <row r="115" spans="2:7">
      <c r="B115" s="407">
        <v>2409</v>
      </c>
      <c r="C115" s="407">
        <v>7387</v>
      </c>
      <c r="D115" s="408">
        <v>45547</v>
      </c>
      <c r="E115" s="496" t="s">
        <v>15388</v>
      </c>
      <c r="G115" s="445"/>
    </row>
    <row r="116" spans="2:7">
      <c r="B116" s="407">
        <v>2409</v>
      </c>
      <c r="C116" s="407">
        <v>7379</v>
      </c>
      <c r="D116" s="408">
        <v>45547</v>
      </c>
      <c r="E116" s="496" t="s">
        <v>15389</v>
      </c>
      <c r="G116" s="445"/>
    </row>
    <row r="117" spans="2:7">
      <c r="B117" s="407">
        <v>2409</v>
      </c>
      <c r="C117" s="407">
        <v>7372</v>
      </c>
      <c r="D117" s="408">
        <v>45547</v>
      </c>
      <c r="E117" s="496" t="s">
        <v>15390</v>
      </c>
      <c r="G117" s="445"/>
    </row>
    <row r="118" spans="2:7">
      <c r="B118" s="407">
        <v>2409</v>
      </c>
      <c r="C118" s="407">
        <v>7367</v>
      </c>
      <c r="D118" s="408">
        <v>45547</v>
      </c>
      <c r="E118" s="496" t="s">
        <v>15391</v>
      </c>
      <c r="G118" s="445"/>
    </row>
    <row r="119" spans="2:7">
      <c r="B119" s="407">
        <v>2409</v>
      </c>
      <c r="C119" s="407">
        <v>7361</v>
      </c>
      <c r="D119" s="408">
        <v>45547</v>
      </c>
      <c r="E119" s="496" t="s">
        <v>15392</v>
      </c>
      <c r="G119" s="445"/>
    </row>
    <row r="120" spans="2:7">
      <c r="B120" s="407">
        <v>2409</v>
      </c>
      <c r="C120" s="407">
        <v>7359</v>
      </c>
      <c r="D120" s="408">
        <v>45547</v>
      </c>
      <c r="E120" s="496" t="s">
        <v>15393</v>
      </c>
      <c r="G120" s="445"/>
    </row>
    <row r="121" spans="2:7">
      <c r="B121" s="407">
        <v>2409</v>
      </c>
      <c r="C121" s="407">
        <v>7355</v>
      </c>
      <c r="D121" s="408">
        <v>45547</v>
      </c>
      <c r="E121" s="496" t="s">
        <v>15394</v>
      </c>
      <c r="G121" s="445"/>
    </row>
    <row r="122" spans="2:7">
      <c r="B122" s="407">
        <v>2409</v>
      </c>
      <c r="C122" s="407">
        <v>7347</v>
      </c>
      <c r="D122" s="408">
        <v>45547</v>
      </c>
      <c r="E122" s="496" t="s">
        <v>15395</v>
      </c>
      <c r="G122" s="445"/>
    </row>
    <row r="123" spans="2:7">
      <c r="B123" s="409">
        <v>2409</v>
      </c>
      <c r="C123" s="409">
        <v>7326</v>
      </c>
      <c r="D123" s="410">
        <v>45547</v>
      </c>
      <c r="E123" s="424" t="s">
        <v>15396</v>
      </c>
      <c r="G123" s="445"/>
    </row>
    <row r="124" spans="2:7">
      <c r="B124" s="409">
        <v>2409</v>
      </c>
      <c r="C124" s="409">
        <v>7322</v>
      </c>
      <c r="D124" s="410">
        <v>45547</v>
      </c>
      <c r="E124" s="424" t="s">
        <v>15397</v>
      </c>
      <c r="G124" s="445"/>
    </row>
    <row r="125" spans="2:7">
      <c r="B125" s="409">
        <v>2409</v>
      </c>
      <c r="C125" s="409">
        <v>7315</v>
      </c>
      <c r="D125" s="410">
        <v>45547</v>
      </c>
      <c r="E125" s="424" t="s">
        <v>15398</v>
      </c>
      <c r="G125" s="445"/>
    </row>
    <row r="126" spans="2:7">
      <c r="B126" s="409">
        <v>2409</v>
      </c>
      <c r="C126" s="409">
        <v>7314</v>
      </c>
      <c r="D126" s="410">
        <v>45547</v>
      </c>
      <c r="E126" s="424" t="s">
        <v>15399</v>
      </c>
      <c r="G126" s="445"/>
    </row>
    <row r="127" spans="2:7">
      <c r="B127" s="407">
        <v>2409</v>
      </c>
      <c r="C127" s="407">
        <v>7310</v>
      </c>
      <c r="D127" s="408">
        <v>45547</v>
      </c>
      <c r="E127" s="496" t="s">
        <v>15400</v>
      </c>
      <c r="G127" s="445"/>
    </row>
    <row r="128" spans="2:7">
      <c r="B128" s="407">
        <v>2409</v>
      </c>
      <c r="C128" s="407">
        <v>7308</v>
      </c>
      <c r="D128" s="408">
        <v>45547</v>
      </c>
      <c r="E128" s="496" t="s">
        <v>15401</v>
      </c>
      <c r="G128" s="445"/>
    </row>
    <row r="129" spans="2:7">
      <c r="B129" s="407">
        <v>2409</v>
      </c>
      <c r="C129" s="407">
        <v>7306</v>
      </c>
      <c r="D129" s="408">
        <v>45547</v>
      </c>
      <c r="E129" s="496" t="s">
        <v>15402</v>
      </c>
      <c r="G129" s="445"/>
    </row>
    <row r="130" spans="2:7">
      <c r="B130" s="407">
        <v>2409</v>
      </c>
      <c r="C130" s="407">
        <v>7304</v>
      </c>
      <c r="D130" s="408">
        <v>45547</v>
      </c>
      <c r="E130" s="496" t="s">
        <v>15403</v>
      </c>
      <c r="G130" s="445"/>
    </row>
    <row r="131" spans="2:7">
      <c r="B131" s="407">
        <v>2409</v>
      </c>
      <c r="C131" s="407">
        <v>7292</v>
      </c>
      <c r="D131" s="408">
        <v>45547</v>
      </c>
      <c r="E131" s="496" t="s">
        <v>15404</v>
      </c>
      <c r="G131" s="445"/>
    </row>
    <row r="132" spans="2:7">
      <c r="B132" s="407">
        <v>2409</v>
      </c>
      <c r="C132" s="407">
        <v>7291</v>
      </c>
      <c r="D132" s="408">
        <v>45547</v>
      </c>
      <c r="E132" s="496" t="s">
        <v>15405</v>
      </c>
      <c r="G132" s="445"/>
    </row>
    <row r="133" spans="2:7">
      <c r="B133" s="407">
        <v>2409</v>
      </c>
      <c r="C133" s="407">
        <v>7286</v>
      </c>
      <c r="D133" s="408">
        <v>45547</v>
      </c>
      <c r="E133" s="496" t="s">
        <v>15406</v>
      </c>
      <c r="G133" s="445"/>
    </row>
    <row r="134" spans="2:7">
      <c r="B134" s="407">
        <v>2409</v>
      </c>
      <c r="C134" s="407">
        <v>7276</v>
      </c>
      <c r="D134" s="408">
        <v>45547</v>
      </c>
      <c r="E134" s="496" t="s">
        <v>15407</v>
      </c>
      <c r="G134" s="445"/>
    </row>
    <row r="135" spans="2:7">
      <c r="B135" s="407">
        <v>2409</v>
      </c>
      <c r="C135" s="407">
        <v>7275</v>
      </c>
      <c r="D135" s="408">
        <v>45547</v>
      </c>
      <c r="E135" s="496" t="s">
        <v>15408</v>
      </c>
      <c r="G135" s="445"/>
    </row>
    <row r="136" spans="2:7">
      <c r="B136" s="407">
        <v>2409</v>
      </c>
      <c r="C136" s="407">
        <v>7272</v>
      </c>
      <c r="D136" s="408">
        <v>45547</v>
      </c>
      <c r="E136" s="496" t="s">
        <v>15409</v>
      </c>
      <c r="G136" s="445"/>
    </row>
    <row r="137" spans="2:7">
      <c r="B137" s="407">
        <v>2409</v>
      </c>
      <c r="C137" s="407">
        <v>7271</v>
      </c>
      <c r="D137" s="408">
        <v>45547</v>
      </c>
      <c r="E137" s="496" t="s">
        <v>15410</v>
      </c>
      <c r="G137" s="445"/>
    </row>
    <row r="138" spans="2:7">
      <c r="B138" s="407">
        <v>2409</v>
      </c>
      <c r="C138" s="407">
        <v>7269</v>
      </c>
      <c r="D138" s="408">
        <v>45547</v>
      </c>
      <c r="E138" s="496" t="s">
        <v>15411</v>
      </c>
      <c r="G138" s="445"/>
    </row>
    <row r="139" spans="2:7">
      <c r="B139" s="409">
        <v>2409</v>
      </c>
      <c r="C139" s="409">
        <v>7265</v>
      </c>
      <c r="D139" s="410">
        <v>45547</v>
      </c>
      <c r="E139" s="424" t="s">
        <v>15412</v>
      </c>
      <c r="G139" s="445"/>
    </row>
    <row r="140" spans="2:7">
      <c r="B140" s="407">
        <v>2409</v>
      </c>
      <c r="C140" s="407">
        <v>7259</v>
      </c>
      <c r="D140" s="408">
        <v>45547</v>
      </c>
      <c r="E140" s="496" t="s">
        <v>15413</v>
      </c>
      <c r="G140" s="445"/>
    </row>
    <row r="141" spans="2:7">
      <c r="B141" s="407">
        <v>2409</v>
      </c>
      <c r="C141" s="407">
        <v>7256</v>
      </c>
      <c r="D141" s="408">
        <v>45547</v>
      </c>
      <c r="E141" s="496" t="s">
        <v>15458</v>
      </c>
      <c r="G141" s="445"/>
    </row>
    <row r="142" spans="2:7">
      <c r="B142" s="407">
        <v>2409</v>
      </c>
      <c r="C142" s="407">
        <v>7255</v>
      </c>
      <c r="D142" s="408">
        <v>45547</v>
      </c>
      <c r="E142" s="496" t="s">
        <v>15457</v>
      </c>
      <c r="G142" s="445"/>
    </row>
    <row r="143" spans="2:7">
      <c r="B143" s="407">
        <v>2409</v>
      </c>
      <c r="C143" s="407">
        <v>7253</v>
      </c>
      <c r="D143" s="408">
        <v>45547</v>
      </c>
      <c r="E143" s="496" t="s">
        <v>15456</v>
      </c>
      <c r="G143" s="445"/>
    </row>
    <row r="144" spans="2:7">
      <c r="B144" s="407">
        <v>2409</v>
      </c>
      <c r="C144" s="407">
        <v>7250</v>
      </c>
      <c r="D144" s="408">
        <v>45547</v>
      </c>
      <c r="E144" s="496" t="s">
        <v>15455</v>
      </c>
      <c r="G144" s="445"/>
    </row>
    <row r="145" spans="2:7">
      <c r="B145" s="407">
        <v>2409</v>
      </c>
      <c r="C145" s="407">
        <v>7245</v>
      </c>
      <c r="D145" s="408">
        <v>45547</v>
      </c>
      <c r="E145" s="496" t="s">
        <v>15454</v>
      </c>
      <c r="G145" s="445"/>
    </row>
    <row r="146" spans="2:7">
      <c r="B146" s="407">
        <v>2409</v>
      </c>
      <c r="C146" s="407">
        <v>7239</v>
      </c>
      <c r="D146" s="408">
        <v>45547</v>
      </c>
      <c r="E146" s="496" t="s">
        <v>15453</v>
      </c>
      <c r="G146" s="445"/>
    </row>
    <row r="147" spans="2:7">
      <c r="B147" s="407">
        <v>2409</v>
      </c>
      <c r="C147" s="407">
        <v>7238</v>
      </c>
      <c r="D147" s="408">
        <v>45547</v>
      </c>
      <c r="E147" s="496" t="s">
        <v>15452</v>
      </c>
      <c r="G147" s="445"/>
    </row>
    <row r="148" spans="2:7">
      <c r="B148" s="407">
        <v>2409</v>
      </c>
      <c r="C148" s="407">
        <v>7236</v>
      </c>
      <c r="D148" s="408">
        <v>45547</v>
      </c>
      <c r="E148" s="496" t="s">
        <v>15451</v>
      </c>
      <c r="G148" s="445"/>
    </row>
    <row r="149" spans="2:7">
      <c r="B149" s="407">
        <v>2409</v>
      </c>
      <c r="C149" s="407">
        <v>7232</v>
      </c>
      <c r="D149" s="408">
        <v>45547</v>
      </c>
      <c r="E149" s="496" t="s">
        <v>15450</v>
      </c>
      <c r="G149" s="445"/>
    </row>
    <row r="150" spans="2:7">
      <c r="B150" s="407">
        <v>2409</v>
      </c>
      <c r="C150" s="407">
        <v>7226</v>
      </c>
      <c r="D150" s="408">
        <v>45547</v>
      </c>
      <c r="E150" s="496" t="s">
        <v>15449</v>
      </c>
      <c r="G150" s="445"/>
    </row>
    <row r="151" spans="2:7">
      <c r="B151" s="407">
        <v>2409</v>
      </c>
      <c r="C151" s="407">
        <v>7210</v>
      </c>
      <c r="D151" s="408">
        <v>45547</v>
      </c>
      <c r="E151" s="496" t="s">
        <v>15448</v>
      </c>
      <c r="G151" s="445"/>
    </row>
    <row r="152" spans="2:7">
      <c r="B152" s="407">
        <v>2409</v>
      </c>
      <c r="C152" s="407">
        <v>7190</v>
      </c>
      <c r="D152" s="408">
        <v>45547</v>
      </c>
      <c r="E152" s="496" t="s">
        <v>15447</v>
      </c>
      <c r="G152" s="445"/>
    </row>
    <row r="153" spans="2:7">
      <c r="B153" s="407">
        <v>2409</v>
      </c>
      <c r="C153" s="407">
        <v>7189</v>
      </c>
      <c r="D153" s="408">
        <v>45547</v>
      </c>
      <c r="E153" s="496" t="s">
        <v>15446</v>
      </c>
      <c r="G153" s="445"/>
    </row>
    <row r="154" spans="2:7">
      <c r="B154" s="407">
        <v>2409</v>
      </c>
      <c r="C154" s="407">
        <v>7188</v>
      </c>
      <c r="D154" s="408">
        <v>45547</v>
      </c>
      <c r="E154" s="496" t="s">
        <v>15445</v>
      </c>
      <c r="G154" s="445"/>
    </row>
    <row r="155" spans="2:7">
      <c r="B155" s="407">
        <v>2409</v>
      </c>
      <c r="C155" s="407">
        <v>7186</v>
      </c>
      <c r="D155" s="408">
        <v>45547</v>
      </c>
      <c r="E155" s="496" t="s">
        <v>15444</v>
      </c>
      <c r="G155" s="445"/>
    </row>
    <row r="156" spans="2:7">
      <c r="B156" s="407">
        <v>2409</v>
      </c>
      <c r="C156" s="407">
        <v>7179</v>
      </c>
      <c r="D156" s="408">
        <v>45547</v>
      </c>
      <c r="E156" s="496" t="s">
        <v>15443</v>
      </c>
      <c r="G156" s="445"/>
    </row>
    <row r="157" spans="2:7">
      <c r="B157" s="407">
        <v>2409</v>
      </c>
      <c r="C157" s="407">
        <v>7172</v>
      </c>
      <c r="D157" s="408">
        <v>45547</v>
      </c>
      <c r="E157" s="496" t="s">
        <v>15442</v>
      </c>
      <c r="G157" s="445"/>
    </row>
    <row r="158" spans="2:7">
      <c r="B158" s="407">
        <v>2409</v>
      </c>
      <c r="C158" s="407">
        <v>7171</v>
      </c>
      <c r="D158" s="408">
        <v>45547</v>
      </c>
      <c r="E158" s="496" t="s">
        <v>15441</v>
      </c>
      <c r="G158" s="445"/>
    </row>
    <row r="159" spans="2:7">
      <c r="B159" s="407">
        <v>2409</v>
      </c>
      <c r="C159" s="407">
        <v>7170</v>
      </c>
      <c r="D159" s="408">
        <v>45547</v>
      </c>
      <c r="E159" s="496" t="s">
        <v>15440</v>
      </c>
      <c r="G159" s="445"/>
    </row>
    <row r="160" spans="2:7">
      <c r="B160" s="407">
        <v>2409</v>
      </c>
      <c r="C160" s="407">
        <v>7165</v>
      </c>
      <c r="D160" s="408">
        <v>45547</v>
      </c>
      <c r="E160" s="496" t="s">
        <v>15439</v>
      </c>
      <c r="G160" s="445"/>
    </row>
    <row r="161" spans="2:7">
      <c r="B161" s="407">
        <v>2409</v>
      </c>
      <c r="C161" s="407">
        <v>7162</v>
      </c>
      <c r="D161" s="408">
        <v>45547</v>
      </c>
      <c r="E161" s="496" t="s">
        <v>15438</v>
      </c>
      <c r="G161" s="445"/>
    </row>
    <row r="162" spans="2:7">
      <c r="B162" s="409">
        <v>2409</v>
      </c>
      <c r="C162" s="409">
        <v>7151</v>
      </c>
      <c r="D162" s="410">
        <v>45547</v>
      </c>
      <c r="E162" s="424" t="s">
        <v>15437</v>
      </c>
      <c r="G162" s="445"/>
    </row>
    <row r="163" spans="2:7">
      <c r="B163" s="407">
        <v>2409</v>
      </c>
      <c r="C163" s="407">
        <v>7146</v>
      </c>
      <c r="D163" s="408">
        <v>45547</v>
      </c>
      <c r="E163" s="496" t="s">
        <v>15436</v>
      </c>
      <c r="G163" s="445"/>
    </row>
    <row r="164" spans="2:7">
      <c r="B164" s="407">
        <v>2409</v>
      </c>
      <c r="C164" s="407">
        <v>7132</v>
      </c>
      <c r="D164" s="408">
        <v>45547</v>
      </c>
      <c r="E164" s="496" t="s">
        <v>15435</v>
      </c>
      <c r="G164" s="445"/>
    </row>
    <row r="165" spans="2:7">
      <c r="B165" s="407">
        <v>2409</v>
      </c>
      <c r="C165" s="407">
        <v>7131</v>
      </c>
      <c r="D165" s="408">
        <v>45547</v>
      </c>
      <c r="E165" s="496" t="s">
        <v>15434</v>
      </c>
      <c r="G165" s="445"/>
    </row>
    <row r="166" spans="2:7">
      <c r="B166" s="407">
        <v>2409</v>
      </c>
      <c r="C166" s="407">
        <v>7128</v>
      </c>
      <c r="D166" s="408">
        <v>45547</v>
      </c>
      <c r="E166" s="496" t="s">
        <v>15433</v>
      </c>
      <c r="G166" s="445"/>
    </row>
    <row r="167" spans="2:7">
      <c r="B167" s="407">
        <v>2409</v>
      </c>
      <c r="C167" s="407">
        <v>7123</v>
      </c>
      <c r="D167" s="408">
        <v>45547</v>
      </c>
      <c r="E167" s="496" t="s">
        <v>15432</v>
      </c>
      <c r="G167" s="445"/>
    </row>
    <row r="168" spans="2:7">
      <c r="B168" s="407">
        <v>2409</v>
      </c>
      <c r="C168" s="407">
        <v>7115</v>
      </c>
      <c r="D168" s="408">
        <v>45547</v>
      </c>
      <c r="E168" s="496" t="s">
        <v>15431</v>
      </c>
      <c r="G168" s="445"/>
    </row>
    <row r="169" spans="2:7">
      <c r="B169" s="407">
        <v>2409</v>
      </c>
      <c r="C169" s="407">
        <v>7100</v>
      </c>
      <c r="D169" s="408">
        <v>45547</v>
      </c>
      <c r="E169" s="496" t="s">
        <v>15430</v>
      </c>
      <c r="G169" s="445"/>
    </row>
    <row r="170" spans="2:7">
      <c r="B170" s="409">
        <v>2409</v>
      </c>
      <c r="C170" s="409">
        <v>7094</v>
      </c>
      <c r="D170" s="410">
        <v>45547</v>
      </c>
      <c r="E170" s="424" t="s">
        <v>15429</v>
      </c>
      <c r="G170" s="445"/>
    </row>
    <row r="171" spans="2:7">
      <c r="B171" s="409">
        <v>2409</v>
      </c>
      <c r="C171" s="409">
        <v>7092</v>
      </c>
      <c r="D171" s="410">
        <v>45547</v>
      </c>
      <c r="E171" s="424" t="s">
        <v>15428</v>
      </c>
      <c r="G171" s="445"/>
    </row>
    <row r="172" spans="2:7">
      <c r="B172" s="409">
        <v>2409</v>
      </c>
      <c r="C172" s="409">
        <v>7089</v>
      </c>
      <c r="D172" s="410">
        <v>45547</v>
      </c>
      <c r="E172" s="424" t="s">
        <v>15427</v>
      </c>
      <c r="G172" s="445"/>
    </row>
    <row r="173" spans="2:7">
      <c r="B173" s="407">
        <v>2409</v>
      </c>
      <c r="C173" s="407">
        <v>7088</v>
      </c>
      <c r="D173" s="408">
        <v>45547</v>
      </c>
      <c r="E173" s="496" t="s">
        <v>15426</v>
      </c>
      <c r="G173" s="445"/>
    </row>
    <row r="174" spans="2:7">
      <c r="B174" s="407">
        <v>2409</v>
      </c>
      <c r="C174" s="407">
        <v>7085</v>
      </c>
      <c r="D174" s="408">
        <v>45547</v>
      </c>
      <c r="E174" s="496" t="s">
        <v>15425</v>
      </c>
      <c r="G174" s="445"/>
    </row>
    <row r="175" spans="2:7">
      <c r="B175" s="407">
        <v>2409</v>
      </c>
      <c r="C175" s="407">
        <v>7083</v>
      </c>
      <c r="D175" s="408">
        <v>45547</v>
      </c>
      <c r="E175" s="496" t="s">
        <v>15424</v>
      </c>
      <c r="G175" s="445"/>
    </row>
    <row r="176" spans="2:7">
      <c r="B176" s="407">
        <v>2409</v>
      </c>
      <c r="C176" s="407">
        <v>7078</v>
      </c>
      <c r="D176" s="408">
        <v>45547</v>
      </c>
      <c r="E176" s="496" t="s">
        <v>15423</v>
      </c>
      <c r="G176" s="445"/>
    </row>
    <row r="177" spans="2:7">
      <c r="B177" s="407">
        <v>2409</v>
      </c>
      <c r="C177" s="407">
        <v>7072</v>
      </c>
      <c r="D177" s="408">
        <v>45547</v>
      </c>
      <c r="E177" s="496" t="s">
        <v>15422</v>
      </c>
      <c r="G177" s="445"/>
    </row>
    <row r="178" spans="2:7">
      <c r="B178" s="407">
        <v>2409</v>
      </c>
      <c r="C178" s="407">
        <v>7067</v>
      </c>
      <c r="D178" s="408">
        <v>45547</v>
      </c>
      <c r="E178" s="496" t="s">
        <v>15421</v>
      </c>
      <c r="G178" s="445"/>
    </row>
    <row r="179" spans="2:7">
      <c r="B179" s="407">
        <v>2409</v>
      </c>
      <c r="C179" s="407">
        <v>7064</v>
      </c>
      <c r="D179" s="408">
        <v>45547</v>
      </c>
      <c r="E179" s="496" t="s">
        <v>15420</v>
      </c>
      <c r="G179" s="445"/>
    </row>
    <row r="180" spans="2:7">
      <c r="B180" s="407">
        <v>2409</v>
      </c>
      <c r="C180" s="407">
        <v>7055</v>
      </c>
      <c r="D180" s="408">
        <v>45547</v>
      </c>
      <c r="E180" s="496" t="s">
        <v>15419</v>
      </c>
      <c r="G180" s="445"/>
    </row>
    <row r="181" spans="2:7">
      <c r="B181" s="407">
        <v>2409</v>
      </c>
      <c r="C181" s="407">
        <v>7054</v>
      </c>
      <c r="D181" s="408">
        <v>45547</v>
      </c>
      <c r="E181" s="496" t="s">
        <v>15418</v>
      </c>
      <c r="G181" s="445"/>
    </row>
    <row r="182" spans="2:7">
      <c r="B182" s="407">
        <v>2409</v>
      </c>
      <c r="C182" s="407">
        <v>7045</v>
      </c>
      <c r="D182" s="408">
        <v>45547</v>
      </c>
      <c r="E182" s="496" t="s">
        <v>15417</v>
      </c>
      <c r="G182" s="445"/>
    </row>
    <row r="183" spans="2:7">
      <c r="B183" s="407">
        <v>2409</v>
      </c>
      <c r="C183" s="407">
        <v>7041</v>
      </c>
      <c r="D183" s="408">
        <v>45547</v>
      </c>
      <c r="E183" s="496" t="s">
        <v>15416</v>
      </c>
      <c r="G183" s="445"/>
    </row>
    <row r="184" spans="2:7">
      <c r="B184" s="407">
        <v>2409</v>
      </c>
      <c r="C184" s="407">
        <v>7040</v>
      </c>
      <c r="D184" s="408">
        <v>45547</v>
      </c>
      <c r="E184" s="496" t="s">
        <v>15415</v>
      </c>
      <c r="G184" s="445"/>
    </row>
    <row r="185" spans="2:7">
      <c r="B185" s="407">
        <v>2409</v>
      </c>
      <c r="C185" s="407">
        <v>7032</v>
      </c>
      <c r="D185" s="408">
        <v>45547</v>
      </c>
      <c r="E185" s="496" t="s">
        <v>15414</v>
      </c>
      <c r="G185" s="445"/>
    </row>
    <row r="186" spans="2:7">
      <c r="B186" s="407">
        <v>2408</v>
      </c>
      <c r="C186" s="407">
        <v>16770</v>
      </c>
      <c r="D186" s="408">
        <v>45534</v>
      </c>
      <c r="E186" s="491" t="s">
        <v>15341</v>
      </c>
      <c r="G186" s="445"/>
    </row>
    <row r="187" spans="2:7">
      <c r="B187" s="407">
        <v>2408</v>
      </c>
      <c r="C187" s="407">
        <v>16769</v>
      </c>
      <c r="D187" s="408">
        <v>45534</v>
      </c>
      <c r="E187" s="491" t="s">
        <v>15342</v>
      </c>
      <c r="G187" s="445"/>
    </row>
    <row r="188" spans="2:7">
      <c r="B188" s="407">
        <v>2408</v>
      </c>
      <c r="C188" s="407">
        <v>16768</v>
      </c>
      <c r="D188" s="408">
        <v>45534</v>
      </c>
      <c r="E188" s="491" t="s">
        <v>15343</v>
      </c>
      <c r="G188" s="445"/>
    </row>
    <row r="189" spans="2:7">
      <c r="B189" s="407">
        <v>2408</v>
      </c>
      <c r="C189" s="407">
        <v>16767</v>
      </c>
      <c r="D189" s="408">
        <v>45534</v>
      </c>
      <c r="E189" s="491" t="s">
        <v>15344</v>
      </c>
      <c r="G189" s="445"/>
    </row>
    <row r="190" spans="2:7">
      <c r="B190" s="407">
        <v>2408</v>
      </c>
      <c r="C190" s="407">
        <v>16766</v>
      </c>
      <c r="D190" s="408">
        <v>45534</v>
      </c>
      <c r="E190" s="491" t="s">
        <v>15345</v>
      </c>
      <c r="G190" s="445"/>
    </row>
    <row r="191" spans="2:7">
      <c r="B191" s="407">
        <v>2408</v>
      </c>
      <c r="C191" s="407">
        <v>16765</v>
      </c>
      <c r="D191" s="408">
        <v>45534</v>
      </c>
      <c r="E191" s="491" t="s">
        <v>15348</v>
      </c>
      <c r="G191" s="445"/>
    </row>
    <row r="192" spans="2:7">
      <c r="B192" s="407">
        <v>2408</v>
      </c>
      <c r="C192" s="407">
        <v>16762</v>
      </c>
      <c r="D192" s="408">
        <v>45534</v>
      </c>
      <c r="E192" s="491" t="s">
        <v>15347</v>
      </c>
      <c r="G192" s="445"/>
    </row>
    <row r="193" spans="2:7">
      <c r="B193" s="407">
        <v>2408</v>
      </c>
      <c r="C193" s="407">
        <v>16760</v>
      </c>
      <c r="D193" s="408">
        <v>45534</v>
      </c>
      <c r="E193" s="491" t="s">
        <v>15346</v>
      </c>
      <c r="G193" s="445"/>
    </row>
    <row r="194" spans="2:7">
      <c r="B194" s="407">
        <v>2408</v>
      </c>
      <c r="C194" s="407">
        <v>16756</v>
      </c>
      <c r="D194" s="408">
        <v>45534</v>
      </c>
      <c r="E194" s="491" t="s">
        <v>15349</v>
      </c>
      <c r="G194" s="445"/>
    </row>
    <row r="195" spans="2:7">
      <c r="B195" s="407">
        <v>2408</v>
      </c>
      <c r="C195" s="407">
        <v>15999</v>
      </c>
      <c r="D195" s="408">
        <v>45533</v>
      </c>
      <c r="E195" s="491" t="s">
        <v>15227</v>
      </c>
      <c r="G195" s="445"/>
    </row>
    <row r="196" spans="2:7">
      <c r="B196" s="407">
        <v>2408</v>
      </c>
      <c r="C196" s="407">
        <v>15998</v>
      </c>
      <c r="D196" s="408">
        <v>45533</v>
      </c>
      <c r="E196" s="491" t="s">
        <v>15228</v>
      </c>
      <c r="G196" s="445"/>
    </row>
    <row r="197" spans="2:7">
      <c r="B197" s="407">
        <v>2408</v>
      </c>
      <c r="C197" s="407">
        <v>15997</v>
      </c>
      <c r="D197" s="408">
        <v>45533</v>
      </c>
      <c r="E197" s="491" t="s">
        <v>15229</v>
      </c>
      <c r="G197" s="445"/>
    </row>
    <row r="198" spans="2:7">
      <c r="B198" s="407">
        <v>2408</v>
      </c>
      <c r="C198" s="407">
        <v>15996</v>
      </c>
      <c r="D198" s="408">
        <v>45533</v>
      </c>
      <c r="E198" s="491" t="s">
        <v>15230</v>
      </c>
      <c r="G198" s="445"/>
    </row>
    <row r="199" spans="2:7">
      <c r="B199" s="407">
        <v>2408</v>
      </c>
      <c r="C199" s="407">
        <v>15995</v>
      </c>
      <c r="D199" s="408">
        <v>45533</v>
      </c>
      <c r="E199" s="491" t="s">
        <v>15231</v>
      </c>
      <c r="G199" s="445"/>
    </row>
    <row r="200" spans="2:7">
      <c r="B200" s="407">
        <v>2408</v>
      </c>
      <c r="C200" s="407">
        <v>15994</v>
      </c>
      <c r="D200" s="408">
        <v>45533</v>
      </c>
      <c r="E200" s="491" t="s">
        <v>15232</v>
      </c>
      <c r="G200" s="445"/>
    </row>
    <row r="201" spans="2:7">
      <c r="B201" s="407">
        <v>2408</v>
      </c>
      <c r="C201" s="407">
        <v>15992</v>
      </c>
      <c r="D201" s="408">
        <v>45533</v>
      </c>
      <c r="E201" s="491" t="s">
        <v>15233</v>
      </c>
      <c r="G201" s="445"/>
    </row>
    <row r="202" spans="2:7">
      <c r="B202" s="407">
        <v>2408</v>
      </c>
      <c r="C202" s="409">
        <v>15991</v>
      </c>
      <c r="D202" s="410">
        <v>45533</v>
      </c>
      <c r="E202" s="424" t="s">
        <v>15234</v>
      </c>
      <c r="G202" s="445"/>
    </row>
    <row r="203" spans="2:7">
      <c r="B203" s="407">
        <v>2408</v>
      </c>
      <c r="C203" s="492">
        <v>15980</v>
      </c>
      <c r="D203" s="408">
        <v>45533</v>
      </c>
      <c r="E203" s="491" t="s">
        <v>15235</v>
      </c>
      <c r="G203" s="445"/>
    </row>
    <row r="204" spans="2:7">
      <c r="B204" s="407">
        <v>2408</v>
      </c>
      <c r="C204" s="407">
        <v>15978</v>
      </c>
      <c r="D204" s="408">
        <v>45533</v>
      </c>
      <c r="E204" s="491" t="s">
        <v>15236</v>
      </c>
      <c r="G204" s="445"/>
    </row>
    <row r="205" spans="2:7">
      <c r="B205" s="407">
        <v>2408</v>
      </c>
      <c r="C205" s="407">
        <v>15971</v>
      </c>
      <c r="D205" s="408">
        <v>45533</v>
      </c>
      <c r="E205" s="491" t="s">
        <v>15237</v>
      </c>
      <c r="G205" s="445"/>
    </row>
    <row r="206" spans="2:7">
      <c r="B206" s="407">
        <v>2408</v>
      </c>
      <c r="C206" s="407">
        <v>15969</v>
      </c>
      <c r="D206" s="408">
        <v>45533</v>
      </c>
      <c r="E206" s="491" t="s">
        <v>15238</v>
      </c>
      <c r="G206" s="445"/>
    </row>
    <row r="207" spans="2:7">
      <c r="B207" s="407">
        <v>2408</v>
      </c>
      <c r="C207" s="407">
        <v>15966</v>
      </c>
      <c r="D207" s="408">
        <v>45533</v>
      </c>
      <c r="E207" s="491" t="s">
        <v>15239</v>
      </c>
      <c r="G207" s="445"/>
    </row>
    <row r="208" spans="2:7">
      <c r="B208" s="407">
        <v>2408</v>
      </c>
      <c r="C208" s="407">
        <v>15958</v>
      </c>
      <c r="D208" s="408">
        <v>45533</v>
      </c>
      <c r="E208" s="491" t="s">
        <v>15240</v>
      </c>
      <c r="G208" s="445"/>
    </row>
    <row r="209" spans="2:7">
      <c r="B209" s="407">
        <v>2408</v>
      </c>
      <c r="C209" s="407">
        <v>15956</v>
      </c>
      <c r="D209" s="408">
        <v>45533</v>
      </c>
      <c r="E209" s="491" t="s">
        <v>15241</v>
      </c>
      <c r="G209" s="445"/>
    </row>
    <row r="210" spans="2:7">
      <c r="B210" s="407">
        <v>2408</v>
      </c>
      <c r="C210" s="407">
        <v>15955</v>
      </c>
      <c r="D210" s="408">
        <v>45533</v>
      </c>
      <c r="E210" s="491" t="s">
        <v>15242</v>
      </c>
      <c r="G210" s="445"/>
    </row>
    <row r="211" spans="2:7">
      <c r="B211" s="407">
        <v>2408</v>
      </c>
      <c r="C211" s="407">
        <v>15954</v>
      </c>
      <c r="D211" s="408">
        <v>45533</v>
      </c>
      <c r="E211" s="489" t="s">
        <v>15243</v>
      </c>
      <c r="G211" s="445"/>
    </row>
    <row r="212" spans="2:7">
      <c r="B212" s="407">
        <v>2408</v>
      </c>
      <c r="C212" s="407">
        <v>15953</v>
      </c>
      <c r="D212" s="408">
        <v>45533</v>
      </c>
      <c r="E212" s="489" t="s">
        <v>15244</v>
      </c>
      <c r="G212" s="445"/>
    </row>
    <row r="213" spans="2:7">
      <c r="B213" s="407">
        <v>2408</v>
      </c>
      <c r="C213" s="407">
        <v>15950</v>
      </c>
      <c r="D213" s="408">
        <v>45533</v>
      </c>
      <c r="E213" s="491" t="s">
        <v>15245</v>
      </c>
      <c r="G213" s="445"/>
    </row>
    <row r="214" spans="2:7">
      <c r="B214" s="407">
        <v>2408</v>
      </c>
      <c r="C214" s="407">
        <v>15948</v>
      </c>
      <c r="D214" s="408">
        <v>45533</v>
      </c>
      <c r="E214" s="491" t="s">
        <v>15246</v>
      </c>
      <c r="G214" s="445"/>
    </row>
    <row r="215" spans="2:7">
      <c r="B215" s="407">
        <v>2408</v>
      </c>
      <c r="C215" s="407">
        <v>15947</v>
      </c>
      <c r="D215" s="408">
        <v>45533</v>
      </c>
      <c r="E215" s="491" t="s">
        <v>15247</v>
      </c>
      <c r="G215" s="445"/>
    </row>
    <row r="216" spans="2:7">
      <c r="B216" s="407">
        <v>2408</v>
      </c>
      <c r="C216" s="407">
        <v>15946</v>
      </c>
      <c r="D216" s="408">
        <v>45533</v>
      </c>
      <c r="E216" s="491" t="s">
        <v>15248</v>
      </c>
      <c r="G216" s="445"/>
    </row>
    <row r="217" spans="2:7">
      <c r="B217" s="407">
        <v>2408</v>
      </c>
      <c r="C217" s="407">
        <v>15924</v>
      </c>
      <c r="D217" s="408">
        <v>45533</v>
      </c>
      <c r="E217" s="491" t="s">
        <v>15249</v>
      </c>
      <c r="G217" s="445"/>
    </row>
    <row r="218" spans="2:7">
      <c r="B218" s="407">
        <v>2408</v>
      </c>
      <c r="C218" s="407">
        <v>15923</v>
      </c>
      <c r="D218" s="408">
        <v>45533</v>
      </c>
      <c r="E218" s="491" t="s">
        <v>15250</v>
      </c>
      <c r="G218" s="445"/>
    </row>
    <row r="219" spans="2:7">
      <c r="B219" s="407">
        <v>2408</v>
      </c>
      <c r="C219" s="407">
        <v>15922</v>
      </c>
      <c r="D219" s="408">
        <v>45533</v>
      </c>
      <c r="E219" s="491" t="s">
        <v>15251</v>
      </c>
      <c r="G219" s="445"/>
    </row>
    <row r="220" spans="2:7">
      <c r="B220" s="407">
        <v>2408</v>
      </c>
      <c r="C220" s="407">
        <v>15919</v>
      </c>
      <c r="D220" s="408">
        <v>45533</v>
      </c>
      <c r="E220" s="491" t="s">
        <v>15252</v>
      </c>
      <c r="G220" s="445"/>
    </row>
    <row r="221" spans="2:7">
      <c r="B221" s="407">
        <v>2408</v>
      </c>
      <c r="C221" s="407">
        <v>15916</v>
      </c>
      <c r="D221" s="408">
        <v>45533</v>
      </c>
      <c r="E221" s="491" t="s">
        <v>15253</v>
      </c>
      <c r="G221" s="445"/>
    </row>
    <row r="222" spans="2:7">
      <c r="B222" s="407">
        <v>2408</v>
      </c>
      <c r="C222" s="407">
        <v>15915</v>
      </c>
      <c r="D222" s="408">
        <v>45533</v>
      </c>
      <c r="E222" s="491" t="s">
        <v>15254</v>
      </c>
      <c r="G222" s="445"/>
    </row>
    <row r="223" spans="2:7">
      <c r="B223" s="407">
        <v>2408</v>
      </c>
      <c r="C223" s="407">
        <v>15914</v>
      </c>
      <c r="D223" s="408">
        <v>45533</v>
      </c>
      <c r="E223" s="491" t="s">
        <v>15255</v>
      </c>
      <c r="G223" s="445"/>
    </row>
    <row r="224" spans="2:7">
      <c r="B224" s="407">
        <v>2408</v>
      </c>
      <c r="C224" s="407">
        <v>15907</v>
      </c>
      <c r="D224" s="408">
        <v>45533</v>
      </c>
      <c r="E224" s="491" t="s">
        <v>15256</v>
      </c>
      <c r="G224" s="445"/>
    </row>
    <row r="225" spans="2:7">
      <c r="B225" s="407">
        <v>2408</v>
      </c>
      <c r="C225" s="407">
        <v>15906</v>
      </c>
      <c r="D225" s="408">
        <v>45533</v>
      </c>
      <c r="E225" s="491" t="s">
        <v>15257</v>
      </c>
      <c r="G225" s="445"/>
    </row>
    <row r="226" spans="2:7">
      <c r="B226" s="407">
        <v>2408</v>
      </c>
      <c r="C226" s="407">
        <v>15905</v>
      </c>
      <c r="D226" s="408">
        <v>45533</v>
      </c>
      <c r="E226" s="491" t="s">
        <v>15258</v>
      </c>
      <c r="G226" s="445"/>
    </row>
    <row r="227" spans="2:7">
      <c r="B227" s="407">
        <v>2408</v>
      </c>
      <c r="C227" s="407">
        <v>15903</v>
      </c>
      <c r="D227" s="408">
        <v>45533</v>
      </c>
      <c r="E227" s="491" t="s">
        <v>15259</v>
      </c>
      <c r="G227" s="445"/>
    </row>
    <row r="228" spans="2:7">
      <c r="B228" s="407">
        <v>2408</v>
      </c>
      <c r="C228" s="407">
        <v>15901</v>
      </c>
      <c r="D228" s="408">
        <v>45533</v>
      </c>
      <c r="E228" s="491" t="s">
        <v>15260</v>
      </c>
      <c r="G228" s="445"/>
    </row>
    <row r="229" spans="2:7">
      <c r="B229" s="407">
        <v>2408</v>
      </c>
      <c r="C229" s="407">
        <v>15899</v>
      </c>
      <c r="D229" s="408">
        <v>45533</v>
      </c>
      <c r="E229" s="491" t="s">
        <v>15261</v>
      </c>
      <c r="G229" s="445"/>
    </row>
    <row r="230" spans="2:7">
      <c r="B230" s="407">
        <v>2408</v>
      </c>
      <c r="C230" s="407">
        <v>15898</v>
      </c>
      <c r="D230" s="408">
        <v>45533</v>
      </c>
      <c r="E230" s="491" t="s">
        <v>15262</v>
      </c>
      <c r="G230" s="445"/>
    </row>
    <row r="231" spans="2:7">
      <c r="B231" s="407">
        <v>2408</v>
      </c>
      <c r="C231" s="407">
        <v>15896</v>
      </c>
      <c r="D231" s="408">
        <v>45533</v>
      </c>
      <c r="E231" s="491" t="s">
        <v>15263</v>
      </c>
      <c r="G231" s="445"/>
    </row>
    <row r="232" spans="2:7">
      <c r="B232" s="407">
        <v>2408</v>
      </c>
      <c r="C232" s="407">
        <v>15895</v>
      </c>
      <c r="D232" s="408">
        <v>45533</v>
      </c>
      <c r="E232" s="491" t="s">
        <v>15264</v>
      </c>
      <c r="G232" s="445"/>
    </row>
    <row r="233" spans="2:7">
      <c r="B233" s="407">
        <v>2408</v>
      </c>
      <c r="C233" s="407">
        <v>15894</v>
      </c>
      <c r="D233" s="408">
        <v>45533</v>
      </c>
      <c r="E233" s="491" t="s">
        <v>15265</v>
      </c>
      <c r="G233" s="445"/>
    </row>
    <row r="234" spans="2:7">
      <c r="B234" s="407">
        <v>2408</v>
      </c>
      <c r="C234" s="407">
        <v>15890</v>
      </c>
      <c r="D234" s="408">
        <v>45533</v>
      </c>
      <c r="E234" s="491" t="s">
        <v>15266</v>
      </c>
      <c r="G234" s="445"/>
    </row>
    <row r="235" spans="2:7">
      <c r="B235" s="407">
        <v>2408</v>
      </c>
      <c r="C235" s="407">
        <v>15887</v>
      </c>
      <c r="D235" s="408">
        <v>45533</v>
      </c>
      <c r="E235" s="491" t="s">
        <v>15267</v>
      </c>
      <c r="G235" s="445"/>
    </row>
    <row r="236" spans="2:7">
      <c r="B236" s="407">
        <v>2408</v>
      </c>
      <c r="C236" s="407">
        <v>15886</v>
      </c>
      <c r="D236" s="408">
        <v>45533</v>
      </c>
      <c r="E236" s="491" t="s">
        <v>15268</v>
      </c>
      <c r="G236" s="445"/>
    </row>
    <row r="237" spans="2:7">
      <c r="B237" s="407">
        <v>2408</v>
      </c>
      <c r="C237" s="407">
        <v>15881</v>
      </c>
      <c r="D237" s="408">
        <v>45533</v>
      </c>
      <c r="E237" s="491" t="s">
        <v>15269</v>
      </c>
      <c r="G237" s="445"/>
    </row>
    <row r="238" spans="2:7">
      <c r="B238" s="407">
        <v>2408</v>
      </c>
      <c r="C238" s="407">
        <v>15879</v>
      </c>
      <c r="D238" s="408">
        <v>45533</v>
      </c>
      <c r="E238" s="491" t="s">
        <v>15270</v>
      </c>
      <c r="G238" s="445"/>
    </row>
    <row r="239" spans="2:7">
      <c r="B239" s="407">
        <v>2408</v>
      </c>
      <c r="C239" s="407">
        <v>15877</v>
      </c>
      <c r="D239" s="408">
        <v>45533</v>
      </c>
      <c r="E239" s="491" t="s">
        <v>15271</v>
      </c>
      <c r="G239" s="445"/>
    </row>
    <row r="240" spans="2:7">
      <c r="B240" s="407">
        <v>2408</v>
      </c>
      <c r="C240" s="407">
        <v>15876</v>
      </c>
      <c r="D240" s="408">
        <v>45533</v>
      </c>
      <c r="E240" s="491" t="s">
        <v>15272</v>
      </c>
      <c r="G240" s="445"/>
    </row>
    <row r="241" spans="2:7">
      <c r="B241" s="407">
        <v>2408</v>
      </c>
      <c r="C241" s="407">
        <v>15870</v>
      </c>
      <c r="D241" s="408">
        <v>45533</v>
      </c>
      <c r="E241" s="491" t="s">
        <v>15273</v>
      </c>
      <c r="G241" s="445"/>
    </row>
    <row r="242" spans="2:7">
      <c r="B242" s="407">
        <v>2408</v>
      </c>
      <c r="C242" s="407">
        <v>15866</v>
      </c>
      <c r="D242" s="408">
        <v>45533</v>
      </c>
      <c r="E242" s="491" t="s">
        <v>15274</v>
      </c>
      <c r="G242" s="445"/>
    </row>
    <row r="243" spans="2:7">
      <c r="B243" s="407">
        <v>2408</v>
      </c>
      <c r="C243" s="407">
        <v>15865</v>
      </c>
      <c r="D243" s="408">
        <v>45533</v>
      </c>
      <c r="E243" s="491" t="s">
        <v>15275</v>
      </c>
      <c r="G243" s="445"/>
    </row>
    <row r="244" spans="2:7">
      <c r="B244" s="407">
        <v>2408</v>
      </c>
      <c r="C244" s="407">
        <v>15864</v>
      </c>
      <c r="D244" s="408">
        <v>45533</v>
      </c>
      <c r="E244" s="491" t="s">
        <v>15276</v>
      </c>
      <c r="G244" s="445"/>
    </row>
    <row r="245" spans="2:7">
      <c r="B245" s="407">
        <v>2408</v>
      </c>
      <c r="C245" s="407">
        <v>15857</v>
      </c>
      <c r="D245" s="408">
        <v>45533</v>
      </c>
      <c r="E245" s="491" t="s">
        <v>15277</v>
      </c>
      <c r="G245" s="445"/>
    </row>
    <row r="246" spans="2:7">
      <c r="B246" s="407">
        <v>2408</v>
      </c>
      <c r="C246" s="407">
        <v>15854</v>
      </c>
      <c r="D246" s="408">
        <v>45533</v>
      </c>
      <c r="E246" s="491" t="s">
        <v>15278</v>
      </c>
      <c r="G246" s="445"/>
    </row>
    <row r="247" spans="2:7">
      <c r="B247" s="407">
        <v>2408</v>
      </c>
      <c r="C247" s="407">
        <v>15852</v>
      </c>
      <c r="D247" s="408">
        <v>45533</v>
      </c>
      <c r="E247" s="491" t="s">
        <v>15279</v>
      </c>
      <c r="G247" s="445"/>
    </row>
    <row r="248" spans="2:7">
      <c r="B248" s="407">
        <v>2408</v>
      </c>
      <c r="C248" s="407">
        <v>15844</v>
      </c>
      <c r="D248" s="408">
        <v>45533</v>
      </c>
      <c r="E248" s="491" t="s">
        <v>15280</v>
      </c>
      <c r="G248" s="445"/>
    </row>
    <row r="249" spans="2:7">
      <c r="B249" s="407">
        <v>2408</v>
      </c>
      <c r="C249" s="407">
        <v>15836</v>
      </c>
      <c r="D249" s="408">
        <v>45533</v>
      </c>
      <c r="E249" s="491" t="s">
        <v>15281</v>
      </c>
      <c r="G249" s="445"/>
    </row>
    <row r="250" spans="2:7">
      <c r="B250" s="407">
        <v>2408</v>
      </c>
      <c r="C250" s="407">
        <v>15833</v>
      </c>
      <c r="D250" s="408">
        <v>45533</v>
      </c>
      <c r="E250" s="491" t="s">
        <v>15282</v>
      </c>
      <c r="G250" s="445"/>
    </row>
    <row r="251" spans="2:7">
      <c r="B251" s="407">
        <v>2408</v>
      </c>
      <c r="C251" s="407">
        <v>15829</v>
      </c>
      <c r="D251" s="408">
        <v>45533</v>
      </c>
      <c r="E251" s="491" t="s">
        <v>15283</v>
      </c>
      <c r="G251" s="445"/>
    </row>
    <row r="252" spans="2:7">
      <c r="B252" s="407">
        <v>2408</v>
      </c>
      <c r="C252" s="407">
        <v>15827</v>
      </c>
      <c r="D252" s="408">
        <v>45533</v>
      </c>
      <c r="E252" s="491" t="s">
        <v>15284</v>
      </c>
      <c r="G252" s="445"/>
    </row>
    <row r="253" spans="2:7">
      <c r="B253" s="407">
        <v>2408</v>
      </c>
      <c r="C253" s="407">
        <v>15823</v>
      </c>
      <c r="D253" s="408">
        <v>45533</v>
      </c>
      <c r="E253" s="491" t="s">
        <v>15285</v>
      </c>
      <c r="G253" s="445"/>
    </row>
    <row r="254" spans="2:7">
      <c r="B254" s="407">
        <v>2408</v>
      </c>
      <c r="C254" s="407">
        <v>15815</v>
      </c>
      <c r="D254" s="408">
        <v>45533</v>
      </c>
      <c r="E254" s="491" t="s">
        <v>15286</v>
      </c>
      <c r="G254" s="445"/>
    </row>
    <row r="255" spans="2:7">
      <c r="B255" s="407">
        <v>2408</v>
      </c>
      <c r="C255" s="407">
        <v>15803</v>
      </c>
      <c r="D255" s="408">
        <v>45533</v>
      </c>
      <c r="E255" s="491" t="s">
        <v>15288</v>
      </c>
      <c r="G255" s="445"/>
    </row>
    <row r="256" spans="2:7">
      <c r="B256" s="407">
        <v>2408</v>
      </c>
      <c r="C256" s="407">
        <v>15802</v>
      </c>
      <c r="D256" s="408">
        <v>45533</v>
      </c>
      <c r="E256" s="491" t="s">
        <v>15287</v>
      </c>
      <c r="G256" s="445"/>
    </row>
    <row r="257" spans="2:7">
      <c r="B257" s="407">
        <v>2408</v>
      </c>
      <c r="C257" s="407">
        <v>15801</v>
      </c>
      <c r="D257" s="408">
        <v>45533</v>
      </c>
      <c r="E257" s="491" t="s">
        <v>15289</v>
      </c>
      <c r="G257" s="445"/>
    </row>
    <row r="258" spans="2:7">
      <c r="B258" s="407">
        <v>2408</v>
      </c>
      <c r="C258" s="407">
        <v>15800</v>
      </c>
      <c r="D258" s="408">
        <v>45533</v>
      </c>
      <c r="E258" s="491" t="s">
        <v>15290</v>
      </c>
      <c r="G258" s="445"/>
    </row>
    <row r="259" spans="2:7">
      <c r="B259" s="407">
        <v>2408</v>
      </c>
      <c r="C259" s="407">
        <v>15796</v>
      </c>
      <c r="D259" s="408">
        <v>45533</v>
      </c>
      <c r="E259" s="491" t="s">
        <v>15291</v>
      </c>
      <c r="G259" s="445"/>
    </row>
    <row r="260" spans="2:7">
      <c r="B260" s="407">
        <v>2408</v>
      </c>
      <c r="C260" s="407">
        <v>15793</v>
      </c>
      <c r="D260" s="408">
        <v>45533</v>
      </c>
      <c r="E260" s="491" t="s">
        <v>15292</v>
      </c>
      <c r="G260" s="445"/>
    </row>
    <row r="261" spans="2:7">
      <c r="B261" s="407">
        <v>2408</v>
      </c>
      <c r="C261" s="407">
        <v>15792</v>
      </c>
      <c r="D261" s="408">
        <v>45533</v>
      </c>
      <c r="E261" s="491" t="s">
        <v>15293</v>
      </c>
      <c r="G261" s="445"/>
    </row>
    <row r="262" spans="2:7">
      <c r="B262" s="407">
        <v>2408</v>
      </c>
      <c r="C262" s="407">
        <v>15787</v>
      </c>
      <c r="D262" s="408">
        <v>45533</v>
      </c>
      <c r="E262" s="491" t="s">
        <v>15294</v>
      </c>
      <c r="G262" s="445"/>
    </row>
    <row r="263" spans="2:7">
      <c r="B263" s="407">
        <v>2408</v>
      </c>
      <c r="C263" s="407">
        <v>15784</v>
      </c>
      <c r="D263" s="408">
        <v>45533</v>
      </c>
      <c r="E263" s="491" t="s">
        <v>15295</v>
      </c>
      <c r="G263" s="445"/>
    </row>
    <row r="264" spans="2:7">
      <c r="B264" s="407">
        <v>2408</v>
      </c>
      <c r="C264" s="407">
        <v>15778</v>
      </c>
      <c r="D264" s="408">
        <v>45533</v>
      </c>
      <c r="E264" s="491" t="s">
        <v>15296</v>
      </c>
      <c r="G264" s="445"/>
    </row>
    <row r="265" spans="2:7">
      <c r="B265" s="407">
        <v>2408</v>
      </c>
      <c r="C265" s="407">
        <v>15777</v>
      </c>
      <c r="D265" s="408">
        <v>45533</v>
      </c>
      <c r="E265" s="491" t="s">
        <v>15297</v>
      </c>
      <c r="G265" s="445"/>
    </row>
    <row r="266" spans="2:7">
      <c r="B266" s="407">
        <v>2408</v>
      </c>
      <c r="C266" s="407">
        <v>15775</v>
      </c>
      <c r="D266" s="408">
        <v>45533</v>
      </c>
      <c r="E266" s="491" t="s">
        <v>15298</v>
      </c>
      <c r="G266" s="445"/>
    </row>
    <row r="267" spans="2:7">
      <c r="B267" s="407">
        <v>2408</v>
      </c>
      <c r="C267" s="407">
        <v>15771</v>
      </c>
      <c r="D267" s="408">
        <v>45533</v>
      </c>
      <c r="E267" s="491" t="s">
        <v>15299</v>
      </c>
      <c r="G267" s="445"/>
    </row>
    <row r="268" spans="2:7">
      <c r="B268" s="407">
        <v>2408</v>
      </c>
      <c r="C268" s="407">
        <v>15769</v>
      </c>
      <c r="D268" s="408">
        <v>45533</v>
      </c>
      <c r="E268" s="491" t="s">
        <v>15300</v>
      </c>
      <c r="G268" s="445"/>
    </row>
    <row r="269" spans="2:7">
      <c r="B269" s="407">
        <v>2408</v>
      </c>
      <c r="C269" s="407">
        <v>15767</v>
      </c>
      <c r="D269" s="408">
        <v>45533</v>
      </c>
      <c r="E269" s="491" t="s">
        <v>15301</v>
      </c>
      <c r="G269" s="445"/>
    </row>
    <row r="270" spans="2:7">
      <c r="B270" s="407">
        <v>2408</v>
      </c>
      <c r="C270" s="407">
        <v>15766</v>
      </c>
      <c r="D270" s="408">
        <v>45533</v>
      </c>
      <c r="E270" s="491" t="s">
        <v>15302</v>
      </c>
      <c r="G270" s="445"/>
    </row>
    <row r="271" spans="2:7">
      <c r="B271" s="407">
        <v>2408</v>
      </c>
      <c r="C271" s="407">
        <v>15753</v>
      </c>
      <c r="D271" s="408">
        <v>45533</v>
      </c>
      <c r="E271" s="491" t="s">
        <v>15303</v>
      </c>
      <c r="G271" s="445"/>
    </row>
    <row r="272" spans="2:7">
      <c r="B272" s="407">
        <v>2408</v>
      </c>
      <c r="C272" s="407">
        <v>15747</v>
      </c>
      <c r="D272" s="408">
        <v>45533</v>
      </c>
      <c r="E272" s="491" t="s">
        <v>15304</v>
      </c>
      <c r="G272" s="445"/>
    </row>
    <row r="273" spans="2:7">
      <c r="B273" s="407">
        <v>2408</v>
      </c>
      <c r="C273" s="407">
        <v>15746</v>
      </c>
      <c r="D273" s="408">
        <v>45533</v>
      </c>
      <c r="E273" s="491" t="s">
        <v>15305</v>
      </c>
      <c r="G273" s="445"/>
    </row>
    <row r="274" spans="2:7">
      <c r="B274" s="407">
        <v>2408</v>
      </c>
      <c r="C274" s="407">
        <v>15741</v>
      </c>
      <c r="D274" s="408">
        <v>45533</v>
      </c>
      <c r="E274" s="491" t="s">
        <v>15306</v>
      </c>
      <c r="G274" s="445"/>
    </row>
    <row r="275" spans="2:7">
      <c r="B275" s="407">
        <v>2408</v>
      </c>
      <c r="C275" s="407">
        <v>15740</v>
      </c>
      <c r="D275" s="408">
        <v>45533</v>
      </c>
      <c r="E275" s="491" t="s">
        <v>15307</v>
      </c>
      <c r="G275" s="445"/>
    </row>
    <row r="276" spans="2:7">
      <c r="B276" s="407">
        <v>2408</v>
      </c>
      <c r="C276" s="407">
        <v>15737</v>
      </c>
      <c r="D276" s="408">
        <v>45533</v>
      </c>
      <c r="E276" s="491" t="s">
        <v>15308</v>
      </c>
      <c r="G276" s="445"/>
    </row>
    <row r="277" spans="2:7">
      <c r="B277" s="407">
        <v>2408</v>
      </c>
      <c r="C277" s="407">
        <v>15729</v>
      </c>
      <c r="D277" s="408">
        <v>45533</v>
      </c>
      <c r="E277" s="491" t="s">
        <v>15309</v>
      </c>
      <c r="G277" s="445"/>
    </row>
    <row r="278" spans="2:7">
      <c r="B278" s="407">
        <v>2408</v>
      </c>
      <c r="C278" s="407">
        <v>15720</v>
      </c>
      <c r="D278" s="408">
        <v>45533</v>
      </c>
      <c r="E278" s="491" t="s">
        <v>15310</v>
      </c>
      <c r="G278" s="445"/>
    </row>
    <row r="279" spans="2:7">
      <c r="B279" s="407">
        <v>2408</v>
      </c>
      <c r="C279" s="407">
        <v>15715</v>
      </c>
      <c r="D279" s="408">
        <v>45533</v>
      </c>
      <c r="E279" s="491" t="s">
        <v>15311</v>
      </c>
      <c r="G279" s="445"/>
    </row>
    <row r="280" spans="2:7">
      <c r="B280" s="407">
        <v>2408</v>
      </c>
      <c r="C280" s="407">
        <v>15714</v>
      </c>
      <c r="D280" s="408">
        <v>45533</v>
      </c>
      <c r="E280" s="491" t="s">
        <v>15312</v>
      </c>
      <c r="G280" s="445"/>
    </row>
    <row r="281" spans="2:7">
      <c r="B281" s="407">
        <v>2408</v>
      </c>
      <c r="C281" s="407">
        <v>15710</v>
      </c>
      <c r="D281" s="408">
        <v>45533</v>
      </c>
      <c r="E281" s="491" t="s">
        <v>15313</v>
      </c>
      <c r="G281" s="445"/>
    </row>
    <row r="282" spans="2:7">
      <c r="B282" s="407">
        <v>2408</v>
      </c>
      <c r="C282" s="407">
        <v>15708</v>
      </c>
      <c r="D282" s="408">
        <v>45533</v>
      </c>
      <c r="E282" s="491" t="s">
        <v>15314</v>
      </c>
      <c r="G282" s="445"/>
    </row>
    <row r="283" spans="2:7">
      <c r="B283" s="407">
        <v>2408</v>
      </c>
      <c r="C283" s="407">
        <v>15702</v>
      </c>
      <c r="D283" s="408">
        <v>45533</v>
      </c>
      <c r="E283" s="491" t="s">
        <v>15315</v>
      </c>
      <c r="G283" s="445"/>
    </row>
    <row r="284" spans="2:7">
      <c r="B284" s="407">
        <v>2408</v>
      </c>
      <c r="C284" s="407">
        <v>15696</v>
      </c>
      <c r="D284" s="408">
        <v>45533</v>
      </c>
      <c r="E284" s="491" t="s">
        <v>15316</v>
      </c>
      <c r="G284" s="445"/>
    </row>
    <row r="285" spans="2:7">
      <c r="B285" s="407">
        <v>2408</v>
      </c>
      <c r="C285" s="407">
        <v>15695</v>
      </c>
      <c r="D285" s="408">
        <v>45533</v>
      </c>
      <c r="E285" s="491" t="s">
        <v>15317</v>
      </c>
      <c r="G285" s="445"/>
    </row>
    <row r="286" spans="2:7">
      <c r="B286" s="407">
        <v>2408</v>
      </c>
      <c r="C286" s="407">
        <v>15693</v>
      </c>
      <c r="D286" s="408">
        <v>45533</v>
      </c>
      <c r="E286" s="491" t="s">
        <v>15318</v>
      </c>
      <c r="G286" s="445"/>
    </row>
    <row r="287" spans="2:7">
      <c r="B287" s="407">
        <v>2408</v>
      </c>
      <c r="C287" s="407">
        <v>15689</v>
      </c>
      <c r="D287" s="408">
        <v>45533</v>
      </c>
      <c r="E287" s="491" t="s">
        <v>15319</v>
      </c>
      <c r="G287" s="445"/>
    </row>
    <row r="288" spans="2:7">
      <c r="B288" s="407">
        <v>2408</v>
      </c>
      <c r="C288" s="407">
        <v>15679</v>
      </c>
      <c r="D288" s="408">
        <v>45533</v>
      </c>
      <c r="E288" s="491" t="s">
        <v>15320</v>
      </c>
      <c r="G288" s="445"/>
    </row>
    <row r="289" spans="2:7">
      <c r="B289" s="407">
        <v>2408</v>
      </c>
      <c r="C289" s="407">
        <v>15678</v>
      </c>
      <c r="D289" s="408">
        <v>45533</v>
      </c>
      <c r="E289" s="491" t="s">
        <v>15321</v>
      </c>
      <c r="G289" s="445"/>
    </row>
    <row r="290" spans="2:7">
      <c r="B290" s="407">
        <v>2408</v>
      </c>
      <c r="C290" s="407">
        <v>15676</v>
      </c>
      <c r="D290" s="408">
        <v>45533</v>
      </c>
      <c r="E290" s="491" t="s">
        <v>15322</v>
      </c>
      <c r="G290" s="445"/>
    </row>
    <row r="291" spans="2:7">
      <c r="B291" s="407">
        <v>2408</v>
      </c>
      <c r="C291" s="407">
        <v>15667</v>
      </c>
      <c r="D291" s="408">
        <v>45533</v>
      </c>
      <c r="E291" s="491" t="s">
        <v>15323</v>
      </c>
      <c r="G291" s="445"/>
    </row>
    <row r="292" spans="2:7">
      <c r="B292" s="407">
        <v>2408</v>
      </c>
      <c r="C292" s="407">
        <v>15666</v>
      </c>
      <c r="D292" s="408">
        <v>45533</v>
      </c>
      <c r="E292" s="491" t="s">
        <v>15324</v>
      </c>
      <c r="G292" s="445"/>
    </row>
    <row r="293" spans="2:7">
      <c r="B293" s="407">
        <v>2408</v>
      </c>
      <c r="C293" s="407">
        <v>15664</v>
      </c>
      <c r="D293" s="408">
        <v>45533</v>
      </c>
      <c r="E293" s="491" t="s">
        <v>15325</v>
      </c>
      <c r="G293" s="445"/>
    </row>
    <row r="294" spans="2:7">
      <c r="B294" s="407">
        <v>2408</v>
      </c>
      <c r="C294" s="407">
        <v>15663</v>
      </c>
      <c r="D294" s="408">
        <v>45533</v>
      </c>
      <c r="E294" s="491" t="s">
        <v>15326</v>
      </c>
      <c r="G294" s="445"/>
    </row>
    <row r="295" spans="2:7">
      <c r="B295" s="407">
        <v>2408</v>
      </c>
      <c r="C295" s="407">
        <v>15660</v>
      </c>
      <c r="D295" s="408">
        <v>45533</v>
      </c>
      <c r="E295" s="491" t="s">
        <v>15327</v>
      </c>
      <c r="G295" s="445"/>
    </row>
    <row r="296" spans="2:7">
      <c r="B296" s="407">
        <v>2408</v>
      </c>
      <c r="C296" s="407">
        <v>15658</v>
      </c>
      <c r="D296" s="408">
        <v>45533</v>
      </c>
      <c r="E296" s="491" t="s">
        <v>15328</v>
      </c>
      <c r="G296" s="445"/>
    </row>
    <row r="297" spans="2:7">
      <c r="B297" s="407">
        <v>2408</v>
      </c>
      <c r="C297" s="407">
        <v>15656</v>
      </c>
      <c r="D297" s="408">
        <v>45533</v>
      </c>
      <c r="E297" s="491" t="s">
        <v>15329</v>
      </c>
      <c r="G297" s="445"/>
    </row>
    <row r="298" spans="2:7">
      <c r="B298" s="407">
        <v>2408</v>
      </c>
      <c r="C298" s="407">
        <v>15651</v>
      </c>
      <c r="D298" s="408">
        <v>45533</v>
      </c>
      <c r="E298" s="491" t="s">
        <v>15330</v>
      </c>
      <c r="G298" s="445"/>
    </row>
    <row r="299" spans="2:7">
      <c r="B299" s="407">
        <v>2408</v>
      </c>
      <c r="C299" s="407">
        <v>15650</v>
      </c>
      <c r="D299" s="408">
        <v>45533</v>
      </c>
      <c r="E299" s="491" t="s">
        <v>15331</v>
      </c>
      <c r="G299" s="445"/>
    </row>
    <row r="300" spans="2:7">
      <c r="B300" s="407">
        <v>2408</v>
      </c>
      <c r="C300" s="407">
        <v>15647</v>
      </c>
      <c r="D300" s="408">
        <v>45533</v>
      </c>
      <c r="E300" s="491" t="s">
        <v>15332</v>
      </c>
      <c r="G300" s="445"/>
    </row>
    <row r="301" spans="2:7">
      <c r="B301" s="407">
        <v>2408</v>
      </c>
      <c r="C301" s="407">
        <v>15641</v>
      </c>
      <c r="D301" s="408">
        <v>45533</v>
      </c>
      <c r="E301" s="491" t="s">
        <v>15333</v>
      </c>
      <c r="G301" s="445"/>
    </row>
    <row r="302" spans="2:7">
      <c r="B302" s="407">
        <v>2408</v>
      </c>
      <c r="C302" s="407">
        <v>15640</v>
      </c>
      <c r="D302" s="408">
        <v>45533</v>
      </c>
      <c r="E302" s="491" t="s">
        <v>15334</v>
      </c>
      <c r="G302" s="445"/>
    </row>
    <row r="303" spans="2:7">
      <c r="B303" s="407">
        <v>2408</v>
      </c>
      <c r="C303" s="407">
        <v>15630</v>
      </c>
      <c r="D303" s="408">
        <v>45533</v>
      </c>
      <c r="E303" s="491" t="s">
        <v>15335</v>
      </c>
      <c r="G303" s="445"/>
    </row>
    <row r="304" spans="2:7">
      <c r="B304" s="407">
        <v>2408</v>
      </c>
      <c r="C304" s="407">
        <v>15616</v>
      </c>
      <c r="D304" s="408">
        <v>45533</v>
      </c>
      <c r="E304" s="491" t="s">
        <v>15336</v>
      </c>
      <c r="G304" s="445"/>
    </row>
    <row r="305" spans="2:7">
      <c r="B305" s="407">
        <v>2408</v>
      </c>
      <c r="C305" s="407">
        <v>15608</v>
      </c>
      <c r="D305" s="408">
        <v>45533</v>
      </c>
      <c r="E305" s="491" t="s">
        <v>15337</v>
      </c>
      <c r="G305" s="445"/>
    </row>
    <row r="306" spans="2:7">
      <c r="B306" s="407">
        <v>2408</v>
      </c>
      <c r="C306" s="407">
        <v>15601</v>
      </c>
      <c r="D306" s="408">
        <v>45533</v>
      </c>
      <c r="E306" s="491" t="s">
        <v>15338</v>
      </c>
      <c r="G306" s="445"/>
    </row>
    <row r="307" spans="2:7">
      <c r="B307" s="407">
        <v>2408</v>
      </c>
      <c r="C307" s="407">
        <v>15585</v>
      </c>
      <c r="D307" s="408">
        <v>45533</v>
      </c>
      <c r="E307" s="491" t="s">
        <v>15339</v>
      </c>
      <c r="G307" s="445"/>
    </row>
    <row r="308" spans="2:7">
      <c r="B308" s="407">
        <v>2408</v>
      </c>
      <c r="C308" s="407">
        <v>15379</v>
      </c>
      <c r="D308" s="408">
        <v>45535</v>
      </c>
      <c r="E308" s="491" t="s">
        <v>15351</v>
      </c>
      <c r="G308" s="445"/>
    </row>
    <row r="309" spans="2:7">
      <c r="B309" s="407">
        <v>2408</v>
      </c>
      <c r="C309" s="407">
        <v>15119</v>
      </c>
      <c r="D309" s="408">
        <v>45535</v>
      </c>
      <c r="E309" s="491" t="s">
        <v>15353</v>
      </c>
      <c r="G309" s="445"/>
    </row>
    <row r="310" spans="2:7">
      <c r="B310" s="407">
        <v>2408</v>
      </c>
      <c r="C310" s="407">
        <v>13920</v>
      </c>
      <c r="D310" s="408">
        <v>45535</v>
      </c>
      <c r="E310" s="491" t="s">
        <v>15352</v>
      </c>
      <c r="G310" s="445"/>
    </row>
    <row r="311" spans="2:7">
      <c r="B311" s="409">
        <v>2408</v>
      </c>
      <c r="C311" s="409">
        <v>9869</v>
      </c>
      <c r="D311" s="410">
        <v>45535</v>
      </c>
      <c r="E311" s="424" t="s">
        <v>15354</v>
      </c>
      <c r="G311" s="445"/>
    </row>
    <row r="312" spans="2:7">
      <c r="B312" s="492">
        <v>2408</v>
      </c>
      <c r="C312" s="492">
        <v>9834</v>
      </c>
      <c r="D312" s="493">
        <v>45535</v>
      </c>
      <c r="E312" s="491" t="s">
        <v>15356</v>
      </c>
      <c r="G312" s="445"/>
    </row>
    <row r="313" spans="2:7">
      <c r="B313" s="492">
        <v>2408</v>
      </c>
      <c r="C313" s="492">
        <v>8653</v>
      </c>
      <c r="D313" s="493">
        <v>45535</v>
      </c>
      <c r="E313" s="491" t="s">
        <v>15355</v>
      </c>
      <c r="G313" s="445"/>
    </row>
    <row r="314" spans="2:7">
      <c r="B314" s="407">
        <v>2408</v>
      </c>
      <c r="C314" s="407">
        <v>4633</v>
      </c>
      <c r="D314" s="408">
        <v>45513</v>
      </c>
      <c r="E314" s="462" t="s">
        <v>14863</v>
      </c>
      <c r="G314" s="445"/>
    </row>
    <row r="315" spans="2:7">
      <c r="B315" s="407">
        <v>2408</v>
      </c>
      <c r="C315" s="407">
        <v>4632</v>
      </c>
      <c r="D315" s="408">
        <v>45513</v>
      </c>
      <c r="E315" s="463" t="s">
        <v>14864</v>
      </c>
      <c r="G315" s="445"/>
    </row>
    <row r="316" spans="2:7">
      <c r="B316" s="407">
        <v>2408</v>
      </c>
      <c r="C316" s="407">
        <v>4631</v>
      </c>
      <c r="D316" s="408">
        <v>45513</v>
      </c>
      <c r="E316" s="463" t="s">
        <v>14865</v>
      </c>
      <c r="G316" s="445"/>
    </row>
    <row r="317" spans="2:7">
      <c r="B317" s="407">
        <v>2408</v>
      </c>
      <c r="C317" s="407">
        <v>4628</v>
      </c>
      <c r="D317" s="408">
        <v>45513</v>
      </c>
      <c r="E317" s="463" t="s">
        <v>14866</v>
      </c>
      <c r="G317" s="445"/>
    </row>
    <row r="318" spans="2:7">
      <c r="B318" s="407">
        <v>2408</v>
      </c>
      <c r="C318" s="407">
        <v>4619</v>
      </c>
      <c r="D318" s="408">
        <v>45513</v>
      </c>
      <c r="E318" s="463" t="s">
        <v>14867</v>
      </c>
      <c r="G318" s="445"/>
    </row>
    <row r="319" spans="2:7">
      <c r="B319" s="407">
        <v>2408</v>
      </c>
      <c r="C319" s="407">
        <v>4614</v>
      </c>
      <c r="D319" s="408">
        <v>45513</v>
      </c>
      <c r="E319" s="463" t="s">
        <v>14868</v>
      </c>
      <c r="G319" s="445"/>
    </row>
    <row r="320" spans="2:7">
      <c r="B320" s="407">
        <v>2408</v>
      </c>
      <c r="C320" s="407">
        <v>4610</v>
      </c>
      <c r="D320" s="408">
        <v>45513</v>
      </c>
      <c r="E320" s="463" t="s">
        <v>14869</v>
      </c>
      <c r="G320" s="445"/>
    </row>
    <row r="321" spans="2:7">
      <c r="B321" s="407">
        <v>2408</v>
      </c>
      <c r="C321" s="407">
        <v>4606</v>
      </c>
      <c r="D321" s="408">
        <v>45513</v>
      </c>
      <c r="E321" s="463" t="s">
        <v>14870</v>
      </c>
      <c r="G321" s="445"/>
    </row>
    <row r="322" spans="2:7">
      <c r="B322" s="407">
        <v>2408</v>
      </c>
      <c r="C322" s="407">
        <v>4605</v>
      </c>
      <c r="D322" s="408">
        <v>45513</v>
      </c>
      <c r="E322" s="462" t="s">
        <v>14871</v>
      </c>
      <c r="G322" s="445"/>
    </row>
    <row r="323" spans="2:7">
      <c r="B323" s="407">
        <v>2408</v>
      </c>
      <c r="C323" s="407">
        <v>4604</v>
      </c>
      <c r="D323" s="408">
        <v>45513</v>
      </c>
      <c r="E323" s="462" t="s">
        <v>14872</v>
      </c>
      <c r="G323" s="445"/>
    </row>
    <row r="324" spans="2:7">
      <c r="B324" s="407">
        <v>2408</v>
      </c>
      <c r="C324" s="407">
        <v>4600</v>
      </c>
      <c r="D324" s="408">
        <v>45513</v>
      </c>
      <c r="E324" s="462" t="s">
        <v>14873</v>
      </c>
      <c r="G324" s="445"/>
    </row>
    <row r="325" spans="2:7">
      <c r="B325" s="407">
        <v>2408</v>
      </c>
      <c r="C325" s="407">
        <v>4596</v>
      </c>
      <c r="D325" s="408">
        <v>45513</v>
      </c>
      <c r="E325" s="463" t="s">
        <v>14874</v>
      </c>
      <c r="G325" s="445"/>
    </row>
    <row r="326" spans="2:7">
      <c r="B326" s="407">
        <v>2408</v>
      </c>
      <c r="C326" s="407">
        <v>4594</v>
      </c>
      <c r="D326" s="408">
        <v>45513</v>
      </c>
      <c r="E326" s="463" t="s">
        <v>14875</v>
      </c>
      <c r="G326" s="445"/>
    </row>
    <row r="327" spans="2:7">
      <c r="B327" s="407">
        <v>2408</v>
      </c>
      <c r="C327" s="407">
        <v>4593</v>
      </c>
      <c r="D327" s="408">
        <v>45513</v>
      </c>
      <c r="E327" s="463" t="s">
        <v>14877</v>
      </c>
      <c r="G327" s="445"/>
    </row>
    <row r="328" spans="2:7">
      <c r="B328" s="407">
        <v>2408</v>
      </c>
      <c r="C328" s="407">
        <v>4591</v>
      </c>
      <c r="D328" s="408">
        <v>45513</v>
      </c>
      <c r="E328" s="463" t="s">
        <v>14878</v>
      </c>
      <c r="G328" s="445"/>
    </row>
    <row r="329" spans="2:7">
      <c r="B329" s="407">
        <v>2408</v>
      </c>
      <c r="C329" s="407">
        <v>4590</v>
      </c>
      <c r="D329" s="408">
        <v>45513</v>
      </c>
      <c r="E329" s="463" t="s">
        <v>14879</v>
      </c>
      <c r="G329" s="445"/>
    </row>
    <row r="330" spans="2:7">
      <c r="B330" s="407">
        <v>2408</v>
      </c>
      <c r="C330" s="407">
        <v>4586</v>
      </c>
      <c r="D330" s="408">
        <v>45513</v>
      </c>
      <c r="E330" s="463" t="s">
        <v>14880</v>
      </c>
      <c r="G330" s="445"/>
    </row>
    <row r="331" spans="2:7">
      <c r="B331" s="407">
        <v>2408</v>
      </c>
      <c r="C331" s="407">
        <v>4585</v>
      </c>
      <c r="D331" s="408">
        <v>45513</v>
      </c>
      <c r="E331" s="463" t="s">
        <v>14881</v>
      </c>
      <c r="G331" s="445"/>
    </row>
    <row r="332" spans="2:7">
      <c r="B332" s="407">
        <v>2408</v>
      </c>
      <c r="C332" s="407">
        <v>4583</v>
      </c>
      <c r="D332" s="408">
        <v>45513</v>
      </c>
      <c r="E332" s="463" t="s">
        <v>14882</v>
      </c>
      <c r="G332" s="445"/>
    </row>
    <row r="333" spans="2:7">
      <c r="B333" s="407">
        <v>2408</v>
      </c>
      <c r="C333" s="407">
        <v>4579</v>
      </c>
      <c r="D333" s="408">
        <v>45513</v>
      </c>
      <c r="E333" s="463" t="s">
        <v>14883</v>
      </c>
      <c r="G333" s="445"/>
    </row>
    <row r="334" spans="2:7">
      <c r="B334" s="407">
        <v>2408</v>
      </c>
      <c r="C334" s="407">
        <v>4575</v>
      </c>
      <c r="D334" s="408">
        <v>45513</v>
      </c>
      <c r="E334" s="463" t="s">
        <v>14884</v>
      </c>
      <c r="G334" s="445"/>
    </row>
    <row r="335" spans="2:7">
      <c r="B335" s="407">
        <v>2408</v>
      </c>
      <c r="C335" s="407">
        <v>4574</v>
      </c>
      <c r="D335" s="408">
        <v>45513</v>
      </c>
      <c r="E335" s="463" t="s">
        <v>14885</v>
      </c>
      <c r="G335" s="445"/>
    </row>
    <row r="336" spans="2:7">
      <c r="B336" s="407">
        <v>2408</v>
      </c>
      <c r="C336" s="407">
        <v>4569</v>
      </c>
      <c r="D336" s="408">
        <v>45513</v>
      </c>
      <c r="E336" s="463" t="s">
        <v>14886</v>
      </c>
      <c r="G336" s="445"/>
    </row>
    <row r="337" spans="2:7">
      <c r="B337" s="407">
        <v>2408</v>
      </c>
      <c r="C337" s="407">
        <v>4568</v>
      </c>
      <c r="D337" s="408">
        <v>45513</v>
      </c>
      <c r="E337" s="463" t="s">
        <v>14887</v>
      </c>
      <c r="G337" s="445"/>
    </row>
    <row r="338" spans="2:7">
      <c r="B338" s="407">
        <v>2408</v>
      </c>
      <c r="C338" s="407">
        <v>4567</v>
      </c>
      <c r="D338" s="408">
        <v>45513</v>
      </c>
      <c r="E338" s="463" t="s">
        <v>14888</v>
      </c>
      <c r="G338" s="445"/>
    </row>
    <row r="339" spans="2:7">
      <c r="B339" s="407">
        <v>2408</v>
      </c>
      <c r="C339" s="407">
        <v>4560</v>
      </c>
      <c r="D339" s="408">
        <v>45513</v>
      </c>
      <c r="E339" s="463" t="s">
        <v>14889</v>
      </c>
      <c r="G339" s="445"/>
    </row>
    <row r="340" spans="2:7">
      <c r="B340" s="407">
        <v>2408</v>
      </c>
      <c r="C340" s="407">
        <v>4556</v>
      </c>
      <c r="D340" s="408">
        <v>45513</v>
      </c>
      <c r="E340" s="463" t="s">
        <v>14890</v>
      </c>
      <c r="G340" s="445"/>
    </row>
    <row r="341" spans="2:7">
      <c r="B341" s="407">
        <v>2408</v>
      </c>
      <c r="C341" s="407">
        <v>4549</v>
      </c>
      <c r="D341" s="408">
        <v>45513</v>
      </c>
      <c r="E341" s="463" t="s">
        <v>14891</v>
      </c>
      <c r="G341" s="445"/>
    </row>
    <row r="342" spans="2:7">
      <c r="B342" s="407">
        <v>2408</v>
      </c>
      <c r="C342" s="407">
        <v>4547</v>
      </c>
      <c r="D342" s="408">
        <v>45513</v>
      </c>
      <c r="E342" s="463" t="s">
        <v>14892</v>
      </c>
      <c r="G342" s="445"/>
    </row>
    <row r="343" spans="2:7">
      <c r="B343" s="407">
        <v>2408</v>
      </c>
      <c r="C343" s="407">
        <v>4532</v>
      </c>
      <c r="D343" s="408">
        <v>45513</v>
      </c>
      <c r="E343" s="463" t="s">
        <v>14893</v>
      </c>
      <c r="G343" s="445"/>
    </row>
    <row r="344" spans="2:7">
      <c r="B344" s="407">
        <v>2408</v>
      </c>
      <c r="C344" s="407">
        <v>4526</v>
      </c>
      <c r="D344" s="408">
        <v>45513</v>
      </c>
      <c r="E344" s="463" t="s">
        <v>14894</v>
      </c>
      <c r="G344" s="445"/>
    </row>
    <row r="345" spans="2:7">
      <c r="B345" s="407">
        <v>2408</v>
      </c>
      <c r="C345" s="407">
        <v>4523</v>
      </c>
      <c r="D345" s="408">
        <v>45513</v>
      </c>
      <c r="E345" s="463" t="s">
        <v>14895</v>
      </c>
      <c r="G345" s="445"/>
    </row>
    <row r="346" spans="2:7">
      <c r="B346" s="407">
        <v>2408</v>
      </c>
      <c r="C346" s="407">
        <v>4520</v>
      </c>
      <c r="D346" s="408">
        <v>45513</v>
      </c>
      <c r="E346" s="463" t="s">
        <v>14896</v>
      </c>
      <c r="G346" s="445"/>
    </row>
    <row r="347" spans="2:7">
      <c r="B347" s="407">
        <v>2408</v>
      </c>
      <c r="C347" s="407">
        <v>4519</v>
      </c>
      <c r="D347" s="408">
        <v>45513</v>
      </c>
      <c r="E347" s="463" t="s">
        <v>14897</v>
      </c>
      <c r="G347" s="445"/>
    </row>
    <row r="348" spans="2:7">
      <c r="B348" s="407">
        <v>2408</v>
      </c>
      <c r="C348" s="407">
        <v>4515</v>
      </c>
      <c r="D348" s="408">
        <v>45513</v>
      </c>
      <c r="E348" s="463" t="s">
        <v>14898</v>
      </c>
      <c r="G348" s="445"/>
    </row>
    <row r="349" spans="2:7">
      <c r="B349" s="407">
        <v>2408</v>
      </c>
      <c r="C349" s="407">
        <v>4514</v>
      </c>
      <c r="D349" s="408">
        <v>45513</v>
      </c>
      <c r="E349" s="463" t="s">
        <v>14899</v>
      </c>
      <c r="G349" s="445"/>
    </row>
    <row r="350" spans="2:7">
      <c r="B350" s="407">
        <v>2408</v>
      </c>
      <c r="C350" s="407">
        <v>4505</v>
      </c>
      <c r="D350" s="408">
        <v>45513</v>
      </c>
      <c r="E350" s="463" t="s">
        <v>14900</v>
      </c>
      <c r="G350" s="445"/>
    </row>
    <row r="351" spans="2:7">
      <c r="B351" s="407">
        <v>2408</v>
      </c>
      <c r="C351" s="407">
        <v>4499</v>
      </c>
      <c r="D351" s="408">
        <v>45513</v>
      </c>
      <c r="E351" s="463" t="s">
        <v>14901</v>
      </c>
      <c r="G351" s="445"/>
    </row>
    <row r="352" spans="2:7">
      <c r="B352" s="407">
        <v>2408</v>
      </c>
      <c r="C352" s="407">
        <v>4498</v>
      </c>
      <c r="D352" s="408">
        <v>45513</v>
      </c>
      <c r="E352" s="463" t="s">
        <v>14902</v>
      </c>
      <c r="G352" s="445"/>
    </row>
    <row r="353" spans="2:7">
      <c r="B353" s="407">
        <v>2408</v>
      </c>
      <c r="C353" s="407">
        <v>4491</v>
      </c>
      <c r="D353" s="408">
        <v>45513</v>
      </c>
      <c r="E353" s="463" t="s">
        <v>14903</v>
      </c>
      <c r="G353" s="445"/>
    </row>
    <row r="354" spans="2:7">
      <c r="B354" s="407">
        <v>2408</v>
      </c>
      <c r="C354" s="407">
        <v>4486</v>
      </c>
      <c r="D354" s="408">
        <v>45513</v>
      </c>
      <c r="E354" s="463" t="s">
        <v>14904</v>
      </c>
      <c r="G354" s="445"/>
    </row>
    <row r="355" spans="2:7">
      <c r="B355" s="407">
        <v>2408</v>
      </c>
      <c r="C355" s="407">
        <v>4478</v>
      </c>
      <c r="D355" s="408">
        <v>45513</v>
      </c>
      <c r="E355" s="463" t="s">
        <v>14905</v>
      </c>
      <c r="G355" s="445"/>
    </row>
    <row r="356" spans="2:7">
      <c r="B356" s="407">
        <v>2408</v>
      </c>
      <c r="C356" s="407">
        <v>4477</v>
      </c>
      <c r="D356" s="408">
        <v>45513</v>
      </c>
      <c r="E356" s="463" t="s">
        <v>14906</v>
      </c>
      <c r="G356" s="445"/>
    </row>
    <row r="357" spans="2:7">
      <c r="B357" s="407">
        <v>2408</v>
      </c>
      <c r="C357" s="407">
        <v>4472</v>
      </c>
      <c r="D357" s="408">
        <v>45513</v>
      </c>
      <c r="E357" s="463" t="s">
        <v>14907</v>
      </c>
      <c r="G357" s="445"/>
    </row>
    <row r="358" spans="2:7">
      <c r="B358" s="407">
        <v>2408</v>
      </c>
      <c r="C358" s="407">
        <v>4471</v>
      </c>
      <c r="D358" s="408">
        <v>45513</v>
      </c>
      <c r="E358" s="463" t="s">
        <v>14908</v>
      </c>
      <c r="G358" s="445"/>
    </row>
    <row r="359" spans="2:7">
      <c r="B359" s="407">
        <v>2408</v>
      </c>
      <c r="C359" s="407">
        <v>4460</v>
      </c>
      <c r="D359" s="408">
        <v>45513</v>
      </c>
      <c r="E359" s="463" t="s">
        <v>14910</v>
      </c>
      <c r="G359" s="445"/>
    </row>
    <row r="360" spans="2:7">
      <c r="B360" s="407">
        <v>2408</v>
      </c>
      <c r="C360" s="407">
        <v>4449</v>
      </c>
      <c r="D360" s="408">
        <v>45513</v>
      </c>
      <c r="E360" s="463" t="s">
        <v>14911</v>
      </c>
      <c r="G360" s="445"/>
    </row>
    <row r="361" spans="2:7">
      <c r="B361" s="407">
        <v>2408</v>
      </c>
      <c r="C361" s="407">
        <v>4443</v>
      </c>
      <c r="D361" s="408">
        <v>45513</v>
      </c>
      <c r="E361" s="463" t="s">
        <v>14912</v>
      </c>
      <c r="G361" s="445"/>
    </row>
    <row r="362" spans="2:7">
      <c r="B362" s="407">
        <v>2408</v>
      </c>
      <c r="C362" s="407">
        <v>4439</v>
      </c>
      <c r="D362" s="408">
        <v>45513</v>
      </c>
      <c r="E362" s="463" t="s">
        <v>14913</v>
      </c>
      <c r="G362" s="445"/>
    </row>
    <row r="363" spans="2:7">
      <c r="B363" s="407">
        <v>2408</v>
      </c>
      <c r="C363" s="407">
        <v>4430</v>
      </c>
      <c r="D363" s="408">
        <v>45513</v>
      </c>
      <c r="E363" s="463" t="s">
        <v>14914</v>
      </c>
      <c r="G363" s="445"/>
    </row>
    <row r="364" spans="2:7">
      <c r="B364" s="407">
        <v>2408</v>
      </c>
      <c r="C364" s="407">
        <v>4426</v>
      </c>
      <c r="D364" s="408">
        <v>45513</v>
      </c>
      <c r="E364" s="463" t="s">
        <v>14915</v>
      </c>
      <c r="G364" s="445"/>
    </row>
    <row r="365" spans="2:7">
      <c r="B365" s="407">
        <v>2408</v>
      </c>
      <c r="C365" s="407">
        <v>4424</v>
      </c>
      <c r="D365" s="408">
        <v>45513</v>
      </c>
      <c r="E365" s="463" t="s">
        <v>14916</v>
      </c>
      <c r="G365" s="445"/>
    </row>
    <row r="366" spans="2:7">
      <c r="B366" s="407">
        <v>2408</v>
      </c>
      <c r="C366" s="407">
        <v>4423</v>
      </c>
      <c r="D366" s="408">
        <v>45513</v>
      </c>
      <c r="E366" s="463" t="s">
        <v>14917</v>
      </c>
      <c r="G366" s="445"/>
    </row>
    <row r="367" spans="2:7">
      <c r="B367" s="407">
        <v>2408</v>
      </c>
      <c r="C367" s="407">
        <v>4420</v>
      </c>
      <c r="D367" s="408">
        <v>45513</v>
      </c>
      <c r="E367" s="463" t="s">
        <v>14918</v>
      </c>
      <c r="G367" s="445"/>
    </row>
    <row r="368" spans="2:7">
      <c r="B368" s="407">
        <v>2408</v>
      </c>
      <c r="C368" s="407">
        <v>4414</v>
      </c>
      <c r="D368" s="408">
        <v>45513</v>
      </c>
      <c r="E368" s="463" t="s">
        <v>14919</v>
      </c>
      <c r="G368" s="445"/>
    </row>
    <row r="369" spans="2:7">
      <c r="B369" s="407">
        <v>2408</v>
      </c>
      <c r="C369" s="407">
        <v>4407</v>
      </c>
      <c r="D369" s="408">
        <v>45513</v>
      </c>
      <c r="E369" s="463" t="s">
        <v>14920</v>
      </c>
      <c r="G369" s="445"/>
    </row>
    <row r="370" spans="2:7">
      <c r="B370" s="407">
        <v>2408</v>
      </c>
      <c r="C370" s="407">
        <v>4406</v>
      </c>
      <c r="D370" s="408">
        <v>45513</v>
      </c>
      <c r="E370" s="463" t="s">
        <v>14921</v>
      </c>
      <c r="G370" s="445"/>
    </row>
    <row r="371" spans="2:7">
      <c r="B371" s="407">
        <v>2408</v>
      </c>
      <c r="C371" s="407">
        <v>4403</v>
      </c>
      <c r="D371" s="408">
        <v>45513</v>
      </c>
      <c r="E371" s="463" t="s">
        <v>14922</v>
      </c>
      <c r="G371" s="445"/>
    </row>
    <row r="372" spans="2:7">
      <c r="B372" s="407">
        <v>2408</v>
      </c>
      <c r="C372" s="407">
        <v>4396</v>
      </c>
      <c r="D372" s="408">
        <v>45513</v>
      </c>
      <c r="E372" s="463" t="s">
        <v>14923</v>
      </c>
      <c r="G372" s="445"/>
    </row>
    <row r="373" spans="2:7">
      <c r="B373" s="407">
        <v>2408</v>
      </c>
      <c r="C373" s="407">
        <v>4394</v>
      </c>
      <c r="D373" s="408">
        <v>45513</v>
      </c>
      <c r="E373" s="481" t="s">
        <v>14987</v>
      </c>
      <c r="G373" s="445"/>
    </row>
    <row r="374" spans="2:7">
      <c r="B374" s="407">
        <v>2408</v>
      </c>
      <c r="C374" s="407">
        <v>4392</v>
      </c>
      <c r="D374" s="408">
        <v>45513</v>
      </c>
      <c r="E374" s="481" t="s">
        <v>14988</v>
      </c>
      <c r="G374" s="445"/>
    </row>
    <row r="375" spans="2:7">
      <c r="B375" s="407">
        <v>2408</v>
      </c>
      <c r="C375" s="407">
        <v>4391</v>
      </c>
      <c r="D375" s="408">
        <v>45513</v>
      </c>
      <c r="E375" s="481" t="s">
        <v>14989</v>
      </c>
      <c r="G375" s="445"/>
    </row>
    <row r="376" spans="2:7">
      <c r="B376" s="407">
        <v>2408</v>
      </c>
      <c r="C376" s="407">
        <v>4388</v>
      </c>
      <c r="D376" s="408">
        <v>45513</v>
      </c>
      <c r="E376" s="481" t="s">
        <v>14990</v>
      </c>
      <c r="G376" s="445"/>
    </row>
    <row r="377" spans="2:7">
      <c r="B377" s="407">
        <v>2408</v>
      </c>
      <c r="C377" s="407">
        <v>4385</v>
      </c>
      <c r="D377" s="408">
        <v>45513</v>
      </c>
      <c r="E377" s="481" t="s">
        <v>14991</v>
      </c>
      <c r="G377" s="445"/>
    </row>
    <row r="378" spans="2:7">
      <c r="B378" s="407">
        <v>2408</v>
      </c>
      <c r="C378" s="407">
        <v>4381</v>
      </c>
      <c r="D378" s="408">
        <v>45513</v>
      </c>
      <c r="E378" s="481" t="s">
        <v>14992</v>
      </c>
      <c r="G378" s="445"/>
    </row>
    <row r="379" spans="2:7">
      <c r="B379" s="407">
        <v>2408</v>
      </c>
      <c r="C379" s="407">
        <v>4380</v>
      </c>
      <c r="D379" s="408">
        <v>45513</v>
      </c>
      <c r="E379" s="481" t="s">
        <v>14993</v>
      </c>
      <c r="G379" s="445"/>
    </row>
    <row r="380" spans="2:7">
      <c r="B380" s="407">
        <v>2408</v>
      </c>
      <c r="C380" s="407">
        <v>4378</v>
      </c>
      <c r="D380" s="408">
        <v>45513</v>
      </c>
      <c r="E380" s="481" t="s">
        <v>14994</v>
      </c>
      <c r="G380" s="445"/>
    </row>
    <row r="381" spans="2:7">
      <c r="B381" s="407">
        <v>2408</v>
      </c>
      <c r="C381" s="407">
        <v>4376</v>
      </c>
      <c r="D381" s="408">
        <v>45513</v>
      </c>
      <c r="E381" s="481" t="s">
        <v>14995</v>
      </c>
      <c r="G381" s="445"/>
    </row>
    <row r="382" spans="2:7">
      <c r="B382" s="407">
        <v>2408</v>
      </c>
      <c r="C382" s="407">
        <v>4367</v>
      </c>
      <c r="D382" s="408">
        <v>45513</v>
      </c>
      <c r="E382" s="481" t="s">
        <v>14996</v>
      </c>
      <c r="G382" s="445"/>
    </row>
    <row r="383" spans="2:7">
      <c r="B383" s="407">
        <v>2408</v>
      </c>
      <c r="C383" s="407">
        <v>4363</v>
      </c>
      <c r="D383" s="408">
        <v>45513</v>
      </c>
      <c r="E383" s="481" t="s">
        <v>14997</v>
      </c>
      <c r="G383" s="445"/>
    </row>
    <row r="384" spans="2:7">
      <c r="B384" s="407">
        <v>2408</v>
      </c>
      <c r="C384" s="407">
        <v>4362</v>
      </c>
      <c r="D384" s="408">
        <v>45513</v>
      </c>
      <c r="E384" s="481" t="s">
        <v>14998</v>
      </c>
      <c r="G384" s="445"/>
    </row>
    <row r="385" spans="2:7">
      <c r="B385" s="407">
        <v>2408</v>
      </c>
      <c r="C385" s="407">
        <v>4347</v>
      </c>
      <c r="D385" s="408">
        <v>45513</v>
      </c>
      <c r="E385" s="481" t="s">
        <v>14999</v>
      </c>
      <c r="G385" s="445"/>
    </row>
    <row r="386" spans="2:7">
      <c r="B386" s="407">
        <v>2408</v>
      </c>
      <c r="C386" s="407">
        <v>4344</v>
      </c>
      <c r="D386" s="408">
        <v>45513</v>
      </c>
      <c r="E386" s="481" t="s">
        <v>15000</v>
      </c>
      <c r="G386" s="445"/>
    </row>
    <row r="387" spans="2:7">
      <c r="B387" s="407">
        <v>2408</v>
      </c>
      <c r="C387" s="407">
        <v>4343</v>
      </c>
      <c r="D387" s="408">
        <v>45513</v>
      </c>
      <c r="E387" s="481" t="s">
        <v>15001</v>
      </c>
      <c r="G387" s="445"/>
    </row>
    <row r="388" spans="2:7">
      <c r="B388" s="407">
        <v>2408</v>
      </c>
      <c r="C388" s="407">
        <v>4342</v>
      </c>
      <c r="D388" s="408">
        <v>45513</v>
      </c>
      <c r="E388" s="481" t="s">
        <v>15002</v>
      </c>
      <c r="G388" s="445"/>
    </row>
    <row r="389" spans="2:7">
      <c r="B389" s="407">
        <v>2408</v>
      </c>
      <c r="C389" s="407">
        <v>4326</v>
      </c>
      <c r="D389" s="408">
        <v>45513</v>
      </c>
      <c r="E389" s="481" t="s">
        <v>15003</v>
      </c>
      <c r="G389" s="445"/>
    </row>
    <row r="390" spans="2:7">
      <c r="B390" s="407">
        <v>2408</v>
      </c>
      <c r="C390" s="407">
        <v>4325</v>
      </c>
      <c r="D390" s="408">
        <v>45513</v>
      </c>
      <c r="E390" s="481" t="s">
        <v>15004</v>
      </c>
      <c r="G390" s="445"/>
    </row>
    <row r="391" spans="2:7">
      <c r="B391" s="407">
        <v>2408</v>
      </c>
      <c r="C391" s="407">
        <v>4323</v>
      </c>
      <c r="D391" s="408">
        <v>45513</v>
      </c>
      <c r="E391" s="481" t="s">
        <v>15005</v>
      </c>
      <c r="G391" s="445"/>
    </row>
    <row r="392" spans="2:7">
      <c r="B392" s="407">
        <v>2408</v>
      </c>
      <c r="C392" s="407">
        <v>4318</v>
      </c>
      <c r="D392" s="408">
        <v>45513</v>
      </c>
      <c r="E392" s="481" t="s">
        <v>15006</v>
      </c>
      <c r="G392" s="445"/>
    </row>
    <row r="393" spans="2:7">
      <c r="B393" s="407">
        <v>2408</v>
      </c>
      <c r="C393" s="407">
        <v>4317</v>
      </c>
      <c r="D393" s="408">
        <v>45513</v>
      </c>
      <c r="E393" s="481" t="s">
        <v>15007</v>
      </c>
      <c r="G393" s="445"/>
    </row>
    <row r="394" spans="2:7">
      <c r="B394" s="407">
        <v>2408</v>
      </c>
      <c r="C394" s="407">
        <v>4311</v>
      </c>
      <c r="D394" s="408">
        <v>45513</v>
      </c>
      <c r="E394" s="481" t="s">
        <v>15008</v>
      </c>
      <c r="G394" s="445"/>
    </row>
    <row r="395" spans="2:7">
      <c r="B395" s="407">
        <v>2408</v>
      </c>
      <c r="C395" s="407">
        <v>4309</v>
      </c>
      <c r="D395" s="408">
        <v>45513</v>
      </c>
      <c r="E395" s="481" t="s">
        <v>15009</v>
      </c>
      <c r="G395" s="445"/>
    </row>
    <row r="396" spans="2:7">
      <c r="B396" s="407">
        <v>2408</v>
      </c>
      <c r="C396" s="407">
        <v>4307</v>
      </c>
      <c r="D396" s="408">
        <v>45513</v>
      </c>
      <c r="E396" s="481" t="s">
        <v>15010</v>
      </c>
      <c r="G396" s="445"/>
    </row>
    <row r="397" spans="2:7">
      <c r="B397" s="407">
        <v>2408</v>
      </c>
      <c r="C397" s="407">
        <v>4304</v>
      </c>
      <c r="D397" s="408">
        <v>45513</v>
      </c>
      <c r="E397" s="481" t="s">
        <v>15011</v>
      </c>
      <c r="G397" s="445"/>
    </row>
    <row r="398" spans="2:7">
      <c r="B398" s="407">
        <v>2408</v>
      </c>
      <c r="C398" s="407">
        <v>4303</v>
      </c>
      <c r="D398" s="408">
        <v>45513</v>
      </c>
      <c r="E398" s="481" t="s">
        <v>15012</v>
      </c>
      <c r="G398" s="445"/>
    </row>
    <row r="399" spans="2:7">
      <c r="B399" s="407">
        <v>2408</v>
      </c>
      <c r="C399" s="407">
        <v>4300</v>
      </c>
      <c r="D399" s="408">
        <v>45513</v>
      </c>
      <c r="E399" s="481" t="s">
        <v>15013</v>
      </c>
      <c r="G399" s="445"/>
    </row>
    <row r="400" spans="2:7">
      <c r="B400" s="407">
        <v>2408</v>
      </c>
      <c r="C400" s="407">
        <v>4299</v>
      </c>
      <c r="D400" s="408">
        <v>45513</v>
      </c>
      <c r="E400" s="481" t="s">
        <v>15014</v>
      </c>
      <c r="G400" s="445"/>
    </row>
    <row r="401" spans="2:7">
      <c r="B401" s="407">
        <v>2408</v>
      </c>
      <c r="C401" s="407">
        <v>4295</v>
      </c>
      <c r="D401" s="408">
        <v>45513</v>
      </c>
      <c r="E401" s="481" t="s">
        <v>15015</v>
      </c>
      <c r="G401" s="445"/>
    </row>
    <row r="402" spans="2:7">
      <c r="B402" s="407">
        <v>2408</v>
      </c>
      <c r="C402" s="407">
        <v>4294</v>
      </c>
      <c r="D402" s="408">
        <v>45513</v>
      </c>
      <c r="E402" s="481" t="s">
        <v>15016</v>
      </c>
      <c r="G402" s="445"/>
    </row>
    <row r="403" spans="2:7">
      <c r="B403" s="407">
        <v>2408</v>
      </c>
      <c r="C403" s="407">
        <v>4290</v>
      </c>
      <c r="D403" s="408">
        <v>45513</v>
      </c>
      <c r="E403" s="481" t="s">
        <v>15017</v>
      </c>
      <c r="G403" s="445"/>
    </row>
    <row r="404" spans="2:7">
      <c r="B404" s="407">
        <v>2408</v>
      </c>
      <c r="C404" s="407">
        <v>4289</v>
      </c>
      <c r="D404" s="408">
        <v>45513</v>
      </c>
      <c r="E404" s="481" t="s">
        <v>15018</v>
      </c>
      <c r="G404" s="445"/>
    </row>
    <row r="405" spans="2:7">
      <c r="B405" s="407">
        <v>2408</v>
      </c>
      <c r="C405" s="407">
        <v>4288</v>
      </c>
      <c r="D405" s="408">
        <v>45513</v>
      </c>
      <c r="E405" s="481" t="s">
        <v>15019</v>
      </c>
      <c r="G405" s="445"/>
    </row>
    <row r="406" spans="2:7">
      <c r="B406" s="407">
        <v>2408</v>
      </c>
      <c r="C406" s="407">
        <v>4284</v>
      </c>
      <c r="D406" s="408">
        <v>45513</v>
      </c>
      <c r="E406" s="481" t="s">
        <v>15020</v>
      </c>
      <c r="G406" s="445"/>
    </row>
    <row r="407" spans="2:7">
      <c r="B407" s="407">
        <v>2408</v>
      </c>
      <c r="C407" s="407">
        <v>4283</v>
      </c>
      <c r="D407" s="408">
        <v>45513</v>
      </c>
      <c r="E407" s="481" t="s">
        <v>15021</v>
      </c>
      <c r="G407" s="445"/>
    </row>
    <row r="408" spans="2:7">
      <c r="B408" s="407">
        <v>2408</v>
      </c>
      <c r="C408" s="407">
        <v>4281</v>
      </c>
      <c r="D408" s="408">
        <v>45513</v>
      </c>
      <c r="E408" s="481" t="s">
        <v>15022</v>
      </c>
      <c r="G408" s="445"/>
    </row>
    <row r="409" spans="2:7">
      <c r="B409" s="407">
        <v>2408</v>
      </c>
      <c r="C409" s="407">
        <v>4278</v>
      </c>
      <c r="D409" s="408">
        <v>45513</v>
      </c>
      <c r="E409" s="481" t="s">
        <v>15023</v>
      </c>
      <c r="G409" s="445"/>
    </row>
    <row r="410" spans="2:7">
      <c r="B410" s="407">
        <v>2408</v>
      </c>
      <c r="C410" s="407">
        <v>4277</v>
      </c>
      <c r="D410" s="408">
        <v>45513</v>
      </c>
      <c r="E410" s="481" t="s">
        <v>15024</v>
      </c>
      <c r="G410" s="445"/>
    </row>
    <row r="411" spans="2:7">
      <c r="B411" s="407">
        <v>2408</v>
      </c>
      <c r="C411" s="407">
        <v>4276</v>
      </c>
      <c r="D411" s="408">
        <v>45513</v>
      </c>
      <c r="E411" s="481" t="s">
        <v>15025</v>
      </c>
      <c r="G411" s="445"/>
    </row>
    <row r="412" spans="2:7">
      <c r="B412" s="407">
        <v>2408</v>
      </c>
      <c r="C412" s="407">
        <v>4275</v>
      </c>
      <c r="D412" s="408">
        <v>45513</v>
      </c>
      <c r="E412" s="481" t="s">
        <v>15026</v>
      </c>
      <c r="G412" s="445"/>
    </row>
    <row r="413" spans="2:7">
      <c r="B413" s="407">
        <v>2408</v>
      </c>
      <c r="C413" s="407">
        <v>4273</v>
      </c>
      <c r="D413" s="408">
        <v>45513</v>
      </c>
      <c r="E413" s="481" t="s">
        <v>15027</v>
      </c>
      <c r="G413" s="445"/>
    </row>
    <row r="414" spans="2:7">
      <c r="B414" s="407">
        <v>2408</v>
      </c>
      <c r="C414" s="407">
        <v>4270</v>
      </c>
      <c r="D414" s="408">
        <v>45513</v>
      </c>
      <c r="E414" s="481" t="s">
        <v>15028</v>
      </c>
      <c r="G414" s="445"/>
    </row>
    <row r="415" spans="2:7">
      <c r="B415" s="407">
        <v>2408</v>
      </c>
      <c r="C415" s="407">
        <v>4268</v>
      </c>
      <c r="D415" s="408">
        <v>45513</v>
      </c>
      <c r="E415" s="481" t="s">
        <v>15029</v>
      </c>
      <c r="G415" s="445"/>
    </row>
    <row r="416" spans="2:7">
      <c r="B416" s="407">
        <v>2408</v>
      </c>
      <c r="C416" s="407">
        <v>4267</v>
      </c>
      <c r="D416" s="408">
        <v>45513</v>
      </c>
      <c r="E416" s="481" t="s">
        <v>15030</v>
      </c>
      <c r="G416" s="445"/>
    </row>
    <row r="417" spans="2:7">
      <c r="B417" s="407">
        <v>2408</v>
      </c>
      <c r="C417" s="407">
        <v>4262</v>
      </c>
      <c r="D417" s="408">
        <v>45513</v>
      </c>
      <c r="E417" s="481" t="s">
        <v>15031</v>
      </c>
      <c r="G417" s="445"/>
    </row>
    <row r="418" spans="2:7">
      <c r="B418" s="407">
        <v>2408</v>
      </c>
      <c r="C418" s="407">
        <v>4259</v>
      </c>
      <c r="D418" s="408">
        <v>45513</v>
      </c>
      <c r="E418" s="481" t="s">
        <v>15032</v>
      </c>
      <c r="G418" s="445"/>
    </row>
    <row r="419" spans="2:7">
      <c r="B419" s="407">
        <v>2408</v>
      </c>
      <c r="C419" s="407">
        <v>4258</v>
      </c>
      <c r="D419" s="408">
        <v>45513</v>
      </c>
      <c r="E419" s="481" t="s">
        <v>15033</v>
      </c>
      <c r="G419" s="445"/>
    </row>
    <row r="420" spans="2:7">
      <c r="B420" s="407">
        <v>2408</v>
      </c>
      <c r="C420" s="407">
        <v>4251</v>
      </c>
      <c r="D420" s="408">
        <v>45513</v>
      </c>
      <c r="E420" s="481" t="s">
        <v>15034</v>
      </c>
      <c r="G420" s="445"/>
    </row>
    <row r="421" spans="2:7">
      <c r="B421" s="407">
        <v>2408</v>
      </c>
      <c r="C421" s="407">
        <v>4249</v>
      </c>
      <c r="D421" s="408">
        <v>45513</v>
      </c>
      <c r="E421" s="481" t="s">
        <v>15035</v>
      </c>
      <c r="G421" s="445"/>
    </row>
    <row r="422" spans="2:7">
      <c r="B422" s="407">
        <v>2408</v>
      </c>
      <c r="C422" s="407">
        <v>4246</v>
      </c>
      <c r="D422" s="408">
        <v>45513</v>
      </c>
      <c r="E422" s="481" t="s">
        <v>15036</v>
      </c>
      <c r="G422" s="445"/>
    </row>
    <row r="423" spans="2:7">
      <c r="B423" s="407">
        <v>2408</v>
      </c>
      <c r="C423" s="407">
        <v>4245</v>
      </c>
      <c r="D423" s="408">
        <v>45513</v>
      </c>
      <c r="E423" s="481" t="s">
        <v>15037</v>
      </c>
      <c r="G423" s="445"/>
    </row>
    <row r="424" spans="2:7">
      <c r="B424" s="407">
        <v>2408</v>
      </c>
      <c r="C424" s="407">
        <v>4243</v>
      </c>
      <c r="D424" s="408">
        <v>45513</v>
      </c>
      <c r="E424" s="481" t="s">
        <v>15038</v>
      </c>
      <c r="G424" s="445"/>
    </row>
    <row r="425" spans="2:7">
      <c r="B425" s="407">
        <v>2408</v>
      </c>
      <c r="C425" s="407">
        <v>4237</v>
      </c>
      <c r="D425" s="408">
        <v>45513</v>
      </c>
      <c r="E425" s="481" t="s">
        <v>15039</v>
      </c>
      <c r="G425" s="445"/>
    </row>
    <row r="426" spans="2:7">
      <c r="B426" s="407">
        <v>2408</v>
      </c>
      <c r="C426" s="407">
        <v>4235</v>
      </c>
      <c r="D426" s="408">
        <v>45513</v>
      </c>
      <c r="E426" s="481" t="s">
        <v>15040</v>
      </c>
      <c r="G426" s="445"/>
    </row>
    <row r="427" spans="2:7">
      <c r="B427" s="407">
        <v>2408</v>
      </c>
      <c r="C427" s="407">
        <v>4226</v>
      </c>
      <c r="D427" s="408">
        <v>45513</v>
      </c>
      <c r="E427" s="481" t="s">
        <v>15041</v>
      </c>
      <c r="G427" s="445"/>
    </row>
    <row r="428" spans="2:7">
      <c r="B428" s="407">
        <v>2408</v>
      </c>
      <c r="C428" s="407">
        <v>4224</v>
      </c>
      <c r="D428" s="408">
        <v>45513</v>
      </c>
      <c r="E428" s="481" t="s">
        <v>15042</v>
      </c>
      <c r="G428" s="445"/>
    </row>
    <row r="429" spans="2:7">
      <c r="B429" s="407">
        <v>2408</v>
      </c>
      <c r="C429" s="407">
        <v>4223</v>
      </c>
      <c r="D429" s="408">
        <v>45513</v>
      </c>
      <c r="E429" s="481" t="s">
        <v>15043</v>
      </c>
      <c r="G429" s="445"/>
    </row>
    <row r="430" spans="2:7">
      <c r="B430" s="407">
        <v>2408</v>
      </c>
      <c r="C430" s="407">
        <v>4221</v>
      </c>
      <c r="D430" s="408">
        <v>45513</v>
      </c>
      <c r="E430" s="481" t="s">
        <v>15044</v>
      </c>
      <c r="G430" s="445"/>
    </row>
    <row r="431" spans="2:7">
      <c r="B431" s="407">
        <v>2408</v>
      </c>
      <c r="C431" s="407">
        <v>4220</v>
      </c>
      <c r="D431" s="408">
        <v>45513</v>
      </c>
      <c r="E431" s="481" t="s">
        <v>15045</v>
      </c>
      <c r="G431" s="445"/>
    </row>
    <row r="432" spans="2:7">
      <c r="B432" s="407">
        <v>2408</v>
      </c>
      <c r="C432" s="407">
        <v>4217</v>
      </c>
      <c r="D432" s="408">
        <v>45513</v>
      </c>
      <c r="E432" s="481" t="s">
        <v>15046</v>
      </c>
      <c r="G432" s="445"/>
    </row>
    <row r="433" spans="2:7">
      <c r="B433" s="407">
        <v>2408</v>
      </c>
      <c r="C433" s="407">
        <v>4216</v>
      </c>
      <c r="D433" s="408">
        <v>45513</v>
      </c>
      <c r="E433" s="481" t="s">
        <v>15047</v>
      </c>
      <c r="G433" s="445"/>
    </row>
    <row r="434" spans="2:7">
      <c r="B434" s="407">
        <v>2408</v>
      </c>
      <c r="C434" s="407">
        <v>4212</v>
      </c>
      <c r="D434" s="408">
        <v>45513</v>
      </c>
      <c r="E434" s="481" t="s">
        <v>15048</v>
      </c>
      <c r="G434" s="445"/>
    </row>
    <row r="435" spans="2:7">
      <c r="B435" s="407">
        <v>2408</v>
      </c>
      <c r="C435" s="407">
        <v>4211</v>
      </c>
      <c r="D435" s="408">
        <v>45513</v>
      </c>
      <c r="E435" s="481" t="s">
        <v>15049</v>
      </c>
      <c r="G435" s="445"/>
    </row>
    <row r="436" spans="2:7">
      <c r="B436" s="407">
        <v>2408</v>
      </c>
      <c r="C436" s="407">
        <v>4203</v>
      </c>
      <c r="D436" s="408">
        <v>45512</v>
      </c>
      <c r="E436" s="481" t="s">
        <v>15050</v>
      </c>
      <c r="G436" s="445"/>
    </row>
    <row r="437" spans="2:7">
      <c r="B437" s="407">
        <v>2408</v>
      </c>
      <c r="C437" s="407">
        <v>4198</v>
      </c>
      <c r="D437" s="408">
        <v>45512</v>
      </c>
      <c r="E437" s="481" t="s">
        <v>15051</v>
      </c>
      <c r="G437" s="445"/>
    </row>
    <row r="438" spans="2:7">
      <c r="B438" s="407">
        <v>2408</v>
      </c>
      <c r="C438" s="407">
        <v>4193</v>
      </c>
      <c r="D438" s="408">
        <v>45512</v>
      </c>
      <c r="E438" s="481" t="s">
        <v>15052</v>
      </c>
      <c r="G438" s="445"/>
    </row>
    <row r="439" spans="2:7">
      <c r="B439" s="407">
        <v>2408</v>
      </c>
      <c r="C439" s="407">
        <v>4190</v>
      </c>
      <c r="D439" s="408">
        <v>45512</v>
      </c>
      <c r="E439" s="481" t="s">
        <v>15053</v>
      </c>
      <c r="G439" s="445"/>
    </row>
    <row r="440" spans="2:7">
      <c r="B440" s="407">
        <v>2408</v>
      </c>
      <c r="C440" s="407">
        <v>4187</v>
      </c>
      <c r="D440" s="408">
        <v>45512</v>
      </c>
      <c r="E440" s="481" t="s">
        <v>15054</v>
      </c>
      <c r="G440" s="445"/>
    </row>
    <row r="441" spans="2:7">
      <c r="B441" s="407">
        <v>2408</v>
      </c>
      <c r="C441" s="407">
        <v>4174</v>
      </c>
      <c r="D441" s="408">
        <v>45512</v>
      </c>
      <c r="E441" s="481" t="s">
        <v>15055</v>
      </c>
      <c r="G441" s="445"/>
    </row>
    <row r="442" spans="2:7">
      <c r="B442" s="407">
        <v>2408</v>
      </c>
      <c r="C442" s="407">
        <v>4172</v>
      </c>
      <c r="D442" s="408">
        <v>45512</v>
      </c>
      <c r="E442" s="481" t="s">
        <v>15056</v>
      </c>
      <c r="G442" s="445"/>
    </row>
    <row r="443" spans="2:7">
      <c r="B443" s="407">
        <v>2408</v>
      </c>
      <c r="C443" s="407">
        <v>4170</v>
      </c>
      <c r="D443" s="408">
        <v>45512</v>
      </c>
      <c r="E443" s="481" t="s">
        <v>15057</v>
      </c>
      <c r="G443" s="445"/>
    </row>
    <row r="444" spans="2:7">
      <c r="B444" s="407">
        <v>2408</v>
      </c>
      <c r="C444" s="407">
        <v>4168</v>
      </c>
      <c r="D444" s="408">
        <v>45512</v>
      </c>
      <c r="E444" s="481" t="s">
        <v>15058</v>
      </c>
      <c r="G444" s="445"/>
    </row>
    <row r="445" spans="2:7">
      <c r="B445" s="407">
        <v>2408</v>
      </c>
      <c r="C445" s="407">
        <v>4158</v>
      </c>
      <c r="D445" s="408">
        <v>45512</v>
      </c>
      <c r="E445" s="481" t="s">
        <v>15059</v>
      </c>
      <c r="G445" s="445"/>
    </row>
    <row r="446" spans="2:7">
      <c r="B446" s="407">
        <v>2408</v>
      </c>
      <c r="C446" s="407">
        <v>4154</v>
      </c>
      <c r="D446" s="408">
        <v>45512</v>
      </c>
      <c r="E446" s="481" t="s">
        <v>15060</v>
      </c>
      <c r="G446" s="445"/>
    </row>
    <row r="447" spans="2:7">
      <c r="B447" s="407">
        <v>2408</v>
      </c>
      <c r="C447" s="407">
        <v>4145</v>
      </c>
      <c r="D447" s="408">
        <v>45512</v>
      </c>
      <c r="E447" s="481" t="s">
        <v>15061</v>
      </c>
      <c r="G447" s="445"/>
    </row>
    <row r="448" spans="2:7">
      <c r="B448" s="407">
        <v>2408</v>
      </c>
      <c r="C448" s="407">
        <v>4144</v>
      </c>
      <c r="D448" s="408">
        <v>45512</v>
      </c>
      <c r="E448" s="481" t="s">
        <v>15062</v>
      </c>
      <c r="G448" s="445"/>
    </row>
    <row r="449" spans="2:7">
      <c r="B449" s="407">
        <v>2408</v>
      </c>
      <c r="C449" s="407">
        <v>4138</v>
      </c>
      <c r="D449" s="408">
        <v>45512</v>
      </c>
      <c r="E449" s="481" t="s">
        <v>15063</v>
      </c>
      <c r="G449" s="445"/>
    </row>
    <row r="450" spans="2:7">
      <c r="B450" s="407">
        <v>2408</v>
      </c>
      <c r="C450" s="407">
        <v>4123</v>
      </c>
      <c r="D450" s="408">
        <v>45512</v>
      </c>
      <c r="E450" s="481" t="s">
        <v>15064</v>
      </c>
      <c r="G450" s="445"/>
    </row>
    <row r="451" spans="2:7">
      <c r="B451" s="407">
        <v>2408</v>
      </c>
      <c r="C451" s="407">
        <v>4121</v>
      </c>
      <c r="D451" s="408">
        <v>45512</v>
      </c>
      <c r="E451" s="481" t="s">
        <v>15065</v>
      </c>
      <c r="G451" s="445"/>
    </row>
    <row r="452" spans="2:7">
      <c r="B452" s="407">
        <v>2408</v>
      </c>
      <c r="C452" s="407">
        <v>4116</v>
      </c>
      <c r="D452" s="408">
        <v>45512</v>
      </c>
      <c r="E452" s="481" t="s">
        <v>15066</v>
      </c>
      <c r="G452" s="445"/>
    </row>
    <row r="453" spans="2:7">
      <c r="B453" s="407">
        <v>2408</v>
      </c>
      <c r="C453" s="407">
        <v>4114</v>
      </c>
      <c r="D453" s="408">
        <v>45512</v>
      </c>
      <c r="E453" s="481" t="s">
        <v>15067</v>
      </c>
      <c r="G453" s="445"/>
    </row>
    <row r="454" spans="2:7">
      <c r="B454" s="407">
        <v>2408</v>
      </c>
      <c r="C454" s="407">
        <v>4112</v>
      </c>
      <c r="D454" s="408">
        <v>45512</v>
      </c>
      <c r="E454" s="481" t="s">
        <v>15068</v>
      </c>
      <c r="G454" s="445"/>
    </row>
    <row r="455" spans="2:7">
      <c r="B455" s="407">
        <v>2408</v>
      </c>
      <c r="C455" s="407">
        <v>4110</v>
      </c>
      <c r="D455" s="408">
        <v>45512</v>
      </c>
      <c r="E455" s="481" t="s">
        <v>15069</v>
      </c>
      <c r="G455" s="445"/>
    </row>
    <row r="456" spans="2:7">
      <c r="B456" s="409">
        <v>2408</v>
      </c>
      <c r="C456" s="409">
        <v>4107</v>
      </c>
      <c r="D456" s="410">
        <v>45512</v>
      </c>
      <c r="E456" s="424" t="s">
        <v>15070</v>
      </c>
      <c r="G456" s="445"/>
    </row>
    <row r="457" spans="2:7">
      <c r="B457" s="407">
        <v>2408</v>
      </c>
      <c r="C457" s="407">
        <v>4103</v>
      </c>
      <c r="D457" s="408">
        <v>45512</v>
      </c>
      <c r="E457" s="481" t="s">
        <v>15071</v>
      </c>
      <c r="G457" s="445"/>
    </row>
    <row r="458" spans="2:7">
      <c r="B458" s="407">
        <v>2408</v>
      </c>
      <c r="C458" s="407">
        <v>4102</v>
      </c>
      <c r="D458" s="408">
        <v>45512</v>
      </c>
      <c r="E458" s="481" t="s">
        <v>15072</v>
      </c>
      <c r="G458" s="445"/>
    </row>
    <row r="459" spans="2:7">
      <c r="B459" s="407">
        <v>2408</v>
      </c>
      <c r="C459" s="407">
        <v>4093</v>
      </c>
      <c r="D459" s="408">
        <v>45512</v>
      </c>
      <c r="E459" s="481" t="s">
        <v>15073</v>
      </c>
      <c r="G459" s="445"/>
    </row>
    <row r="460" spans="2:7">
      <c r="B460" s="407">
        <v>2408</v>
      </c>
      <c r="C460" s="407">
        <v>4091</v>
      </c>
      <c r="D460" s="408">
        <v>45512</v>
      </c>
      <c r="E460" s="481" t="s">
        <v>15074</v>
      </c>
      <c r="G460" s="445"/>
    </row>
    <row r="461" spans="2:7">
      <c r="B461" s="407">
        <v>2408</v>
      </c>
      <c r="C461" s="407">
        <v>4077</v>
      </c>
      <c r="D461" s="408">
        <v>45512</v>
      </c>
      <c r="E461" s="481" t="s">
        <v>15075</v>
      </c>
      <c r="G461" s="445"/>
    </row>
    <row r="462" spans="2:7">
      <c r="B462" s="407">
        <v>2408</v>
      </c>
      <c r="C462" s="407">
        <v>4068</v>
      </c>
      <c r="D462" s="408">
        <v>45512</v>
      </c>
      <c r="E462" s="481" t="s">
        <v>15076</v>
      </c>
      <c r="G462" s="445"/>
    </row>
    <row r="463" spans="2:7">
      <c r="B463" s="407">
        <v>2408</v>
      </c>
      <c r="C463" s="407">
        <v>4066</v>
      </c>
      <c r="D463" s="408">
        <v>45512</v>
      </c>
      <c r="E463" s="481" t="s">
        <v>15077</v>
      </c>
      <c r="G463" s="445"/>
    </row>
    <row r="464" spans="2:7">
      <c r="B464" s="407">
        <v>2408</v>
      </c>
      <c r="C464" s="407">
        <v>4065</v>
      </c>
      <c r="D464" s="408">
        <v>45512</v>
      </c>
      <c r="E464" s="481" t="s">
        <v>15078</v>
      </c>
      <c r="G464" s="445"/>
    </row>
    <row r="465" spans="2:7">
      <c r="B465" s="407">
        <v>2408</v>
      </c>
      <c r="C465" s="407">
        <v>4057</v>
      </c>
      <c r="D465" s="408">
        <v>45512</v>
      </c>
      <c r="E465" s="481" t="s">
        <v>15079</v>
      </c>
      <c r="G465" s="445"/>
    </row>
    <row r="466" spans="2:7">
      <c r="B466" s="407">
        <v>2408</v>
      </c>
      <c r="C466" s="407">
        <v>4055</v>
      </c>
      <c r="D466" s="408">
        <v>45512</v>
      </c>
      <c r="E466" s="481" t="s">
        <v>15080</v>
      </c>
      <c r="G466" s="445"/>
    </row>
    <row r="467" spans="2:7">
      <c r="B467" s="407">
        <v>2408</v>
      </c>
      <c r="C467" s="407">
        <v>4050</v>
      </c>
      <c r="D467" s="408">
        <v>45512</v>
      </c>
      <c r="E467" s="481" t="s">
        <v>15081</v>
      </c>
      <c r="G467" s="445"/>
    </row>
    <row r="468" spans="2:7">
      <c r="B468" s="407">
        <v>2408</v>
      </c>
      <c r="C468" s="407">
        <v>4032</v>
      </c>
      <c r="D468" s="408">
        <v>45512</v>
      </c>
      <c r="E468" s="481" t="s">
        <v>15082</v>
      </c>
      <c r="G468" s="445"/>
    </row>
    <row r="469" spans="2:7">
      <c r="B469" s="407">
        <v>2408</v>
      </c>
      <c r="C469" s="407">
        <v>4029</v>
      </c>
      <c r="D469" s="408">
        <v>45512</v>
      </c>
      <c r="E469" s="481" t="s">
        <v>15083</v>
      </c>
      <c r="G469" s="445"/>
    </row>
    <row r="470" spans="2:7">
      <c r="B470" s="407">
        <v>2408</v>
      </c>
      <c r="C470" s="407">
        <v>4026</v>
      </c>
      <c r="D470" s="408">
        <v>45512</v>
      </c>
      <c r="E470" s="481" t="s">
        <v>15084</v>
      </c>
      <c r="G470" s="445"/>
    </row>
    <row r="471" spans="2:7">
      <c r="B471" s="407">
        <v>2408</v>
      </c>
      <c r="C471" s="407">
        <v>4023</v>
      </c>
      <c r="D471" s="408">
        <v>45512</v>
      </c>
      <c r="E471" s="481" t="s">
        <v>15085</v>
      </c>
      <c r="G471" s="445"/>
    </row>
    <row r="472" spans="2:7">
      <c r="B472" s="407">
        <v>2408</v>
      </c>
      <c r="C472" s="407">
        <v>4015</v>
      </c>
      <c r="D472" s="408">
        <v>45512</v>
      </c>
      <c r="E472" s="481" t="s">
        <v>15086</v>
      </c>
      <c r="G472" s="445"/>
    </row>
    <row r="473" spans="2:7">
      <c r="B473" s="407">
        <v>2408</v>
      </c>
      <c r="C473" s="407">
        <v>4013</v>
      </c>
      <c r="D473" s="408">
        <v>45512</v>
      </c>
      <c r="E473" s="481" t="s">
        <v>15087</v>
      </c>
      <c r="G473" s="445"/>
    </row>
    <row r="474" spans="2:7">
      <c r="B474" s="407">
        <v>2408</v>
      </c>
      <c r="C474" s="407">
        <v>3979</v>
      </c>
      <c r="D474" s="408">
        <v>45512</v>
      </c>
      <c r="E474" s="481" t="s">
        <v>15088</v>
      </c>
      <c r="G474" s="445"/>
    </row>
    <row r="475" spans="2:7">
      <c r="B475" s="407">
        <v>2408</v>
      </c>
      <c r="C475" s="407">
        <v>3958</v>
      </c>
      <c r="D475" s="408">
        <v>45512</v>
      </c>
      <c r="E475" s="481" t="s">
        <v>15089</v>
      </c>
      <c r="G475" s="445"/>
    </row>
    <row r="476" spans="2:7">
      <c r="B476" s="407">
        <v>2408</v>
      </c>
      <c r="C476" s="407">
        <v>3956</v>
      </c>
      <c r="D476" s="408">
        <v>45512</v>
      </c>
      <c r="E476" s="481" t="s">
        <v>15090</v>
      </c>
      <c r="G476" s="445"/>
    </row>
    <row r="477" spans="2:7">
      <c r="B477" s="407">
        <v>2408</v>
      </c>
      <c r="C477" s="407">
        <v>3954</v>
      </c>
      <c r="D477" s="408">
        <v>45512</v>
      </c>
      <c r="E477" s="481" t="s">
        <v>15091</v>
      </c>
      <c r="G477" s="445"/>
    </row>
    <row r="478" spans="2:7">
      <c r="B478" s="407">
        <v>2408</v>
      </c>
      <c r="C478" s="407">
        <v>3947</v>
      </c>
      <c r="D478" s="408">
        <v>45512</v>
      </c>
      <c r="E478" s="481" t="s">
        <v>15092</v>
      </c>
      <c r="G478" s="445"/>
    </row>
    <row r="479" spans="2:7">
      <c r="B479" s="407">
        <v>2408</v>
      </c>
      <c r="C479" s="407">
        <v>3946</v>
      </c>
      <c r="D479" s="408">
        <v>45512</v>
      </c>
      <c r="E479" s="481" t="s">
        <v>15093</v>
      </c>
      <c r="G479" s="445"/>
    </row>
    <row r="480" spans="2:7">
      <c r="B480" s="407">
        <v>2408</v>
      </c>
      <c r="C480" s="407">
        <v>3945</v>
      </c>
      <c r="D480" s="408">
        <v>45512</v>
      </c>
      <c r="E480" s="481" t="s">
        <v>15094</v>
      </c>
      <c r="G480" s="445"/>
    </row>
    <row r="481" spans="2:7">
      <c r="B481" s="407">
        <v>2408</v>
      </c>
      <c r="C481" s="407">
        <v>3943</v>
      </c>
      <c r="D481" s="408">
        <v>45512</v>
      </c>
      <c r="E481" s="481" t="s">
        <v>15095</v>
      </c>
      <c r="G481" s="445"/>
    </row>
    <row r="482" spans="2:7">
      <c r="B482" s="407">
        <v>2408</v>
      </c>
      <c r="C482" s="407">
        <v>3940</v>
      </c>
      <c r="D482" s="408">
        <v>45512</v>
      </c>
      <c r="E482" s="481" t="s">
        <v>15096</v>
      </c>
      <c r="G482" s="445"/>
    </row>
    <row r="483" spans="2:7">
      <c r="B483" s="407">
        <v>2408</v>
      </c>
      <c r="C483" s="407">
        <v>3936</v>
      </c>
      <c r="D483" s="408">
        <v>45512</v>
      </c>
      <c r="E483" s="481" t="s">
        <v>15097</v>
      </c>
      <c r="G483" s="445"/>
    </row>
    <row r="484" spans="2:7">
      <c r="B484" s="407">
        <v>2408</v>
      </c>
      <c r="C484" s="407">
        <v>3934</v>
      </c>
      <c r="D484" s="408">
        <v>45512</v>
      </c>
      <c r="E484" s="481" t="s">
        <v>15098</v>
      </c>
      <c r="G484" s="445"/>
    </row>
    <row r="485" spans="2:7">
      <c r="B485" s="407">
        <v>2408</v>
      </c>
      <c r="C485" s="407">
        <v>3923</v>
      </c>
      <c r="D485" s="408">
        <v>45512</v>
      </c>
      <c r="E485" s="481" t="s">
        <v>15099</v>
      </c>
      <c r="G485" s="445"/>
    </row>
    <row r="486" spans="2:7">
      <c r="B486" s="407">
        <v>2408</v>
      </c>
      <c r="C486" s="407">
        <v>3922</v>
      </c>
      <c r="D486" s="408">
        <v>45512</v>
      </c>
      <c r="E486" s="481" t="s">
        <v>15100</v>
      </c>
      <c r="G486" s="445"/>
    </row>
    <row r="487" spans="2:7">
      <c r="B487" s="407">
        <v>2408</v>
      </c>
      <c r="C487" s="407">
        <v>3913</v>
      </c>
      <c r="D487" s="408">
        <v>45512</v>
      </c>
      <c r="E487" s="481" t="s">
        <v>15101</v>
      </c>
      <c r="G487" s="445"/>
    </row>
    <row r="488" spans="2:7">
      <c r="B488" s="407">
        <v>2408</v>
      </c>
      <c r="C488" s="407">
        <v>3906</v>
      </c>
      <c r="D488" s="408">
        <v>45512</v>
      </c>
      <c r="E488" s="481" t="s">
        <v>15102</v>
      </c>
      <c r="G488" s="445"/>
    </row>
    <row r="489" spans="2:7">
      <c r="B489" s="407">
        <v>2408</v>
      </c>
      <c r="C489" s="407">
        <v>3904</v>
      </c>
      <c r="D489" s="408">
        <v>45512</v>
      </c>
      <c r="E489" s="481" t="s">
        <v>15103</v>
      </c>
      <c r="G489" s="445"/>
    </row>
    <row r="490" spans="2:7">
      <c r="B490" s="407">
        <v>2408</v>
      </c>
      <c r="C490" s="407">
        <v>3900</v>
      </c>
      <c r="D490" s="408">
        <v>45512</v>
      </c>
      <c r="E490" s="481" t="s">
        <v>15104</v>
      </c>
      <c r="G490" s="445"/>
    </row>
    <row r="491" spans="2:7">
      <c r="B491" s="407">
        <v>2408</v>
      </c>
      <c r="C491" s="407">
        <v>3899</v>
      </c>
      <c r="D491" s="408">
        <v>45512</v>
      </c>
      <c r="E491" s="481" t="s">
        <v>15105</v>
      </c>
      <c r="G491" s="445"/>
    </row>
    <row r="492" spans="2:7">
      <c r="B492" s="407">
        <v>2408</v>
      </c>
      <c r="C492" s="407">
        <v>3887</v>
      </c>
      <c r="D492" s="408">
        <v>45512</v>
      </c>
      <c r="E492" s="481" t="s">
        <v>15106</v>
      </c>
      <c r="G492" s="445"/>
    </row>
    <row r="493" spans="2:7">
      <c r="B493" s="407">
        <v>2408</v>
      </c>
      <c r="C493" s="407">
        <v>3885</v>
      </c>
      <c r="D493" s="408">
        <v>45512</v>
      </c>
      <c r="E493" s="481" t="s">
        <v>15107</v>
      </c>
      <c r="G493" s="445"/>
    </row>
    <row r="494" spans="2:7">
      <c r="B494" s="407">
        <v>2408</v>
      </c>
      <c r="C494" s="407">
        <v>3876</v>
      </c>
      <c r="D494" s="408">
        <v>45512</v>
      </c>
      <c r="E494" s="481" t="s">
        <v>15108</v>
      </c>
      <c r="G494" s="445"/>
    </row>
    <row r="495" spans="2:7">
      <c r="B495" s="409">
        <v>2408</v>
      </c>
      <c r="C495" s="409">
        <v>3874</v>
      </c>
      <c r="D495" s="410">
        <v>45512</v>
      </c>
      <c r="E495" s="424" t="s">
        <v>15109</v>
      </c>
      <c r="G495" s="445"/>
    </row>
    <row r="496" spans="2:7">
      <c r="B496" s="407">
        <v>2408</v>
      </c>
      <c r="C496" s="407">
        <v>3872</v>
      </c>
      <c r="D496" s="408">
        <v>45512</v>
      </c>
      <c r="E496" s="481" t="s">
        <v>15110</v>
      </c>
      <c r="G496" s="445"/>
    </row>
    <row r="497" spans="2:7">
      <c r="B497" s="407">
        <v>2408</v>
      </c>
      <c r="C497" s="407">
        <v>3871</v>
      </c>
      <c r="D497" s="408">
        <v>45512</v>
      </c>
      <c r="E497" s="481" t="s">
        <v>15111</v>
      </c>
      <c r="G497" s="445"/>
    </row>
    <row r="498" spans="2:7">
      <c r="B498" s="407">
        <v>2408</v>
      </c>
      <c r="C498" s="407">
        <v>3867</v>
      </c>
      <c r="D498" s="408">
        <v>45512</v>
      </c>
      <c r="E498" s="481" t="s">
        <v>15112</v>
      </c>
      <c r="G498" s="445"/>
    </row>
    <row r="499" spans="2:7">
      <c r="B499" s="407">
        <v>2408</v>
      </c>
      <c r="C499" s="407">
        <v>3865</v>
      </c>
      <c r="D499" s="408">
        <v>45512</v>
      </c>
      <c r="E499" s="481" t="s">
        <v>15113</v>
      </c>
      <c r="G499" s="445"/>
    </row>
    <row r="500" spans="2:7">
      <c r="B500" s="407">
        <v>2408</v>
      </c>
      <c r="C500" s="407">
        <v>3855</v>
      </c>
      <c r="D500" s="408">
        <v>45512</v>
      </c>
      <c r="E500" s="481" t="s">
        <v>15114</v>
      </c>
      <c r="G500" s="445"/>
    </row>
    <row r="501" spans="2:7">
      <c r="B501" s="407">
        <v>2408</v>
      </c>
      <c r="C501" s="407">
        <v>3845</v>
      </c>
      <c r="D501" s="408">
        <v>45512</v>
      </c>
      <c r="E501" s="481" t="s">
        <v>15115</v>
      </c>
      <c r="G501" s="445"/>
    </row>
    <row r="502" spans="2:7">
      <c r="B502" s="407">
        <v>2408</v>
      </c>
      <c r="C502" s="407">
        <v>3842</v>
      </c>
      <c r="D502" s="408">
        <v>45512</v>
      </c>
      <c r="E502" s="481" t="s">
        <v>15116</v>
      </c>
      <c r="G502" s="445"/>
    </row>
    <row r="503" spans="2:7">
      <c r="B503" s="407">
        <v>2408</v>
      </c>
      <c r="C503" s="407">
        <v>3841</v>
      </c>
      <c r="D503" s="408">
        <v>45512</v>
      </c>
      <c r="E503" s="481" t="s">
        <v>15117</v>
      </c>
      <c r="G503" s="445"/>
    </row>
    <row r="504" spans="2:7">
      <c r="B504" s="407">
        <v>2408</v>
      </c>
      <c r="C504" s="407">
        <v>3840</v>
      </c>
      <c r="D504" s="408">
        <v>45512</v>
      </c>
      <c r="E504" s="481" t="s">
        <v>15118</v>
      </c>
      <c r="G504" s="445"/>
    </row>
    <row r="505" spans="2:7">
      <c r="B505" s="407">
        <v>2408</v>
      </c>
      <c r="C505" s="407">
        <v>3834</v>
      </c>
      <c r="D505" s="408">
        <v>45512</v>
      </c>
      <c r="E505" s="481" t="s">
        <v>15119</v>
      </c>
      <c r="G505" s="445"/>
    </row>
    <row r="506" spans="2:7">
      <c r="B506" s="407">
        <v>2408</v>
      </c>
      <c r="C506" s="407">
        <v>3825</v>
      </c>
      <c r="D506" s="408">
        <v>45512</v>
      </c>
      <c r="E506" s="481" t="s">
        <v>15120</v>
      </c>
      <c r="G506" s="445"/>
    </row>
    <row r="507" spans="2:7">
      <c r="B507" s="407">
        <v>2408</v>
      </c>
      <c r="C507" s="407">
        <v>3822</v>
      </c>
      <c r="D507" s="408">
        <v>45512</v>
      </c>
      <c r="E507" s="481" t="s">
        <v>15121</v>
      </c>
      <c r="G507" s="445"/>
    </row>
    <row r="508" spans="2:7">
      <c r="B508" s="407">
        <v>2408</v>
      </c>
      <c r="C508" s="407">
        <v>3816</v>
      </c>
      <c r="D508" s="408">
        <v>45512</v>
      </c>
      <c r="E508" s="481" t="s">
        <v>15122</v>
      </c>
      <c r="G508" s="445"/>
    </row>
    <row r="509" spans="2:7">
      <c r="B509" s="407">
        <v>2408</v>
      </c>
      <c r="C509" s="407">
        <v>3811</v>
      </c>
      <c r="D509" s="408">
        <v>45512</v>
      </c>
      <c r="E509" s="481" t="s">
        <v>15123</v>
      </c>
      <c r="G509" s="445"/>
    </row>
    <row r="510" spans="2:7">
      <c r="B510" s="407">
        <v>2408</v>
      </c>
      <c r="C510" s="407">
        <v>3806</v>
      </c>
      <c r="D510" s="408">
        <v>45512</v>
      </c>
      <c r="E510" s="481" t="s">
        <v>15124</v>
      </c>
      <c r="G510" s="445"/>
    </row>
    <row r="511" spans="2:7">
      <c r="B511" s="407">
        <v>2408</v>
      </c>
      <c r="C511" s="407">
        <v>3789</v>
      </c>
      <c r="D511" s="408">
        <v>45512</v>
      </c>
      <c r="E511" s="481" t="s">
        <v>15125</v>
      </c>
      <c r="G511" s="445"/>
    </row>
    <row r="512" spans="2:7">
      <c r="B512" s="407">
        <v>2408</v>
      </c>
      <c r="C512" s="407">
        <v>3771</v>
      </c>
      <c r="D512" s="408">
        <v>45512</v>
      </c>
      <c r="E512" s="481" t="s">
        <v>15126</v>
      </c>
      <c r="G512" s="445"/>
    </row>
    <row r="513" spans="2:7">
      <c r="B513" s="407">
        <v>2408</v>
      </c>
      <c r="C513" s="407">
        <v>3762</v>
      </c>
      <c r="D513" s="408">
        <v>45512</v>
      </c>
      <c r="E513" s="481" t="s">
        <v>15127</v>
      </c>
      <c r="G513" s="445"/>
    </row>
    <row r="514" spans="2:7">
      <c r="B514" s="407">
        <v>2408</v>
      </c>
      <c r="C514" s="407">
        <v>3761</v>
      </c>
      <c r="D514" s="408">
        <v>45512</v>
      </c>
      <c r="E514" s="481" t="s">
        <v>15128</v>
      </c>
      <c r="G514" s="445"/>
    </row>
    <row r="515" spans="2:7">
      <c r="B515" s="407">
        <v>2408</v>
      </c>
      <c r="C515" s="407">
        <v>3756</v>
      </c>
      <c r="D515" s="408">
        <v>45512</v>
      </c>
      <c r="E515" s="481" t="s">
        <v>15129</v>
      </c>
      <c r="G515" s="445"/>
    </row>
    <row r="516" spans="2:7">
      <c r="B516" s="407">
        <v>2408</v>
      </c>
      <c r="C516" s="407">
        <v>3753</v>
      </c>
      <c r="D516" s="408">
        <v>45512</v>
      </c>
      <c r="E516" s="481" t="s">
        <v>15130</v>
      </c>
      <c r="G516" s="445"/>
    </row>
    <row r="517" spans="2:7">
      <c r="B517" s="407">
        <v>2408</v>
      </c>
      <c r="C517" s="407">
        <v>3735</v>
      </c>
      <c r="D517" s="408">
        <v>45512</v>
      </c>
      <c r="E517" s="481" t="s">
        <v>15131</v>
      </c>
      <c r="G517" s="445"/>
    </row>
    <row r="518" spans="2:7">
      <c r="B518" s="407">
        <v>2408</v>
      </c>
      <c r="C518" s="407">
        <v>3734</v>
      </c>
      <c r="D518" s="408">
        <v>45512</v>
      </c>
      <c r="E518" s="481" t="s">
        <v>15132</v>
      </c>
      <c r="G518" s="445"/>
    </row>
    <row r="519" spans="2:7">
      <c r="B519" s="407">
        <v>2408</v>
      </c>
      <c r="C519" s="407">
        <v>3732</v>
      </c>
      <c r="D519" s="408">
        <v>45512</v>
      </c>
      <c r="E519" s="481" t="s">
        <v>15133</v>
      </c>
      <c r="G519" s="445"/>
    </row>
    <row r="520" spans="2:7">
      <c r="B520" s="407">
        <v>2408</v>
      </c>
      <c r="C520" s="407">
        <v>3728</v>
      </c>
      <c r="D520" s="408">
        <v>45512</v>
      </c>
      <c r="E520" s="481" t="s">
        <v>15134</v>
      </c>
      <c r="G520" s="445"/>
    </row>
    <row r="521" spans="2:7">
      <c r="B521" s="407">
        <v>2408</v>
      </c>
      <c r="C521" s="407">
        <v>3706</v>
      </c>
      <c r="D521" s="408">
        <v>45512</v>
      </c>
      <c r="E521" s="481" t="s">
        <v>15135</v>
      </c>
      <c r="G521" s="445"/>
    </row>
    <row r="522" spans="2:7">
      <c r="B522" s="407">
        <v>2408</v>
      </c>
      <c r="C522" s="407">
        <v>3704</v>
      </c>
      <c r="D522" s="408">
        <v>45512</v>
      </c>
      <c r="E522" s="481" t="s">
        <v>15136</v>
      </c>
      <c r="G522" s="445"/>
    </row>
    <row r="523" spans="2:7">
      <c r="B523" s="407">
        <v>2408</v>
      </c>
      <c r="C523" s="407">
        <v>3703</v>
      </c>
      <c r="D523" s="408">
        <v>45512</v>
      </c>
      <c r="E523" s="481" t="s">
        <v>15137</v>
      </c>
      <c r="G523" s="445"/>
    </row>
    <row r="524" spans="2:7">
      <c r="B524" s="407">
        <v>2408</v>
      </c>
      <c r="C524" s="407">
        <v>3695</v>
      </c>
      <c r="D524" s="408">
        <v>45512</v>
      </c>
      <c r="E524" s="481" t="s">
        <v>15138</v>
      </c>
      <c r="G524" s="445"/>
    </row>
    <row r="525" spans="2:7">
      <c r="B525" s="407">
        <v>2408</v>
      </c>
      <c r="C525" s="407">
        <v>3691</v>
      </c>
      <c r="D525" s="408">
        <v>45512</v>
      </c>
      <c r="E525" s="481" t="s">
        <v>15139</v>
      </c>
      <c r="G525" s="445"/>
    </row>
    <row r="526" spans="2:7">
      <c r="B526" s="407">
        <v>2408</v>
      </c>
      <c r="C526" s="407">
        <v>3685</v>
      </c>
      <c r="D526" s="408">
        <v>45513</v>
      </c>
      <c r="E526" s="463" t="s">
        <v>14909</v>
      </c>
      <c r="G526" s="445"/>
    </row>
    <row r="527" spans="2:7">
      <c r="B527" s="407">
        <v>2408</v>
      </c>
      <c r="C527" s="407">
        <v>3680</v>
      </c>
      <c r="D527" s="408">
        <v>45512</v>
      </c>
      <c r="E527" s="481" t="s">
        <v>15140</v>
      </c>
      <c r="G527" s="445"/>
    </row>
    <row r="528" spans="2:7">
      <c r="B528" s="409">
        <v>2408</v>
      </c>
      <c r="C528" s="409">
        <v>3675</v>
      </c>
      <c r="D528" s="410">
        <v>45512</v>
      </c>
      <c r="E528" s="424" t="s">
        <v>15141</v>
      </c>
      <c r="G528" s="445"/>
    </row>
    <row r="529" spans="2:7">
      <c r="B529" s="407">
        <v>2408</v>
      </c>
      <c r="C529" s="407">
        <v>3663</v>
      </c>
      <c r="D529" s="408">
        <v>45512</v>
      </c>
      <c r="E529" s="481" t="s">
        <v>15142</v>
      </c>
      <c r="G529" s="445"/>
    </row>
    <row r="530" spans="2:7">
      <c r="B530" s="407">
        <v>2408</v>
      </c>
      <c r="C530" s="407">
        <v>3657</v>
      </c>
      <c r="D530" s="408">
        <v>45512</v>
      </c>
      <c r="E530" s="481" t="s">
        <v>15143</v>
      </c>
      <c r="G530" s="445"/>
    </row>
    <row r="531" spans="2:7">
      <c r="B531" s="407">
        <v>2408</v>
      </c>
      <c r="C531" s="407">
        <v>3654</v>
      </c>
      <c r="D531" s="408">
        <v>45512</v>
      </c>
      <c r="E531" s="481" t="s">
        <v>15144</v>
      </c>
      <c r="G531" s="445"/>
    </row>
    <row r="532" spans="2:7">
      <c r="B532" s="407">
        <v>2408</v>
      </c>
      <c r="C532" s="407">
        <v>3651</v>
      </c>
      <c r="D532" s="408">
        <v>45512</v>
      </c>
      <c r="E532" s="481" t="s">
        <v>15145</v>
      </c>
      <c r="G532" s="445"/>
    </row>
    <row r="533" spans="2:7">
      <c r="B533" s="407">
        <v>2408</v>
      </c>
      <c r="C533" s="407">
        <v>3650</v>
      </c>
      <c r="D533" s="408">
        <v>45512</v>
      </c>
      <c r="E533" s="481" t="s">
        <v>15146</v>
      </c>
      <c r="G533" s="445"/>
    </row>
    <row r="534" spans="2:7">
      <c r="B534" s="409">
        <v>2408</v>
      </c>
      <c r="C534" s="409">
        <v>3648</v>
      </c>
      <c r="D534" s="410">
        <v>45512</v>
      </c>
      <c r="E534" s="424" t="s">
        <v>15147</v>
      </c>
      <c r="G534" s="445"/>
    </row>
    <row r="535" spans="2:7">
      <c r="B535" s="407">
        <v>2408</v>
      </c>
      <c r="C535" s="483">
        <v>3637</v>
      </c>
      <c r="D535" s="482">
        <v>45512</v>
      </c>
      <c r="E535" s="481" t="s">
        <v>15148</v>
      </c>
      <c r="G535" s="445"/>
    </row>
    <row r="536" spans="2:7">
      <c r="B536" s="407">
        <v>2408</v>
      </c>
      <c r="C536" s="483">
        <v>3636</v>
      </c>
      <c r="D536" s="482">
        <v>45512</v>
      </c>
      <c r="E536" s="481" t="s">
        <v>15149</v>
      </c>
      <c r="G536" s="445"/>
    </row>
    <row r="537" spans="2:7">
      <c r="B537" s="407">
        <v>2408</v>
      </c>
      <c r="C537" s="483">
        <v>3632</v>
      </c>
      <c r="D537" s="482">
        <v>45512</v>
      </c>
      <c r="E537" s="481" t="s">
        <v>15150</v>
      </c>
      <c r="G537" s="445"/>
    </row>
    <row r="538" spans="2:7">
      <c r="B538" s="407">
        <v>2408</v>
      </c>
      <c r="C538" s="483">
        <v>3630</v>
      </c>
      <c r="D538" s="482">
        <v>45512</v>
      </c>
      <c r="E538" s="481" t="s">
        <v>15151</v>
      </c>
      <c r="G538" s="445"/>
    </row>
    <row r="539" spans="2:7">
      <c r="B539" s="407">
        <v>2408</v>
      </c>
      <c r="C539" s="483">
        <v>3623</v>
      </c>
      <c r="D539" s="482">
        <v>45512</v>
      </c>
      <c r="E539" s="481" t="s">
        <v>15152</v>
      </c>
      <c r="G539" s="445"/>
    </row>
    <row r="540" spans="2:7">
      <c r="B540" s="407">
        <v>2408</v>
      </c>
      <c r="C540" s="483">
        <v>3622</v>
      </c>
      <c r="D540" s="482">
        <v>45512</v>
      </c>
      <c r="E540" s="481" t="s">
        <v>15153</v>
      </c>
      <c r="G540" s="445"/>
    </row>
    <row r="541" spans="2:7">
      <c r="B541" s="407">
        <v>2408</v>
      </c>
      <c r="C541" s="483">
        <v>3618</v>
      </c>
      <c r="D541" s="482">
        <v>45512</v>
      </c>
      <c r="E541" s="481" t="s">
        <v>15154</v>
      </c>
      <c r="G541" s="445"/>
    </row>
    <row r="542" spans="2:7">
      <c r="B542" s="407">
        <v>2408</v>
      </c>
      <c r="C542" s="483">
        <v>3617</v>
      </c>
      <c r="D542" s="482">
        <v>45512</v>
      </c>
      <c r="E542" s="481" t="s">
        <v>15155</v>
      </c>
      <c r="G542" s="445"/>
    </row>
    <row r="543" spans="2:7">
      <c r="B543" s="407">
        <v>2408</v>
      </c>
      <c r="C543" s="483">
        <v>3616</v>
      </c>
      <c r="D543" s="482">
        <v>45512</v>
      </c>
      <c r="E543" s="481" t="s">
        <v>15156</v>
      </c>
      <c r="G543" s="445"/>
    </row>
    <row r="544" spans="2:7">
      <c r="B544" s="407">
        <v>2408</v>
      </c>
      <c r="C544" s="483">
        <v>3615</v>
      </c>
      <c r="D544" s="482">
        <v>45512</v>
      </c>
      <c r="E544" s="481" t="s">
        <v>15157</v>
      </c>
      <c r="G544" s="445"/>
    </row>
    <row r="545" spans="2:7">
      <c r="B545" s="407">
        <v>2408</v>
      </c>
      <c r="C545" s="483">
        <v>3612</v>
      </c>
      <c r="D545" s="482">
        <v>45512</v>
      </c>
      <c r="E545" s="481" t="s">
        <v>15158</v>
      </c>
      <c r="G545" s="445"/>
    </row>
    <row r="546" spans="2:7">
      <c r="B546" s="409">
        <v>2408</v>
      </c>
      <c r="C546" s="409">
        <v>3599</v>
      </c>
      <c r="D546" s="410">
        <v>45512</v>
      </c>
      <c r="E546" s="424" t="s">
        <v>15159</v>
      </c>
      <c r="G546" s="445"/>
    </row>
    <row r="547" spans="2:7">
      <c r="B547" s="483">
        <v>2408</v>
      </c>
      <c r="C547" s="483">
        <v>3598</v>
      </c>
      <c r="D547" s="482">
        <v>45512</v>
      </c>
      <c r="E547" s="481" t="s">
        <v>15160</v>
      </c>
      <c r="G547" s="445"/>
    </row>
    <row r="548" spans="2:7">
      <c r="B548" s="483">
        <v>2408</v>
      </c>
      <c r="C548" s="483">
        <v>3592</v>
      </c>
      <c r="D548" s="482">
        <v>45512</v>
      </c>
      <c r="E548" s="481" t="s">
        <v>15161</v>
      </c>
      <c r="G548" s="445"/>
    </row>
    <row r="549" spans="2:7">
      <c r="B549" s="483">
        <v>2408</v>
      </c>
      <c r="C549" s="483">
        <v>3591</v>
      </c>
      <c r="D549" s="482">
        <v>45512</v>
      </c>
      <c r="E549" s="481" t="s">
        <v>15162</v>
      </c>
      <c r="G549" s="445"/>
    </row>
    <row r="550" spans="2:7">
      <c r="B550" s="483">
        <v>2408</v>
      </c>
      <c r="C550" s="483">
        <v>3588</v>
      </c>
      <c r="D550" s="482">
        <v>45512</v>
      </c>
      <c r="E550" s="481" t="s">
        <v>15163</v>
      </c>
      <c r="G550" s="445"/>
    </row>
    <row r="551" spans="2:7">
      <c r="B551" s="483">
        <v>2408</v>
      </c>
      <c r="C551" s="483">
        <v>3586</v>
      </c>
      <c r="D551" s="482">
        <v>45512</v>
      </c>
      <c r="E551" s="481" t="s">
        <v>15164</v>
      </c>
      <c r="G551" s="445"/>
    </row>
    <row r="552" spans="2:7">
      <c r="B552" s="483">
        <v>2408</v>
      </c>
      <c r="C552" s="483">
        <v>3574</v>
      </c>
      <c r="D552" s="482">
        <v>45512</v>
      </c>
      <c r="E552" s="481" t="s">
        <v>15165</v>
      </c>
      <c r="G552" s="445"/>
    </row>
    <row r="553" spans="2:7">
      <c r="B553" s="483">
        <v>2408</v>
      </c>
      <c r="C553" s="483">
        <v>3573</v>
      </c>
      <c r="D553" s="482">
        <v>45512</v>
      </c>
      <c r="E553" s="481" t="s">
        <v>15166</v>
      </c>
      <c r="G553" s="445"/>
    </row>
    <row r="554" spans="2:7">
      <c r="B554" s="483">
        <v>2408</v>
      </c>
      <c r="C554" s="483">
        <v>3572</v>
      </c>
      <c r="D554" s="482">
        <v>45512</v>
      </c>
      <c r="E554" s="481" t="s">
        <v>15167</v>
      </c>
      <c r="G554" s="445"/>
    </row>
    <row r="555" spans="2:7">
      <c r="B555" s="483">
        <v>2408</v>
      </c>
      <c r="C555" s="483">
        <v>3567</v>
      </c>
      <c r="D555" s="482">
        <v>45512</v>
      </c>
      <c r="E555" s="481" t="s">
        <v>15168</v>
      </c>
      <c r="G555" s="445"/>
    </row>
    <row r="556" spans="2:7">
      <c r="B556" s="483">
        <v>2408</v>
      </c>
      <c r="C556" s="483">
        <v>3564</v>
      </c>
      <c r="D556" s="482">
        <v>45512</v>
      </c>
      <c r="E556" s="481" t="s">
        <v>15169</v>
      </c>
      <c r="G556" s="445"/>
    </row>
    <row r="557" spans="2:7">
      <c r="B557" s="483">
        <v>2408</v>
      </c>
      <c r="C557" s="483">
        <v>3562</v>
      </c>
      <c r="D557" s="482">
        <v>45512</v>
      </c>
      <c r="E557" s="481" t="s">
        <v>15170</v>
      </c>
      <c r="G557" s="445"/>
    </row>
    <row r="558" spans="2:7">
      <c r="B558" s="483">
        <v>2408</v>
      </c>
      <c r="C558" s="483">
        <v>3561</v>
      </c>
      <c r="D558" s="482">
        <v>45512</v>
      </c>
      <c r="E558" s="481" t="s">
        <v>15171</v>
      </c>
      <c r="G558" s="445"/>
    </row>
    <row r="559" spans="2:7">
      <c r="B559" s="483">
        <v>2408</v>
      </c>
      <c r="C559" s="483">
        <v>3560</v>
      </c>
      <c r="D559" s="482">
        <v>45512</v>
      </c>
      <c r="E559" s="481" t="s">
        <v>15172</v>
      </c>
      <c r="G559" s="445"/>
    </row>
    <row r="560" spans="2:7">
      <c r="B560" s="483">
        <v>2408</v>
      </c>
      <c r="C560" s="483">
        <v>3559</v>
      </c>
      <c r="D560" s="482">
        <v>45512</v>
      </c>
      <c r="E560" s="481" t="s">
        <v>15173</v>
      </c>
      <c r="G560" s="445"/>
    </row>
    <row r="561" spans="2:8">
      <c r="B561" s="483">
        <v>2408</v>
      </c>
      <c r="C561" s="483">
        <v>3558</v>
      </c>
      <c r="D561" s="482">
        <v>45512</v>
      </c>
      <c r="E561" s="481" t="s">
        <v>15174</v>
      </c>
      <c r="G561" s="445"/>
    </row>
    <row r="562" spans="2:8">
      <c r="B562" s="483">
        <v>2408</v>
      </c>
      <c r="C562" s="483">
        <v>3551</v>
      </c>
      <c r="D562" s="482">
        <v>45512</v>
      </c>
      <c r="E562" s="481" t="s">
        <v>15175</v>
      </c>
      <c r="G562" s="445"/>
    </row>
    <row r="563" spans="2:8">
      <c r="B563" s="483">
        <v>2408</v>
      </c>
      <c r="C563" s="483">
        <v>3545</v>
      </c>
      <c r="D563" s="482">
        <v>45512</v>
      </c>
      <c r="E563" s="481" t="s">
        <v>15176</v>
      </c>
      <c r="G563" s="445"/>
    </row>
    <row r="564" spans="2:8">
      <c r="B564" s="483">
        <v>2408</v>
      </c>
      <c r="C564" s="483">
        <v>3541</v>
      </c>
      <c r="D564" s="482">
        <v>45513</v>
      </c>
      <c r="E564" s="481" t="s">
        <v>15177</v>
      </c>
      <c r="G564" s="445"/>
    </row>
    <row r="565" spans="2:8">
      <c r="B565" s="483">
        <v>2408</v>
      </c>
      <c r="C565" s="483">
        <v>3540</v>
      </c>
      <c r="D565" s="482">
        <v>45512</v>
      </c>
      <c r="E565" s="481" t="s">
        <v>15178</v>
      </c>
      <c r="G565" s="445"/>
    </row>
    <row r="566" spans="2:8">
      <c r="B566" s="483">
        <v>2408</v>
      </c>
      <c r="C566" s="483">
        <v>3538</v>
      </c>
      <c r="D566" s="482">
        <v>45512</v>
      </c>
      <c r="E566" s="481" t="s">
        <v>15179</v>
      </c>
      <c r="G566" s="445"/>
    </row>
    <row r="567" spans="2:8">
      <c r="B567" s="483">
        <v>2408</v>
      </c>
      <c r="C567" s="483">
        <v>3533</v>
      </c>
      <c r="D567" s="482">
        <v>45512</v>
      </c>
      <c r="E567" s="481" t="s">
        <v>15180</v>
      </c>
      <c r="G567" s="445"/>
    </row>
    <row r="568" spans="2:8">
      <c r="B568" s="483">
        <v>2408</v>
      </c>
      <c r="C568" s="483">
        <v>3525</v>
      </c>
      <c r="D568" s="482">
        <v>45512</v>
      </c>
      <c r="E568" s="481" t="s">
        <v>15181</v>
      </c>
      <c r="G568" s="445"/>
    </row>
    <row r="569" spans="2:8">
      <c r="B569" s="483"/>
      <c r="C569" s="483"/>
      <c r="D569" s="482"/>
      <c r="E569" s="481"/>
      <c r="G569" s="445"/>
    </row>
    <row r="570" spans="2:8">
      <c r="B570" s="483"/>
      <c r="C570" s="483"/>
      <c r="D570" s="482"/>
      <c r="E570" s="481"/>
      <c r="G570" s="445"/>
    </row>
    <row r="571" spans="2:8">
      <c r="B571" s="483">
        <v>2408</v>
      </c>
      <c r="C571" s="407">
        <v>2666</v>
      </c>
      <c r="D571" s="408">
        <v>45513</v>
      </c>
      <c r="E571" s="463" t="s">
        <v>14876</v>
      </c>
      <c r="G571" s="445"/>
    </row>
    <row r="572" spans="2:8">
      <c r="B572" s="407">
        <v>2408</v>
      </c>
      <c r="C572" s="407">
        <v>1423</v>
      </c>
      <c r="D572" s="408">
        <v>45507</v>
      </c>
      <c r="E572" s="463" t="s">
        <v>14555</v>
      </c>
      <c r="G572" s="462"/>
      <c r="H572" s="461"/>
    </row>
    <row r="573" spans="2:8">
      <c r="B573" s="407">
        <v>2408</v>
      </c>
      <c r="C573" s="407">
        <v>1420</v>
      </c>
      <c r="D573" s="408">
        <v>45507</v>
      </c>
      <c r="E573" s="462" t="s">
        <v>14556</v>
      </c>
      <c r="G573" s="445"/>
    </row>
    <row r="574" spans="2:8">
      <c r="B574" s="407">
        <v>2408</v>
      </c>
      <c r="C574" s="407">
        <v>1419</v>
      </c>
      <c r="D574" s="408">
        <v>45507</v>
      </c>
      <c r="E574" s="462" t="s">
        <v>14557</v>
      </c>
      <c r="G574" s="445"/>
    </row>
    <row r="575" spans="2:8">
      <c r="B575" s="407">
        <v>2408</v>
      </c>
      <c r="C575" s="407">
        <v>1417</v>
      </c>
      <c r="D575" s="408">
        <v>45507</v>
      </c>
      <c r="E575" s="463" t="s">
        <v>14560</v>
      </c>
      <c r="G575" s="445"/>
    </row>
    <row r="576" spans="2:8">
      <c r="B576" s="407">
        <v>2408</v>
      </c>
      <c r="C576" s="407">
        <v>1416</v>
      </c>
      <c r="D576" s="408">
        <v>45507</v>
      </c>
      <c r="E576" s="463" t="s">
        <v>14559</v>
      </c>
      <c r="G576" s="445"/>
    </row>
    <row r="577" spans="2:7">
      <c r="B577" s="407">
        <v>2408</v>
      </c>
      <c r="C577" s="407">
        <v>1415</v>
      </c>
      <c r="D577" s="408">
        <v>45507</v>
      </c>
      <c r="E577" s="463" t="s">
        <v>14558</v>
      </c>
      <c r="G577" s="445"/>
    </row>
    <row r="578" spans="2:7">
      <c r="B578" s="407">
        <v>2408</v>
      </c>
      <c r="C578" s="407">
        <v>1408</v>
      </c>
      <c r="D578" s="408">
        <v>45507</v>
      </c>
      <c r="E578" s="463" t="s">
        <v>14561</v>
      </c>
      <c r="G578" s="445"/>
    </row>
    <row r="579" spans="2:7">
      <c r="B579" s="407">
        <v>2408</v>
      </c>
      <c r="C579" s="407">
        <v>1402</v>
      </c>
      <c r="D579" s="408">
        <v>45507</v>
      </c>
      <c r="E579" s="463" t="s">
        <v>14562</v>
      </c>
      <c r="G579" s="445"/>
    </row>
    <row r="580" spans="2:7">
      <c r="B580" s="407">
        <v>2408</v>
      </c>
      <c r="C580" s="407">
        <v>1394</v>
      </c>
      <c r="D580" s="408">
        <v>45507</v>
      </c>
      <c r="E580" s="463" t="s">
        <v>14563</v>
      </c>
      <c r="G580" s="445"/>
    </row>
    <row r="581" spans="2:7">
      <c r="B581" s="407">
        <v>2408</v>
      </c>
      <c r="C581" s="407">
        <v>1391</v>
      </c>
      <c r="D581" s="408">
        <v>45507</v>
      </c>
      <c r="E581" s="463" t="s">
        <v>14564</v>
      </c>
      <c r="G581" s="445"/>
    </row>
    <row r="582" spans="2:7">
      <c r="B582" s="407">
        <v>2408</v>
      </c>
      <c r="C582" s="407">
        <v>1387</v>
      </c>
      <c r="D582" s="408">
        <v>45507</v>
      </c>
      <c r="E582" s="463" t="s">
        <v>14565</v>
      </c>
      <c r="G582" s="445"/>
    </row>
    <row r="583" spans="2:7">
      <c r="B583" s="407">
        <v>2408</v>
      </c>
      <c r="C583" s="407">
        <v>1384</v>
      </c>
      <c r="D583" s="408">
        <v>45507</v>
      </c>
      <c r="E583" s="463" t="s">
        <v>14566</v>
      </c>
      <c r="G583" s="445"/>
    </row>
    <row r="584" spans="2:7">
      <c r="B584" s="407">
        <v>2408</v>
      </c>
      <c r="C584" s="407">
        <v>1382</v>
      </c>
      <c r="D584" s="408">
        <v>45507</v>
      </c>
      <c r="E584" s="463" t="s">
        <v>14567</v>
      </c>
      <c r="G584" s="445"/>
    </row>
    <row r="585" spans="2:7">
      <c r="B585" s="407">
        <v>2408</v>
      </c>
      <c r="C585" s="407">
        <v>1380</v>
      </c>
      <c r="D585" s="408">
        <v>45507</v>
      </c>
      <c r="E585" s="463" t="s">
        <v>14568</v>
      </c>
      <c r="G585" s="445"/>
    </row>
    <row r="586" spans="2:7">
      <c r="B586" s="407">
        <v>2408</v>
      </c>
      <c r="C586" s="407">
        <v>1375</v>
      </c>
      <c r="D586" s="408">
        <v>45507</v>
      </c>
      <c r="E586" s="463" t="s">
        <v>14569</v>
      </c>
      <c r="G586" s="445"/>
    </row>
    <row r="587" spans="2:7">
      <c r="B587" s="407">
        <v>2408</v>
      </c>
      <c r="C587" s="407">
        <v>1374</v>
      </c>
      <c r="D587" s="408">
        <v>45507</v>
      </c>
      <c r="E587" s="463" t="s">
        <v>14570</v>
      </c>
      <c r="G587" s="445"/>
    </row>
    <row r="588" spans="2:7">
      <c r="B588" s="407">
        <v>2408</v>
      </c>
      <c r="C588" s="407">
        <v>1372</v>
      </c>
      <c r="D588" s="408">
        <v>45507</v>
      </c>
      <c r="E588" s="463" t="s">
        <v>14571</v>
      </c>
      <c r="G588" s="445"/>
    </row>
    <row r="589" spans="2:7">
      <c r="B589" s="407">
        <v>2408</v>
      </c>
      <c r="C589" s="407">
        <v>1367</v>
      </c>
      <c r="D589" s="408">
        <v>45507</v>
      </c>
      <c r="E589" s="463" t="s">
        <v>14572</v>
      </c>
      <c r="G589" s="445"/>
    </row>
    <row r="590" spans="2:7">
      <c r="B590" s="407">
        <v>2408</v>
      </c>
      <c r="C590" s="407">
        <v>1363</v>
      </c>
      <c r="D590" s="408">
        <v>45507</v>
      </c>
      <c r="E590" s="463" t="s">
        <v>14573</v>
      </c>
      <c r="G590" s="445"/>
    </row>
    <row r="591" spans="2:7">
      <c r="B591" s="407">
        <v>2408</v>
      </c>
      <c r="C591" s="407">
        <v>1362</v>
      </c>
      <c r="D591" s="408">
        <v>45507</v>
      </c>
      <c r="E591" s="463" t="s">
        <v>14574</v>
      </c>
      <c r="G591" s="445"/>
    </row>
    <row r="592" spans="2:7">
      <c r="B592" s="407">
        <v>2408</v>
      </c>
      <c r="C592" s="407">
        <v>1356</v>
      </c>
      <c r="D592" s="408">
        <v>45507</v>
      </c>
      <c r="E592" s="463" t="s">
        <v>14575</v>
      </c>
      <c r="G592" s="445"/>
    </row>
    <row r="593" spans="2:7">
      <c r="B593" s="407">
        <v>2408</v>
      </c>
      <c r="C593" s="407">
        <v>1355</v>
      </c>
      <c r="D593" s="408">
        <v>45507</v>
      </c>
      <c r="E593" s="463" t="s">
        <v>14576</v>
      </c>
      <c r="G593" s="445"/>
    </row>
    <row r="594" spans="2:7">
      <c r="B594" s="407">
        <v>2408</v>
      </c>
      <c r="C594" s="407">
        <v>1354</v>
      </c>
      <c r="D594" s="408">
        <v>45507</v>
      </c>
      <c r="E594" s="463" t="s">
        <v>14577</v>
      </c>
      <c r="G594" s="445"/>
    </row>
    <row r="595" spans="2:7">
      <c r="B595" s="407">
        <v>2408</v>
      </c>
      <c r="C595" s="407">
        <v>1346</v>
      </c>
      <c r="D595" s="408">
        <v>45507</v>
      </c>
      <c r="E595" s="463" t="s">
        <v>14578</v>
      </c>
      <c r="G595" s="445"/>
    </row>
    <row r="596" spans="2:7">
      <c r="B596" s="407">
        <v>2408</v>
      </c>
      <c r="C596" s="407">
        <v>1343</v>
      </c>
      <c r="D596" s="408">
        <v>45507</v>
      </c>
      <c r="E596" s="463" t="s">
        <v>14579</v>
      </c>
      <c r="G596" s="445"/>
    </row>
    <row r="597" spans="2:7">
      <c r="B597" s="407">
        <v>2408</v>
      </c>
      <c r="C597" s="407">
        <v>1342</v>
      </c>
      <c r="D597" s="408">
        <v>45507</v>
      </c>
      <c r="E597" s="463" t="s">
        <v>14580</v>
      </c>
      <c r="G597" s="445"/>
    </row>
    <row r="598" spans="2:7">
      <c r="B598" s="409">
        <v>2408</v>
      </c>
      <c r="C598" s="409">
        <v>1337</v>
      </c>
      <c r="D598" s="410">
        <v>45507</v>
      </c>
      <c r="E598" s="424" t="s">
        <v>14581</v>
      </c>
      <c r="G598" s="445"/>
    </row>
    <row r="599" spans="2:7">
      <c r="B599" s="407">
        <v>2408</v>
      </c>
      <c r="C599" s="407">
        <v>1336</v>
      </c>
      <c r="D599" s="408">
        <v>45507</v>
      </c>
      <c r="E599" s="463" t="s">
        <v>14582</v>
      </c>
      <c r="G599" s="445"/>
    </row>
    <row r="600" spans="2:7">
      <c r="B600" s="407">
        <v>2408</v>
      </c>
      <c r="C600" s="407">
        <v>1331</v>
      </c>
      <c r="D600" s="408">
        <v>45507</v>
      </c>
      <c r="E600" s="463" t="s">
        <v>14583</v>
      </c>
      <c r="G600" s="445"/>
    </row>
    <row r="601" spans="2:7">
      <c r="B601" s="407">
        <v>2408</v>
      </c>
      <c r="C601" s="407">
        <v>1323</v>
      </c>
      <c r="D601" s="408">
        <v>45507</v>
      </c>
      <c r="E601" s="463" t="s">
        <v>14584</v>
      </c>
      <c r="G601" s="445"/>
    </row>
    <row r="602" spans="2:7">
      <c r="B602" s="407">
        <v>2408</v>
      </c>
      <c r="C602" s="407">
        <v>1319</v>
      </c>
      <c r="D602" s="408">
        <v>45507</v>
      </c>
      <c r="E602" s="463" t="s">
        <v>14585</v>
      </c>
      <c r="G602" s="445"/>
    </row>
    <row r="603" spans="2:7">
      <c r="B603" s="407">
        <v>2408</v>
      </c>
      <c r="C603" s="407">
        <v>1316</v>
      </c>
      <c r="D603" s="408">
        <v>45507</v>
      </c>
      <c r="E603" s="463" t="s">
        <v>14586</v>
      </c>
      <c r="G603" s="445"/>
    </row>
    <row r="604" spans="2:7">
      <c r="B604" s="407">
        <v>2408</v>
      </c>
      <c r="C604" s="407">
        <v>1310</v>
      </c>
      <c r="D604" s="408">
        <v>45507</v>
      </c>
      <c r="E604" s="463" t="s">
        <v>14587</v>
      </c>
      <c r="G604" s="445"/>
    </row>
    <row r="605" spans="2:7">
      <c r="B605" s="407">
        <v>2408</v>
      </c>
      <c r="C605" s="407">
        <v>1308</v>
      </c>
      <c r="D605" s="408">
        <v>45507</v>
      </c>
      <c r="E605" s="463" t="s">
        <v>14588</v>
      </c>
      <c r="G605" s="445"/>
    </row>
    <row r="606" spans="2:7">
      <c r="B606" s="407">
        <v>2408</v>
      </c>
      <c r="C606" s="407">
        <v>1301</v>
      </c>
      <c r="D606" s="408">
        <v>45507</v>
      </c>
      <c r="E606" s="463" t="s">
        <v>14589</v>
      </c>
      <c r="G606" s="445"/>
    </row>
    <row r="607" spans="2:7">
      <c r="B607" s="407">
        <v>2408</v>
      </c>
      <c r="C607" s="407">
        <v>1300</v>
      </c>
      <c r="D607" s="408">
        <v>45507</v>
      </c>
      <c r="E607" s="463" t="s">
        <v>14590</v>
      </c>
      <c r="G607" s="445"/>
    </row>
    <row r="608" spans="2:7">
      <c r="B608" s="407">
        <v>2408</v>
      </c>
      <c r="C608" s="407">
        <v>1297</v>
      </c>
      <c r="D608" s="408">
        <v>45507</v>
      </c>
      <c r="E608" s="463" t="s">
        <v>14591</v>
      </c>
      <c r="G608" s="445"/>
    </row>
    <row r="609" spans="2:7">
      <c r="B609" s="407">
        <v>2408</v>
      </c>
      <c r="C609" s="407">
        <v>1293</v>
      </c>
      <c r="D609" s="408">
        <v>45507</v>
      </c>
      <c r="E609" s="463" t="s">
        <v>14592</v>
      </c>
      <c r="G609" s="445"/>
    </row>
    <row r="610" spans="2:7">
      <c r="B610" s="409">
        <v>2408</v>
      </c>
      <c r="C610" s="409">
        <v>1292</v>
      </c>
      <c r="D610" s="410">
        <v>45507</v>
      </c>
      <c r="E610" s="424" t="s">
        <v>14593</v>
      </c>
      <c r="G610" s="445"/>
    </row>
    <row r="611" spans="2:7">
      <c r="B611" s="409">
        <v>2408</v>
      </c>
      <c r="C611" s="409">
        <v>1291</v>
      </c>
      <c r="D611" s="410">
        <v>45507</v>
      </c>
      <c r="E611" s="424" t="s">
        <v>14594</v>
      </c>
      <c r="G611" s="445"/>
    </row>
    <row r="612" spans="2:7">
      <c r="B612" s="407">
        <v>2408</v>
      </c>
      <c r="C612" s="407">
        <v>1287</v>
      </c>
      <c r="D612" s="408">
        <v>45507</v>
      </c>
      <c r="E612" s="463" t="s">
        <v>14595</v>
      </c>
      <c r="G612" s="445"/>
    </row>
    <row r="613" spans="2:7">
      <c r="B613" s="407">
        <v>2408</v>
      </c>
      <c r="C613" s="407">
        <v>1284</v>
      </c>
      <c r="D613" s="408">
        <v>45507</v>
      </c>
      <c r="E613" s="463" t="s">
        <v>14596</v>
      </c>
      <c r="G613" s="445"/>
    </row>
    <row r="614" spans="2:7">
      <c r="B614" s="407">
        <v>2408</v>
      </c>
      <c r="C614" s="407">
        <v>1276</v>
      </c>
      <c r="D614" s="408">
        <v>45507</v>
      </c>
      <c r="E614" s="424" t="s">
        <v>14597</v>
      </c>
      <c r="G614" s="445"/>
    </row>
    <row r="615" spans="2:7">
      <c r="B615" s="407">
        <v>2408</v>
      </c>
      <c r="C615" s="407">
        <v>1273</v>
      </c>
      <c r="D615" s="408">
        <v>45507</v>
      </c>
      <c r="E615" s="463" t="s">
        <v>14598</v>
      </c>
      <c r="G615" s="445"/>
    </row>
    <row r="616" spans="2:7">
      <c r="B616" s="407">
        <v>2408</v>
      </c>
      <c r="C616" s="407">
        <v>1271</v>
      </c>
      <c r="D616" s="408">
        <v>45507</v>
      </c>
      <c r="E616" s="463" t="s">
        <v>14599</v>
      </c>
      <c r="G616" s="445"/>
    </row>
    <row r="617" spans="2:7">
      <c r="B617" s="407">
        <v>2408</v>
      </c>
      <c r="C617" s="407">
        <v>1269</v>
      </c>
      <c r="D617" s="408">
        <v>45507</v>
      </c>
      <c r="E617" s="463" t="s">
        <v>14600</v>
      </c>
      <c r="G617" s="445"/>
    </row>
    <row r="618" spans="2:7">
      <c r="B618" s="407">
        <v>2408</v>
      </c>
      <c r="C618" s="407">
        <v>1262</v>
      </c>
      <c r="D618" s="408">
        <v>45507</v>
      </c>
      <c r="E618" s="463" t="s">
        <v>14601</v>
      </c>
      <c r="G618" s="445"/>
    </row>
    <row r="619" spans="2:7">
      <c r="B619" s="407">
        <v>2408</v>
      </c>
      <c r="C619" s="407">
        <v>1254</v>
      </c>
      <c r="D619" s="408">
        <v>45507</v>
      </c>
      <c r="E619" s="463" t="s">
        <v>14602</v>
      </c>
      <c r="G619" s="445"/>
    </row>
    <row r="620" spans="2:7">
      <c r="B620" s="407">
        <v>2408</v>
      </c>
      <c r="C620" s="407">
        <v>1248</v>
      </c>
      <c r="D620" s="408">
        <v>45507</v>
      </c>
      <c r="E620" s="463" t="s">
        <v>14603</v>
      </c>
      <c r="G620" s="445"/>
    </row>
    <row r="621" spans="2:7">
      <c r="B621" s="409">
        <v>2408</v>
      </c>
      <c r="C621" s="409">
        <v>1244</v>
      </c>
      <c r="D621" s="410">
        <v>45507</v>
      </c>
      <c r="E621" s="424" t="s">
        <v>14604</v>
      </c>
      <c r="G621" s="445"/>
    </row>
    <row r="622" spans="2:7">
      <c r="B622" s="407">
        <v>2408</v>
      </c>
      <c r="C622" s="407">
        <v>1239</v>
      </c>
      <c r="D622" s="408">
        <v>45507</v>
      </c>
      <c r="E622" s="463" t="s">
        <v>14605</v>
      </c>
      <c r="G622" s="445"/>
    </row>
    <row r="623" spans="2:7">
      <c r="B623" s="409">
        <v>2408</v>
      </c>
      <c r="C623" s="409">
        <v>1233</v>
      </c>
      <c r="D623" s="410">
        <v>45507</v>
      </c>
      <c r="E623" s="424" t="s">
        <v>14606</v>
      </c>
      <c r="G623" s="445"/>
    </row>
    <row r="624" spans="2:7">
      <c r="B624" s="407">
        <v>2408</v>
      </c>
      <c r="C624" s="407">
        <v>1231</v>
      </c>
      <c r="D624" s="408">
        <v>45507</v>
      </c>
      <c r="E624" s="463" t="s">
        <v>14607</v>
      </c>
      <c r="G624" s="445"/>
    </row>
    <row r="625" spans="2:7">
      <c r="B625" s="407">
        <v>2408</v>
      </c>
      <c r="C625" s="407">
        <v>1224</v>
      </c>
      <c r="D625" s="408">
        <v>45507</v>
      </c>
      <c r="E625" s="463" t="s">
        <v>14608</v>
      </c>
      <c r="G625" s="445"/>
    </row>
    <row r="626" spans="2:7">
      <c r="B626" s="409">
        <v>2408</v>
      </c>
      <c r="C626" s="409">
        <v>1218</v>
      </c>
      <c r="D626" s="410">
        <v>45507</v>
      </c>
      <c r="E626" s="424" t="s">
        <v>14609</v>
      </c>
      <c r="G626" s="445"/>
    </row>
    <row r="627" spans="2:7">
      <c r="B627" s="407">
        <v>2408</v>
      </c>
      <c r="C627" s="407">
        <v>1215</v>
      </c>
      <c r="D627" s="408">
        <v>45507</v>
      </c>
      <c r="E627" s="463" t="s">
        <v>14610</v>
      </c>
      <c r="G627" s="445"/>
    </row>
    <row r="628" spans="2:7">
      <c r="B628" s="409">
        <v>2408</v>
      </c>
      <c r="C628" s="409">
        <v>1214</v>
      </c>
      <c r="D628" s="410">
        <v>45507</v>
      </c>
      <c r="E628" s="424" t="s">
        <v>14611</v>
      </c>
      <c r="G628" s="445"/>
    </row>
    <row r="629" spans="2:7">
      <c r="B629" s="409">
        <v>2408</v>
      </c>
      <c r="C629" s="409">
        <v>1191</v>
      </c>
      <c r="D629" s="410">
        <v>45507</v>
      </c>
      <c r="E629" s="424" t="s">
        <v>14612</v>
      </c>
      <c r="G629" s="445"/>
    </row>
    <row r="630" spans="2:7">
      <c r="B630" s="407">
        <v>2408</v>
      </c>
      <c r="C630" s="407">
        <v>1181</v>
      </c>
      <c r="D630" s="408">
        <v>45507</v>
      </c>
      <c r="E630" s="463" t="s">
        <v>14613</v>
      </c>
      <c r="G630" s="445"/>
    </row>
    <row r="631" spans="2:7">
      <c r="B631" s="407">
        <v>2408</v>
      </c>
      <c r="C631" s="407">
        <v>1180</v>
      </c>
      <c r="D631" s="408">
        <v>45507</v>
      </c>
      <c r="E631" s="463" t="s">
        <v>14614</v>
      </c>
      <c r="G631" s="445"/>
    </row>
    <row r="632" spans="2:7">
      <c r="B632" s="407">
        <v>2408</v>
      </c>
      <c r="C632" s="407">
        <v>1178</v>
      </c>
      <c r="D632" s="408">
        <v>45507</v>
      </c>
      <c r="E632" s="463" t="s">
        <v>14615</v>
      </c>
      <c r="G632" s="445"/>
    </row>
    <row r="633" spans="2:7">
      <c r="B633" s="407">
        <v>2408</v>
      </c>
      <c r="C633" s="407">
        <v>1167</v>
      </c>
      <c r="D633" s="408">
        <v>45507</v>
      </c>
      <c r="E633" s="463" t="s">
        <v>14616</v>
      </c>
      <c r="G633" s="445"/>
    </row>
    <row r="634" spans="2:7">
      <c r="B634" s="407">
        <v>2408</v>
      </c>
      <c r="C634" s="407">
        <v>1166</v>
      </c>
      <c r="D634" s="408">
        <v>45507</v>
      </c>
      <c r="E634" s="463" t="s">
        <v>14617</v>
      </c>
      <c r="G634" s="445"/>
    </row>
    <row r="635" spans="2:7">
      <c r="B635" s="407">
        <v>2408</v>
      </c>
      <c r="C635" s="407">
        <v>1163</v>
      </c>
      <c r="D635" s="408">
        <v>45507</v>
      </c>
      <c r="E635" s="463" t="s">
        <v>14618</v>
      </c>
      <c r="G635" s="445"/>
    </row>
    <row r="636" spans="2:7">
      <c r="B636" s="407">
        <v>2408</v>
      </c>
      <c r="C636" s="407">
        <v>1162</v>
      </c>
      <c r="D636" s="408">
        <v>45507</v>
      </c>
      <c r="E636" s="463" t="s">
        <v>14619</v>
      </c>
      <c r="G636" s="445"/>
    </row>
    <row r="637" spans="2:7">
      <c r="B637" s="409">
        <v>2408</v>
      </c>
      <c r="C637" s="409">
        <v>1159</v>
      </c>
      <c r="D637" s="410">
        <v>45507</v>
      </c>
      <c r="E637" s="424" t="s">
        <v>14620</v>
      </c>
      <c r="G637" s="445"/>
    </row>
    <row r="638" spans="2:7">
      <c r="B638" s="409">
        <v>2408</v>
      </c>
      <c r="C638" s="409">
        <v>1156</v>
      </c>
      <c r="D638" s="410">
        <v>45507</v>
      </c>
      <c r="E638" s="424" t="s">
        <v>14621</v>
      </c>
      <c r="G638" s="445"/>
    </row>
    <row r="639" spans="2:7">
      <c r="B639" s="407">
        <v>2408</v>
      </c>
      <c r="C639" s="407">
        <v>1147</v>
      </c>
      <c r="D639" s="408">
        <v>45507</v>
      </c>
      <c r="E639" s="463" t="s">
        <v>14622</v>
      </c>
      <c r="G639" s="445"/>
    </row>
    <row r="640" spans="2:7">
      <c r="B640" s="409">
        <v>2408</v>
      </c>
      <c r="C640" s="409">
        <v>1144</v>
      </c>
      <c r="D640" s="410">
        <v>45507</v>
      </c>
      <c r="E640" s="424" t="s">
        <v>14623</v>
      </c>
      <c r="G640" s="445"/>
    </row>
    <row r="641" spans="2:7">
      <c r="B641" s="407">
        <v>2408</v>
      </c>
      <c r="C641" s="407">
        <v>1139</v>
      </c>
      <c r="D641" s="408">
        <v>45507</v>
      </c>
      <c r="E641" s="463" t="s">
        <v>14624</v>
      </c>
      <c r="G641" s="445"/>
    </row>
    <row r="642" spans="2:7">
      <c r="B642" s="407">
        <v>2408</v>
      </c>
      <c r="C642" s="407">
        <v>1137</v>
      </c>
      <c r="D642" s="408">
        <v>45507</v>
      </c>
      <c r="E642" s="463" t="s">
        <v>14625</v>
      </c>
      <c r="G642" s="445"/>
    </row>
    <row r="643" spans="2:7">
      <c r="B643" s="407">
        <v>2408</v>
      </c>
      <c r="C643" s="407">
        <v>1129</v>
      </c>
      <c r="D643" s="408">
        <v>45507</v>
      </c>
      <c r="E643" s="463" t="s">
        <v>14626</v>
      </c>
      <c r="G643" s="445"/>
    </row>
    <row r="644" spans="2:7">
      <c r="B644" s="407">
        <v>2408</v>
      </c>
      <c r="C644" s="407">
        <v>1126</v>
      </c>
      <c r="D644" s="408">
        <v>45507</v>
      </c>
      <c r="E644" s="463" t="s">
        <v>14627</v>
      </c>
      <c r="G644" s="445"/>
    </row>
    <row r="645" spans="2:7">
      <c r="B645" s="407">
        <v>2408</v>
      </c>
      <c r="C645" s="407">
        <v>1122</v>
      </c>
      <c r="D645" s="408">
        <v>45507</v>
      </c>
      <c r="E645" s="463" t="s">
        <v>14628</v>
      </c>
      <c r="G645" s="445"/>
    </row>
    <row r="646" spans="2:7">
      <c r="B646" s="407">
        <v>2408</v>
      </c>
      <c r="C646" s="407">
        <v>1120</v>
      </c>
      <c r="D646" s="408">
        <v>45507</v>
      </c>
      <c r="E646" s="463" t="s">
        <v>14629</v>
      </c>
      <c r="G646" s="445"/>
    </row>
    <row r="647" spans="2:7">
      <c r="B647" s="407">
        <v>2408</v>
      </c>
      <c r="C647" s="407">
        <v>1119</v>
      </c>
      <c r="D647" s="408">
        <v>45507</v>
      </c>
      <c r="E647" s="463" t="s">
        <v>14630</v>
      </c>
      <c r="G647" s="445"/>
    </row>
    <row r="648" spans="2:7">
      <c r="B648" s="409">
        <v>2408</v>
      </c>
      <c r="C648" s="409">
        <v>1112</v>
      </c>
      <c r="D648" s="410">
        <v>45507</v>
      </c>
      <c r="E648" s="424" t="s">
        <v>14631</v>
      </c>
      <c r="G648" s="445"/>
    </row>
    <row r="649" spans="2:7">
      <c r="B649" s="409">
        <v>2408</v>
      </c>
      <c r="C649" s="409">
        <v>1107</v>
      </c>
      <c r="D649" s="410">
        <v>45507</v>
      </c>
      <c r="E649" s="424" t="s">
        <v>14632</v>
      </c>
      <c r="G649" s="445"/>
    </row>
    <row r="650" spans="2:7">
      <c r="B650" s="407">
        <v>2408</v>
      </c>
      <c r="C650" s="407">
        <v>1102</v>
      </c>
      <c r="D650" s="408">
        <v>45507</v>
      </c>
      <c r="E650" s="463" t="s">
        <v>14633</v>
      </c>
      <c r="G650" s="445"/>
    </row>
    <row r="651" spans="2:7">
      <c r="B651" s="407">
        <v>2408</v>
      </c>
      <c r="C651" s="407">
        <v>1099</v>
      </c>
      <c r="D651" s="408">
        <v>45507</v>
      </c>
      <c r="E651" s="463" t="s">
        <v>14634</v>
      </c>
      <c r="G651" s="445"/>
    </row>
    <row r="652" spans="2:7">
      <c r="B652" s="407">
        <v>2408</v>
      </c>
      <c r="C652" s="407">
        <v>1096</v>
      </c>
      <c r="D652" s="408">
        <v>45507</v>
      </c>
      <c r="E652" s="463" t="s">
        <v>14635</v>
      </c>
      <c r="G652" s="445"/>
    </row>
    <row r="653" spans="2:7">
      <c r="B653" s="407">
        <v>2408</v>
      </c>
      <c r="C653" s="407">
        <v>1094</v>
      </c>
      <c r="D653" s="408">
        <v>45507</v>
      </c>
      <c r="E653" s="463" t="s">
        <v>14636</v>
      </c>
      <c r="G653" s="445"/>
    </row>
    <row r="654" spans="2:7">
      <c r="B654" s="407">
        <v>2408</v>
      </c>
      <c r="C654" s="407">
        <v>1091</v>
      </c>
      <c r="D654" s="408">
        <v>45507</v>
      </c>
      <c r="E654" s="463" t="s">
        <v>14637</v>
      </c>
      <c r="G654" s="445"/>
    </row>
    <row r="655" spans="2:7">
      <c r="B655" s="407">
        <v>2408</v>
      </c>
      <c r="C655" s="407">
        <v>1084</v>
      </c>
      <c r="D655" s="408">
        <v>45507</v>
      </c>
      <c r="E655" s="463" t="s">
        <v>14638</v>
      </c>
      <c r="G655" s="445"/>
    </row>
    <row r="656" spans="2:7">
      <c r="B656" s="407">
        <v>2408</v>
      </c>
      <c r="C656" s="407">
        <v>1080</v>
      </c>
      <c r="D656" s="408">
        <v>45507</v>
      </c>
      <c r="E656" s="463" t="s">
        <v>14639</v>
      </c>
      <c r="G656" s="445"/>
    </row>
    <row r="657" spans="2:7">
      <c r="B657" s="407">
        <v>2408</v>
      </c>
      <c r="C657" s="407">
        <v>1077</v>
      </c>
      <c r="D657" s="408">
        <v>45507</v>
      </c>
      <c r="E657" s="463" t="s">
        <v>14640</v>
      </c>
      <c r="G657" s="445"/>
    </row>
    <row r="658" spans="2:7">
      <c r="B658" s="407">
        <v>2408</v>
      </c>
      <c r="C658" s="407">
        <v>1076</v>
      </c>
      <c r="D658" s="408">
        <v>45507</v>
      </c>
      <c r="E658" s="463" t="s">
        <v>14641</v>
      </c>
      <c r="G658" s="445"/>
    </row>
    <row r="659" spans="2:7">
      <c r="B659" s="407">
        <v>2408</v>
      </c>
      <c r="C659" s="407">
        <v>1075</v>
      </c>
      <c r="D659" s="408">
        <v>45507</v>
      </c>
      <c r="E659" s="463" t="s">
        <v>14642</v>
      </c>
      <c r="G659" s="445"/>
    </row>
    <row r="660" spans="2:7">
      <c r="B660" s="407">
        <v>2408</v>
      </c>
      <c r="C660" s="407">
        <v>1072</v>
      </c>
      <c r="D660" s="408">
        <v>45507</v>
      </c>
      <c r="E660" s="463" t="s">
        <v>14643</v>
      </c>
      <c r="G660" s="445"/>
    </row>
    <row r="661" spans="2:7">
      <c r="B661" s="407">
        <v>2408</v>
      </c>
      <c r="C661" s="407">
        <v>1067</v>
      </c>
      <c r="D661" s="408">
        <v>45507</v>
      </c>
      <c r="E661" s="463" t="s">
        <v>14644</v>
      </c>
      <c r="G661" s="445"/>
    </row>
    <row r="662" spans="2:7">
      <c r="B662" s="407">
        <v>2408</v>
      </c>
      <c r="C662" s="407">
        <v>1063</v>
      </c>
      <c r="D662" s="408">
        <v>45507</v>
      </c>
      <c r="E662" s="463" t="s">
        <v>14645</v>
      </c>
      <c r="G662" s="445"/>
    </row>
    <row r="663" spans="2:7">
      <c r="B663" s="407">
        <v>2408</v>
      </c>
      <c r="C663" s="407">
        <v>1055</v>
      </c>
      <c r="D663" s="408">
        <v>45507</v>
      </c>
      <c r="E663" s="463" t="s">
        <v>14646</v>
      </c>
      <c r="G663" s="445"/>
    </row>
    <row r="664" spans="2:7">
      <c r="B664" s="407">
        <v>2408</v>
      </c>
      <c r="C664" s="407">
        <v>1050</v>
      </c>
      <c r="D664" s="408">
        <v>45507</v>
      </c>
      <c r="E664" s="463" t="s">
        <v>14647</v>
      </c>
      <c r="G664" s="445"/>
    </row>
    <row r="665" spans="2:7">
      <c r="B665" s="407">
        <v>2408</v>
      </c>
      <c r="C665" s="407">
        <v>1044</v>
      </c>
      <c r="D665" s="408">
        <v>45507</v>
      </c>
      <c r="E665" s="463" t="s">
        <v>14648</v>
      </c>
      <c r="G665" s="445"/>
    </row>
    <row r="666" spans="2:7">
      <c r="B666" s="407">
        <v>2408</v>
      </c>
      <c r="C666" s="407">
        <v>1038</v>
      </c>
      <c r="D666" s="408">
        <v>45507</v>
      </c>
      <c r="E666" s="463" t="s">
        <v>14649</v>
      </c>
      <c r="G666" s="445"/>
    </row>
    <row r="667" spans="2:7">
      <c r="B667" s="407">
        <v>2408</v>
      </c>
      <c r="C667" s="407">
        <v>1037</v>
      </c>
      <c r="D667" s="408">
        <v>45507</v>
      </c>
      <c r="E667" s="463" t="s">
        <v>14650</v>
      </c>
      <c r="G667" s="445"/>
    </row>
    <row r="668" spans="2:7">
      <c r="B668" s="407">
        <v>2408</v>
      </c>
      <c r="C668" s="407">
        <v>1035</v>
      </c>
      <c r="D668" s="408">
        <v>45507</v>
      </c>
      <c r="E668" s="463" t="s">
        <v>14651</v>
      </c>
      <c r="G668" s="445"/>
    </row>
    <row r="669" spans="2:7">
      <c r="B669" s="407">
        <v>2408</v>
      </c>
      <c r="C669" s="407">
        <v>1031</v>
      </c>
      <c r="D669" s="408">
        <v>45507</v>
      </c>
      <c r="E669" s="463" t="s">
        <v>14652</v>
      </c>
      <c r="G669" s="445"/>
    </row>
    <row r="670" spans="2:7">
      <c r="B670" s="407">
        <v>2408</v>
      </c>
      <c r="C670" s="407">
        <v>1026</v>
      </c>
      <c r="D670" s="408">
        <v>45507</v>
      </c>
      <c r="E670" s="463" t="s">
        <v>14653</v>
      </c>
      <c r="G670" s="445"/>
    </row>
    <row r="671" spans="2:7">
      <c r="B671" s="407">
        <v>2408</v>
      </c>
      <c r="C671" s="407">
        <v>1024</v>
      </c>
      <c r="D671" s="408">
        <v>45507</v>
      </c>
      <c r="E671" s="463" t="s">
        <v>14654</v>
      </c>
      <c r="G671" s="445"/>
    </row>
    <row r="672" spans="2:7">
      <c r="B672" s="407">
        <v>2408</v>
      </c>
      <c r="C672" s="407">
        <v>1018</v>
      </c>
      <c r="D672" s="408">
        <v>45507</v>
      </c>
      <c r="E672" s="463" t="s">
        <v>14655</v>
      </c>
      <c r="G672" s="445"/>
    </row>
    <row r="673" spans="2:7">
      <c r="B673" s="407">
        <v>2408</v>
      </c>
      <c r="C673" s="407">
        <v>1008</v>
      </c>
      <c r="D673" s="408">
        <v>45507</v>
      </c>
      <c r="E673" s="463" t="s">
        <v>14656</v>
      </c>
      <c r="G673" s="445"/>
    </row>
    <row r="674" spans="2:7">
      <c r="B674" s="409">
        <v>2408</v>
      </c>
      <c r="C674" s="409">
        <v>1005</v>
      </c>
      <c r="D674" s="410">
        <v>45507</v>
      </c>
      <c r="E674" s="424" t="s">
        <v>14657</v>
      </c>
      <c r="G674" s="445"/>
    </row>
    <row r="675" spans="2:7">
      <c r="B675" s="407">
        <v>2408</v>
      </c>
      <c r="C675" s="407">
        <v>1003</v>
      </c>
      <c r="D675" s="408">
        <v>45507</v>
      </c>
      <c r="E675" s="463" t="s">
        <v>14658</v>
      </c>
      <c r="G675" s="445"/>
    </row>
    <row r="676" spans="2:7">
      <c r="B676" s="407">
        <v>2408</v>
      </c>
      <c r="C676" s="407">
        <v>998</v>
      </c>
      <c r="D676" s="408">
        <v>45507</v>
      </c>
      <c r="E676" s="463" t="s">
        <v>14659</v>
      </c>
      <c r="G676" s="445"/>
    </row>
    <row r="677" spans="2:7">
      <c r="B677" s="407">
        <v>2408</v>
      </c>
      <c r="C677" s="407">
        <v>985</v>
      </c>
      <c r="D677" s="408">
        <v>45506</v>
      </c>
      <c r="E677" s="463" t="s">
        <v>14660</v>
      </c>
      <c r="G677" s="445"/>
    </row>
    <row r="678" spans="2:7">
      <c r="B678" s="407">
        <v>2408</v>
      </c>
      <c r="C678" s="407">
        <v>973</v>
      </c>
      <c r="D678" s="408">
        <v>45506</v>
      </c>
      <c r="E678" s="463" t="s">
        <v>14661</v>
      </c>
      <c r="G678" s="445"/>
    </row>
    <row r="679" spans="2:7">
      <c r="B679" s="407">
        <v>2408</v>
      </c>
      <c r="C679" s="407">
        <v>970</v>
      </c>
      <c r="D679" s="408">
        <v>45506</v>
      </c>
      <c r="E679" s="463" t="s">
        <v>14662</v>
      </c>
      <c r="G679" s="445"/>
    </row>
    <row r="680" spans="2:7">
      <c r="B680" s="407">
        <v>2408</v>
      </c>
      <c r="C680" s="407">
        <v>969</v>
      </c>
      <c r="D680" s="408">
        <v>45506</v>
      </c>
      <c r="E680" s="463" t="s">
        <v>14663</v>
      </c>
      <c r="G680" s="445"/>
    </row>
    <row r="681" spans="2:7">
      <c r="B681" s="407">
        <v>2408</v>
      </c>
      <c r="C681" s="407">
        <v>960</v>
      </c>
      <c r="D681" s="408">
        <v>45506</v>
      </c>
      <c r="E681" s="463" t="s">
        <v>14664</v>
      </c>
      <c r="G681" s="445"/>
    </row>
    <row r="682" spans="2:7">
      <c r="B682" s="407">
        <v>2408</v>
      </c>
      <c r="C682" s="407">
        <v>955</v>
      </c>
      <c r="D682" s="408">
        <v>45506</v>
      </c>
      <c r="E682" s="463" t="s">
        <v>14665</v>
      </c>
      <c r="G682" s="445"/>
    </row>
    <row r="683" spans="2:7">
      <c r="B683" s="407">
        <v>2408</v>
      </c>
      <c r="C683" s="407">
        <v>949</v>
      </c>
      <c r="D683" s="408">
        <v>45506</v>
      </c>
      <c r="E683" s="463" t="s">
        <v>14666</v>
      </c>
      <c r="G683" s="445"/>
    </row>
    <row r="684" spans="2:7">
      <c r="B684" s="407">
        <v>2408</v>
      </c>
      <c r="C684" s="407">
        <v>946</v>
      </c>
      <c r="D684" s="408">
        <v>45506</v>
      </c>
      <c r="E684" s="463" t="s">
        <v>14667</v>
      </c>
      <c r="G684" s="445"/>
    </row>
    <row r="685" spans="2:7">
      <c r="B685" s="407">
        <v>2408</v>
      </c>
      <c r="C685" s="407">
        <v>940</v>
      </c>
      <c r="D685" s="408">
        <v>45506</v>
      </c>
      <c r="E685" s="463" t="s">
        <v>14668</v>
      </c>
      <c r="G685" s="445"/>
    </row>
    <row r="686" spans="2:7">
      <c r="B686" s="409">
        <v>2408</v>
      </c>
      <c r="C686" s="409">
        <v>938</v>
      </c>
      <c r="D686" s="410">
        <v>45506</v>
      </c>
      <c r="E686" s="424" t="s">
        <v>14669</v>
      </c>
      <c r="G686" s="445"/>
    </row>
    <row r="687" spans="2:7">
      <c r="B687" s="407">
        <v>2408</v>
      </c>
      <c r="C687" s="407">
        <v>932</v>
      </c>
      <c r="D687" s="408">
        <v>45506</v>
      </c>
      <c r="E687" s="463" t="s">
        <v>14670</v>
      </c>
      <c r="G687" s="445"/>
    </row>
    <row r="688" spans="2:7">
      <c r="B688" s="407">
        <v>2408</v>
      </c>
      <c r="C688" s="407">
        <v>923</v>
      </c>
      <c r="D688" s="408">
        <v>45506</v>
      </c>
      <c r="E688" s="463" t="s">
        <v>14671</v>
      </c>
      <c r="G688" s="445"/>
    </row>
    <row r="689" spans="2:7">
      <c r="B689" s="407">
        <v>2408</v>
      </c>
      <c r="C689" s="407">
        <v>921</v>
      </c>
      <c r="D689" s="408">
        <v>45506</v>
      </c>
      <c r="E689" s="463" t="s">
        <v>14672</v>
      </c>
      <c r="G689" s="445"/>
    </row>
    <row r="690" spans="2:7">
      <c r="B690" s="407">
        <v>2408</v>
      </c>
      <c r="C690" s="407">
        <v>914</v>
      </c>
      <c r="D690" s="408">
        <v>45506</v>
      </c>
      <c r="E690" s="463" t="s">
        <v>14673</v>
      </c>
      <c r="G690" s="445"/>
    </row>
    <row r="691" spans="2:7">
      <c r="B691" s="407">
        <v>2408</v>
      </c>
      <c r="C691" s="407">
        <v>911</v>
      </c>
      <c r="D691" s="408">
        <v>45506</v>
      </c>
      <c r="E691" s="463" t="s">
        <v>14674</v>
      </c>
      <c r="G691" s="445"/>
    </row>
    <row r="692" spans="2:7">
      <c r="B692" s="407">
        <v>2408</v>
      </c>
      <c r="C692" s="407">
        <v>906</v>
      </c>
      <c r="D692" s="408">
        <v>45506</v>
      </c>
      <c r="E692" s="463" t="s">
        <v>14675</v>
      </c>
      <c r="G692" s="445"/>
    </row>
    <row r="693" spans="2:7">
      <c r="B693" s="409">
        <v>2408</v>
      </c>
      <c r="C693" s="409">
        <v>900</v>
      </c>
      <c r="D693" s="410">
        <v>45506</v>
      </c>
      <c r="E693" s="424" t="s">
        <v>14676</v>
      </c>
      <c r="G693" s="445"/>
    </row>
    <row r="694" spans="2:7">
      <c r="B694" s="407">
        <v>2408</v>
      </c>
      <c r="C694" s="407">
        <v>892</v>
      </c>
      <c r="D694" s="408">
        <v>45506</v>
      </c>
      <c r="E694" s="463" t="s">
        <v>14677</v>
      </c>
      <c r="G694" s="445"/>
    </row>
    <row r="695" spans="2:7">
      <c r="B695" s="407">
        <v>2408</v>
      </c>
      <c r="C695" s="407">
        <v>891</v>
      </c>
      <c r="D695" s="408">
        <v>45506</v>
      </c>
      <c r="E695" s="463" t="s">
        <v>14678</v>
      </c>
      <c r="G695" s="445"/>
    </row>
    <row r="696" spans="2:7">
      <c r="B696" s="407">
        <v>2408</v>
      </c>
      <c r="C696" s="407">
        <v>884</v>
      </c>
      <c r="D696" s="408">
        <v>45506</v>
      </c>
      <c r="E696" s="463" t="s">
        <v>14679</v>
      </c>
      <c r="G696" s="445"/>
    </row>
    <row r="697" spans="2:7">
      <c r="B697" s="407">
        <v>2408</v>
      </c>
      <c r="C697" s="407">
        <v>881</v>
      </c>
      <c r="D697" s="408">
        <v>45506</v>
      </c>
      <c r="E697" s="463" t="s">
        <v>14680</v>
      </c>
      <c r="G697" s="445"/>
    </row>
    <row r="698" spans="2:7">
      <c r="B698" s="407">
        <v>2408</v>
      </c>
      <c r="C698" s="407">
        <v>880</v>
      </c>
      <c r="D698" s="408">
        <v>45506</v>
      </c>
      <c r="E698" s="463" t="s">
        <v>14681</v>
      </c>
      <c r="G698" s="445"/>
    </row>
    <row r="699" spans="2:7">
      <c r="B699" s="407">
        <v>2408</v>
      </c>
      <c r="C699" s="407">
        <v>878</v>
      </c>
      <c r="D699" s="408">
        <v>45506</v>
      </c>
      <c r="E699" s="463" t="s">
        <v>14682</v>
      </c>
      <c r="G699" s="445"/>
    </row>
    <row r="700" spans="2:7">
      <c r="B700" s="409">
        <v>2408</v>
      </c>
      <c r="C700" s="409">
        <v>874</v>
      </c>
      <c r="D700" s="410">
        <v>45506</v>
      </c>
      <c r="E700" s="424" t="s">
        <v>14683</v>
      </c>
      <c r="G700" s="445"/>
    </row>
    <row r="701" spans="2:7">
      <c r="B701" s="407">
        <v>2408</v>
      </c>
      <c r="C701" s="407">
        <v>863</v>
      </c>
      <c r="D701" s="408">
        <v>45506</v>
      </c>
      <c r="E701" s="463" t="s">
        <v>14684</v>
      </c>
      <c r="G701" s="445"/>
    </row>
    <row r="702" spans="2:7">
      <c r="B702" s="409">
        <v>2408</v>
      </c>
      <c r="C702" s="409">
        <v>860</v>
      </c>
      <c r="D702" s="410">
        <v>45506</v>
      </c>
      <c r="E702" s="424" t="s">
        <v>14685</v>
      </c>
      <c r="G702" s="445"/>
    </row>
    <row r="703" spans="2:7">
      <c r="B703" s="407">
        <v>2408</v>
      </c>
      <c r="C703" s="407">
        <v>859</v>
      </c>
      <c r="D703" s="408">
        <v>45506</v>
      </c>
      <c r="E703" s="463" t="s">
        <v>14686</v>
      </c>
      <c r="G703" s="445"/>
    </row>
    <row r="704" spans="2:7">
      <c r="B704" s="407">
        <v>2408</v>
      </c>
      <c r="C704" s="407">
        <v>856</v>
      </c>
      <c r="D704" s="408">
        <v>45506</v>
      </c>
      <c r="E704" s="463" t="s">
        <v>14687</v>
      </c>
      <c r="G704" s="445"/>
    </row>
    <row r="705" spans="2:8">
      <c r="B705" s="407">
        <v>2408</v>
      </c>
      <c r="C705" s="407">
        <v>855</v>
      </c>
      <c r="D705" s="408">
        <v>45506</v>
      </c>
      <c r="E705" s="463" t="s">
        <v>14706</v>
      </c>
      <c r="G705" s="445"/>
    </row>
    <row r="706" spans="2:8">
      <c r="B706" s="407">
        <v>2408</v>
      </c>
      <c r="C706" s="407">
        <v>818</v>
      </c>
      <c r="D706" s="408">
        <v>45506</v>
      </c>
      <c r="E706" s="463" t="s">
        <v>14688</v>
      </c>
      <c r="G706" s="445"/>
    </row>
    <row r="707" spans="2:8">
      <c r="B707" s="407">
        <v>2408</v>
      </c>
      <c r="C707" s="407">
        <v>804</v>
      </c>
      <c r="D707" s="408">
        <v>45500</v>
      </c>
      <c r="E707" s="463" t="s">
        <v>14689</v>
      </c>
      <c r="G707" s="445"/>
    </row>
    <row r="708" spans="2:8">
      <c r="B708" s="407">
        <v>2408</v>
      </c>
      <c r="C708" s="407">
        <v>802</v>
      </c>
      <c r="D708" s="408">
        <v>45496</v>
      </c>
      <c r="E708" s="463" t="s">
        <v>14690</v>
      </c>
      <c r="G708" s="445"/>
    </row>
    <row r="709" spans="2:8">
      <c r="B709" s="407">
        <v>2408</v>
      </c>
      <c r="C709" s="407">
        <v>800</v>
      </c>
      <c r="D709" s="408">
        <v>45496</v>
      </c>
      <c r="E709" s="463" t="s">
        <v>14691</v>
      </c>
      <c r="G709" s="445"/>
    </row>
    <row r="710" spans="2:8">
      <c r="B710" s="407">
        <v>2408</v>
      </c>
      <c r="C710" s="407">
        <v>798</v>
      </c>
      <c r="D710" s="408">
        <v>45494</v>
      </c>
      <c r="E710" s="463" t="s">
        <v>14692</v>
      </c>
      <c r="G710" s="445"/>
    </row>
    <row r="711" spans="2:8">
      <c r="B711" s="407">
        <v>2408</v>
      </c>
      <c r="C711" s="407">
        <v>794</v>
      </c>
      <c r="D711" s="408">
        <v>45492</v>
      </c>
      <c r="E711" s="463" t="s">
        <v>14693</v>
      </c>
      <c r="G711" s="445"/>
    </row>
    <row r="712" spans="2:8">
      <c r="B712" s="407">
        <v>2408</v>
      </c>
      <c r="C712" s="407">
        <v>793</v>
      </c>
      <c r="D712" s="408">
        <v>45491</v>
      </c>
      <c r="E712" s="463" t="s">
        <v>14694</v>
      </c>
      <c r="G712" s="445"/>
    </row>
    <row r="713" spans="2:8">
      <c r="B713" s="407">
        <v>2408</v>
      </c>
      <c r="C713" s="407">
        <v>792</v>
      </c>
      <c r="D713" s="408">
        <v>45491</v>
      </c>
      <c r="E713" s="463" t="s">
        <v>14695</v>
      </c>
      <c r="G713" s="445"/>
    </row>
    <row r="714" spans="2:8">
      <c r="B714" s="407">
        <v>2408</v>
      </c>
      <c r="C714" s="407">
        <v>791</v>
      </c>
      <c r="D714" s="408">
        <v>45491</v>
      </c>
      <c r="E714" s="463" t="s">
        <v>14696</v>
      </c>
      <c r="G714" s="445"/>
    </row>
    <row r="715" spans="2:8">
      <c r="B715" s="407">
        <v>2408</v>
      </c>
      <c r="C715" s="407">
        <v>790</v>
      </c>
      <c r="D715" s="408">
        <v>45491</v>
      </c>
      <c r="E715" s="463" t="s">
        <v>14697</v>
      </c>
      <c r="G715" s="445"/>
    </row>
    <row r="716" spans="2:8">
      <c r="B716" s="409">
        <v>2408</v>
      </c>
      <c r="C716" s="409">
        <v>788</v>
      </c>
      <c r="D716" s="410">
        <v>45491</v>
      </c>
      <c r="E716" s="424" t="s">
        <v>14698</v>
      </c>
      <c r="G716" s="445"/>
    </row>
    <row r="717" spans="2:8">
      <c r="B717" s="407">
        <v>2408</v>
      </c>
      <c r="C717" s="407">
        <v>783</v>
      </c>
      <c r="D717" s="408">
        <v>45491</v>
      </c>
      <c r="E717" s="463" t="s">
        <v>14699</v>
      </c>
      <c r="F717" s="406">
        <v>5</v>
      </c>
      <c r="G717" s="462" t="s">
        <v>14552</v>
      </c>
      <c r="H717" s="461" t="s">
        <v>14551</v>
      </c>
    </row>
    <row r="718" spans="2:8">
      <c r="B718" s="407">
        <v>2408</v>
      </c>
      <c r="C718" s="407">
        <v>780</v>
      </c>
      <c r="D718" s="408">
        <v>45491</v>
      </c>
      <c r="E718" s="463" t="s">
        <v>14700</v>
      </c>
      <c r="G718" s="462"/>
      <c r="H718" s="461"/>
    </row>
    <row r="719" spans="2:8">
      <c r="B719" s="407">
        <v>2408</v>
      </c>
      <c r="C719" s="407">
        <v>778</v>
      </c>
      <c r="D719" s="408">
        <v>45490</v>
      </c>
      <c r="E719" s="463" t="s">
        <v>14701</v>
      </c>
      <c r="G719" s="462"/>
      <c r="H719" s="461"/>
    </row>
    <row r="720" spans="2:8">
      <c r="B720" s="409">
        <v>2408</v>
      </c>
      <c r="C720" s="409">
        <v>777</v>
      </c>
      <c r="D720" s="410">
        <v>45490</v>
      </c>
      <c r="E720" s="424" t="s">
        <v>14702</v>
      </c>
      <c r="G720" s="462"/>
      <c r="H720" s="461"/>
    </row>
    <row r="721" spans="2:8">
      <c r="B721" s="407">
        <v>2408</v>
      </c>
      <c r="C721" s="407">
        <v>775</v>
      </c>
      <c r="D721" s="408">
        <v>45490</v>
      </c>
      <c r="E721" s="463" t="s">
        <v>14703</v>
      </c>
      <c r="G721" s="462"/>
      <c r="H721" s="461"/>
    </row>
    <row r="722" spans="2:8">
      <c r="B722" s="407">
        <v>2408</v>
      </c>
      <c r="C722" s="407">
        <v>772</v>
      </c>
      <c r="D722" s="408">
        <v>45490</v>
      </c>
      <c r="E722" s="463" t="s">
        <v>14704</v>
      </c>
      <c r="G722" s="462"/>
      <c r="H722" s="461"/>
    </row>
    <row r="723" spans="2:8">
      <c r="B723" s="407">
        <v>2408</v>
      </c>
      <c r="C723" s="407">
        <v>771</v>
      </c>
      <c r="D723" s="408">
        <v>45489</v>
      </c>
      <c r="E723" s="463" t="s">
        <v>14705</v>
      </c>
      <c r="G723" s="462"/>
      <c r="H723" s="461"/>
    </row>
    <row r="724" spans="2:8">
      <c r="B724" s="407">
        <v>2408</v>
      </c>
      <c r="C724" s="407">
        <v>766</v>
      </c>
      <c r="D724" s="408">
        <v>45506</v>
      </c>
      <c r="E724" s="456" t="s">
        <v>14288</v>
      </c>
      <c r="F724" s="406">
        <v>5</v>
      </c>
      <c r="G724" s="462" t="s">
        <v>14552</v>
      </c>
      <c r="H724" s="461" t="s">
        <v>14551</v>
      </c>
    </row>
    <row r="725" spans="2:8">
      <c r="B725" s="407">
        <v>2408</v>
      </c>
      <c r="C725" s="407">
        <v>765</v>
      </c>
      <c r="D725" s="408">
        <v>45506</v>
      </c>
      <c r="E725" s="463" t="s">
        <v>14289</v>
      </c>
      <c r="F725" s="406">
        <v>3</v>
      </c>
      <c r="G725" s="462" t="s">
        <v>14553</v>
      </c>
      <c r="H725" s="462" t="s">
        <v>14554</v>
      </c>
    </row>
    <row r="726" spans="2:8">
      <c r="B726" s="407">
        <v>2408</v>
      </c>
      <c r="C726" s="407">
        <v>764</v>
      </c>
      <c r="D726" s="408">
        <v>45506</v>
      </c>
      <c r="E726" s="456" t="s">
        <v>14290</v>
      </c>
      <c r="G726" s="445"/>
    </row>
    <row r="727" spans="2:8">
      <c r="B727" s="407">
        <v>2408</v>
      </c>
      <c r="C727" s="407">
        <v>762</v>
      </c>
      <c r="D727" s="408">
        <v>45506</v>
      </c>
      <c r="E727" s="456" t="s">
        <v>14291</v>
      </c>
      <c r="G727" s="445"/>
    </row>
    <row r="728" spans="2:8">
      <c r="B728" s="407">
        <v>2408</v>
      </c>
      <c r="C728" s="407">
        <v>761</v>
      </c>
      <c r="D728" s="408">
        <v>45506</v>
      </c>
      <c r="E728" s="456" t="s">
        <v>14292</v>
      </c>
      <c r="G728" s="445"/>
    </row>
    <row r="729" spans="2:8">
      <c r="B729" s="407">
        <v>2408</v>
      </c>
      <c r="C729" s="407">
        <v>760</v>
      </c>
      <c r="D729" s="408">
        <v>45506</v>
      </c>
      <c r="E729" s="456" t="s">
        <v>14293</v>
      </c>
      <c r="G729" s="445"/>
    </row>
    <row r="730" spans="2:8">
      <c r="B730" s="407">
        <v>2408</v>
      </c>
      <c r="C730" s="407">
        <v>759</v>
      </c>
      <c r="D730" s="408">
        <v>45506</v>
      </c>
      <c r="E730" s="456" t="s">
        <v>14294</v>
      </c>
      <c r="G730" s="445"/>
    </row>
    <row r="731" spans="2:8">
      <c r="B731" s="409">
        <v>2408</v>
      </c>
      <c r="C731" s="409">
        <v>756</v>
      </c>
      <c r="D731" s="410">
        <v>45506</v>
      </c>
      <c r="E731" s="424" t="s">
        <v>14295</v>
      </c>
      <c r="G731" s="445"/>
    </row>
    <row r="732" spans="2:8">
      <c r="B732" s="407">
        <v>2408</v>
      </c>
      <c r="C732" s="407">
        <v>754</v>
      </c>
      <c r="D732" s="408">
        <v>45506</v>
      </c>
      <c r="E732" s="456" t="s">
        <v>14296</v>
      </c>
      <c r="G732" s="445"/>
    </row>
    <row r="733" spans="2:8">
      <c r="B733" s="407">
        <v>2408</v>
      </c>
      <c r="C733" s="407">
        <v>753</v>
      </c>
      <c r="D733" s="408">
        <v>45506</v>
      </c>
      <c r="E733" s="456" t="s">
        <v>14297</v>
      </c>
      <c r="G733" s="445"/>
    </row>
    <row r="734" spans="2:8">
      <c r="B734" s="407">
        <v>2408</v>
      </c>
      <c r="C734" s="407">
        <v>749</v>
      </c>
      <c r="D734" s="408">
        <v>45506</v>
      </c>
      <c r="E734" s="456" t="s">
        <v>14298</v>
      </c>
      <c r="G734" s="445"/>
    </row>
    <row r="735" spans="2:8">
      <c r="B735" s="407">
        <v>2408</v>
      </c>
      <c r="C735" s="407">
        <v>746</v>
      </c>
      <c r="D735" s="408">
        <v>45506</v>
      </c>
      <c r="E735" s="456" t="s">
        <v>14299</v>
      </c>
      <c r="G735" s="445"/>
    </row>
    <row r="736" spans="2:8">
      <c r="B736" s="407">
        <v>2408</v>
      </c>
      <c r="C736" s="407">
        <v>744</v>
      </c>
      <c r="D736" s="408">
        <v>45506</v>
      </c>
      <c r="E736" s="456" t="s">
        <v>14300</v>
      </c>
      <c r="G736" s="445"/>
    </row>
    <row r="737" spans="2:7">
      <c r="B737" s="407">
        <v>2408</v>
      </c>
      <c r="C737" s="407">
        <v>741</v>
      </c>
      <c r="D737" s="408">
        <v>45506</v>
      </c>
      <c r="E737" s="456" t="s">
        <v>14301</v>
      </c>
      <c r="G737" s="445"/>
    </row>
    <row r="738" spans="2:7">
      <c r="B738" s="409">
        <v>2408</v>
      </c>
      <c r="C738" s="409">
        <v>738</v>
      </c>
      <c r="D738" s="410">
        <v>45506</v>
      </c>
      <c r="E738" s="424" t="s">
        <v>14302</v>
      </c>
      <c r="G738" s="445"/>
    </row>
    <row r="739" spans="2:7">
      <c r="B739" s="409">
        <v>2408</v>
      </c>
      <c r="C739" s="409">
        <v>735</v>
      </c>
      <c r="D739" s="410">
        <v>45506</v>
      </c>
      <c r="E739" s="424" t="s">
        <v>14303</v>
      </c>
      <c r="G739" s="445"/>
    </row>
    <row r="740" spans="2:7">
      <c r="B740" s="407">
        <v>2408</v>
      </c>
      <c r="C740" s="407">
        <v>728</v>
      </c>
      <c r="D740" s="408">
        <v>45506</v>
      </c>
      <c r="E740" s="456" t="s">
        <v>14304</v>
      </c>
      <c r="G740" s="445"/>
    </row>
    <row r="741" spans="2:7">
      <c r="B741" s="407">
        <v>2408</v>
      </c>
      <c r="C741" s="407">
        <v>727</v>
      </c>
      <c r="D741" s="408">
        <v>45506</v>
      </c>
      <c r="E741" s="456" t="s">
        <v>14305</v>
      </c>
      <c r="G741" s="445"/>
    </row>
    <row r="742" spans="2:7">
      <c r="B742" s="407">
        <v>2408</v>
      </c>
      <c r="C742" s="407">
        <v>724</v>
      </c>
      <c r="D742" s="408">
        <v>45506</v>
      </c>
      <c r="E742" s="456" t="s">
        <v>14306</v>
      </c>
      <c r="G742" s="445"/>
    </row>
    <row r="743" spans="2:7">
      <c r="B743" s="407">
        <v>2408</v>
      </c>
      <c r="C743" s="407">
        <v>716</v>
      </c>
      <c r="D743" s="408">
        <v>45506</v>
      </c>
      <c r="E743" s="456" t="s">
        <v>14307</v>
      </c>
      <c r="G743" s="445"/>
    </row>
    <row r="744" spans="2:7">
      <c r="B744" s="409">
        <v>2408</v>
      </c>
      <c r="C744" s="409">
        <v>714</v>
      </c>
      <c r="D744" s="410">
        <v>45506</v>
      </c>
      <c r="E744" s="424" t="s">
        <v>14308</v>
      </c>
      <c r="G744" s="445"/>
    </row>
    <row r="745" spans="2:7">
      <c r="B745" s="407">
        <v>2408</v>
      </c>
      <c r="C745" s="407">
        <v>712</v>
      </c>
      <c r="D745" s="408">
        <v>45506</v>
      </c>
      <c r="E745" s="456" t="s">
        <v>14309</v>
      </c>
      <c r="G745" s="445"/>
    </row>
    <row r="746" spans="2:7">
      <c r="B746" s="407">
        <v>2408</v>
      </c>
      <c r="C746" s="407">
        <v>711</v>
      </c>
      <c r="D746" s="408">
        <v>45506</v>
      </c>
      <c r="E746" s="456" t="s">
        <v>14310</v>
      </c>
      <c r="G746" s="445"/>
    </row>
    <row r="747" spans="2:7">
      <c r="B747" s="407">
        <v>2408</v>
      </c>
      <c r="C747" s="407">
        <v>707</v>
      </c>
      <c r="D747" s="408">
        <v>45506</v>
      </c>
      <c r="E747" s="456" t="s">
        <v>14311</v>
      </c>
      <c r="G747" s="445"/>
    </row>
    <row r="748" spans="2:7">
      <c r="B748" s="407">
        <v>2408</v>
      </c>
      <c r="C748" s="407">
        <v>706</v>
      </c>
      <c r="D748" s="408">
        <v>45506</v>
      </c>
      <c r="E748" s="456" t="s">
        <v>14312</v>
      </c>
      <c r="G748" s="445"/>
    </row>
    <row r="749" spans="2:7">
      <c r="B749" s="407">
        <v>2408</v>
      </c>
      <c r="C749" s="407">
        <v>703</v>
      </c>
      <c r="D749" s="408">
        <v>45506</v>
      </c>
      <c r="E749" s="456" t="s">
        <v>14313</v>
      </c>
      <c r="G749" s="445"/>
    </row>
    <row r="750" spans="2:7">
      <c r="B750" s="407">
        <v>2408</v>
      </c>
      <c r="C750" s="407">
        <v>701</v>
      </c>
      <c r="D750" s="408">
        <v>45506</v>
      </c>
      <c r="E750" s="456" t="s">
        <v>14314</v>
      </c>
      <c r="G750" s="445"/>
    </row>
    <row r="751" spans="2:7">
      <c r="B751" s="407">
        <v>2408</v>
      </c>
      <c r="C751" s="407">
        <v>700</v>
      </c>
      <c r="D751" s="408">
        <v>45506</v>
      </c>
      <c r="E751" s="456" t="s">
        <v>14315</v>
      </c>
      <c r="G751" s="445"/>
    </row>
    <row r="752" spans="2:7">
      <c r="B752" s="407">
        <v>2408</v>
      </c>
      <c r="C752" s="407">
        <v>699</v>
      </c>
      <c r="D752" s="408">
        <v>45506</v>
      </c>
      <c r="E752" s="456" t="s">
        <v>14316</v>
      </c>
      <c r="G752" s="445"/>
    </row>
    <row r="753" spans="2:7">
      <c r="B753" s="407">
        <v>2408</v>
      </c>
      <c r="C753" s="407">
        <v>695</v>
      </c>
      <c r="D753" s="408">
        <v>45506</v>
      </c>
      <c r="E753" s="456" t="s">
        <v>14317</v>
      </c>
      <c r="G753" s="445"/>
    </row>
    <row r="754" spans="2:7">
      <c r="B754" s="407">
        <v>2408</v>
      </c>
      <c r="C754" s="407">
        <v>690</v>
      </c>
      <c r="D754" s="408">
        <v>45506</v>
      </c>
      <c r="E754" s="456" t="s">
        <v>14318</v>
      </c>
      <c r="G754" s="445"/>
    </row>
    <row r="755" spans="2:7">
      <c r="B755" s="407">
        <v>2408</v>
      </c>
      <c r="C755" s="407">
        <v>686</v>
      </c>
      <c r="D755" s="408">
        <v>45506</v>
      </c>
      <c r="E755" s="456" t="s">
        <v>14319</v>
      </c>
      <c r="G755" s="445"/>
    </row>
    <row r="756" spans="2:7">
      <c r="B756" s="407">
        <v>2408</v>
      </c>
      <c r="C756" s="407">
        <v>681</v>
      </c>
      <c r="D756" s="408">
        <v>45506</v>
      </c>
      <c r="E756" s="456" t="s">
        <v>14320</v>
      </c>
      <c r="G756" s="445"/>
    </row>
    <row r="757" spans="2:7">
      <c r="B757" s="407">
        <v>2408</v>
      </c>
      <c r="C757" s="407">
        <v>677</v>
      </c>
      <c r="D757" s="408">
        <v>45506</v>
      </c>
      <c r="E757" s="456" t="s">
        <v>14321</v>
      </c>
      <c r="G757" s="445"/>
    </row>
    <row r="758" spans="2:7">
      <c r="B758" s="407">
        <v>2408</v>
      </c>
      <c r="C758" s="407">
        <v>676</v>
      </c>
      <c r="D758" s="408">
        <v>45506</v>
      </c>
      <c r="E758" s="456" t="s">
        <v>14322</v>
      </c>
      <c r="G758" s="445"/>
    </row>
    <row r="759" spans="2:7">
      <c r="B759" s="407">
        <v>2408</v>
      </c>
      <c r="C759" s="407">
        <v>675</v>
      </c>
      <c r="D759" s="408">
        <v>45506</v>
      </c>
      <c r="E759" s="456" t="s">
        <v>14323</v>
      </c>
      <c r="G759" s="445"/>
    </row>
    <row r="760" spans="2:7">
      <c r="B760" s="409">
        <v>2408</v>
      </c>
      <c r="C760" s="409">
        <v>674</v>
      </c>
      <c r="D760" s="410">
        <v>45506</v>
      </c>
      <c r="E760" s="424" t="s">
        <v>14324</v>
      </c>
      <c r="G760" s="445"/>
    </row>
    <row r="761" spans="2:7">
      <c r="B761" s="407">
        <v>2408</v>
      </c>
      <c r="C761" s="407">
        <v>673</v>
      </c>
      <c r="D761" s="408">
        <v>45506</v>
      </c>
      <c r="E761" s="456" t="s">
        <v>14325</v>
      </c>
      <c r="G761" s="445"/>
    </row>
    <row r="762" spans="2:7">
      <c r="B762" s="407">
        <v>2408</v>
      </c>
      <c r="C762" s="407">
        <v>672</v>
      </c>
      <c r="D762" s="408">
        <v>45506</v>
      </c>
      <c r="E762" s="456" t="s">
        <v>14326</v>
      </c>
      <c r="G762" s="445"/>
    </row>
    <row r="763" spans="2:7">
      <c r="B763" s="407">
        <v>2408</v>
      </c>
      <c r="C763" s="407">
        <v>665</v>
      </c>
      <c r="D763" s="408">
        <v>45506</v>
      </c>
      <c r="E763" s="456" t="s">
        <v>14327</v>
      </c>
      <c r="G763" s="445"/>
    </row>
    <row r="764" spans="2:7">
      <c r="B764" s="407">
        <v>2408</v>
      </c>
      <c r="C764" s="407">
        <v>657</v>
      </c>
      <c r="D764" s="408">
        <v>45506</v>
      </c>
      <c r="E764" s="456" t="s">
        <v>14328</v>
      </c>
      <c r="G764" s="445"/>
    </row>
    <row r="765" spans="2:7">
      <c r="B765" s="407">
        <v>2408</v>
      </c>
      <c r="C765" s="407">
        <v>655</v>
      </c>
      <c r="D765" s="408">
        <v>45506</v>
      </c>
      <c r="E765" s="456" t="s">
        <v>14329</v>
      </c>
      <c r="G765" s="445"/>
    </row>
    <row r="766" spans="2:7">
      <c r="B766" s="407">
        <v>2408</v>
      </c>
      <c r="C766" s="407">
        <v>653</v>
      </c>
      <c r="D766" s="408">
        <v>45506</v>
      </c>
      <c r="E766" s="456" t="s">
        <v>14330</v>
      </c>
      <c r="G766" s="445"/>
    </row>
    <row r="767" spans="2:7">
      <c r="B767" s="407">
        <v>2408</v>
      </c>
      <c r="C767" s="407">
        <v>644</v>
      </c>
      <c r="D767" s="408">
        <v>45506</v>
      </c>
      <c r="E767" s="456" t="s">
        <v>14331</v>
      </c>
      <c r="G767" s="445"/>
    </row>
    <row r="768" spans="2:7">
      <c r="B768" s="407">
        <v>2408</v>
      </c>
      <c r="C768" s="407">
        <v>640</v>
      </c>
      <c r="D768" s="408">
        <v>45506</v>
      </c>
      <c r="E768" s="456" t="s">
        <v>14332</v>
      </c>
      <c r="G768" s="445"/>
    </row>
    <row r="769" spans="2:7">
      <c r="B769" s="407">
        <v>2408</v>
      </c>
      <c r="C769" s="407">
        <v>638</v>
      </c>
      <c r="D769" s="408">
        <v>45506</v>
      </c>
      <c r="E769" s="456" t="s">
        <v>14333</v>
      </c>
      <c r="G769" s="445"/>
    </row>
    <row r="770" spans="2:7">
      <c r="B770" s="409">
        <v>2408</v>
      </c>
      <c r="C770" s="409">
        <v>636</v>
      </c>
      <c r="D770" s="410">
        <v>45506</v>
      </c>
      <c r="E770" s="424" t="s">
        <v>14334</v>
      </c>
      <c r="G770" s="445"/>
    </row>
    <row r="771" spans="2:7">
      <c r="B771" s="407">
        <v>2408</v>
      </c>
      <c r="C771" s="407">
        <v>633</v>
      </c>
      <c r="D771" s="408">
        <v>45506</v>
      </c>
      <c r="E771" s="456" t="s">
        <v>14335</v>
      </c>
      <c r="G771" s="445"/>
    </row>
    <row r="772" spans="2:7">
      <c r="B772" s="407">
        <v>2408</v>
      </c>
      <c r="C772" s="407">
        <v>624</v>
      </c>
      <c r="D772" s="408">
        <v>45506</v>
      </c>
      <c r="E772" s="456" t="s">
        <v>14336</v>
      </c>
      <c r="G772" s="445"/>
    </row>
    <row r="773" spans="2:7">
      <c r="B773" s="407">
        <v>2408</v>
      </c>
      <c r="C773" s="407">
        <v>620</v>
      </c>
      <c r="D773" s="408">
        <v>45506</v>
      </c>
      <c r="E773" s="456" t="s">
        <v>14337</v>
      </c>
      <c r="G773" s="445"/>
    </row>
    <row r="774" spans="2:7">
      <c r="B774" s="407">
        <v>2408</v>
      </c>
      <c r="C774" s="407">
        <v>619</v>
      </c>
      <c r="D774" s="408">
        <v>45506</v>
      </c>
      <c r="E774" s="456" t="s">
        <v>14338</v>
      </c>
      <c r="G774" s="445"/>
    </row>
    <row r="775" spans="2:7">
      <c r="B775" s="407">
        <v>2408</v>
      </c>
      <c r="C775" s="407">
        <v>613</v>
      </c>
      <c r="D775" s="408">
        <v>45506</v>
      </c>
      <c r="E775" s="456" t="s">
        <v>14339</v>
      </c>
      <c r="G775" s="445"/>
    </row>
    <row r="776" spans="2:7">
      <c r="B776" s="407">
        <v>2408</v>
      </c>
      <c r="C776" s="407">
        <v>611</v>
      </c>
      <c r="D776" s="408">
        <v>45506</v>
      </c>
      <c r="E776" s="456" t="s">
        <v>14340</v>
      </c>
      <c r="G776" s="445"/>
    </row>
    <row r="777" spans="2:7">
      <c r="B777" s="409">
        <v>2408</v>
      </c>
      <c r="C777" s="409">
        <v>591</v>
      </c>
      <c r="D777" s="410">
        <v>45506</v>
      </c>
      <c r="E777" s="424" t="s">
        <v>14341</v>
      </c>
      <c r="G777" s="445"/>
    </row>
    <row r="778" spans="2:7">
      <c r="B778" s="407">
        <v>2408</v>
      </c>
      <c r="C778" s="407">
        <v>588</v>
      </c>
      <c r="D778" s="408">
        <v>45506</v>
      </c>
      <c r="E778" s="456" t="s">
        <v>14342</v>
      </c>
      <c r="G778" s="445"/>
    </row>
    <row r="779" spans="2:7">
      <c r="B779" s="407">
        <v>2408</v>
      </c>
      <c r="C779" s="407">
        <v>584</v>
      </c>
      <c r="D779" s="408">
        <v>45506</v>
      </c>
      <c r="E779" s="456" t="s">
        <v>14343</v>
      </c>
      <c r="G779" s="445"/>
    </row>
    <row r="780" spans="2:7">
      <c r="B780" s="407">
        <v>2408</v>
      </c>
      <c r="C780" s="407">
        <v>573</v>
      </c>
      <c r="D780" s="408">
        <v>45506</v>
      </c>
      <c r="E780" s="456" t="s">
        <v>14344</v>
      </c>
      <c r="G780" s="445"/>
    </row>
    <row r="781" spans="2:7">
      <c r="B781" s="407">
        <v>2408</v>
      </c>
      <c r="C781" s="407">
        <v>555</v>
      </c>
      <c r="D781" s="408">
        <v>45506</v>
      </c>
      <c r="E781" s="456" t="s">
        <v>14345</v>
      </c>
      <c r="G781" s="445"/>
    </row>
    <row r="782" spans="2:7">
      <c r="B782" s="407">
        <v>2408</v>
      </c>
      <c r="C782" s="407">
        <v>550</v>
      </c>
      <c r="D782" s="408">
        <v>45506</v>
      </c>
      <c r="E782" s="456" t="s">
        <v>14346</v>
      </c>
      <c r="G782" s="445"/>
    </row>
    <row r="783" spans="2:7">
      <c r="B783" s="409">
        <v>2408</v>
      </c>
      <c r="C783" s="409">
        <v>544</v>
      </c>
      <c r="D783" s="410">
        <v>45506</v>
      </c>
      <c r="E783" s="424" t="s">
        <v>14347</v>
      </c>
      <c r="G783" s="445"/>
    </row>
    <row r="784" spans="2:7">
      <c r="B784" s="407">
        <v>2408</v>
      </c>
      <c r="C784" s="407">
        <v>539</v>
      </c>
      <c r="D784" s="408">
        <v>45506</v>
      </c>
      <c r="E784" s="456" t="s">
        <v>14348</v>
      </c>
      <c r="G784" s="445"/>
    </row>
    <row r="785" spans="2:7">
      <c r="B785" s="407">
        <v>2408</v>
      </c>
      <c r="C785" s="407">
        <v>538</v>
      </c>
      <c r="D785" s="408">
        <v>45506</v>
      </c>
      <c r="E785" s="456" t="s">
        <v>14349</v>
      </c>
      <c r="G785" s="445"/>
    </row>
    <row r="786" spans="2:7">
      <c r="B786" s="407">
        <v>2408</v>
      </c>
      <c r="C786" s="407">
        <v>527</v>
      </c>
      <c r="D786" s="408">
        <v>45506</v>
      </c>
      <c r="E786" s="456" t="s">
        <v>14350</v>
      </c>
      <c r="G786" s="445"/>
    </row>
    <row r="787" spans="2:7">
      <c r="B787" s="407">
        <v>2408</v>
      </c>
      <c r="C787" s="407">
        <v>525</v>
      </c>
      <c r="D787" s="408">
        <v>45506</v>
      </c>
      <c r="E787" s="456" t="s">
        <v>14351</v>
      </c>
      <c r="G787" s="445"/>
    </row>
    <row r="788" spans="2:7">
      <c r="B788" s="407">
        <v>2408</v>
      </c>
      <c r="C788" s="407">
        <v>523</v>
      </c>
      <c r="D788" s="408">
        <v>45506</v>
      </c>
      <c r="E788" s="456" t="s">
        <v>14352</v>
      </c>
      <c r="G788" s="445"/>
    </row>
    <row r="789" spans="2:7">
      <c r="B789" s="407">
        <v>2408</v>
      </c>
      <c r="C789" s="407">
        <v>521</v>
      </c>
      <c r="D789" s="408">
        <v>45506</v>
      </c>
      <c r="E789" s="456" t="s">
        <v>14353</v>
      </c>
      <c r="G789" s="445"/>
    </row>
    <row r="790" spans="2:7">
      <c r="B790" s="407">
        <v>2408</v>
      </c>
      <c r="C790" s="407">
        <v>512</v>
      </c>
      <c r="D790" s="408">
        <v>45506</v>
      </c>
      <c r="E790" s="456" t="s">
        <v>14354</v>
      </c>
      <c r="G790" s="445"/>
    </row>
    <row r="791" spans="2:7">
      <c r="B791" s="407">
        <v>2408</v>
      </c>
      <c r="C791" s="407">
        <v>508</v>
      </c>
      <c r="D791" s="408">
        <v>45506</v>
      </c>
      <c r="E791" s="456" t="s">
        <v>14355</v>
      </c>
      <c r="G791" s="445"/>
    </row>
    <row r="792" spans="2:7">
      <c r="B792" s="407">
        <v>2408</v>
      </c>
      <c r="C792" s="407">
        <v>498</v>
      </c>
      <c r="D792" s="408">
        <v>45506</v>
      </c>
      <c r="E792" s="456" t="s">
        <v>14356</v>
      </c>
      <c r="G792" s="445"/>
    </row>
    <row r="793" spans="2:7">
      <c r="B793" s="409">
        <v>2408</v>
      </c>
      <c r="C793" s="409">
        <v>496</v>
      </c>
      <c r="D793" s="410">
        <v>45506</v>
      </c>
      <c r="E793" s="424" t="s">
        <v>14357</v>
      </c>
      <c r="G793" s="445"/>
    </row>
    <row r="794" spans="2:7">
      <c r="B794" s="407">
        <v>2408</v>
      </c>
      <c r="C794" s="407">
        <v>493</v>
      </c>
      <c r="D794" s="408">
        <v>45506</v>
      </c>
      <c r="E794" s="456" t="s">
        <v>14358</v>
      </c>
      <c r="G794" s="445"/>
    </row>
    <row r="795" spans="2:7">
      <c r="B795" s="407">
        <v>2408</v>
      </c>
      <c r="C795" s="407">
        <v>491</v>
      </c>
      <c r="D795" s="408">
        <v>45506</v>
      </c>
      <c r="E795" s="456" t="s">
        <v>14359</v>
      </c>
      <c r="G795" s="445"/>
    </row>
    <row r="796" spans="2:7">
      <c r="B796" s="407">
        <v>2408</v>
      </c>
      <c r="C796" s="407">
        <v>490</v>
      </c>
      <c r="D796" s="408">
        <v>45506</v>
      </c>
      <c r="E796" s="456" t="s">
        <v>14360</v>
      </c>
      <c r="G796" s="445"/>
    </row>
    <row r="797" spans="2:7">
      <c r="B797" s="407">
        <v>2408</v>
      </c>
      <c r="C797" s="407">
        <v>483</v>
      </c>
      <c r="D797" s="408">
        <v>45506</v>
      </c>
      <c r="E797" s="456" t="s">
        <v>14361</v>
      </c>
      <c r="G797" s="445"/>
    </row>
    <row r="798" spans="2:7">
      <c r="B798" s="409">
        <v>2408</v>
      </c>
      <c r="C798" s="409">
        <v>481</v>
      </c>
      <c r="D798" s="410">
        <v>45506</v>
      </c>
      <c r="E798" s="424" t="s">
        <v>14362</v>
      </c>
      <c r="G798" s="445"/>
    </row>
    <row r="799" spans="2:7">
      <c r="B799" s="407">
        <v>2408</v>
      </c>
      <c r="C799" s="407">
        <v>473</v>
      </c>
      <c r="D799" s="408">
        <v>45506</v>
      </c>
      <c r="E799" s="456" t="s">
        <v>14363</v>
      </c>
      <c r="G799" s="445"/>
    </row>
    <row r="800" spans="2:7">
      <c r="B800" s="407">
        <v>2408</v>
      </c>
      <c r="C800" s="407">
        <v>463</v>
      </c>
      <c r="D800" s="408">
        <v>45506</v>
      </c>
      <c r="E800" s="456" t="s">
        <v>14364</v>
      </c>
      <c r="G800" s="445"/>
    </row>
    <row r="801" spans="2:7">
      <c r="B801" s="407">
        <v>2408</v>
      </c>
      <c r="C801" s="407">
        <v>462</v>
      </c>
      <c r="D801" s="408">
        <v>45506</v>
      </c>
      <c r="E801" s="456" t="s">
        <v>14365</v>
      </c>
      <c r="G801" s="445"/>
    </row>
    <row r="802" spans="2:7">
      <c r="B802" s="407">
        <v>2408</v>
      </c>
      <c r="C802" s="407">
        <v>458</v>
      </c>
      <c r="D802" s="408">
        <v>45506</v>
      </c>
      <c r="E802" s="456" t="s">
        <v>14366</v>
      </c>
      <c r="G802" s="445"/>
    </row>
    <row r="803" spans="2:7">
      <c r="B803" s="407">
        <v>2408</v>
      </c>
      <c r="C803" s="407">
        <v>447</v>
      </c>
      <c r="D803" s="408">
        <v>45506</v>
      </c>
      <c r="E803" s="456" t="s">
        <v>14367</v>
      </c>
      <c r="G803" s="445"/>
    </row>
    <row r="804" spans="2:7">
      <c r="B804" s="407">
        <v>2408</v>
      </c>
      <c r="C804" s="407">
        <v>444</v>
      </c>
      <c r="D804" s="408">
        <v>45506</v>
      </c>
      <c r="E804" s="456" t="s">
        <v>14368</v>
      </c>
      <c r="G804" s="445"/>
    </row>
    <row r="805" spans="2:7">
      <c r="B805" s="407">
        <v>2408</v>
      </c>
      <c r="C805" s="407">
        <v>441</v>
      </c>
      <c r="D805" s="408">
        <v>45506</v>
      </c>
      <c r="E805" s="456" t="s">
        <v>14369</v>
      </c>
      <c r="G805" s="445"/>
    </row>
    <row r="806" spans="2:7">
      <c r="B806" s="407">
        <v>2408</v>
      </c>
      <c r="C806" s="407">
        <v>438</v>
      </c>
      <c r="D806" s="408">
        <v>45506</v>
      </c>
      <c r="E806" s="456" t="s">
        <v>14370</v>
      </c>
      <c r="G806" s="445"/>
    </row>
    <row r="807" spans="2:7">
      <c r="B807" s="407">
        <v>2408</v>
      </c>
      <c r="C807" s="407">
        <v>437</v>
      </c>
      <c r="D807" s="408">
        <v>45506</v>
      </c>
      <c r="E807" s="456" t="s">
        <v>14371</v>
      </c>
      <c r="G807" s="445"/>
    </row>
    <row r="808" spans="2:7">
      <c r="B808" s="409">
        <v>2408</v>
      </c>
      <c r="C808" s="409">
        <v>427</v>
      </c>
      <c r="D808" s="410">
        <v>45506</v>
      </c>
      <c r="E808" s="424" t="s">
        <v>14372</v>
      </c>
      <c r="G808" s="445"/>
    </row>
    <row r="809" spans="2:7">
      <c r="B809" s="407">
        <v>2408</v>
      </c>
      <c r="C809" s="407">
        <v>426</v>
      </c>
      <c r="D809" s="408">
        <v>45506</v>
      </c>
      <c r="E809" s="456" t="s">
        <v>14373</v>
      </c>
      <c r="G809" s="445"/>
    </row>
    <row r="810" spans="2:7">
      <c r="B810" s="407">
        <v>2408</v>
      </c>
      <c r="C810" s="407">
        <v>421</v>
      </c>
      <c r="D810" s="408">
        <v>45506</v>
      </c>
      <c r="E810" s="456" t="s">
        <v>14374</v>
      </c>
      <c r="G810" s="445"/>
    </row>
    <row r="811" spans="2:7">
      <c r="B811" s="407">
        <v>2408</v>
      </c>
      <c r="C811" s="407">
        <v>420</v>
      </c>
      <c r="D811" s="408">
        <v>45506</v>
      </c>
      <c r="E811" s="456" t="s">
        <v>14375</v>
      </c>
      <c r="G811" s="445"/>
    </row>
    <row r="812" spans="2:7">
      <c r="B812" s="407">
        <v>2408</v>
      </c>
      <c r="C812" s="407">
        <v>418</v>
      </c>
      <c r="D812" s="408">
        <v>45506</v>
      </c>
      <c r="E812" s="456" t="s">
        <v>14376</v>
      </c>
      <c r="G812" s="445"/>
    </row>
    <row r="813" spans="2:7">
      <c r="B813" s="407">
        <v>2408</v>
      </c>
      <c r="C813" s="407">
        <v>397</v>
      </c>
      <c r="D813" s="408">
        <v>45506</v>
      </c>
      <c r="E813" s="456" t="s">
        <v>14377</v>
      </c>
      <c r="G813" s="445"/>
    </row>
    <row r="814" spans="2:7">
      <c r="B814" s="407">
        <v>2408</v>
      </c>
      <c r="C814" s="407">
        <v>388</v>
      </c>
      <c r="D814" s="408">
        <v>45506</v>
      </c>
      <c r="E814" s="456" t="s">
        <v>14378</v>
      </c>
      <c r="G814" s="445"/>
    </row>
    <row r="815" spans="2:7">
      <c r="B815" s="407">
        <v>2408</v>
      </c>
      <c r="C815" s="407">
        <v>386</v>
      </c>
      <c r="D815" s="408">
        <v>45506</v>
      </c>
      <c r="E815" s="456" t="s">
        <v>14379</v>
      </c>
      <c r="G815" s="445"/>
    </row>
    <row r="816" spans="2:7">
      <c r="B816" s="407">
        <v>2408</v>
      </c>
      <c r="C816" s="407">
        <v>380</v>
      </c>
      <c r="D816" s="408">
        <v>45506</v>
      </c>
      <c r="E816" s="456" t="s">
        <v>14380</v>
      </c>
      <c r="G816" s="445"/>
    </row>
    <row r="817" spans="2:7">
      <c r="B817" s="407">
        <v>2408</v>
      </c>
      <c r="C817" s="407">
        <v>378</v>
      </c>
      <c r="D817" s="408">
        <v>45506</v>
      </c>
      <c r="E817" s="456" t="s">
        <v>14381</v>
      </c>
      <c r="G817" s="445"/>
    </row>
    <row r="818" spans="2:7">
      <c r="B818" s="407">
        <v>2408</v>
      </c>
      <c r="C818" s="407">
        <v>376</v>
      </c>
      <c r="D818" s="408">
        <v>45506</v>
      </c>
      <c r="E818" s="458" t="s">
        <v>14382</v>
      </c>
      <c r="G818" s="445"/>
    </row>
    <row r="819" spans="2:7">
      <c r="B819" s="407">
        <v>2408</v>
      </c>
      <c r="C819" s="407">
        <v>372</v>
      </c>
      <c r="D819" s="408">
        <v>45506</v>
      </c>
      <c r="E819" s="458" t="s">
        <v>14383</v>
      </c>
      <c r="G819" s="445"/>
    </row>
    <row r="820" spans="2:7">
      <c r="B820" s="407">
        <v>2408</v>
      </c>
      <c r="C820" s="407">
        <v>370</v>
      </c>
      <c r="D820" s="408">
        <v>45506</v>
      </c>
      <c r="E820" s="424" t="s">
        <v>14384</v>
      </c>
      <c r="G820" s="445"/>
    </row>
    <row r="821" spans="2:7">
      <c r="B821" s="407">
        <v>2408</v>
      </c>
      <c r="C821" s="407">
        <v>365</v>
      </c>
      <c r="D821" s="408">
        <v>45506</v>
      </c>
      <c r="E821" s="458" t="s">
        <v>14385</v>
      </c>
      <c r="G821" s="445"/>
    </row>
    <row r="822" spans="2:7">
      <c r="B822" s="407">
        <v>2408</v>
      </c>
      <c r="C822" s="407">
        <v>359</v>
      </c>
      <c r="D822" s="408">
        <v>45506</v>
      </c>
      <c r="E822" s="458" t="s">
        <v>14386</v>
      </c>
      <c r="G822" s="445"/>
    </row>
    <row r="823" spans="2:7">
      <c r="B823" s="407">
        <v>2408</v>
      </c>
      <c r="C823" s="407">
        <v>357</v>
      </c>
      <c r="D823" s="408">
        <v>45506</v>
      </c>
      <c r="E823" s="458" t="s">
        <v>14387</v>
      </c>
      <c r="G823" s="445"/>
    </row>
    <row r="824" spans="2:7">
      <c r="B824" s="407">
        <v>2408</v>
      </c>
      <c r="C824" s="407">
        <v>355</v>
      </c>
      <c r="D824" s="408">
        <v>45506</v>
      </c>
      <c r="E824" s="458" t="s">
        <v>14388</v>
      </c>
      <c r="G824" s="445"/>
    </row>
    <row r="825" spans="2:7">
      <c r="B825" s="407">
        <v>2408</v>
      </c>
      <c r="C825" s="407">
        <v>352</v>
      </c>
      <c r="D825" s="408">
        <v>45506</v>
      </c>
      <c r="E825" s="458" t="s">
        <v>14389</v>
      </c>
      <c r="G825" s="445"/>
    </row>
    <row r="826" spans="2:7">
      <c r="B826" s="407">
        <v>2408</v>
      </c>
      <c r="C826" s="407">
        <v>351</v>
      </c>
      <c r="D826" s="408">
        <v>45506</v>
      </c>
      <c r="E826" s="458" t="s">
        <v>14390</v>
      </c>
      <c r="G826" s="445"/>
    </row>
    <row r="827" spans="2:7">
      <c r="B827" s="407">
        <v>2408</v>
      </c>
      <c r="C827" s="407">
        <v>350</v>
      </c>
      <c r="D827" s="408">
        <v>45506</v>
      </c>
      <c r="E827" s="458" t="s">
        <v>14391</v>
      </c>
      <c r="G827" s="445"/>
    </row>
    <row r="828" spans="2:7">
      <c r="B828" s="407">
        <v>2408</v>
      </c>
      <c r="C828" s="407">
        <v>348</v>
      </c>
      <c r="D828" s="408">
        <v>45506</v>
      </c>
      <c r="E828" s="458" t="s">
        <v>14392</v>
      </c>
      <c r="G828" s="445"/>
    </row>
    <row r="829" spans="2:7">
      <c r="B829" s="409">
        <v>2408</v>
      </c>
      <c r="C829" s="409">
        <v>347</v>
      </c>
      <c r="D829" s="410">
        <v>45506</v>
      </c>
      <c r="E829" s="424" t="s">
        <v>14393</v>
      </c>
      <c r="G829" s="445"/>
    </row>
    <row r="830" spans="2:7">
      <c r="B830" s="407">
        <v>2408</v>
      </c>
      <c r="C830" s="407">
        <v>346</v>
      </c>
      <c r="D830" s="408">
        <v>45506</v>
      </c>
      <c r="E830" s="458" t="s">
        <v>14394</v>
      </c>
      <c r="G830" s="445"/>
    </row>
    <row r="831" spans="2:7">
      <c r="B831" s="407">
        <v>2408</v>
      </c>
      <c r="C831" s="407">
        <v>337</v>
      </c>
      <c r="D831" s="408">
        <v>45506</v>
      </c>
      <c r="E831" s="458" t="s">
        <v>14395</v>
      </c>
      <c r="G831" s="445"/>
    </row>
    <row r="832" spans="2:7">
      <c r="B832" s="407">
        <v>2408</v>
      </c>
      <c r="C832" s="407">
        <v>332</v>
      </c>
      <c r="D832" s="408">
        <v>45506</v>
      </c>
      <c r="E832" s="458" t="s">
        <v>14396</v>
      </c>
      <c r="G832" s="445"/>
    </row>
    <row r="833" spans="2:7">
      <c r="B833" s="407">
        <v>2408</v>
      </c>
      <c r="C833" s="407">
        <v>331</v>
      </c>
      <c r="D833" s="408">
        <v>45506</v>
      </c>
      <c r="E833" s="458" t="s">
        <v>14397</v>
      </c>
      <c r="G833" s="445"/>
    </row>
    <row r="834" spans="2:7">
      <c r="B834" s="407">
        <v>2408</v>
      </c>
      <c r="C834" s="407">
        <v>326</v>
      </c>
      <c r="D834" s="408">
        <v>45506</v>
      </c>
      <c r="E834" s="458" t="s">
        <v>14398</v>
      </c>
      <c r="G834" s="445"/>
    </row>
    <row r="835" spans="2:7">
      <c r="B835" s="409">
        <v>2408</v>
      </c>
      <c r="C835" s="409">
        <v>325</v>
      </c>
      <c r="D835" s="410">
        <v>45506</v>
      </c>
      <c r="E835" s="424" t="s">
        <v>14399</v>
      </c>
      <c r="G835" s="445"/>
    </row>
    <row r="836" spans="2:7">
      <c r="B836" s="407">
        <v>2408</v>
      </c>
      <c r="C836" s="407">
        <v>315</v>
      </c>
      <c r="D836" s="408">
        <v>45506</v>
      </c>
      <c r="E836" s="458" t="s">
        <v>14400</v>
      </c>
      <c r="G836" s="445"/>
    </row>
    <row r="837" spans="2:7">
      <c r="B837" s="407">
        <v>2408</v>
      </c>
      <c r="C837" s="407">
        <v>312</v>
      </c>
      <c r="D837" s="408">
        <v>45506</v>
      </c>
      <c r="E837" s="458" t="s">
        <v>14401</v>
      </c>
      <c r="G837" s="445"/>
    </row>
    <row r="838" spans="2:7">
      <c r="B838" s="407">
        <v>2408</v>
      </c>
      <c r="C838" s="407">
        <v>311</v>
      </c>
      <c r="D838" s="408">
        <v>45506</v>
      </c>
      <c r="E838" s="458" t="s">
        <v>14402</v>
      </c>
      <c r="G838" s="445"/>
    </row>
    <row r="839" spans="2:7">
      <c r="B839" s="407">
        <v>2408</v>
      </c>
      <c r="C839" s="407">
        <v>307</v>
      </c>
      <c r="D839" s="408">
        <v>45506</v>
      </c>
      <c r="E839" s="458" t="s">
        <v>14403</v>
      </c>
      <c r="G839" s="445"/>
    </row>
    <row r="840" spans="2:7">
      <c r="B840" s="407">
        <v>2408</v>
      </c>
      <c r="C840" s="407">
        <v>300</v>
      </c>
      <c r="D840" s="408">
        <v>45506</v>
      </c>
      <c r="E840" s="458" t="s">
        <v>14404</v>
      </c>
      <c r="G840" s="445"/>
    </row>
    <row r="841" spans="2:7">
      <c r="B841" s="407">
        <v>2408</v>
      </c>
      <c r="C841" s="407">
        <v>298</v>
      </c>
      <c r="D841" s="408">
        <v>45506</v>
      </c>
      <c r="E841" s="458" t="s">
        <v>14405</v>
      </c>
      <c r="G841" s="445"/>
    </row>
    <row r="842" spans="2:7">
      <c r="B842" s="409">
        <v>2408</v>
      </c>
      <c r="C842" s="409">
        <v>297</v>
      </c>
      <c r="D842" s="410">
        <v>45506</v>
      </c>
      <c r="E842" s="424" t="s">
        <v>14406</v>
      </c>
      <c r="G842" s="445"/>
    </row>
    <row r="843" spans="2:7">
      <c r="B843" s="407">
        <v>2408</v>
      </c>
      <c r="C843" s="407">
        <v>296</v>
      </c>
      <c r="D843" s="408">
        <v>45506</v>
      </c>
      <c r="E843" s="458" t="s">
        <v>14407</v>
      </c>
      <c r="G843" s="445"/>
    </row>
    <row r="844" spans="2:7">
      <c r="B844" s="407">
        <v>2408</v>
      </c>
      <c r="C844" s="407">
        <v>295</v>
      </c>
      <c r="D844" s="408">
        <v>45506</v>
      </c>
      <c r="E844" s="458" t="s">
        <v>14408</v>
      </c>
      <c r="G844" s="445"/>
    </row>
    <row r="845" spans="2:7">
      <c r="B845" s="407">
        <v>2408</v>
      </c>
      <c r="C845" s="407">
        <v>293</v>
      </c>
      <c r="D845" s="408">
        <v>45506</v>
      </c>
      <c r="E845" s="458" t="s">
        <v>14409</v>
      </c>
      <c r="G845" s="445"/>
    </row>
    <row r="846" spans="2:7">
      <c r="B846" s="407">
        <v>2408</v>
      </c>
      <c r="C846" s="407">
        <v>290</v>
      </c>
      <c r="D846" s="408">
        <v>45506</v>
      </c>
      <c r="E846" s="458" t="s">
        <v>14410</v>
      </c>
      <c r="G846" s="445"/>
    </row>
    <row r="847" spans="2:7">
      <c r="B847" s="407">
        <v>2408</v>
      </c>
      <c r="C847" s="407">
        <v>288</v>
      </c>
      <c r="D847" s="408">
        <v>45506</v>
      </c>
      <c r="E847" s="458" t="s">
        <v>14411</v>
      </c>
      <c r="G847" s="445"/>
    </row>
    <row r="848" spans="2:7">
      <c r="B848" s="407">
        <v>2408</v>
      </c>
      <c r="C848" s="407">
        <v>286</v>
      </c>
      <c r="D848" s="408">
        <v>45506</v>
      </c>
      <c r="E848" s="458" t="s">
        <v>14412</v>
      </c>
      <c r="G848" s="445"/>
    </row>
    <row r="849" spans="2:7">
      <c r="B849" s="409">
        <v>2408</v>
      </c>
      <c r="C849" s="409">
        <v>284</v>
      </c>
      <c r="D849" s="410">
        <v>45506</v>
      </c>
      <c r="E849" s="424" t="s">
        <v>14413</v>
      </c>
      <c r="G849" s="445"/>
    </row>
    <row r="850" spans="2:7">
      <c r="B850" s="409">
        <v>2408</v>
      </c>
      <c r="C850" s="409">
        <v>283</v>
      </c>
      <c r="D850" s="410">
        <v>45506</v>
      </c>
      <c r="E850" s="424" t="s">
        <v>14414</v>
      </c>
      <c r="G850" s="445"/>
    </row>
    <row r="851" spans="2:7">
      <c r="B851" s="407">
        <v>2408</v>
      </c>
      <c r="C851" s="407">
        <v>280</v>
      </c>
      <c r="D851" s="408">
        <v>45506</v>
      </c>
      <c r="E851" s="458" t="s">
        <v>14415</v>
      </c>
      <c r="G851" s="445"/>
    </row>
    <row r="852" spans="2:7">
      <c r="B852" s="407">
        <v>2408</v>
      </c>
      <c r="C852" s="407">
        <v>279</v>
      </c>
      <c r="D852" s="408">
        <v>45506</v>
      </c>
      <c r="E852" s="458" t="s">
        <v>14416</v>
      </c>
      <c r="G852" s="445"/>
    </row>
    <row r="853" spans="2:7">
      <c r="B853" s="407">
        <v>2408</v>
      </c>
      <c r="C853" s="407">
        <v>278</v>
      </c>
      <c r="D853" s="408">
        <v>45506</v>
      </c>
      <c r="E853" s="458" t="s">
        <v>14417</v>
      </c>
      <c r="G853" s="445"/>
    </row>
    <row r="854" spans="2:7">
      <c r="B854" s="407">
        <v>2408</v>
      </c>
      <c r="C854" s="407">
        <v>274</v>
      </c>
      <c r="D854" s="408">
        <v>45506</v>
      </c>
      <c r="E854" s="458" t="s">
        <v>14418</v>
      </c>
      <c r="G854" s="445"/>
    </row>
    <row r="855" spans="2:7">
      <c r="B855" s="407">
        <v>2408</v>
      </c>
      <c r="C855" s="407">
        <v>273</v>
      </c>
      <c r="D855" s="408">
        <v>45506</v>
      </c>
      <c r="E855" s="458" t="s">
        <v>14419</v>
      </c>
      <c r="G855" s="445"/>
    </row>
    <row r="856" spans="2:7">
      <c r="B856" s="409">
        <v>2408</v>
      </c>
      <c r="C856" s="409">
        <v>264</v>
      </c>
      <c r="D856" s="410">
        <v>45505</v>
      </c>
      <c r="E856" s="424" t="s">
        <v>14420</v>
      </c>
      <c r="G856" s="445"/>
    </row>
    <row r="857" spans="2:7">
      <c r="B857" s="407">
        <v>2408</v>
      </c>
      <c r="C857" s="407">
        <v>258</v>
      </c>
      <c r="D857" s="408">
        <v>45505</v>
      </c>
      <c r="E857" s="458" t="s">
        <v>14421</v>
      </c>
      <c r="G857" s="445"/>
    </row>
    <row r="858" spans="2:7">
      <c r="B858" s="407">
        <v>2408</v>
      </c>
      <c r="C858" s="407">
        <v>257</v>
      </c>
      <c r="D858" s="408">
        <v>45505</v>
      </c>
      <c r="E858" s="458" t="s">
        <v>14422</v>
      </c>
      <c r="G858" s="445"/>
    </row>
    <row r="859" spans="2:7">
      <c r="B859" s="407">
        <v>2408</v>
      </c>
      <c r="C859" s="407">
        <v>255</v>
      </c>
      <c r="D859" s="408">
        <v>45505</v>
      </c>
      <c r="E859" s="458" t="s">
        <v>14423</v>
      </c>
      <c r="G859" s="445"/>
    </row>
    <row r="860" spans="2:7">
      <c r="B860" s="407">
        <v>2408</v>
      </c>
      <c r="C860" s="407">
        <v>254</v>
      </c>
      <c r="D860" s="408">
        <v>45505</v>
      </c>
      <c r="E860" s="458" t="s">
        <v>14424</v>
      </c>
      <c r="G860" s="445"/>
    </row>
    <row r="861" spans="2:7">
      <c r="B861" s="407">
        <v>2408</v>
      </c>
      <c r="C861" s="407">
        <v>249</v>
      </c>
      <c r="D861" s="408">
        <v>45505</v>
      </c>
      <c r="E861" s="458" t="s">
        <v>14425</v>
      </c>
      <c r="G861" s="445"/>
    </row>
    <row r="862" spans="2:7">
      <c r="B862" s="407">
        <v>2408</v>
      </c>
      <c r="C862" s="407">
        <v>244</v>
      </c>
      <c r="D862" s="408">
        <v>45505</v>
      </c>
      <c r="E862" s="458" t="s">
        <v>14426</v>
      </c>
      <c r="G862" s="445"/>
    </row>
    <row r="863" spans="2:7">
      <c r="B863" s="407">
        <v>2408</v>
      </c>
      <c r="C863" s="407">
        <v>232</v>
      </c>
      <c r="D863" s="408">
        <v>45505</v>
      </c>
      <c r="E863" s="458" t="s">
        <v>14427</v>
      </c>
      <c r="G863" s="445"/>
    </row>
    <row r="864" spans="2:7">
      <c r="B864" s="407">
        <v>2408</v>
      </c>
      <c r="C864" s="407">
        <v>230</v>
      </c>
      <c r="D864" s="408">
        <v>45505</v>
      </c>
      <c r="E864" s="458" t="s">
        <v>14428</v>
      </c>
      <c r="G864" s="445"/>
    </row>
    <row r="865" spans="2:7">
      <c r="B865" s="407">
        <v>2408</v>
      </c>
      <c r="C865" s="407">
        <v>221</v>
      </c>
      <c r="D865" s="408">
        <v>45505</v>
      </c>
      <c r="E865" s="458" t="s">
        <v>14429</v>
      </c>
      <c r="G865" s="445"/>
    </row>
    <row r="866" spans="2:7">
      <c r="B866" s="407">
        <v>2408</v>
      </c>
      <c r="C866" s="407">
        <v>211</v>
      </c>
      <c r="D866" s="408">
        <v>45505</v>
      </c>
      <c r="E866" s="458" t="s">
        <v>14430</v>
      </c>
      <c r="G866" s="445"/>
    </row>
    <row r="867" spans="2:7">
      <c r="B867" s="409">
        <v>2408</v>
      </c>
      <c r="C867" s="409">
        <v>210</v>
      </c>
      <c r="D867" s="410">
        <v>45505</v>
      </c>
      <c r="E867" s="424" t="s">
        <v>14431</v>
      </c>
      <c r="G867" s="445"/>
    </row>
    <row r="868" spans="2:7">
      <c r="B868" s="409">
        <v>2408</v>
      </c>
      <c r="C868" s="409">
        <v>208</v>
      </c>
      <c r="D868" s="410">
        <v>45505</v>
      </c>
      <c r="E868" s="424" t="s">
        <v>14432</v>
      </c>
      <c r="G868" s="445"/>
    </row>
    <row r="869" spans="2:7">
      <c r="B869" s="409">
        <v>2408</v>
      </c>
      <c r="C869" s="409">
        <v>205</v>
      </c>
      <c r="D869" s="410">
        <v>45505</v>
      </c>
      <c r="E869" s="424" t="s">
        <v>14433</v>
      </c>
      <c r="G869" s="445"/>
    </row>
    <row r="870" spans="2:7">
      <c r="B870" s="407">
        <v>2408</v>
      </c>
      <c r="C870" s="407">
        <v>203</v>
      </c>
      <c r="D870" s="408">
        <v>45505</v>
      </c>
      <c r="E870" s="458" t="s">
        <v>14434</v>
      </c>
      <c r="G870" s="445"/>
    </row>
    <row r="871" spans="2:7">
      <c r="B871" s="407">
        <v>2408</v>
      </c>
      <c r="C871" s="407">
        <v>200</v>
      </c>
      <c r="D871" s="408">
        <v>45505</v>
      </c>
      <c r="E871" s="458" t="s">
        <v>14435</v>
      </c>
      <c r="G871" s="445"/>
    </row>
    <row r="872" spans="2:7">
      <c r="B872" s="407">
        <v>2408</v>
      </c>
      <c r="C872" s="407">
        <v>197</v>
      </c>
      <c r="D872" s="408">
        <v>45505</v>
      </c>
      <c r="E872" s="458" t="s">
        <v>14436</v>
      </c>
      <c r="G872" s="445"/>
    </row>
    <row r="873" spans="2:7">
      <c r="B873" s="407">
        <v>2408</v>
      </c>
      <c r="C873" s="407">
        <v>196</v>
      </c>
      <c r="D873" s="408">
        <v>45505</v>
      </c>
      <c r="E873" s="458" t="s">
        <v>14437</v>
      </c>
      <c r="G873" s="445"/>
    </row>
    <row r="874" spans="2:7">
      <c r="B874" s="407">
        <v>2408</v>
      </c>
      <c r="C874" s="407">
        <v>193</v>
      </c>
      <c r="D874" s="408">
        <v>45505</v>
      </c>
      <c r="E874" s="458" t="s">
        <v>14438</v>
      </c>
      <c r="G874" s="445"/>
    </row>
    <row r="875" spans="2:7">
      <c r="B875" s="409">
        <v>2408</v>
      </c>
      <c r="C875" s="409">
        <v>191</v>
      </c>
      <c r="D875" s="410">
        <v>45505</v>
      </c>
      <c r="E875" s="424" t="s">
        <v>14439</v>
      </c>
      <c r="G875" s="445"/>
    </row>
    <row r="876" spans="2:7">
      <c r="B876" s="407">
        <v>2408</v>
      </c>
      <c r="C876" s="407">
        <v>181</v>
      </c>
      <c r="D876" s="408">
        <v>45505</v>
      </c>
      <c r="E876" s="458" t="s">
        <v>14440</v>
      </c>
      <c r="G876" s="445"/>
    </row>
    <row r="877" spans="2:7">
      <c r="B877" s="407">
        <v>2408</v>
      </c>
      <c r="C877" s="407">
        <v>170</v>
      </c>
      <c r="D877" s="408">
        <v>45505</v>
      </c>
      <c r="E877" s="458" t="s">
        <v>14441</v>
      </c>
      <c r="G877" s="445"/>
    </row>
    <row r="878" spans="2:7">
      <c r="B878" s="407">
        <v>2408</v>
      </c>
      <c r="C878" s="407">
        <v>169</v>
      </c>
      <c r="D878" s="408">
        <v>45505</v>
      </c>
      <c r="E878" s="458" t="s">
        <v>14442</v>
      </c>
      <c r="G878" s="445"/>
    </row>
    <row r="879" spans="2:7">
      <c r="B879" s="407">
        <v>2408</v>
      </c>
      <c r="C879" s="407">
        <v>167</v>
      </c>
      <c r="D879" s="408">
        <v>45505</v>
      </c>
      <c r="E879" s="458" t="s">
        <v>14443</v>
      </c>
      <c r="G879" s="445"/>
    </row>
    <row r="880" spans="2:7">
      <c r="B880" s="407">
        <v>2408</v>
      </c>
      <c r="C880" s="407">
        <v>165</v>
      </c>
      <c r="D880" s="408">
        <v>45505</v>
      </c>
      <c r="E880" s="458" t="s">
        <v>14444</v>
      </c>
      <c r="G880" s="445"/>
    </row>
    <row r="881" spans="2:7">
      <c r="B881" s="407">
        <v>2408</v>
      </c>
      <c r="C881" s="407">
        <v>161</v>
      </c>
      <c r="D881" s="408">
        <v>45505</v>
      </c>
      <c r="E881" s="458" t="s">
        <v>14445</v>
      </c>
      <c r="G881" s="445"/>
    </row>
    <row r="882" spans="2:7">
      <c r="B882" s="407">
        <v>2408</v>
      </c>
      <c r="C882" s="407">
        <v>160</v>
      </c>
      <c r="D882" s="408">
        <v>45505</v>
      </c>
      <c r="E882" s="458" t="s">
        <v>14446</v>
      </c>
      <c r="G882" s="445"/>
    </row>
    <row r="883" spans="2:7">
      <c r="B883" s="407">
        <v>2408</v>
      </c>
      <c r="C883" s="407">
        <v>157</v>
      </c>
      <c r="D883" s="408">
        <v>45505</v>
      </c>
      <c r="E883" s="458" t="s">
        <v>14447</v>
      </c>
      <c r="G883" s="445"/>
    </row>
    <row r="884" spans="2:7">
      <c r="B884" s="407">
        <v>2408</v>
      </c>
      <c r="C884" s="407">
        <v>153</v>
      </c>
      <c r="D884" s="408">
        <v>45505</v>
      </c>
      <c r="E884" s="458" t="s">
        <v>14448</v>
      </c>
      <c r="G884" s="445"/>
    </row>
    <row r="885" spans="2:7">
      <c r="B885" s="407">
        <v>2408</v>
      </c>
      <c r="C885" s="407">
        <v>150</v>
      </c>
      <c r="D885" s="408">
        <v>45505</v>
      </c>
      <c r="E885" s="458" t="s">
        <v>14449</v>
      </c>
      <c r="G885" s="445"/>
    </row>
    <row r="886" spans="2:7">
      <c r="B886" s="407">
        <v>2408</v>
      </c>
      <c r="C886" s="407">
        <v>144</v>
      </c>
      <c r="D886" s="408">
        <v>45505</v>
      </c>
      <c r="E886" s="458" t="s">
        <v>14450</v>
      </c>
      <c r="G886" s="445"/>
    </row>
    <row r="887" spans="2:7">
      <c r="B887" s="407">
        <v>2408</v>
      </c>
      <c r="C887" s="407">
        <v>137</v>
      </c>
      <c r="D887" s="408">
        <v>45505</v>
      </c>
      <c r="E887" s="458" t="s">
        <v>14451</v>
      </c>
      <c r="G887" s="445"/>
    </row>
    <row r="888" spans="2:7">
      <c r="B888" s="407">
        <v>2408</v>
      </c>
      <c r="C888" s="407">
        <v>129</v>
      </c>
      <c r="D888" s="408">
        <v>45505</v>
      </c>
      <c r="E888" s="458" t="s">
        <v>14452</v>
      </c>
      <c r="G888" s="445"/>
    </row>
    <row r="889" spans="2:7">
      <c r="B889" s="407">
        <v>2408</v>
      </c>
      <c r="C889" s="407">
        <v>122</v>
      </c>
      <c r="D889" s="408">
        <v>45505</v>
      </c>
      <c r="E889" s="458" t="s">
        <v>14453</v>
      </c>
      <c r="G889" s="445"/>
    </row>
    <row r="890" spans="2:7">
      <c r="B890" s="407">
        <v>2408</v>
      </c>
      <c r="C890" s="407">
        <v>118</v>
      </c>
      <c r="D890" s="408">
        <v>45505</v>
      </c>
      <c r="E890" s="458" t="s">
        <v>14454</v>
      </c>
      <c r="G890" s="445"/>
    </row>
    <row r="891" spans="2:7">
      <c r="B891" s="407">
        <v>2408</v>
      </c>
      <c r="C891" s="407">
        <v>117</v>
      </c>
      <c r="D891" s="408">
        <v>45505</v>
      </c>
      <c r="E891" s="458" t="s">
        <v>14455</v>
      </c>
      <c r="G891" s="445"/>
    </row>
    <row r="892" spans="2:7">
      <c r="B892" s="407">
        <v>2408</v>
      </c>
      <c r="C892" s="407">
        <v>114</v>
      </c>
      <c r="D892" s="408">
        <v>45505</v>
      </c>
      <c r="E892" s="458" t="s">
        <v>14456</v>
      </c>
      <c r="G892" s="445"/>
    </row>
    <row r="893" spans="2:7">
      <c r="B893" s="407">
        <v>2408</v>
      </c>
      <c r="C893" s="407">
        <v>113</v>
      </c>
      <c r="D893" s="408">
        <v>45505</v>
      </c>
      <c r="E893" s="458" t="s">
        <v>14457</v>
      </c>
      <c r="G893" s="445"/>
    </row>
    <row r="894" spans="2:7">
      <c r="B894" s="407">
        <v>2408</v>
      </c>
      <c r="C894" s="407">
        <v>112</v>
      </c>
      <c r="D894" s="408">
        <v>45505</v>
      </c>
      <c r="E894" s="458" t="s">
        <v>14458</v>
      </c>
      <c r="G894" s="445"/>
    </row>
    <row r="895" spans="2:7">
      <c r="B895" s="407">
        <v>2408</v>
      </c>
      <c r="C895" s="407">
        <v>106</v>
      </c>
      <c r="D895" s="408">
        <v>45505</v>
      </c>
      <c r="E895" s="458" t="s">
        <v>14459</v>
      </c>
      <c r="G895" s="445"/>
    </row>
    <row r="896" spans="2:7">
      <c r="B896" s="407">
        <v>2408</v>
      </c>
      <c r="C896" s="407">
        <v>96</v>
      </c>
      <c r="D896" s="408">
        <v>45505</v>
      </c>
      <c r="E896" s="458" t="s">
        <v>14460</v>
      </c>
      <c r="G896" s="445"/>
    </row>
    <row r="897" spans="2:7">
      <c r="B897" s="407">
        <v>2408</v>
      </c>
      <c r="C897" s="407">
        <v>83</v>
      </c>
      <c r="D897" s="408">
        <v>45505</v>
      </c>
      <c r="E897" s="458" t="s">
        <v>14461</v>
      </c>
      <c r="G897" s="445"/>
    </row>
    <row r="898" spans="2:7">
      <c r="B898" s="407">
        <v>2408</v>
      </c>
      <c r="C898" s="407">
        <v>82</v>
      </c>
      <c r="D898" s="408">
        <v>45505</v>
      </c>
      <c r="E898" s="458" t="s">
        <v>14462</v>
      </c>
      <c r="G898" s="445"/>
    </row>
    <row r="899" spans="2:7">
      <c r="B899" s="407">
        <v>2408</v>
      </c>
      <c r="C899" s="407">
        <v>57</v>
      </c>
      <c r="D899" s="408">
        <v>45505</v>
      </c>
      <c r="E899" s="458" t="s">
        <v>14463</v>
      </c>
      <c r="G899" s="445"/>
    </row>
    <row r="900" spans="2:7">
      <c r="B900" s="407">
        <v>2408</v>
      </c>
      <c r="C900" s="407">
        <v>56</v>
      </c>
      <c r="D900" s="408">
        <v>45505</v>
      </c>
      <c r="E900" s="458" t="s">
        <v>14464</v>
      </c>
      <c r="G900" s="445"/>
    </row>
    <row r="901" spans="2:7">
      <c r="B901" s="407">
        <v>2408</v>
      </c>
      <c r="C901" s="407">
        <v>50</v>
      </c>
      <c r="D901" s="408">
        <v>45505</v>
      </c>
      <c r="E901" s="458" t="s">
        <v>14465</v>
      </c>
      <c r="G901" s="445"/>
    </row>
    <row r="902" spans="2:7">
      <c r="B902" s="407">
        <v>2408</v>
      </c>
      <c r="C902" s="407">
        <v>48</v>
      </c>
      <c r="D902" s="408">
        <v>45505</v>
      </c>
      <c r="E902" s="458" t="s">
        <v>14466</v>
      </c>
      <c r="G902" s="445"/>
    </row>
    <row r="903" spans="2:7">
      <c r="B903" s="407">
        <v>2408</v>
      </c>
      <c r="C903" s="407">
        <v>41</v>
      </c>
      <c r="D903" s="408">
        <v>45505</v>
      </c>
      <c r="E903" s="458" t="s">
        <v>14467</v>
      </c>
      <c r="G903" s="445"/>
    </row>
    <row r="904" spans="2:7">
      <c r="B904" s="407">
        <v>2408</v>
      </c>
      <c r="C904" s="407">
        <v>40</v>
      </c>
      <c r="D904" s="408">
        <v>45505</v>
      </c>
      <c r="E904" s="458" t="s">
        <v>14468</v>
      </c>
      <c r="G904" s="445"/>
    </row>
    <row r="905" spans="2:7">
      <c r="B905" s="407">
        <v>2408</v>
      </c>
      <c r="C905" s="407">
        <v>38</v>
      </c>
      <c r="D905" s="408">
        <v>45505</v>
      </c>
      <c r="E905" s="458" t="s">
        <v>14469</v>
      </c>
      <c r="G905" s="445"/>
    </row>
    <row r="906" spans="2:7">
      <c r="B906" s="407">
        <v>2408</v>
      </c>
      <c r="C906" s="407">
        <v>30</v>
      </c>
      <c r="D906" s="408">
        <v>45505</v>
      </c>
      <c r="E906" s="458" t="s">
        <v>14470</v>
      </c>
      <c r="G906" s="445"/>
    </row>
    <row r="907" spans="2:7">
      <c r="B907" s="407">
        <v>2408</v>
      </c>
      <c r="C907" s="407">
        <v>25</v>
      </c>
      <c r="D907" s="408">
        <v>45505</v>
      </c>
      <c r="E907" s="458" t="s">
        <v>14471</v>
      </c>
      <c r="G907" s="445"/>
    </row>
    <row r="908" spans="2:7">
      <c r="B908" s="407">
        <v>2408</v>
      </c>
      <c r="C908" s="407">
        <v>24</v>
      </c>
      <c r="D908" s="408">
        <v>45505</v>
      </c>
      <c r="E908" s="458" t="s">
        <v>14472</v>
      </c>
      <c r="G908" s="445"/>
    </row>
    <row r="909" spans="2:7">
      <c r="B909" s="407">
        <v>2408</v>
      </c>
      <c r="C909" s="407">
        <v>23</v>
      </c>
      <c r="D909" s="408">
        <v>45505</v>
      </c>
      <c r="E909" s="458" t="s">
        <v>14473</v>
      </c>
      <c r="G909" s="445"/>
    </row>
    <row r="910" spans="2:7">
      <c r="B910" s="407">
        <v>2408</v>
      </c>
      <c r="C910" s="407">
        <v>19</v>
      </c>
      <c r="D910" s="408">
        <v>45504</v>
      </c>
      <c r="E910" s="458" t="s">
        <v>14474</v>
      </c>
      <c r="G910" s="445"/>
    </row>
    <row r="911" spans="2:7">
      <c r="B911" s="407">
        <v>2408</v>
      </c>
      <c r="C911" s="407">
        <v>18</v>
      </c>
      <c r="D911" s="408">
        <v>45504</v>
      </c>
      <c r="E911" s="458" t="s">
        <v>14475</v>
      </c>
      <c r="G911" s="445"/>
    </row>
    <row r="912" spans="2:7">
      <c r="B912" s="407">
        <v>2408</v>
      </c>
      <c r="C912" s="407">
        <v>16</v>
      </c>
      <c r="D912" s="408">
        <v>45502</v>
      </c>
      <c r="E912" s="458" t="s">
        <v>14476</v>
      </c>
      <c r="G912" s="445"/>
    </row>
    <row r="913" spans="2:7">
      <c r="B913" s="407">
        <v>2408</v>
      </c>
      <c r="C913" s="407">
        <v>8</v>
      </c>
      <c r="D913" s="408">
        <v>45497</v>
      </c>
      <c r="E913" s="458" t="s">
        <v>14477</v>
      </c>
      <c r="G913" s="445"/>
    </row>
    <row r="914" spans="2:7">
      <c r="B914" s="407">
        <v>2408</v>
      </c>
      <c r="C914" s="407">
        <v>5</v>
      </c>
      <c r="D914" s="408">
        <v>45492</v>
      </c>
      <c r="E914" s="458" t="s">
        <v>14478</v>
      </c>
      <c r="G914" s="445"/>
    </row>
    <row r="915" spans="2:7">
      <c r="B915" s="407">
        <v>2408</v>
      </c>
      <c r="C915" s="407">
        <v>4</v>
      </c>
      <c r="D915" s="408">
        <v>45492</v>
      </c>
      <c r="E915" s="458" t="s">
        <v>14479</v>
      </c>
      <c r="G915" s="445"/>
    </row>
    <row r="916" spans="2:7">
      <c r="B916" s="407">
        <v>2408</v>
      </c>
      <c r="C916" s="407">
        <v>2</v>
      </c>
      <c r="D916" s="408">
        <v>45484</v>
      </c>
      <c r="E916" s="458" t="s">
        <v>14480</v>
      </c>
      <c r="G916" s="445"/>
    </row>
    <row r="917" spans="2:7">
      <c r="B917" s="407">
        <v>2408</v>
      </c>
      <c r="C917" s="407">
        <v>1</v>
      </c>
      <c r="D917" s="408">
        <v>45481</v>
      </c>
      <c r="E917" s="458" t="s">
        <v>14481</v>
      </c>
      <c r="G917" s="445"/>
    </row>
    <row r="918" spans="2:7">
      <c r="B918" s="407">
        <v>2407</v>
      </c>
      <c r="C918" s="407">
        <v>21794</v>
      </c>
      <c r="D918" s="408">
        <v>45505</v>
      </c>
      <c r="E918" s="456" t="s">
        <v>14154</v>
      </c>
      <c r="G918" s="445"/>
    </row>
    <row r="919" spans="2:7">
      <c r="B919" s="407">
        <v>2407</v>
      </c>
      <c r="C919" s="407">
        <v>21792</v>
      </c>
      <c r="D919" s="408">
        <v>45505</v>
      </c>
      <c r="E919" s="456" t="s">
        <v>14155</v>
      </c>
      <c r="G919" s="445"/>
    </row>
    <row r="920" spans="2:7">
      <c r="B920" s="407">
        <v>2407</v>
      </c>
      <c r="C920" s="407">
        <v>21791</v>
      </c>
      <c r="D920" s="408">
        <v>45505</v>
      </c>
      <c r="E920" s="456" t="s">
        <v>14156</v>
      </c>
      <c r="G920" s="445"/>
    </row>
    <row r="921" spans="2:7">
      <c r="B921" s="407">
        <v>2407</v>
      </c>
      <c r="C921" s="407">
        <v>21788</v>
      </c>
      <c r="D921" s="408">
        <v>45505</v>
      </c>
      <c r="E921" s="456" t="s">
        <v>14157</v>
      </c>
      <c r="G921" s="445"/>
    </row>
    <row r="922" spans="2:7">
      <c r="B922" s="407">
        <v>2407</v>
      </c>
      <c r="C922" s="407">
        <v>21787</v>
      </c>
      <c r="D922" s="408">
        <v>45505</v>
      </c>
      <c r="E922" s="456" t="s">
        <v>14158</v>
      </c>
      <c r="G922" s="445"/>
    </row>
    <row r="923" spans="2:7">
      <c r="B923" s="407">
        <v>2407</v>
      </c>
      <c r="C923" s="407">
        <v>21783</v>
      </c>
      <c r="D923" s="408">
        <v>45505</v>
      </c>
      <c r="E923" s="455" t="s">
        <v>14159</v>
      </c>
      <c r="G923" s="445"/>
    </row>
    <row r="924" spans="2:7">
      <c r="B924" s="407">
        <v>2407</v>
      </c>
      <c r="C924" s="407">
        <v>21781</v>
      </c>
      <c r="D924" s="408">
        <v>45505</v>
      </c>
      <c r="E924" s="456" t="s">
        <v>14160</v>
      </c>
      <c r="G924" s="445"/>
    </row>
    <row r="925" spans="2:7">
      <c r="B925" s="407">
        <v>2407</v>
      </c>
      <c r="C925" s="407">
        <v>21778</v>
      </c>
      <c r="D925" s="408">
        <v>45505</v>
      </c>
      <c r="E925" s="456" t="s">
        <v>14161</v>
      </c>
      <c r="G925" s="445"/>
    </row>
    <row r="926" spans="2:7">
      <c r="B926" s="407">
        <v>2407</v>
      </c>
      <c r="C926" s="407">
        <v>21773</v>
      </c>
      <c r="D926" s="408">
        <v>45505</v>
      </c>
      <c r="E926" s="455" t="s">
        <v>14162</v>
      </c>
      <c r="G926" s="445"/>
    </row>
    <row r="927" spans="2:7">
      <c r="B927" s="407">
        <v>2407</v>
      </c>
      <c r="C927" s="407">
        <v>21772</v>
      </c>
      <c r="D927" s="408">
        <v>45505</v>
      </c>
      <c r="E927" s="456" t="s">
        <v>14163</v>
      </c>
      <c r="G927" s="445"/>
    </row>
    <row r="928" spans="2:7">
      <c r="B928" s="407">
        <v>2407</v>
      </c>
      <c r="C928" s="407">
        <v>21771</v>
      </c>
      <c r="D928" s="408">
        <v>45505</v>
      </c>
      <c r="E928" s="456" t="s">
        <v>14164</v>
      </c>
      <c r="G928" s="445"/>
    </row>
    <row r="929" spans="2:7">
      <c r="B929" s="407">
        <v>2407</v>
      </c>
      <c r="C929" s="407">
        <v>21770</v>
      </c>
      <c r="D929" s="408">
        <v>45505</v>
      </c>
      <c r="E929" s="456" t="s">
        <v>14165</v>
      </c>
      <c r="G929" s="445"/>
    </row>
    <row r="930" spans="2:7">
      <c r="B930" s="407">
        <v>2407</v>
      </c>
      <c r="C930" s="407">
        <v>21767</v>
      </c>
      <c r="D930" s="408">
        <v>45505</v>
      </c>
      <c r="E930" s="456" t="s">
        <v>14166</v>
      </c>
      <c r="G930" s="445"/>
    </row>
    <row r="931" spans="2:7">
      <c r="B931" s="407">
        <v>2407</v>
      </c>
      <c r="C931" s="407">
        <v>21762</v>
      </c>
      <c r="D931" s="408">
        <v>45505</v>
      </c>
      <c r="E931" s="456" t="s">
        <v>14167</v>
      </c>
      <c r="G931" s="445"/>
    </row>
    <row r="932" spans="2:7">
      <c r="B932" s="407">
        <v>2407</v>
      </c>
      <c r="C932" s="407">
        <v>21758</v>
      </c>
      <c r="D932" s="408">
        <v>45505</v>
      </c>
      <c r="E932" s="456" t="s">
        <v>14168</v>
      </c>
      <c r="G932" s="445"/>
    </row>
    <row r="933" spans="2:7">
      <c r="B933" s="407">
        <v>2407</v>
      </c>
      <c r="C933" s="407">
        <v>21757</v>
      </c>
      <c r="D933" s="408">
        <v>45505</v>
      </c>
      <c r="E933" s="456" t="s">
        <v>14169</v>
      </c>
      <c r="G933" s="445"/>
    </row>
    <row r="934" spans="2:7">
      <c r="B934" s="407">
        <v>2407</v>
      </c>
      <c r="C934" s="407">
        <v>21739</v>
      </c>
      <c r="D934" s="408">
        <v>45505</v>
      </c>
      <c r="E934" s="456" t="s">
        <v>14170</v>
      </c>
      <c r="G934" s="445"/>
    </row>
    <row r="935" spans="2:7">
      <c r="B935" s="407">
        <v>2407</v>
      </c>
      <c r="C935" s="407">
        <v>21738</v>
      </c>
      <c r="D935" s="408">
        <v>45505</v>
      </c>
      <c r="E935" s="456" t="s">
        <v>14171</v>
      </c>
      <c r="G935" s="445"/>
    </row>
    <row r="936" spans="2:7">
      <c r="B936" s="407">
        <v>2407</v>
      </c>
      <c r="C936" s="407">
        <v>21735</v>
      </c>
      <c r="D936" s="408">
        <v>45505</v>
      </c>
      <c r="E936" s="456" t="s">
        <v>14172</v>
      </c>
      <c r="G936" s="445"/>
    </row>
    <row r="937" spans="2:7">
      <c r="B937" s="407">
        <v>2407</v>
      </c>
      <c r="C937" s="407">
        <v>21734</v>
      </c>
      <c r="D937" s="408">
        <v>45505</v>
      </c>
      <c r="E937" s="456" t="s">
        <v>14173</v>
      </c>
      <c r="G937" s="445"/>
    </row>
    <row r="938" spans="2:7">
      <c r="B938" s="407">
        <v>2407</v>
      </c>
      <c r="C938" s="407">
        <v>21726</v>
      </c>
      <c r="D938" s="408">
        <v>45505</v>
      </c>
      <c r="E938" s="456" t="s">
        <v>14174</v>
      </c>
      <c r="G938" s="445"/>
    </row>
    <row r="939" spans="2:7">
      <c r="B939" s="407">
        <v>2407</v>
      </c>
      <c r="C939" s="407">
        <v>21721</v>
      </c>
      <c r="D939" s="408">
        <v>45505</v>
      </c>
      <c r="E939" s="456" t="s">
        <v>14175</v>
      </c>
      <c r="G939" s="445"/>
    </row>
    <row r="940" spans="2:7">
      <c r="B940" s="407">
        <v>2407</v>
      </c>
      <c r="C940" s="407">
        <v>21720</v>
      </c>
      <c r="D940" s="408">
        <v>45505</v>
      </c>
      <c r="E940" s="456" t="s">
        <v>14176</v>
      </c>
      <c r="G940" s="445"/>
    </row>
    <row r="941" spans="2:7">
      <c r="B941" s="407">
        <v>2407</v>
      </c>
      <c r="C941" s="407">
        <v>21717</v>
      </c>
      <c r="D941" s="408">
        <v>45505</v>
      </c>
      <c r="E941" s="456" t="s">
        <v>14177</v>
      </c>
      <c r="G941" s="445"/>
    </row>
    <row r="942" spans="2:7">
      <c r="B942" s="407">
        <v>2407</v>
      </c>
      <c r="C942" s="407">
        <v>21714</v>
      </c>
      <c r="D942" s="408">
        <v>45505</v>
      </c>
      <c r="E942" s="456" t="s">
        <v>14178</v>
      </c>
      <c r="G942" s="445"/>
    </row>
    <row r="943" spans="2:7">
      <c r="B943" s="407">
        <v>2407</v>
      </c>
      <c r="C943" s="407">
        <v>21713</v>
      </c>
      <c r="D943" s="408">
        <v>45505</v>
      </c>
      <c r="E943" s="456" t="s">
        <v>14179</v>
      </c>
      <c r="G943" s="445"/>
    </row>
    <row r="944" spans="2:7">
      <c r="B944" s="407">
        <v>2407</v>
      </c>
      <c r="C944" s="407">
        <v>21712</v>
      </c>
      <c r="D944" s="408">
        <v>45505</v>
      </c>
      <c r="E944" s="456" t="s">
        <v>14180</v>
      </c>
      <c r="G944" s="445"/>
    </row>
    <row r="945" spans="2:7">
      <c r="B945" s="407">
        <v>2407</v>
      </c>
      <c r="C945" s="407">
        <v>21708</v>
      </c>
      <c r="D945" s="408">
        <v>45505</v>
      </c>
      <c r="E945" s="456" t="s">
        <v>14181</v>
      </c>
      <c r="G945" s="445"/>
    </row>
    <row r="946" spans="2:7">
      <c r="B946" s="407">
        <v>2407</v>
      </c>
      <c r="C946" s="407">
        <v>21705</v>
      </c>
      <c r="D946" s="408">
        <v>45505</v>
      </c>
      <c r="E946" s="456" t="s">
        <v>14182</v>
      </c>
      <c r="G946" s="445"/>
    </row>
    <row r="947" spans="2:7">
      <c r="B947" s="407">
        <v>2407</v>
      </c>
      <c r="C947" s="407">
        <v>21703</v>
      </c>
      <c r="D947" s="408">
        <v>45505</v>
      </c>
      <c r="E947" s="456" t="s">
        <v>14183</v>
      </c>
      <c r="G947" s="445"/>
    </row>
    <row r="948" spans="2:7">
      <c r="B948" s="407">
        <v>2407</v>
      </c>
      <c r="C948" s="407">
        <v>21693</v>
      </c>
      <c r="D948" s="408">
        <v>45505</v>
      </c>
      <c r="E948" s="456" t="s">
        <v>14184</v>
      </c>
      <c r="G948" s="445"/>
    </row>
    <row r="949" spans="2:7">
      <c r="B949" s="407">
        <v>2407</v>
      </c>
      <c r="C949" s="407">
        <v>21691</v>
      </c>
      <c r="D949" s="408">
        <v>45505</v>
      </c>
      <c r="E949" s="456" t="s">
        <v>14185</v>
      </c>
      <c r="G949" s="445"/>
    </row>
    <row r="950" spans="2:7">
      <c r="B950" s="407">
        <v>2407</v>
      </c>
      <c r="C950" s="407">
        <v>21687</v>
      </c>
      <c r="D950" s="408">
        <v>45505</v>
      </c>
      <c r="E950" s="456" t="s">
        <v>14186</v>
      </c>
      <c r="G950" s="445"/>
    </row>
    <row r="951" spans="2:7">
      <c r="B951" s="407">
        <v>2407</v>
      </c>
      <c r="C951" s="407">
        <v>21686</v>
      </c>
      <c r="D951" s="408">
        <v>45505</v>
      </c>
      <c r="E951" s="456" t="s">
        <v>14187</v>
      </c>
      <c r="G951" s="445"/>
    </row>
    <row r="952" spans="2:7">
      <c r="B952" s="407">
        <v>2407</v>
      </c>
      <c r="C952" s="407">
        <v>21670</v>
      </c>
      <c r="D952" s="408">
        <v>45505</v>
      </c>
      <c r="E952" s="456" t="s">
        <v>14188</v>
      </c>
      <c r="G952" s="445"/>
    </row>
    <row r="953" spans="2:7">
      <c r="B953" s="407">
        <v>2407</v>
      </c>
      <c r="C953" s="407">
        <v>21666</v>
      </c>
      <c r="D953" s="408">
        <v>45505</v>
      </c>
      <c r="E953" s="456" t="s">
        <v>14189</v>
      </c>
      <c r="G953" s="445"/>
    </row>
    <row r="954" spans="2:7">
      <c r="B954" s="407">
        <v>2407</v>
      </c>
      <c r="C954" s="407">
        <v>21665</v>
      </c>
      <c r="D954" s="408">
        <v>45505</v>
      </c>
      <c r="E954" s="456" t="s">
        <v>14190</v>
      </c>
      <c r="G954" s="445"/>
    </row>
    <row r="955" spans="2:7">
      <c r="B955" s="407">
        <v>2407</v>
      </c>
      <c r="C955" s="407">
        <v>21659</v>
      </c>
      <c r="D955" s="408">
        <v>45505</v>
      </c>
      <c r="E955" s="456" t="s">
        <v>14191</v>
      </c>
      <c r="G955" s="445"/>
    </row>
    <row r="956" spans="2:7">
      <c r="B956" s="407">
        <v>2407</v>
      </c>
      <c r="C956" s="407">
        <v>21658</v>
      </c>
      <c r="D956" s="408">
        <v>45505</v>
      </c>
      <c r="E956" s="456" t="s">
        <v>14192</v>
      </c>
      <c r="G956" s="445"/>
    </row>
    <row r="957" spans="2:7">
      <c r="B957" s="407">
        <v>2407</v>
      </c>
      <c r="C957" s="407">
        <v>21656</v>
      </c>
      <c r="D957" s="408">
        <v>45505</v>
      </c>
      <c r="E957" s="456" t="s">
        <v>14193</v>
      </c>
      <c r="G957" s="445"/>
    </row>
    <row r="958" spans="2:7">
      <c r="B958" s="407">
        <v>2407</v>
      </c>
      <c r="C958" s="407">
        <v>21654</v>
      </c>
      <c r="D958" s="408">
        <v>45505</v>
      </c>
      <c r="E958" s="456" t="s">
        <v>14194</v>
      </c>
      <c r="G958" s="445"/>
    </row>
    <row r="959" spans="2:7">
      <c r="B959" s="407">
        <v>2407</v>
      </c>
      <c r="C959" s="407">
        <v>21652</v>
      </c>
      <c r="D959" s="408">
        <v>45505</v>
      </c>
      <c r="E959" s="456" t="s">
        <v>14195</v>
      </c>
      <c r="G959" s="445"/>
    </row>
    <row r="960" spans="2:7">
      <c r="B960" s="407">
        <v>2407</v>
      </c>
      <c r="C960" s="407">
        <v>21647</v>
      </c>
      <c r="D960" s="408">
        <v>45505</v>
      </c>
      <c r="E960" s="456" t="s">
        <v>14196</v>
      </c>
      <c r="G960" s="445"/>
    </row>
    <row r="961" spans="2:7">
      <c r="B961" s="407">
        <v>2407</v>
      </c>
      <c r="C961" s="407">
        <v>21646</v>
      </c>
      <c r="D961" s="408">
        <v>45505</v>
      </c>
      <c r="E961" s="456" t="s">
        <v>14197</v>
      </c>
      <c r="G961" s="445"/>
    </row>
    <row r="962" spans="2:7">
      <c r="B962" s="407">
        <v>2407</v>
      </c>
      <c r="C962" s="407">
        <v>21642</v>
      </c>
      <c r="D962" s="408">
        <v>45505</v>
      </c>
      <c r="E962" s="456" t="s">
        <v>14198</v>
      </c>
      <c r="G962" s="445"/>
    </row>
    <row r="963" spans="2:7">
      <c r="B963" s="407">
        <v>2407</v>
      </c>
      <c r="C963" s="407">
        <v>21640</v>
      </c>
      <c r="D963" s="408">
        <v>45505</v>
      </c>
      <c r="E963" s="456" t="s">
        <v>14199</v>
      </c>
      <c r="G963" s="445"/>
    </row>
    <row r="964" spans="2:7">
      <c r="B964" s="407">
        <v>2407</v>
      </c>
      <c r="C964" s="407">
        <v>21638</v>
      </c>
      <c r="D964" s="408">
        <v>45505</v>
      </c>
      <c r="E964" s="456" t="s">
        <v>14200</v>
      </c>
      <c r="G964" s="445"/>
    </row>
    <row r="965" spans="2:7">
      <c r="B965" s="407">
        <v>2407</v>
      </c>
      <c r="C965" s="407">
        <v>21635</v>
      </c>
      <c r="D965" s="408">
        <v>45505</v>
      </c>
      <c r="E965" s="456" t="s">
        <v>14201</v>
      </c>
      <c r="G965" s="445"/>
    </row>
    <row r="966" spans="2:7">
      <c r="B966" s="407">
        <v>2407</v>
      </c>
      <c r="C966" s="407">
        <v>21633</v>
      </c>
      <c r="D966" s="408">
        <v>45505</v>
      </c>
      <c r="E966" s="456" t="s">
        <v>14202</v>
      </c>
      <c r="G966" s="445"/>
    </row>
    <row r="967" spans="2:7">
      <c r="B967" s="407">
        <v>2407</v>
      </c>
      <c r="C967" s="407">
        <v>21631</v>
      </c>
      <c r="D967" s="408">
        <v>45505</v>
      </c>
      <c r="E967" s="456" t="s">
        <v>14203</v>
      </c>
      <c r="G967" s="445"/>
    </row>
    <row r="968" spans="2:7">
      <c r="B968" s="407">
        <v>2407</v>
      </c>
      <c r="C968" s="407">
        <v>21630</v>
      </c>
      <c r="D968" s="408">
        <v>45505</v>
      </c>
      <c r="E968" s="456" t="s">
        <v>14204</v>
      </c>
      <c r="G968" s="445"/>
    </row>
    <row r="969" spans="2:7">
      <c r="B969" s="407">
        <v>2407</v>
      </c>
      <c r="C969" s="407">
        <v>21622</v>
      </c>
      <c r="D969" s="408">
        <v>45505</v>
      </c>
      <c r="E969" s="456" t="s">
        <v>14205</v>
      </c>
      <c r="G969" s="445"/>
    </row>
    <row r="970" spans="2:7">
      <c r="B970" s="407">
        <v>2407</v>
      </c>
      <c r="C970" s="407">
        <v>21616</v>
      </c>
      <c r="D970" s="408">
        <v>45505</v>
      </c>
      <c r="E970" s="456" t="s">
        <v>14206</v>
      </c>
      <c r="G970" s="445"/>
    </row>
    <row r="971" spans="2:7">
      <c r="B971" s="407">
        <v>2407</v>
      </c>
      <c r="C971" s="407">
        <v>21615</v>
      </c>
      <c r="D971" s="408">
        <v>45505</v>
      </c>
      <c r="E971" s="458" t="s">
        <v>14207</v>
      </c>
      <c r="G971" s="445"/>
    </row>
    <row r="972" spans="2:7">
      <c r="B972" s="409">
        <v>2407</v>
      </c>
      <c r="C972" s="409">
        <v>21604</v>
      </c>
      <c r="D972" s="410">
        <v>45505</v>
      </c>
      <c r="E972" s="424" t="s">
        <v>14208</v>
      </c>
      <c r="G972" s="445"/>
    </row>
    <row r="973" spans="2:7">
      <c r="B973" s="407">
        <v>2407</v>
      </c>
      <c r="C973" s="407">
        <v>21600</v>
      </c>
      <c r="D973" s="408">
        <v>45505</v>
      </c>
      <c r="E973" s="456" t="s">
        <v>14209</v>
      </c>
      <c r="G973" s="445"/>
    </row>
    <row r="974" spans="2:7">
      <c r="B974" s="407">
        <v>2407</v>
      </c>
      <c r="C974" s="407">
        <v>21596</v>
      </c>
      <c r="D974" s="408">
        <v>45505</v>
      </c>
      <c r="E974" s="456" t="s">
        <v>14210</v>
      </c>
      <c r="G974" s="445"/>
    </row>
    <row r="975" spans="2:7">
      <c r="B975" s="407">
        <v>2407</v>
      </c>
      <c r="C975" s="407">
        <v>21593</v>
      </c>
      <c r="D975" s="408">
        <v>45505</v>
      </c>
      <c r="E975" s="456" t="s">
        <v>14211</v>
      </c>
      <c r="G975" s="445"/>
    </row>
    <row r="976" spans="2:7">
      <c r="B976" s="407">
        <v>2407</v>
      </c>
      <c r="C976" s="407">
        <v>21590</v>
      </c>
      <c r="D976" s="408">
        <v>45505</v>
      </c>
      <c r="E976" s="456" t="s">
        <v>14212</v>
      </c>
      <c r="G976" s="445"/>
    </row>
    <row r="977" spans="2:7">
      <c r="B977" s="407">
        <v>2407</v>
      </c>
      <c r="C977" s="407">
        <v>21586</v>
      </c>
      <c r="D977" s="408">
        <v>45505</v>
      </c>
      <c r="E977" s="456" t="s">
        <v>14213</v>
      </c>
      <c r="G977" s="445"/>
    </row>
    <row r="978" spans="2:7">
      <c r="B978" s="407">
        <v>2407</v>
      </c>
      <c r="C978" s="407">
        <v>21580</v>
      </c>
      <c r="D978" s="408">
        <v>45505</v>
      </c>
      <c r="E978" s="456" t="s">
        <v>14214</v>
      </c>
      <c r="G978" s="445"/>
    </row>
    <row r="979" spans="2:7">
      <c r="B979" s="407">
        <v>2407</v>
      </c>
      <c r="C979" s="407">
        <v>21579</v>
      </c>
      <c r="D979" s="408">
        <v>45505</v>
      </c>
      <c r="E979" s="456" t="s">
        <v>14215</v>
      </c>
      <c r="G979" s="445"/>
    </row>
    <row r="980" spans="2:7">
      <c r="B980" s="409">
        <v>2407</v>
      </c>
      <c r="C980" s="409">
        <v>21577</v>
      </c>
      <c r="D980" s="410">
        <v>45505</v>
      </c>
      <c r="E980" s="424" t="s">
        <v>14216</v>
      </c>
      <c r="G980" s="445"/>
    </row>
    <row r="981" spans="2:7">
      <c r="B981" s="407">
        <v>2407</v>
      </c>
      <c r="C981" s="407">
        <v>21571</v>
      </c>
      <c r="D981" s="408">
        <v>45505</v>
      </c>
      <c r="E981" s="456" t="s">
        <v>14217</v>
      </c>
      <c r="G981" s="445"/>
    </row>
    <row r="982" spans="2:7">
      <c r="B982" s="407">
        <v>2407</v>
      </c>
      <c r="C982" s="407">
        <v>21570</v>
      </c>
      <c r="D982" s="408">
        <v>45505</v>
      </c>
      <c r="E982" s="456" t="s">
        <v>14218</v>
      </c>
      <c r="G982" s="445"/>
    </row>
    <row r="983" spans="2:7">
      <c r="B983" s="407">
        <v>2407</v>
      </c>
      <c r="C983" s="407">
        <v>21569</v>
      </c>
      <c r="D983" s="408">
        <v>45505</v>
      </c>
      <c r="E983" s="456" t="s">
        <v>14219</v>
      </c>
      <c r="G983" s="445"/>
    </row>
    <row r="984" spans="2:7">
      <c r="B984" s="407">
        <v>2407</v>
      </c>
      <c r="C984" s="407">
        <v>21566</v>
      </c>
      <c r="D984" s="408">
        <v>45505</v>
      </c>
      <c r="E984" s="456" t="s">
        <v>14220</v>
      </c>
      <c r="G984" s="445"/>
    </row>
    <row r="985" spans="2:7">
      <c r="B985" s="407">
        <v>2407</v>
      </c>
      <c r="C985" s="407">
        <v>21565</v>
      </c>
      <c r="D985" s="408">
        <v>45505</v>
      </c>
      <c r="E985" s="456" t="s">
        <v>14221</v>
      </c>
      <c r="G985" s="445"/>
    </row>
    <row r="986" spans="2:7">
      <c r="B986" s="407">
        <v>2407</v>
      </c>
      <c r="C986" s="407">
        <v>21560</v>
      </c>
      <c r="D986" s="408">
        <v>45505</v>
      </c>
      <c r="E986" s="456" t="s">
        <v>14222</v>
      </c>
      <c r="G986" s="445"/>
    </row>
    <row r="987" spans="2:7">
      <c r="B987" s="407">
        <v>2407</v>
      </c>
      <c r="C987" s="407">
        <v>21554</v>
      </c>
      <c r="D987" s="408">
        <v>45505</v>
      </c>
      <c r="E987" s="456" t="s">
        <v>14223</v>
      </c>
      <c r="G987" s="445"/>
    </row>
    <row r="988" spans="2:7">
      <c r="B988" s="407">
        <v>2407</v>
      </c>
      <c r="C988" s="407">
        <v>21553</v>
      </c>
      <c r="D988" s="408">
        <v>45505</v>
      </c>
      <c r="E988" s="456" t="s">
        <v>14224</v>
      </c>
      <c r="G988" s="445"/>
    </row>
    <row r="989" spans="2:7">
      <c r="B989" s="407">
        <v>2407</v>
      </c>
      <c r="C989" s="407">
        <v>21546</v>
      </c>
      <c r="D989" s="408">
        <v>45505</v>
      </c>
      <c r="E989" s="456" t="s">
        <v>14225</v>
      </c>
      <c r="G989" s="445"/>
    </row>
    <row r="990" spans="2:7">
      <c r="B990" s="407">
        <v>2407</v>
      </c>
      <c r="C990" s="407">
        <v>21536</v>
      </c>
      <c r="D990" s="408">
        <v>45505</v>
      </c>
      <c r="E990" s="456" t="s">
        <v>14226</v>
      </c>
      <c r="G990" s="445"/>
    </row>
    <row r="991" spans="2:7">
      <c r="B991" s="407">
        <v>2407</v>
      </c>
      <c r="C991" s="407">
        <v>21535</v>
      </c>
      <c r="D991" s="408">
        <v>45505</v>
      </c>
      <c r="E991" s="456" t="s">
        <v>14227</v>
      </c>
      <c r="G991" s="445"/>
    </row>
    <row r="992" spans="2:7">
      <c r="B992" s="407">
        <v>2407</v>
      </c>
      <c r="C992" s="407">
        <v>21534</v>
      </c>
      <c r="D992" s="408">
        <v>45505</v>
      </c>
      <c r="E992" s="456" t="s">
        <v>14228</v>
      </c>
      <c r="G992" s="445"/>
    </row>
    <row r="993" spans="2:7">
      <c r="B993" s="407">
        <v>2407</v>
      </c>
      <c r="C993" s="407">
        <v>21531</v>
      </c>
      <c r="D993" s="408">
        <v>45505</v>
      </c>
      <c r="E993" s="456" t="s">
        <v>14229</v>
      </c>
      <c r="G993" s="445"/>
    </row>
    <row r="994" spans="2:7">
      <c r="B994" s="407">
        <v>2407</v>
      </c>
      <c r="C994" s="407">
        <v>21523</v>
      </c>
      <c r="D994" s="408">
        <v>45505</v>
      </c>
      <c r="E994" s="456" t="s">
        <v>14230</v>
      </c>
      <c r="G994" s="445"/>
    </row>
    <row r="995" spans="2:7">
      <c r="B995" s="407">
        <v>2407</v>
      </c>
      <c r="C995" s="407">
        <v>21521</v>
      </c>
      <c r="D995" s="408">
        <v>45505</v>
      </c>
      <c r="E995" s="456" t="s">
        <v>14231</v>
      </c>
      <c r="G995" s="445"/>
    </row>
    <row r="996" spans="2:7">
      <c r="B996" s="407">
        <v>2407</v>
      </c>
      <c r="C996" s="407">
        <v>21519</v>
      </c>
      <c r="D996" s="408">
        <v>45505</v>
      </c>
      <c r="E996" s="456" t="s">
        <v>14232</v>
      </c>
      <c r="G996" s="445"/>
    </row>
    <row r="997" spans="2:7">
      <c r="B997" s="407">
        <v>2407</v>
      </c>
      <c r="C997" s="407">
        <v>21517</v>
      </c>
      <c r="D997" s="408">
        <v>45505</v>
      </c>
      <c r="E997" s="456" t="s">
        <v>14233</v>
      </c>
      <c r="G997" s="445"/>
    </row>
    <row r="998" spans="2:7">
      <c r="B998" s="407">
        <v>2407</v>
      </c>
      <c r="C998" s="407">
        <v>21516</v>
      </c>
      <c r="D998" s="408">
        <v>45505</v>
      </c>
      <c r="E998" s="456" t="s">
        <v>14234</v>
      </c>
      <c r="G998" s="445"/>
    </row>
    <row r="999" spans="2:7">
      <c r="B999" s="407">
        <v>2407</v>
      </c>
      <c r="C999" s="407">
        <v>21515</v>
      </c>
      <c r="D999" s="408">
        <v>45505</v>
      </c>
      <c r="E999" s="456" t="s">
        <v>14235</v>
      </c>
      <c r="G999" s="445"/>
    </row>
    <row r="1000" spans="2:7">
      <c r="B1000" s="407">
        <v>2407</v>
      </c>
      <c r="C1000" s="407">
        <v>21512</v>
      </c>
      <c r="D1000" s="408">
        <v>45505</v>
      </c>
      <c r="E1000" s="456" t="s">
        <v>14236</v>
      </c>
      <c r="G1000" s="445"/>
    </row>
    <row r="1001" spans="2:7">
      <c r="B1001" s="407">
        <v>2407</v>
      </c>
      <c r="C1001" s="407">
        <v>21510</v>
      </c>
      <c r="D1001" s="408">
        <v>45505</v>
      </c>
      <c r="E1001" s="456" t="s">
        <v>14237</v>
      </c>
      <c r="G1001" s="445"/>
    </row>
    <row r="1002" spans="2:7">
      <c r="B1002" s="407">
        <v>2407</v>
      </c>
      <c r="C1002" s="407">
        <v>21508</v>
      </c>
      <c r="D1002" s="408">
        <v>45505</v>
      </c>
      <c r="E1002" s="456" t="s">
        <v>14238</v>
      </c>
      <c r="G1002" s="445"/>
    </row>
    <row r="1003" spans="2:7">
      <c r="B1003" s="407">
        <v>2407</v>
      </c>
      <c r="C1003" s="407">
        <v>21507</v>
      </c>
      <c r="D1003" s="408">
        <v>45505</v>
      </c>
      <c r="E1003" s="456" t="s">
        <v>14239</v>
      </c>
      <c r="G1003" s="445"/>
    </row>
    <row r="1004" spans="2:7">
      <c r="B1004" s="407">
        <v>2407</v>
      </c>
      <c r="C1004" s="407">
        <v>21503</v>
      </c>
      <c r="D1004" s="408">
        <v>45505</v>
      </c>
      <c r="E1004" s="456" t="s">
        <v>14240</v>
      </c>
      <c r="G1004" s="445"/>
    </row>
    <row r="1005" spans="2:7">
      <c r="B1005" s="407">
        <v>2407</v>
      </c>
      <c r="C1005" s="407">
        <v>21500</v>
      </c>
      <c r="D1005" s="408">
        <v>45505</v>
      </c>
      <c r="E1005" s="456" t="s">
        <v>14241</v>
      </c>
      <c r="G1005" s="445"/>
    </row>
    <row r="1006" spans="2:7">
      <c r="B1006" s="407">
        <v>2407</v>
      </c>
      <c r="C1006" s="407">
        <v>21498</v>
      </c>
      <c r="D1006" s="408">
        <v>45505</v>
      </c>
      <c r="E1006" s="456" t="s">
        <v>14242</v>
      </c>
      <c r="G1006" s="445"/>
    </row>
    <row r="1007" spans="2:7">
      <c r="B1007" s="407">
        <v>2407</v>
      </c>
      <c r="C1007" s="407">
        <v>21497</v>
      </c>
      <c r="D1007" s="408">
        <v>45505</v>
      </c>
      <c r="E1007" s="456" t="s">
        <v>14243</v>
      </c>
      <c r="G1007" s="445"/>
    </row>
    <row r="1008" spans="2:7">
      <c r="B1008" s="409">
        <v>2407</v>
      </c>
      <c r="C1008" s="409">
        <v>21491</v>
      </c>
      <c r="D1008" s="410">
        <v>45505</v>
      </c>
      <c r="E1008" s="424" t="s">
        <v>14244</v>
      </c>
      <c r="G1008" s="445"/>
    </row>
    <row r="1009" spans="2:7">
      <c r="B1009" s="407">
        <v>2407</v>
      </c>
      <c r="C1009" s="407">
        <v>21490</v>
      </c>
      <c r="D1009" s="408">
        <v>45505</v>
      </c>
      <c r="E1009" s="456" t="s">
        <v>14245</v>
      </c>
      <c r="G1009" s="445"/>
    </row>
    <row r="1010" spans="2:7">
      <c r="B1010" s="407">
        <v>2407</v>
      </c>
      <c r="C1010" s="407">
        <v>21489</v>
      </c>
      <c r="D1010" s="408">
        <v>45505</v>
      </c>
      <c r="E1010" s="456" t="s">
        <v>14246</v>
      </c>
      <c r="G1010" s="445"/>
    </row>
    <row r="1011" spans="2:7">
      <c r="B1011" s="407">
        <v>2407</v>
      </c>
      <c r="C1011" s="407">
        <v>21476</v>
      </c>
      <c r="D1011" s="408">
        <v>45505</v>
      </c>
      <c r="E1011" s="456" t="s">
        <v>14247</v>
      </c>
      <c r="G1011" s="445"/>
    </row>
    <row r="1012" spans="2:7">
      <c r="B1012" s="407">
        <v>2407</v>
      </c>
      <c r="C1012" s="407">
        <v>21475</v>
      </c>
      <c r="D1012" s="408">
        <v>45505</v>
      </c>
      <c r="E1012" s="456" t="s">
        <v>14248</v>
      </c>
      <c r="G1012" s="445"/>
    </row>
    <row r="1013" spans="2:7">
      <c r="B1013" s="407">
        <v>2407</v>
      </c>
      <c r="C1013" s="407">
        <v>21467</v>
      </c>
      <c r="D1013" s="408">
        <v>45505</v>
      </c>
      <c r="E1013" s="456" t="s">
        <v>14249</v>
      </c>
      <c r="G1013" s="445"/>
    </row>
    <row r="1014" spans="2:7">
      <c r="B1014" s="407">
        <v>2407</v>
      </c>
      <c r="C1014" s="407">
        <v>21465</v>
      </c>
      <c r="D1014" s="408">
        <v>45505</v>
      </c>
      <c r="E1014" s="456" t="s">
        <v>14250</v>
      </c>
      <c r="G1014" s="445"/>
    </row>
    <row r="1015" spans="2:7">
      <c r="B1015" s="407">
        <v>2407</v>
      </c>
      <c r="C1015" s="407">
        <v>21459</v>
      </c>
      <c r="D1015" s="408">
        <v>45505</v>
      </c>
      <c r="E1015" s="456" t="s">
        <v>14251</v>
      </c>
      <c r="G1015" s="445"/>
    </row>
    <row r="1016" spans="2:7">
      <c r="B1016" s="407">
        <v>2407</v>
      </c>
      <c r="C1016" s="407">
        <v>21453</v>
      </c>
      <c r="D1016" s="408">
        <v>45505</v>
      </c>
      <c r="E1016" s="456" t="s">
        <v>14252</v>
      </c>
      <c r="G1016" s="445"/>
    </row>
    <row r="1017" spans="2:7">
      <c r="B1017" s="407">
        <v>2407</v>
      </c>
      <c r="C1017" s="407">
        <v>21450</v>
      </c>
      <c r="D1017" s="408">
        <v>45505</v>
      </c>
      <c r="E1017" s="456" t="s">
        <v>14253</v>
      </c>
      <c r="G1017" s="445"/>
    </row>
    <row r="1018" spans="2:7">
      <c r="B1018" s="407">
        <v>2407</v>
      </c>
      <c r="C1018" s="407">
        <v>21448</v>
      </c>
      <c r="D1018" s="408">
        <v>45505</v>
      </c>
      <c r="E1018" s="456" t="s">
        <v>14254</v>
      </c>
      <c r="G1018" s="445"/>
    </row>
    <row r="1019" spans="2:7">
      <c r="B1019" s="407">
        <v>2407</v>
      </c>
      <c r="C1019" s="407">
        <v>21443</v>
      </c>
      <c r="D1019" s="408">
        <v>45505</v>
      </c>
      <c r="E1019" s="456" t="s">
        <v>14255</v>
      </c>
      <c r="G1019" s="445"/>
    </row>
    <row r="1020" spans="2:7">
      <c r="B1020" s="407">
        <v>2407</v>
      </c>
      <c r="C1020" s="407">
        <v>21441</v>
      </c>
      <c r="D1020" s="408">
        <v>45505</v>
      </c>
      <c r="E1020" s="456" t="s">
        <v>14256</v>
      </c>
      <c r="G1020" s="445"/>
    </row>
    <row r="1021" spans="2:7">
      <c r="B1021" s="407">
        <v>2407</v>
      </c>
      <c r="C1021" s="407">
        <v>21439</v>
      </c>
      <c r="D1021" s="408">
        <v>45505</v>
      </c>
      <c r="E1021" s="456" t="s">
        <v>14257</v>
      </c>
      <c r="G1021" s="445"/>
    </row>
    <row r="1022" spans="2:7">
      <c r="B1022" s="407">
        <v>2407</v>
      </c>
      <c r="C1022" s="457">
        <v>21438</v>
      </c>
      <c r="D1022" s="408">
        <v>45505</v>
      </c>
      <c r="E1022" s="456" t="s">
        <v>14258</v>
      </c>
      <c r="G1022" s="445"/>
    </row>
    <row r="1023" spans="2:7">
      <c r="B1023" s="407">
        <v>2407</v>
      </c>
      <c r="C1023" s="407">
        <v>21436</v>
      </c>
      <c r="D1023" s="408">
        <v>45505</v>
      </c>
      <c r="E1023" s="456" t="s">
        <v>14259</v>
      </c>
      <c r="G1023" s="445"/>
    </row>
    <row r="1024" spans="2:7">
      <c r="B1024" s="407">
        <v>2407</v>
      </c>
      <c r="C1024" s="407">
        <v>21430</v>
      </c>
      <c r="D1024" s="408">
        <v>45505</v>
      </c>
      <c r="E1024" s="456" t="s">
        <v>14260</v>
      </c>
      <c r="G1024" s="445"/>
    </row>
    <row r="1025" spans="2:7">
      <c r="B1025" s="407">
        <v>2407</v>
      </c>
      <c r="C1025" s="407">
        <v>21429</v>
      </c>
      <c r="D1025" s="408">
        <v>45505</v>
      </c>
      <c r="E1025" s="456" t="s">
        <v>14261</v>
      </c>
      <c r="G1025" s="445"/>
    </row>
    <row r="1026" spans="2:7">
      <c r="B1026" s="407">
        <v>2407</v>
      </c>
      <c r="C1026" s="407">
        <v>21428</v>
      </c>
      <c r="D1026" s="408">
        <v>45505</v>
      </c>
      <c r="E1026" s="456" t="s">
        <v>14262</v>
      </c>
      <c r="G1026" s="445"/>
    </row>
    <row r="1027" spans="2:7">
      <c r="B1027" s="407">
        <v>2407</v>
      </c>
      <c r="C1027" s="407">
        <v>21424</v>
      </c>
      <c r="D1027" s="408">
        <v>45505</v>
      </c>
      <c r="E1027" s="456" t="s">
        <v>14263</v>
      </c>
      <c r="G1027" s="445"/>
    </row>
    <row r="1028" spans="2:7">
      <c r="B1028" s="407">
        <v>2407</v>
      </c>
      <c r="C1028" s="407">
        <v>21422</v>
      </c>
      <c r="D1028" s="408">
        <v>45505</v>
      </c>
      <c r="E1028" s="456" t="s">
        <v>14264</v>
      </c>
      <c r="G1028" s="445"/>
    </row>
    <row r="1029" spans="2:7">
      <c r="B1029" s="407">
        <v>2407</v>
      </c>
      <c r="C1029" s="407">
        <v>21418</v>
      </c>
      <c r="D1029" s="408">
        <v>45505</v>
      </c>
      <c r="E1029" s="456" t="s">
        <v>14265</v>
      </c>
      <c r="G1029" s="445"/>
    </row>
    <row r="1030" spans="2:7">
      <c r="B1030" s="407">
        <v>2407</v>
      </c>
      <c r="C1030" s="407">
        <v>21417</v>
      </c>
      <c r="D1030" s="408">
        <v>45505</v>
      </c>
      <c r="E1030" s="456" t="s">
        <v>14266</v>
      </c>
      <c r="G1030" s="445"/>
    </row>
    <row r="1031" spans="2:7">
      <c r="B1031" s="407">
        <v>2407</v>
      </c>
      <c r="C1031" s="407">
        <v>21416</v>
      </c>
      <c r="D1031" s="408">
        <v>45505</v>
      </c>
      <c r="E1031" s="456" t="s">
        <v>14267</v>
      </c>
      <c r="G1031" s="445"/>
    </row>
    <row r="1032" spans="2:7">
      <c r="B1032" s="407">
        <v>2407</v>
      </c>
      <c r="C1032" s="407">
        <v>21414</v>
      </c>
      <c r="D1032" s="408">
        <v>45505</v>
      </c>
      <c r="E1032" s="456" t="s">
        <v>14268</v>
      </c>
      <c r="G1032" s="445"/>
    </row>
    <row r="1033" spans="2:7">
      <c r="B1033" s="407">
        <v>2407</v>
      </c>
      <c r="C1033" s="407">
        <v>21408</v>
      </c>
      <c r="D1033" s="408">
        <v>45505</v>
      </c>
      <c r="E1033" s="456" t="s">
        <v>14269</v>
      </c>
      <c r="G1033" s="445"/>
    </row>
    <row r="1034" spans="2:7">
      <c r="B1034" s="407">
        <v>2407</v>
      </c>
      <c r="C1034" s="407">
        <v>21404</v>
      </c>
      <c r="D1034" s="408">
        <v>45505</v>
      </c>
      <c r="E1034" s="456" t="s">
        <v>14270</v>
      </c>
      <c r="G1034" s="445"/>
    </row>
    <row r="1035" spans="2:7">
      <c r="B1035" s="407">
        <v>2407</v>
      </c>
      <c r="C1035" s="407">
        <v>21402</v>
      </c>
      <c r="D1035" s="408">
        <v>45505</v>
      </c>
      <c r="E1035" s="456" t="s">
        <v>14271</v>
      </c>
      <c r="G1035" s="445"/>
    </row>
    <row r="1036" spans="2:7">
      <c r="B1036" s="407">
        <v>2407</v>
      </c>
      <c r="C1036" s="407">
        <v>21401</v>
      </c>
      <c r="D1036" s="408">
        <v>45505</v>
      </c>
      <c r="E1036" s="456" t="s">
        <v>14272</v>
      </c>
      <c r="G1036" s="445"/>
    </row>
    <row r="1037" spans="2:7">
      <c r="B1037" s="407">
        <v>2407</v>
      </c>
      <c r="C1037" s="407">
        <v>21394</v>
      </c>
      <c r="D1037" s="408">
        <v>45505</v>
      </c>
      <c r="E1037" s="456" t="s">
        <v>14273</v>
      </c>
      <c r="G1037" s="445"/>
    </row>
    <row r="1038" spans="2:7">
      <c r="B1038" s="407">
        <v>2407</v>
      </c>
      <c r="C1038" s="407">
        <v>21391</v>
      </c>
      <c r="D1038" s="408">
        <v>45505</v>
      </c>
      <c r="E1038" s="456" t="s">
        <v>14274</v>
      </c>
      <c r="G1038" s="445"/>
    </row>
    <row r="1039" spans="2:7">
      <c r="B1039" s="407">
        <v>2407</v>
      </c>
      <c r="C1039" s="407">
        <v>21385</v>
      </c>
      <c r="D1039" s="408">
        <v>45505</v>
      </c>
      <c r="E1039" s="456" t="s">
        <v>14275</v>
      </c>
      <c r="G1039" s="445"/>
    </row>
    <row r="1040" spans="2:7">
      <c r="B1040" s="407">
        <v>2407</v>
      </c>
      <c r="C1040" s="407">
        <v>21384</v>
      </c>
      <c r="D1040" s="408">
        <v>45505</v>
      </c>
      <c r="E1040" s="456" t="s">
        <v>14276</v>
      </c>
      <c r="G1040" s="445"/>
    </row>
    <row r="1041" spans="2:7">
      <c r="B1041" s="407">
        <v>2407</v>
      </c>
      <c r="C1041" s="407">
        <v>21381</v>
      </c>
      <c r="D1041" s="408">
        <v>45505</v>
      </c>
      <c r="E1041" s="456" t="s">
        <v>14277</v>
      </c>
      <c r="G1041" s="445"/>
    </row>
    <row r="1042" spans="2:7">
      <c r="B1042" s="407">
        <v>2407</v>
      </c>
      <c r="C1042" s="407">
        <v>21374</v>
      </c>
      <c r="D1042" s="408">
        <v>45505</v>
      </c>
      <c r="E1042" s="456" t="s">
        <v>14278</v>
      </c>
      <c r="G1042" s="445"/>
    </row>
    <row r="1043" spans="2:7">
      <c r="B1043" s="407">
        <v>2407</v>
      </c>
      <c r="C1043" s="407">
        <v>21370</v>
      </c>
      <c r="D1043" s="408">
        <v>45505</v>
      </c>
      <c r="E1043" s="456" t="s">
        <v>14279</v>
      </c>
      <c r="G1043" s="445"/>
    </row>
    <row r="1044" spans="2:7">
      <c r="B1044" s="407">
        <v>2407</v>
      </c>
      <c r="C1044" s="407">
        <v>21369</v>
      </c>
      <c r="D1044" s="408">
        <v>45505</v>
      </c>
      <c r="E1044" s="456" t="s">
        <v>14280</v>
      </c>
      <c r="G1044" s="445"/>
    </row>
    <row r="1045" spans="2:7">
      <c r="B1045" s="407">
        <v>2407</v>
      </c>
      <c r="C1045" s="407">
        <v>21368</v>
      </c>
      <c r="D1045" s="408">
        <v>45505</v>
      </c>
      <c r="E1045" s="456" t="s">
        <v>14281</v>
      </c>
      <c r="G1045" s="445"/>
    </row>
    <row r="1046" spans="2:7">
      <c r="B1046" s="407">
        <v>2407</v>
      </c>
      <c r="C1046" s="407">
        <v>21358</v>
      </c>
      <c r="D1046" s="408">
        <v>45505</v>
      </c>
      <c r="E1046" s="456" t="s">
        <v>14282</v>
      </c>
      <c r="G1046" s="445"/>
    </row>
    <row r="1047" spans="2:7">
      <c r="B1047" s="407">
        <v>2407</v>
      </c>
      <c r="C1047" s="407">
        <v>21357</v>
      </c>
      <c r="D1047" s="408">
        <v>45505</v>
      </c>
      <c r="E1047" s="456" t="s">
        <v>14283</v>
      </c>
      <c r="G1047" s="445"/>
    </row>
    <row r="1048" spans="2:7">
      <c r="B1048" s="407">
        <v>2407</v>
      </c>
      <c r="C1048" s="407">
        <v>21351</v>
      </c>
      <c r="D1048" s="408">
        <v>45505</v>
      </c>
      <c r="E1048" s="456" t="s">
        <v>14284</v>
      </c>
      <c r="G1048" s="445"/>
    </row>
    <row r="1049" spans="2:7">
      <c r="B1049" s="407">
        <v>2407</v>
      </c>
      <c r="C1049" s="407">
        <v>21344</v>
      </c>
      <c r="D1049" s="408">
        <v>45505</v>
      </c>
      <c r="E1049" s="456" t="s">
        <v>14285</v>
      </c>
      <c r="G1049" s="445"/>
    </row>
    <row r="1050" spans="2:7">
      <c r="B1050" s="407">
        <v>2407</v>
      </c>
      <c r="C1050" s="407">
        <v>21343</v>
      </c>
      <c r="D1050" s="408">
        <v>45505</v>
      </c>
      <c r="E1050" s="456" t="s">
        <v>14286</v>
      </c>
      <c r="G1050" s="445"/>
    </row>
    <row r="1051" spans="2:7">
      <c r="B1051" s="407">
        <v>2407</v>
      </c>
      <c r="C1051" s="407">
        <v>21333</v>
      </c>
      <c r="D1051" s="408">
        <v>45505</v>
      </c>
      <c r="E1051" s="456" t="s">
        <v>14287</v>
      </c>
      <c r="G1051" s="445"/>
    </row>
    <row r="1052" spans="2:7">
      <c r="B1052" s="407">
        <v>2407</v>
      </c>
      <c r="C1052" s="407">
        <v>21330</v>
      </c>
      <c r="D1052" s="408">
        <v>45505</v>
      </c>
      <c r="E1052" s="458" t="s">
        <v>14482</v>
      </c>
      <c r="G1052" s="445"/>
    </row>
    <row r="1053" spans="2:7">
      <c r="B1053" s="407">
        <v>2407</v>
      </c>
      <c r="C1053" s="407">
        <v>21328</v>
      </c>
      <c r="D1053" s="408">
        <v>45505</v>
      </c>
      <c r="E1053" s="458" t="s">
        <v>14483</v>
      </c>
      <c r="G1053" s="445"/>
    </row>
    <row r="1054" spans="2:7">
      <c r="B1054" s="407">
        <v>2407</v>
      </c>
      <c r="C1054" s="407">
        <v>21325</v>
      </c>
      <c r="D1054" s="408">
        <v>45505</v>
      </c>
      <c r="E1054" s="458" t="s">
        <v>14484</v>
      </c>
      <c r="G1054" s="445"/>
    </row>
    <row r="1055" spans="2:7">
      <c r="B1055" s="407">
        <v>2407</v>
      </c>
      <c r="C1055" s="407">
        <v>21323</v>
      </c>
      <c r="D1055" s="408">
        <v>45505</v>
      </c>
      <c r="E1055" s="458" t="s">
        <v>14485</v>
      </c>
      <c r="G1055" s="445"/>
    </row>
    <row r="1056" spans="2:7">
      <c r="B1056" s="407">
        <v>2407</v>
      </c>
      <c r="C1056" s="407">
        <v>21320</v>
      </c>
      <c r="D1056" s="408">
        <v>45505</v>
      </c>
      <c r="E1056" s="458" t="s">
        <v>14486</v>
      </c>
      <c r="G1056" s="445"/>
    </row>
    <row r="1057" spans="2:7">
      <c r="B1057" s="407">
        <v>2407</v>
      </c>
      <c r="C1057" s="407">
        <v>21319</v>
      </c>
      <c r="D1057" s="408">
        <v>45504</v>
      </c>
      <c r="E1057" s="458" t="s">
        <v>14487</v>
      </c>
      <c r="G1057" s="445"/>
    </row>
    <row r="1058" spans="2:7">
      <c r="B1058" s="407">
        <v>2407</v>
      </c>
      <c r="C1058" s="407">
        <v>21317</v>
      </c>
      <c r="D1058" s="408">
        <v>45504</v>
      </c>
      <c r="E1058" s="458" t="s">
        <v>14488</v>
      </c>
      <c r="G1058" s="445"/>
    </row>
    <row r="1059" spans="2:7">
      <c r="B1059" s="407">
        <v>2407</v>
      </c>
      <c r="C1059" s="407">
        <v>21316</v>
      </c>
      <c r="D1059" s="408">
        <v>45504</v>
      </c>
      <c r="E1059" s="458" t="s">
        <v>14489</v>
      </c>
      <c r="G1059" s="445"/>
    </row>
    <row r="1060" spans="2:7">
      <c r="B1060" s="407">
        <v>2407</v>
      </c>
      <c r="C1060" s="407">
        <v>21315</v>
      </c>
      <c r="D1060" s="408">
        <v>45504</v>
      </c>
      <c r="E1060" s="458" t="s">
        <v>14490</v>
      </c>
      <c r="G1060" s="445"/>
    </row>
    <row r="1061" spans="2:7">
      <c r="B1061" s="407">
        <v>2407</v>
      </c>
      <c r="C1061" s="407">
        <v>21314</v>
      </c>
      <c r="D1061" s="408">
        <v>45504</v>
      </c>
      <c r="E1061" s="458" t="s">
        <v>14491</v>
      </c>
      <c r="G1061" s="445"/>
    </row>
    <row r="1062" spans="2:7">
      <c r="B1062" s="407">
        <v>2407</v>
      </c>
      <c r="C1062" s="407">
        <v>21311</v>
      </c>
      <c r="D1062" s="408">
        <v>45504</v>
      </c>
      <c r="E1062" s="458" t="s">
        <v>14492</v>
      </c>
      <c r="G1062" s="445"/>
    </row>
    <row r="1063" spans="2:7">
      <c r="B1063" s="407">
        <v>2407</v>
      </c>
      <c r="C1063" s="407">
        <v>21308</v>
      </c>
      <c r="D1063" s="408">
        <v>45504</v>
      </c>
      <c r="E1063" s="458" t="s">
        <v>14493</v>
      </c>
      <c r="G1063" s="445"/>
    </row>
    <row r="1064" spans="2:7">
      <c r="B1064" s="407">
        <v>2407</v>
      </c>
      <c r="C1064" s="407">
        <v>21300</v>
      </c>
      <c r="D1064" s="408">
        <v>45504</v>
      </c>
      <c r="E1064" s="458" t="s">
        <v>14494</v>
      </c>
      <c r="G1064" s="445"/>
    </row>
    <row r="1065" spans="2:7">
      <c r="B1065" s="407">
        <v>2407</v>
      </c>
      <c r="C1065" s="407">
        <v>21293</v>
      </c>
      <c r="D1065" s="408">
        <v>45504</v>
      </c>
      <c r="E1065" s="458" t="s">
        <v>14495</v>
      </c>
      <c r="G1065" s="445"/>
    </row>
    <row r="1066" spans="2:7">
      <c r="B1066" s="407">
        <v>2407</v>
      </c>
      <c r="C1066" s="407">
        <v>21289</v>
      </c>
      <c r="D1066" s="408">
        <v>45504</v>
      </c>
      <c r="E1066" s="458" t="s">
        <v>14496</v>
      </c>
      <c r="G1066" s="445"/>
    </row>
    <row r="1067" spans="2:7">
      <c r="B1067" s="407">
        <v>2407</v>
      </c>
      <c r="C1067" s="407">
        <v>21284</v>
      </c>
      <c r="D1067" s="408">
        <v>45504</v>
      </c>
      <c r="E1067" s="458" t="s">
        <v>14497</v>
      </c>
      <c r="G1067" s="445"/>
    </row>
    <row r="1068" spans="2:7">
      <c r="B1068" s="407">
        <v>2407</v>
      </c>
      <c r="C1068" s="407">
        <v>21282</v>
      </c>
      <c r="D1068" s="408">
        <v>45504</v>
      </c>
      <c r="E1068" s="458" t="s">
        <v>14498</v>
      </c>
      <c r="G1068" s="445"/>
    </row>
    <row r="1069" spans="2:7">
      <c r="B1069" s="407">
        <v>2407</v>
      </c>
      <c r="C1069" s="407">
        <v>21276</v>
      </c>
      <c r="D1069" s="408">
        <v>45504</v>
      </c>
      <c r="E1069" s="458" t="s">
        <v>14499</v>
      </c>
      <c r="G1069" s="445"/>
    </row>
    <row r="1070" spans="2:7">
      <c r="B1070" s="407">
        <v>2407</v>
      </c>
      <c r="C1070" s="407">
        <v>21275</v>
      </c>
      <c r="D1070" s="408">
        <v>45504</v>
      </c>
      <c r="E1070" s="458" t="s">
        <v>14500</v>
      </c>
      <c r="G1070" s="445"/>
    </row>
    <row r="1071" spans="2:7">
      <c r="B1071" s="407">
        <v>2407</v>
      </c>
      <c r="C1071" s="407">
        <v>21273</v>
      </c>
      <c r="D1071" s="408">
        <v>45504</v>
      </c>
      <c r="E1071" s="458" t="s">
        <v>14501</v>
      </c>
      <c r="G1071" s="445"/>
    </row>
    <row r="1072" spans="2:7">
      <c r="B1072" s="407">
        <v>2407</v>
      </c>
      <c r="C1072" s="407">
        <v>21272</v>
      </c>
      <c r="D1072" s="408">
        <v>45504</v>
      </c>
      <c r="E1072" s="458" t="s">
        <v>14502</v>
      </c>
      <c r="G1072" s="445"/>
    </row>
    <row r="1073" spans="2:7">
      <c r="B1073" s="407">
        <v>2407</v>
      </c>
      <c r="C1073" s="407">
        <v>21267</v>
      </c>
      <c r="D1073" s="408">
        <v>45504</v>
      </c>
      <c r="E1073" s="458" t="s">
        <v>14503</v>
      </c>
      <c r="G1073" s="445"/>
    </row>
    <row r="1074" spans="2:7">
      <c r="B1074" s="407">
        <v>2407</v>
      </c>
      <c r="C1074" s="407">
        <v>21266</v>
      </c>
      <c r="D1074" s="408">
        <v>45504</v>
      </c>
      <c r="E1074" s="458" t="s">
        <v>14504</v>
      </c>
      <c r="G1074" s="445"/>
    </row>
    <row r="1075" spans="2:7">
      <c r="B1075" s="407">
        <v>2407</v>
      </c>
      <c r="C1075" s="407">
        <v>21264</v>
      </c>
      <c r="D1075" s="408">
        <v>45504</v>
      </c>
      <c r="E1075" s="458" t="s">
        <v>14505</v>
      </c>
      <c r="G1075" s="445"/>
    </row>
    <row r="1076" spans="2:7">
      <c r="B1076" s="407">
        <v>2407</v>
      </c>
      <c r="C1076" s="407">
        <v>21263</v>
      </c>
      <c r="D1076" s="408">
        <v>45504</v>
      </c>
      <c r="E1076" s="458" t="s">
        <v>14506</v>
      </c>
      <c r="G1076" s="445"/>
    </row>
    <row r="1077" spans="2:7">
      <c r="B1077" s="407">
        <v>2407</v>
      </c>
      <c r="C1077" s="407">
        <v>21260</v>
      </c>
      <c r="D1077" s="408">
        <v>45504</v>
      </c>
      <c r="E1077" s="458" t="s">
        <v>14507</v>
      </c>
      <c r="G1077" s="445"/>
    </row>
    <row r="1078" spans="2:7">
      <c r="B1078" s="407">
        <v>2407</v>
      </c>
      <c r="C1078" s="407">
        <v>21256</v>
      </c>
      <c r="D1078" s="408">
        <v>45504</v>
      </c>
      <c r="E1078" s="458" t="s">
        <v>14508</v>
      </c>
      <c r="G1078" s="445"/>
    </row>
    <row r="1079" spans="2:7">
      <c r="B1079" s="407">
        <v>2407</v>
      </c>
      <c r="C1079" s="407">
        <v>21255</v>
      </c>
      <c r="D1079" s="408">
        <v>45504</v>
      </c>
      <c r="E1079" s="458" t="s">
        <v>14509</v>
      </c>
      <c r="G1079" s="445"/>
    </row>
    <row r="1080" spans="2:7">
      <c r="B1080" s="407">
        <v>2407</v>
      </c>
      <c r="C1080" s="407">
        <v>21252</v>
      </c>
      <c r="D1080" s="408">
        <v>45504</v>
      </c>
      <c r="E1080" s="458" t="s">
        <v>14510</v>
      </c>
      <c r="G1080" s="445"/>
    </row>
    <row r="1081" spans="2:7">
      <c r="B1081" s="407">
        <v>2407</v>
      </c>
      <c r="C1081" s="407">
        <v>21248</v>
      </c>
      <c r="D1081" s="408">
        <v>45504</v>
      </c>
      <c r="E1081" s="458" t="s">
        <v>14511</v>
      </c>
      <c r="G1081" s="445"/>
    </row>
    <row r="1082" spans="2:7">
      <c r="B1082" s="407">
        <v>2407</v>
      </c>
      <c r="C1082" s="407">
        <v>21245</v>
      </c>
      <c r="D1082" s="408">
        <v>45504</v>
      </c>
      <c r="E1082" s="458" t="s">
        <v>14512</v>
      </c>
      <c r="G1082" s="445"/>
    </row>
    <row r="1083" spans="2:7">
      <c r="B1083" s="407">
        <v>2407</v>
      </c>
      <c r="C1083" s="407">
        <v>21244</v>
      </c>
      <c r="D1083" s="408">
        <v>45504</v>
      </c>
      <c r="E1083" s="458" t="s">
        <v>14513</v>
      </c>
      <c r="G1083" s="445"/>
    </row>
    <row r="1084" spans="2:7">
      <c r="B1084" s="407">
        <v>2407</v>
      </c>
      <c r="C1084" s="407">
        <v>21243</v>
      </c>
      <c r="D1084" s="408">
        <v>45504</v>
      </c>
      <c r="E1084" s="458" t="s">
        <v>14514</v>
      </c>
      <c r="G1084" s="445"/>
    </row>
    <row r="1085" spans="2:7">
      <c r="B1085" s="407">
        <v>2407</v>
      </c>
      <c r="C1085" s="407">
        <v>21236</v>
      </c>
      <c r="D1085" s="408">
        <v>45504</v>
      </c>
      <c r="E1085" s="458" t="s">
        <v>14515</v>
      </c>
      <c r="G1085" s="445"/>
    </row>
    <row r="1086" spans="2:7">
      <c r="B1086" s="407">
        <v>2407</v>
      </c>
      <c r="C1086" s="407">
        <v>21233</v>
      </c>
      <c r="D1086" s="408">
        <v>45504</v>
      </c>
      <c r="E1086" s="458" t="s">
        <v>14516</v>
      </c>
      <c r="G1086" s="445"/>
    </row>
    <row r="1087" spans="2:7">
      <c r="B1087" s="407">
        <v>2407</v>
      </c>
      <c r="C1087" s="407">
        <v>21229</v>
      </c>
      <c r="D1087" s="408">
        <v>45504</v>
      </c>
      <c r="E1087" s="458" t="s">
        <v>14517</v>
      </c>
      <c r="G1087" s="445"/>
    </row>
    <row r="1088" spans="2:7">
      <c r="B1088" s="407">
        <v>2407</v>
      </c>
      <c r="C1088" s="407">
        <v>21227</v>
      </c>
      <c r="D1088" s="408">
        <v>45504</v>
      </c>
      <c r="E1088" s="458" t="s">
        <v>14518</v>
      </c>
      <c r="G1088" s="445"/>
    </row>
    <row r="1089" spans="1:7">
      <c r="B1089" s="407">
        <v>2407</v>
      </c>
      <c r="C1089" s="407">
        <v>21220</v>
      </c>
      <c r="D1089" s="408">
        <v>45504</v>
      </c>
      <c r="E1089" s="458" t="s">
        <v>14519</v>
      </c>
      <c r="G1089" s="445"/>
    </row>
    <row r="1090" spans="1:7">
      <c r="B1090" s="407">
        <v>2407</v>
      </c>
      <c r="C1090" s="407">
        <v>21216</v>
      </c>
      <c r="D1090" s="459">
        <v>45504</v>
      </c>
      <c r="E1090" s="459" t="s">
        <v>14520</v>
      </c>
      <c r="G1090" s="445"/>
    </row>
    <row r="1091" spans="1:7">
      <c r="A1091" s="406">
        <f t="shared" ref="A1091:A1106" si="0">C1091-C1092</f>
        <v>27</v>
      </c>
      <c r="B1091" s="407">
        <v>2407</v>
      </c>
      <c r="C1091" s="407">
        <v>21211</v>
      </c>
      <c r="D1091" s="459">
        <v>45504</v>
      </c>
      <c r="E1091" s="458" t="s">
        <v>14521</v>
      </c>
      <c r="G1091" s="445"/>
    </row>
    <row r="1092" spans="1:7">
      <c r="A1092" s="406">
        <f t="shared" si="0"/>
        <v>8</v>
      </c>
      <c r="B1092" s="407">
        <v>2407</v>
      </c>
      <c r="C1092" s="407">
        <v>21184</v>
      </c>
      <c r="D1092" s="459">
        <v>45504</v>
      </c>
      <c r="E1092" s="458" t="s">
        <v>14522</v>
      </c>
      <c r="G1092" s="445"/>
    </row>
    <row r="1093" spans="1:7">
      <c r="A1093" s="406">
        <f t="shared" si="0"/>
        <v>6</v>
      </c>
      <c r="B1093" s="407">
        <v>2407</v>
      </c>
      <c r="C1093" s="407">
        <v>21176</v>
      </c>
      <c r="D1093" s="459">
        <v>45504</v>
      </c>
      <c r="E1093" s="458" t="s">
        <v>14523</v>
      </c>
      <c r="G1093" s="445"/>
    </row>
    <row r="1094" spans="1:7">
      <c r="A1094" s="406">
        <f t="shared" si="0"/>
        <v>11</v>
      </c>
      <c r="B1094" s="407">
        <v>2407</v>
      </c>
      <c r="C1094" s="407">
        <v>21170</v>
      </c>
      <c r="D1094" s="459">
        <v>45504</v>
      </c>
      <c r="E1094" s="458" t="s">
        <v>14524</v>
      </c>
      <c r="G1094" s="445"/>
    </row>
    <row r="1095" spans="1:7">
      <c r="A1095" s="406">
        <f t="shared" si="0"/>
        <v>6</v>
      </c>
      <c r="B1095" s="407">
        <v>2407</v>
      </c>
      <c r="C1095" s="407">
        <v>21159</v>
      </c>
      <c r="D1095" s="459">
        <v>45504</v>
      </c>
      <c r="E1095" s="458" t="s">
        <v>14525</v>
      </c>
      <c r="G1095" s="445"/>
    </row>
    <row r="1096" spans="1:7">
      <c r="A1096" s="406">
        <f t="shared" si="0"/>
        <v>3</v>
      </c>
      <c r="B1096" s="407">
        <v>2407</v>
      </c>
      <c r="C1096" s="407">
        <v>21153</v>
      </c>
      <c r="D1096" s="459">
        <v>45504</v>
      </c>
      <c r="E1096" s="458" t="s">
        <v>14526</v>
      </c>
      <c r="G1096" s="445"/>
    </row>
    <row r="1097" spans="1:7">
      <c r="A1097" s="406">
        <f t="shared" si="0"/>
        <v>1</v>
      </c>
      <c r="B1097" s="407">
        <v>2407</v>
      </c>
      <c r="C1097" s="407">
        <v>21150</v>
      </c>
      <c r="D1097" s="459">
        <v>45504</v>
      </c>
      <c r="E1097" s="458" t="s">
        <v>14527</v>
      </c>
      <c r="G1097" s="445"/>
    </row>
    <row r="1098" spans="1:7">
      <c r="A1098" s="406">
        <f t="shared" si="0"/>
        <v>10</v>
      </c>
      <c r="B1098" s="407">
        <v>2407</v>
      </c>
      <c r="C1098" s="407">
        <v>21149</v>
      </c>
      <c r="D1098" s="459">
        <v>45504</v>
      </c>
      <c r="E1098" s="458" t="s">
        <v>14528</v>
      </c>
      <c r="G1098" s="445"/>
    </row>
    <row r="1099" spans="1:7">
      <c r="A1099" s="406">
        <f t="shared" si="0"/>
        <v>3</v>
      </c>
      <c r="B1099" s="407">
        <v>2407</v>
      </c>
      <c r="C1099" s="407">
        <v>21139</v>
      </c>
      <c r="D1099" s="459">
        <v>45504</v>
      </c>
      <c r="E1099" s="458" t="s">
        <v>14529</v>
      </c>
      <c r="G1099" s="445"/>
    </row>
    <row r="1100" spans="1:7">
      <c r="A1100" s="406">
        <f t="shared" si="0"/>
        <v>6</v>
      </c>
      <c r="B1100" s="407">
        <v>2407</v>
      </c>
      <c r="C1100" s="407">
        <v>21136</v>
      </c>
      <c r="D1100" s="459">
        <v>45504</v>
      </c>
      <c r="E1100" s="458" t="s">
        <v>14530</v>
      </c>
      <c r="G1100" s="445"/>
    </row>
    <row r="1101" spans="1:7">
      <c r="A1101" s="406">
        <f t="shared" si="0"/>
        <v>6</v>
      </c>
      <c r="B1101" s="407">
        <v>2407</v>
      </c>
      <c r="C1101" s="407">
        <v>21130</v>
      </c>
      <c r="D1101" s="459">
        <v>45504</v>
      </c>
      <c r="E1101" s="458" t="s">
        <v>14531</v>
      </c>
      <c r="G1101" s="445"/>
    </row>
    <row r="1102" spans="1:7">
      <c r="A1102" s="406">
        <f t="shared" si="0"/>
        <v>3</v>
      </c>
      <c r="B1102" s="407">
        <v>2407</v>
      </c>
      <c r="C1102" s="407">
        <v>21124</v>
      </c>
      <c r="D1102" s="459">
        <v>45504</v>
      </c>
      <c r="E1102" s="458" t="s">
        <v>14532</v>
      </c>
      <c r="G1102" s="445"/>
    </row>
    <row r="1103" spans="1:7">
      <c r="A1103" s="406">
        <f t="shared" si="0"/>
        <v>3</v>
      </c>
      <c r="B1103" s="407">
        <v>2407</v>
      </c>
      <c r="C1103" s="407">
        <v>21121</v>
      </c>
      <c r="D1103" s="459">
        <v>45504</v>
      </c>
      <c r="E1103" s="458" t="s">
        <v>14533</v>
      </c>
      <c r="G1103" s="445"/>
    </row>
    <row r="1104" spans="1:7">
      <c r="A1104" s="406">
        <f t="shared" si="0"/>
        <v>26</v>
      </c>
      <c r="B1104" s="407">
        <v>2407</v>
      </c>
      <c r="C1104" s="407">
        <v>21118</v>
      </c>
      <c r="D1104" s="459">
        <v>45504</v>
      </c>
      <c r="E1104" s="458" t="s">
        <v>14534</v>
      </c>
      <c r="G1104" s="445"/>
    </row>
    <row r="1105" spans="1:7">
      <c r="A1105" s="406">
        <f t="shared" si="0"/>
        <v>1</v>
      </c>
      <c r="B1105" s="407">
        <v>2407</v>
      </c>
      <c r="C1105" s="407">
        <v>21092</v>
      </c>
      <c r="D1105" s="459">
        <v>45504</v>
      </c>
      <c r="E1105" s="458" t="s">
        <v>14535</v>
      </c>
      <c r="G1105" s="445"/>
    </row>
    <row r="1106" spans="1:7">
      <c r="A1106" s="406">
        <f t="shared" si="0"/>
        <v>9</v>
      </c>
      <c r="B1106" s="407">
        <v>2407</v>
      </c>
      <c r="C1106" s="407">
        <v>21091</v>
      </c>
      <c r="D1106" s="459">
        <v>45504</v>
      </c>
      <c r="E1106" s="458" t="s">
        <v>14536</v>
      </c>
      <c r="G1106" s="445"/>
    </row>
    <row r="1107" spans="1:7">
      <c r="B1107" s="409">
        <v>2407</v>
      </c>
      <c r="C1107" s="409">
        <v>21082</v>
      </c>
      <c r="D1107" s="460">
        <v>45504</v>
      </c>
      <c r="E1107" s="424" t="s">
        <v>14537</v>
      </c>
      <c r="G1107" s="445"/>
    </row>
    <row r="1108" spans="1:7">
      <c r="B1108" s="407">
        <v>2407</v>
      </c>
      <c r="C1108" s="407">
        <v>21078</v>
      </c>
      <c r="D1108" s="459">
        <v>45503</v>
      </c>
      <c r="E1108" s="458" t="s">
        <v>14538</v>
      </c>
      <c r="G1108" s="445"/>
    </row>
    <row r="1109" spans="1:7">
      <c r="B1109" s="407">
        <v>2407</v>
      </c>
      <c r="C1109" s="407">
        <v>21077</v>
      </c>
      <c r="D1109" s="459">
        <v>45503</v>
      </c>
      <c r="E1109" s="458" t="s">
        <v>14539</v>
      </c>
      <c r="G1109" s="445"/>
    </row>
    <row r="1110" spans="1:7">
      <c r="B1110" s="409">
        <v>2407</v>
      </c>
      <c r="C1110" s="409">
        <v>21075</v>
      </c>
      <c r="D1110" s="460">
        <v>45503</v>
      </c>
      <c r="E1110" s="424" t="s">
        <v>14540</v>
      </c>
      <c r="G1110" s="445"/>
    </row>
    <row r="1111" spans="1:7">
      <c r="B1111" s="407">
        <v>2407</v>
      </c>
      <c r="C1111" s="407">
        <v>21073</v>
      </c>
      <c r="D1111" s="459">
        <v>45503</v>
      </c>
      <c r="E1111" s="458" t="s">
        <v>14541</v>
      </c>
      <c r="G1111" s="445"/>
    </row>
    <row r="1112" spans="1:7">
      <c r="B1112" s="407">
        <v>2407</v>
      </c>
      <c r="C1112" s="407">
        <v>21072</v>
      </c>
      <c r="D1112" s="459">
        <v>45502</v>
      </c>
      <c r="E1112" s="458" t="s">
        <v>14542</v>
      </c>
      <c r="G1112" s="445"/>
    </row>
    <row r="1113" spans="1:7">
      <c r="B1113" s="407">
        <v>2407</v>
      </c>
      <c r="C1113" s="407">
        <v>21068</v>
      </c>
      <c r="D1113" s="459">
        <v>45502</v>
      </c>
      <c r="E1113" s="458" t="s">
        <v>14543</v>
      </c>
      <c r="G1113" s="445"/>
    </row>
    <row r="1114" spans="1:7">
      <c r="B1114" s="407">
        <v>2407</v>
      </c>
      <c r="C1114" s="407">
        <v>21066</v>
      </c>
      <c r="D1114" s="459">
        <v>45502</v>
      </c>
      <c r="E1114" s="458" t="s">
        <v>14544</v>
      </c>
      <c r="G1114" s="445"/>
    </row>
    <row r="1115" spans="1:7">
      <c r="B1115" s="407">
        <v>2407</v>
      </c>
      <c r="C1115" s="407">
        <v>21065</v>
      </c>
      <c r="D1115" s="459">
        <v>45501</v>
      </c>
      <c r="E1115" s="458" t="s">
        <v>14545</v>
      </c>
      <c r="G1115" s="445"/>
    </row>
    <row r="1116" spans="1:7">
      <c r="B1116" s="407">
        <v>2407</v>
      </c>
      <c r="C1116" s="407">
        <v>21063</v>
      </c>
      <c r="D1116" s="459">
        <v>45501</v>
      </c>
      <c r="E1116" s="458" t="s">
        <v>14546</v>
      </c>
      <c r="G1116" s="445"/>
    </row>
    <row r="1117" spans="1:7">
      <c r="B1117" s="407">
        <v>2407</v>
      </c>
      <c r="C1117" s="407">
        <v>21061</v>
      </c>
      <c r="D1117" s="459">
        <v>45500</v>
      </c>
      <c r="E1117" s="458" t="s">
        <v>14547</v>
      </c>
      <c r="G1117" s="445"/>
    </row>
    <row r="1118" spans="1:7">
      <c r="B1118" s="407">
        <v>2407</v>
      </c>
      <c r="C1118" s="407">
        <v>21060</v>
      </c>
      <c r="D1118" s="459">
        <v>45500</v>
      </c>
      <c r="E1118" s="458" t="s">
        <v>14548</v>
      </c>
      <c r="G1118" s="445"/>
    </row>
    <row r="1119" spans="1:7">
      <c r="B1119" s="407">
        <v>2407</v>
      </c>
      <c r="C1119" s="407">
        <v>21059</v>
      </c>
      <c r="D1119" s="459">
        <v>45499</v>
      </c>
      <c r="E1119" s="458" t="s">
        <v>14549</v>
      </c>
      <c r="G1119" s="445"/>
    </row>
    <row r="1120" spans="1:7">
      <c r="B1120" s="407">
        <v>2407</v>
      </c>
      <c r="C1120" s="407">
        <v>21058</v>
      </c>
      <c r="D1120" s="459">
        <v>45499</v>
      </c>
      <c r="E1120" s="458" t="s">
        <v>14550</v>
      </c>
      <c r="G1120" s="445"/>
    </row>
    <row r="1121" spans="2:7">
      <c r="B1121" s="407">
        <v>2407</v>
      </c>
      <c r="C1121" s="407">
        <v>21057</v>
      </c>
      <c r="D1121" s="459">
        <v>45498</v>
      </c>
      <c r="E1121" s="463" t="s">
        <v>14715</v>
      </c>
      <c r="G1121" s="445"/>
    </row>
    <row r="1122" spans="2:7">
      <c r="B1122" s="407">
        <v>2407</v>
      </c>
      <c r="C1122" s="407">
        <v>21055</v>
      </c>
      <c r="D1122" s="459">
        <v>45498</v>
      </c>
      <c r="E1122" s="463" t="s">
        <v>14716</v>
      </c>
      <c r="G1122" s="445"/>
    </row>
    <row r="1123" spans="2:7">
      <c r="B1123" s="407">
        <v>2407</v>
      </c>
      <c r="C1123" s="407">
        <v>21054</v>
      </c>
      <c r="D1123" s="459">
        <v>45498</v>
      </c>
      <c r="E1123" s="463" t="s">
        <v>14717</v>
      </c>
      <c r="G1123" s="445"/>
    </row>
    <row r="1124" spans="2:7">
      <c r="B1124" s="407">
        <v>2407</v>
      </c>
      <c r="C1124" s="407">
        <v>21053</v>
      </c>
      <c r="D1124" s="459">
        <v>45498</v>
      </c>
      <c r="E1124" s="463" t="s">
        <v>14718</v>
      </c>
      <c r="G1124" s="445"/>
    </row>
    <row r="1125" spans="2:7">
      <c r="B1125" s="407">
        <v>2407</v>
      </c>
      <c r="C1125" s="407">
        <v>21051</v>
      </c>
      <c r="D1125" s="459">
        <v>45497</v>
      </c>
      <c r="E1125" s="463" t="s">
        <v>14719</v>
      </c>
      <c r="G1125" s="445"/>
    </row>
    <row r="1126" spans="2:7">
      <c r="B1126" s="407">
        <v>2407</v>
      </c>
      <c r="C1126" s="407">
        <v>21050</v>
      </c>
      <c r="D1126" s="459">
        <v>45497</v>
      </c>
      <c r="E1126" s="463" t="s">
        <v>14720</v>
      </c>
      <c r="G1126" s="445"/>
    </row>
    <row r="1127" spans="2:7">
      <c r="B1127" s="407">
        <v>2407</v>
      </c>
      <c r="C1127" s="407">
        <v>21048</v>
      </c>
      <c r="D1127" s="459">
        <v>45496</v>
      </c>
      <c r="E1127" s="463" t="s">
        <v>14721</v>
      </c>
      <c r="G1127" s="445"/>
    </row>
    <row r="1128" spans="2:7">
      <c r="B1128" s="407">
        <v>2407</v>
      </c>
      <c r="C1128" s="407">
        <v>21047</v>
      </c>
      <c r="D1128" s="459">
        <v>45496</v>
      </c>
      <c r="E1128" s="463" t="s">
        <v>14722</v>
      </c>
      <c r="G1128" s="445"/>
    </row>
    <row r="1129" spans="2:7">
      <c r="B1129" s="407">
        <v>2407</v>
      </c>
      <c r="C1129" s="407">
        <v>21046</v>
      </c>
      <c r="D1129" s="459">
        <v>45496</v>
      </c>
      <c r="E1129" s="463" t="s">
        <v>14723</v>
      </c>
      <c r="G1129" s="445"/>
    </row>
    <row r="1130" spans="2:7">
      <c r="B1130" s="407">
        <v>2407</v>
      </c>
      <c r="C1130" s="407">
        <v>21045</v>
      </c>
      <c r="D1130" s="459">
        <v>45496</v>
      </c>
      <c r="E1130" s="463" t="s">
        <v>14724</v>
      </c>
      <c r="G1130" s="445"/>
    </row>
    <row r="1131" spans="2:7">
      <c r="B1131" s="407">
        <v>2407</v>
      </c>
      <c r="C1131" s="407">
        <v>21041</v>
      </c>
      <c r="D1131" s="459">
        <v>45495</v>
      </c>
      <c r="E1131" s="463" t="s">
        <v>14725</v>
      </c>
      <c r="G1131" s="445"/>
    </row>
    <row r="1132" spans="2:7">
      <c r="B1132" s="407">
        <v>2407</v>
      </c>
      <c r="C1132" s="407">
        <v>21040</v>
      </c>
      <c r="D1132" s="459">
        <v>45495</v>
      </c>
      <c r="E1132" s="463" t="s">
        <v>14726</v>
      </c>
      <c r="G1132" s="445"/>
    </row>
    <row r="1133" spans="2:7">
      <c r="B1133" s="407">
        <v>2407</v>
      </c>
      <c r="C1133" s="407">
        <v>21039</v>
      </c>
      <c r="D1133" s="459">
        <v>45494</v>
      </c>
      <c r="E1133" s="463" t="s">
        <v>14727</v>
      </c>
      <c r="G1133" s="445"/>
    </row>
    <row r="1134" spans="2:7">
      <c r="B1134" s="407">
        <v>2407</v>
      </c>
      <c r="C1134" s="407">
        <v>21038</v>
      </c>
      <c r="D1134" s="459">
        <v>45493</v>
      </c>
      <c r="E1134" s="463" t="s">
        <v>14728</v>
      </c>
      <c r="G1134" s="445"/>
    </row>
    <row r="1135" spans="2:7">
      <c r="B1135" s="407">
        <v>2407</v>
      </c>
      <c r="C1135" s="407">
        <v>21037</v>
      </c>
      <c r="D1135" s="459">
        <v>45492</v>
      </c>
      <c r="E1135" s="463" t="s">
        <v>14729</v>
      </c>
      <c r="G1135" s="445"/>
    </row>
    <row r="1136" spans="2:7">
      <c r="B1136" s="407">
        <v>2407</v>
      </c>
      <c r="C1136" s="407">
        <v>21035</v>
      </c>
      <c r="D1136" s="459">
        <v>45491</v>
      </c>
      <c r="E1136" s="463" t="s">
        <v>14730</v>
      </c>
      <c r="G1136" s="445"/>
    </row>
    <row r="1137" spans="1:7">
      <c r="B1137" s="407">
        <v>2407</v>
      </c>
      <c r="C1137" s="407">
        <v>21032</v>
      </c>
      <c r="D1137" s="459">
        <v>45491</v>
      </c>
      <c r="E1137" s="463" t="s">
        <v>14731</v>
      </c>
      <c r="G1137" s="445"/>
    </row>
    <row r="1138" spans="1:7">
      <c r="B1138" s="407">
        <v>2407</v>
      </c>
      <c r="C1138" s="407">
        <v>21030</v>
      </c>
      <c r="D1138" s="459">
        <v>45489</v>
      </c>
      <c r="E1138" s="463" t="s">
        <v>14732</v>
      </c>
      <c r="G1138" s="445"/>
    </row>
    <row r="1139" spans="1:7">
      <c r="B1139" s="407">
        <v>2407</v>
      </c>
      <c r="C1139" s="407">
        <v>21028</v>
      </c>
      <c r="D1139" s="459">
        <v>45489</v>
      </c>
      <c r="E1139" s="463" t="s">
        <v>14733</v>
      </c>
      <c r="G1139" s="445"/>
    </row>
    <row r="1140" spans="1:7">
      <c r="B1140" s="407">
        <v>2407</v>
      </c>
      <c r="C1140" s="407">
        <v>21025</v>
      </c>
      <c r="D1140" s="459">
        <v>45488</v>
      </c>
      <c r="E1140" s="463" t="s">
        <v>14714</v>
      </c>
      <c r="G1140" s="445"/>
    </row>
    <row r="1141" spans="1:7">
      <c r="B1141" s="407">
        <v>2407</v>
      </c>
      <c r="C1141" s="407">
        <v>21024</v>
      </c>
      <c r="D1141" s="459">
        <v>45487</v>
      </c>
      <c r="E1141" s="463" t="s">
        <v>14713</v>
      </c>
      <c r="G1141" s="445"/>
    </row>
    <row r="1142" spans="1:7">
      <c r="B1142" s="407">
        <v>2407</v>
      </c>
      <c r="C1142" s="407">
        <v>21018</v>
      </c>
      <c r="D1142" s="459">
        <v>45504</v>
      </c>
      <c r="E1142" s="463" t="s">
        <v>14712</v>
      </c>
      <c r="G1142" s="445"/>
    </row>
    <row r="1143" spans="1:7">
      <c r="B1143" s="407">
        <v>2407</v>
      </c>
      <c r="C1143" s="407">
        <v>21017</v>
      </c>
      <c r="D1143" s="459">
        <v>45504</v>
      </c>
      <c r="E1143" s="463" t="s">
        <v>14711</v>
      </c>
      <c r="G1143" s="445"/>
    </row>
    <row r="1144" spans="1:7">
      <c r="B1144" s="407">
        <v>2407</v>
      </c>
      <c r="C1144" s="407">
        <v>21016</v>
      </c>
      <c r="D1144" s="459">
        <v>45504</v>
      </c>
      <c r="E1144" s="463" t="s">
        <v>14710</v>
      </c>
      <c r="G1144" s="445"/>
    </row>
    <row r="1145" spans="1:7">
      <c r="B1145" s="407">
        <v>2407</v>
      </c>
      <c r="C1145" s="407">
        <v>21011</v>
      </c>
      <c r="D1145" s="459">
        <v>45504</v>
      </c>
      <c r="E1145" s="463" t="s">
        <v>14709</v>
      </c>
      <c r="G1145" s="445"/>
    </row>
    <row r="1146" spans="1:7">
      <c r="B1146" s="407">
        <v>2407</v>
      </c>
      <c r="C1146" s="407">
        <v>21009</v>
      </c>
      <c r="D1146" s="459">
        <v>45504</v>
      </c>
      <c r="E1146" s="463" t="s">
        <v>14708</v>
      </c>
      <c r="G1146" s="445"/>
    </row>
    <row r="1147" spans="1:7">
      <c r="B1147" s="407">
        <v>2407</v>
      </c>
      <c r="C1147" s="407">
        <v>21002</v>
      </c>
      <c r="D1147" s="459">
        <v>45504</v>
      </c>
      <c r="E1147" s="463" t="s">
        <v>14707</v>
      </c>
      <c r="G1147" s="445"/>
    </row>
    <row r="1148" spans="1:7">
      <c r="A1148" s="406">
        <f t="shared" ref="A1148:A1171" si="1">C1148-C1149</f>
        <v>9</v>
      </c>
      <c r="B1148" s="407">
        <v>2407</v>
      </c>
      <c r="C1148" s="407">
        <v>20999</v>
      </c>
      <c r="D1148" s="459">
        <v>45505</v>
      </c>
      <c r="E1148" s="463" t="s">
        <v>14734</v>
      </c>
      <c r="G1148" s="445"/>
    </row>
    <row r="1149" spans="1:7">
      <c r="A1149" s="406">
        <f t="shared" si="1"/>
        <v>1</v>
      </c>
      <c r="B1149" s="407">
        <v>2407</v>
      </c>
      <c r="C1149" s="407">
        <v>20990</v>
      </c>
      <c r="D1149" s="459">
        <v>45504</v>
      </c>
      <c r="E1149" s="463" t="s">
        <v>14735</v>
      </c>
      <c r="G1149" s="445"/>
    </row>
    <row r="1150" spans="1:7">
      <c r="A1150" s="406">
        <f t="shared" si="1"/>
        <v>27</v>
      </c>
      <c r="B1150" s="407">
        <v>2407</v>
      </c>
      <c r="C1150" s="407">
        <v>20989</v>
      </c>
      <c r="D1150" s="459">
        <v>45504</v>
      </c>
      <c r="E1150" s="463" t="s">
        <v>14736</v>
      </c>
      <c r="G1150" s="445"/>
    </row>
    <row r="1151" spans="1:7">
      <c r="A1151" s="406">
        <f t="shared" si="1"/>
        <v>3</v>
      </c>
      <c r="B1151" s="407">
        <v>2407</v>
      </c>
      <c r="C1151" s="407">
        <v>20962</v>
      </c>
      <c r="D1151" s="459">
        <v>45504</v>
      </c>
      <c r="E1151" s="463" t="s">
        <v>14737</v>
      </c>
      <c r="G1151" s="445"/>
    </row>
    <row r="1152" spans="1:7">
      <c r="A1152" s="406">
        <f t="shared" si="1"/>
        <v>3</v>
      </c>
      <c r="B1152" s="407">
        <v>2407</v>
      </c>
      <c r="C1152" s="407">
        <v>20959</v>
      </c>
      <c r="D1152" s="459">
        <v>45504</v>
      </c>
      <c r="E1152" s="463" t="s">
        <v>14738</v>
      </c>
      <c r="G1152" s="445"/>
    </row>
    <row r="1153" spans="1:9">
      <c r="A1153" s="406">
        <f t="shared" si="1"/>
        <v>1</v>
      </c>
      <c r="B1153" s="407">
        <v>2407</v>
      </c>
      <c r="C1153" s="407">
        <v>20956</v>
      </c>
      <c r="D1153" s="459">
        <v>45504</v>
      </c>
      <c r="E1153" s="463" t="s">
        <v>14739</v>
      </c>
      <c r="G1153" s="445"/>
    </row>
    <row r="1154" spans="1:9">
      <c r="A1154" s="406">
        <f t="shared" si="1"/>
        <v>5</v>
      </c>
      <c r="B1154" s="407">
        <v>2407</v>
      </c>
      <c r="C1154" s="407">
        <v>20955</v>
      </c>
      <c r="D1154" s="459">
        <v>45504</v>
      </c>
      <c r="E1154" s="463" t="s">
        <v>14740</v>
      </c>
      <c r="G1154" s="445"/>
    </row>
    <row r="1155" spans="1:9">
      <c r="A1155" s="406">
        <f t="shared" si="1"/>
        <v>3</v>
      </c>
      <c r="B1155" s="407">
        <v>2407</v>
      </c>
      <c r="C1155" s="407">
        <v>20950</v>
      </c>
      <c r="D1155" s="459">
        <v>45504</v>
      </c>
      <c r="E1155" s="463" t="s">
        <v>14741</v>
      </c>
      <c r="G1155" s="445"/>
    </row>
    <row r="1156" spans="1:9">
      <c r="A1156" s="406">
        <f t="shared" si="1"/>
        <v>10</v>
      </c>
      <c r="B1156" s="407">
        <v>2407</v>
      </c>
      <c r="C1156" s="407">
        <v>20947</v>
      </c>
      <c r="D1156" s="459">
        <v>45504</v>
      </c>
      <c r="E1156" s="463" t="s">
        <v>14742</v>
      </c>
      <c r="G1156" s="445"/>
    </row>
    <row r="1157" spans="1:9">
      <c r="A1157" s="406">
        <f t="shared" si="1"/>
        <v>9</v>
      </c>
      <c r="B1157" s="407">
        <v>2407</v>
      </c>
      <c r="C1157" s="407">
        <v>20937</v>
      </c>
      <c r="D1157" s="459">
        <v>45504</v>
      </c>
      <c r="E1157" s="463" t="s">
        <v>14743</v>
      </c>
      <c r="G1157" s="445"/>
    </row>
    <row r="1158" spans="1:9">
      <c r="A1158" s="406">
        <f t="shared" si="1"/>
        <v>8</v>
      </c>
      <c r="B1158" s="407">
        <v>2407</v>
      </c>
      <c r="C1158" s="407">
        <v>20928</v>
      </c>
      <c r="D1158" s="459">
        <v>45504</v>
      </c>
      <c r="E1158" s="463" t="s">
        <v>14744</v>
      </c>
      <c r="G1158" s="445"/>
    </row>
    <row r="1159" spans="1:9">
      <c r="A1159" s="406">
        <f t="shared" si="1"/>
        <v>3</v>
      </c>
      <c r="B1159" s="407">
        <v>2407</v>
      </c>
      <c r="C1159" s="407">
        <v>20920</v>
      </c>
      <c r="D1159" s="459">
        <v>45504</v>
      </c>
      <c r="E1159" s="463" t="s">
        <v>14745</v>
      </c>
      <c r="G1159" s="445"/>
    </row>
    <row r="1160" spans="1:9">
      <c r="A1160" s="406">
        <f t="shared" si="1"/>
        <v>9</v>
      </c>
      <c r="B1160" s="407">
        <v>2407</v>
      </c>
      <c r="C1160" s="407">
        <v>20917</v>
      </c>
      <c r="D1160" s="459">
        <v>45504</v>
      </c>
      <c r="E1160" s="463" t="s">
        <v>14746</v>
      </c>
      <c r="G1160" s="445"/>
    </row>
    <row r="1161" spans="1:9">
      <c r="A1161" s="406">
        <f t="shared" si="1"/>
        <v>2</v>
      </c>
      <c r="B1161" s="407">
        <v>2407</v>
      </c>
      <c r="C1161" s="407">
        <v>20908</v>
      </c>
      <c r="D1161" s="459">
        <v>45504</v>
      </c>
      <c r="E1161" s="463" t="s">
        <v>14747</v>
      </c>
      <c r="G1161" s="445"/>
    </row>
    <row r="1162" spans="1:9">
      <c r="A1162" s="406">
        <f t="shared" si="1"/>
        <v>4</v>
      </c>
      <c r="B1162" s="407">
        <v>2407</v>
      </c>
      <c r="C1162" s="407">
        <v>20906</v>
      </c>
      <c r="D1162" s="459">
        <v>45504</v>
      </c>
      <c r="E1162" s="463" t="s">
        <v>14748</v>
      </c>
      <c r="G1162" s="445"/>
    </row>
    <row r="1163" spans="1:9">
      <c r="A1163" s="406">
        <f t="shared" si="1"/>
        <v>3</v>
      </c>
      <c r="B1163" s="407">
        <v>2407</v>
      </c>
      <c r="C1163" s="407">
        <v>20902</v>
      </c>
      <c r="D1163" s="459">
        <v>45504</v>
      </c>
      <c r="E1163" s="463" t="s">
        <v>14749</v>
      </c>
      <c r="G1163" s="445"/>
    </row>
    <row r="1164" spans="1:9">
      <c r="A1164" s="406">
        <f t="shared" si="1"/>
        <v>6</v>
      </c>
      <c r="B1164" s="407">
        <v>2407</v>
      </c>
      <c r="C1164" s="407">
        <v>20899</v>
      </c>
      <c r="D1164" s="459">
        <v>45504</v>
      </c>
      <c r="E1164" s="463" t="s">
        <v>14750</v>
      </c>
      <c r="G1164" s="445"/>
    </row>
    <row r="1165" spans="1:9">
      <c r="A1165" s="406">
        <f t="shared" si="1"/>
        <v>1</v>
      </c>
      <c r="B1165" s="409">
        <v>2407</v>
      </c>
      <c r="C1165" s="409">
        <v>20893</v>
      </c>
      <c r="D1165" s="460">
        <v>45504</v>
      </c>
      <c r="E1165" s="424" t="s">
        <v>14751</v>
      </c>
      <c r="G1165" s="445"/>
    </row>
    <row r="1166" spans="1:9">
      <c r="A1166" s="406">
        <f t="shared" si="1"/>
        <v>1</v>
      </c>
      <c r="B1166" s="407">
        <v>2407</v>
      </c>
      <c r="C1166" s="407">
        <v>20892</v>
      </c>
      <c r="D1166" s="459">
        <v>45504</v>
      </c>
      <c r="E1166" s="463" t="s">
        <v>14752</v>
      </c>
      <c r="G1166" s="445"/>
    </row>
    <row r="1167" spans="1:9">
      <c r="A1167" s="406">
        <f t="shared" si="1"/>
        <v>7</v>
      </c>
      <c r="B1167" s="407">
        <v>2407</v>
      </c>
      <c r="C1167" s="407">
        <v>20891</v>
      </c>
      <c r="D1167" s="459">
        <v>45504</v>
      </c>
      <c r="E1167" s="463" t="s">
        <v>14753</v>
      </c>
      <c r="G1167" s="445"/>
      <c r="I1167" s="462"/>
    </row>
    <row r="1168" spans="1:9">
      <c r="A1168" s="406">
        <f t="shared" si="1"/>
        <v>1</v>
      </c>
      <c r="B1168" s="407">
        <v>2407</v>
      </c>
      <c r="C1168" s="407">
        <v>20884</v>
      </c>
      <c r="D1168" s="459">
        <v>45504</v>
      </c>
      <c r="E1168" s="463" t="s">
        <v>14754</v>
      </c>
      <c r="G1168" s="445"/>
    </row>
    <row r="1169" spans="1:7">
      <c r="A1169" s="406">
        <f t="shared" si="1"/>
        <v>4</v>
      </c>
      <c r="B1169" s="409">
        <v>2407</v>
      </c>
      <c r="C1169" s="409">
        <v>20883</v>
      </c>
      <c r="D1169" s="460">
        <v>45504</v>
      </c>
      <c r="E1169" s="424" t="s">
        <v>14755</v>
      </c>
      <c r="G1169" s="445"/>
    </row>
    <row r="1170" spans="1:7">
      <c r="A1170" s="406">
        <f t="shared" si="1"/>
        <v>1</v>
      </c>
      <c r="B1170" s="407">
        <v>2407</v>
      </c>
      <c r="C1170" s="407">
        <v>20879</v>
      </c>
      <c r="D1170" s="459">
        <v>45504</v>
      </c>
      <c r="E1170" s="463" t="s">
        <v>14756</v>
      </c>
      <c r="G1170" s="445"/>
    </row>
    <row r="1171" spans="1:7">
      <c r="A1171" s="406">
        <f t="shared" si="1"/>
        <v>6</v>
      </c>
      <c r="B1171" s="407">
        <v>2407</v>
      </c>
      <c r="C1171" s="407">
        <v>20878</v>
      </c>
      <c r="D1171" s="459">
        <v>45504</v>
      </c>
      <c r="E1171" s="463" t="s">
        <v>14757</v>
      </c>
      <c r="G1171" s="445"/>
    </row>
    <row r="1172" spans="1:7">
      <c r="B1172" s="407">
        <v>2407</v>
      </c>
      <c r="C1172" s="407">
        <v>20872</v>
      </c>
      <c r="D1172" s="459">
        <v>45504</v>
      </c>
      <c r="E1172" s="463" t="s">
        <v>14758</v>
      </c>
      <c r="G1172" s="445"/>
    </row>
    <row r="1173" spans="1:7">
      <c r="B1173" s="407">
        <v>2407</v>
      </c>
      <c r="C1173" s="407">
        <v>20868</v>
      </c>
      <c r="D1173" s="459">
        <v>45504</v>
      </c>
      <c r="E1173" s="463" t="s">
        <v>14759</v>
      </c>
      <c r="G1173" s="445"/>
    </row>
    <row r="1174" spans="1:7">
      <c r="B1174" s="407">
        <v>2407</v>
      </c>
      <c r="C1174" s="407">
        <v>20855</v>
      </c>
      <c r="D1174" s="459">
        <v>45504</v>
      </c>
      <c r="E1174" s="463" t="s">
        <v>14760</v>
      </c>
      <c r="G1174" s="445"/>
    </row>
    <row r="1175" spans="1:7">
      <c r="B1175" s="407">
        <v>2407</v>
      </c>
      <c r="C1175" s="407">
        <v>20853</v>
      </c>
      <c r="D1175" s="459">
        <v>45504</v>
      </c>
      <c r="E1175" s="463" t="s">
        <v>14761</v>
      </c>
      <c r="G1175" s="445"/>
    </row>
    <row r="1176" spans="1:7">
      <c r="B1176" s="407">
        <v>2407</v>
      </c>
      <c r="C1176" s="407">
        <v>20845</v>
      </c>
      <c r="D1176" s="459">
        <v>45504</v>
      </c>
      <c r="E1176" s="463" t="s">
        <v>14762</v>
      </c>
      <c r="G1176" s="445"/>
    </row>
    <row r="1177" spans="1:7">
      <c r="B1177" s="409">
        <v>2407</v>
      </c>
      <c r="C1177" s="409">
        <v>20843</v>
      </c>
      <c r="D1177" s="460">
        <v>45504</v>
      </c>
      <c r="E1177" s="424" t="s">
        <v>14763</v>
      </c>
      <c r="G1177" s="445"/>
    </row>
    <row r="1178" spans="1:7">
      <c r="B1178" s="407">
        <v>2407</v>
      </c>
      <c r="C1178" s="407">
        <v>20840</v>
      </c>
      <c r="D1178" s="459">
        <v>45504</v>
      </c>
      <c r="E1178" s="463" t="s">
        <v>14764</v>
      </c>
      <c r="G1178" s="445"/>
    </row>
    <row r="1179" spans="1:7">
      <c r="B1179" s="407">
        <v>2407</v>
      </c>
      <c r="C1179" s="407">
        <v>20828</v>
      </c>
      <c r="D1179" s="459">
        <v>45504</v>
      </c>
      <c r="E1179" s="463" t="s">
        <v>14765</v>
      </c>
      <c r="G1179" s="445"/>
    </row>
    <row r="1180" spans="1:7">
      <c r="B1180" s="407">
        <v>2407</v>
      </c>
      <c r="C1180" s="407">
        <v>20818</v>
      </c>
      <c r="D1180" s="459">
        <v>45504</v>
      </c>
      <c r="E1180" s="463" t="s">
        <v>14766</v>
      </c>
      <c r="G1180" s="445"/>
    </row>
    <row r="1181" spans="1:7">
      <c r="B1181" s="407">
        <v>2407</v>
      </c>
      <c r="C1181" s="407">
        <v>20806</v>
      </c>
      <c r="D1181" s="459">
        <v>45504</v>
      </c>
      <c r="E1181" s="463" t="s">
        <v>14767</v>
      </c>
      <c r="G1181" s="445"/>
    </row>
    <row r="1182" spans="1:7">
      <c r="B1182" s="407">
        <v>2407</v>
      </c>
      <c r="C1182" s="407">
        <v>20801</v>
      </c>
      <c r="D1182" s="459">
        <v>45504</v>
      </c>
      <c r="E1182" s="463" t="s">
        <v>14768</v>
      </c>
      <c r="G1182" s="445"/>
    </row>
    <row r="1183" spans="1:7">
      <c r="B1183" s="409">
        <v>2407</v>
      </c>
      <c r="C1183" s="409">
        <v>20799</v>
      </c>
      <c r="D1183" s="460">
        <v>45504</v>
      </c>
      <c r="E1183" s="424" t="s">
        <v>14769</v>
      </c>
      <c r="G1183" s="445"/>
    </row>
    <row r="1184" spans="1:7">
      <c r="B1184" s="407">
        <v>2407</v>
      </c>
      <c r="C1184" s="407">
        <v>20798</v>
      </c>
      <c r="D1184" s="459">
        <v>45504</v>
      </c>
      <c r="E1184" s="463" t="s">
        <v>14770</v>
      </c>
      <c r="G1184" s="445"/>
    </row>
    <row r="1185" spans="2:7">
      <c r="B1185" s="407">
        <v>2407</v>
      </c>
      <c r="C1185" s="407">
        <v>20786</v>
      </c>
      <c r="D1185" s="459">
        <v>45504</v>
      </c>
      <c r="E1185" s="463" t="s">
        <v>14771</v>
      </c>
      <c r="G1185" s="445"/>
    </row>
    <row r="1186" spans="2:7">
      <c r="B1186" s="407">
        <v>2407</v>
      </c>
      <c r="C1186" s="407">
        <v>20785</v>
      </c>
      <c r="D1186" s="459">
        <v>45502</v>
      </c>
      <c r="E1186" s="463" t="s">
        <v>14772</v>
      </c>
      <c r="G1186" s="445"/>
    </row>
    <row r="1187" spans="2:7">
      <c r="B1187" s="407">
        <v>2407</v>
      </c>
      <c r="C1187" s="407">
        <v>20784</v>
      </c>
      <c r="D1187" s="459">
        <v>45501</v>
      </c>
      <c r="E1187" s="463" t="s">
        <v>14773</v>
      </c>
      <c r="G1187" s="445"/>
    </row>
    <row r="1188" spans="2:7">
      <c r="B1188" s="409">
        <v>2407</v>
      </c>
      <c r="C1188" s="409">
        <v>20775</v>
      </c>
      <c r="D1188" s="460">
        <v>45504</v>
      </c>
      <c r="E1188" s="424" t="s">
        <v>14774</v>
      </c>
      <c r="G1188" s="445"/>
    </row>
    <row r="1189" spans="2:7">
      <c r="B1189" s="407">
        <v>2407</v>
      </c>
      <c r="C1189" s="407">
        <v>20768</v>
      </c>
      <c r="D1189" s="459">
        <v>45504</v>
      </c>
      <c r="E1189" s="463" t="s">
        <v>14775</v>
      </c>
      <c r="G1189" s="445"/>
    </row>
    <row r="1190" spans="2:7">
      <c r="B1190" s="407">
        <v>2407</v>
      </c>
      <c r="C1190" s="407">
        <v>20766</v>
      </c>
      <c r="D1190" s="459">
        <v>45504</v>
      </c>
      <c r="E1190" s="463" t="s">
        <v>14776</v>
      </c>
      <c r="G1190" s="445"/>
    </row>
    <row r="1191" spans="2:7">
      <c r="B1191" s="407">
        <v>2407</v>
      </c>
      <c r="C1191" s="407">
        <v>20765</v>
      </c>
      <c r="D1191" s="459">
        <v>45504</v>
      </c>
      <c r="E1191" s="463" t="s">
        <v>14777</v>
      </c>
      <c r="G1191" s="445"/>
    </row>
    <row r="1192" spans="2:7">
      <c r="B1192" s="407">
        <v>2407</v>
      </c>
      <c r="C1192" s="407">
        <v>20761</v>
      </c>
      <c r="D1192" s="459">
        <v>45504</v>
      </c>
      <c r="E1192" s="463" t="s">
        <v>14778</v>
      </c>
      <c r="G1192" s="445"/>
    </row>
    <row r="1193" spans="2:7">
      <c r="B1193" s="407">
        <v>2407</v>
      </c>
      <c r="C1193" s="407">
        <v>20756</v>
      </c>
      <c r="D1193" s="459">
        <v>45504</v>
      </c>
      <c r="E1193" s="463" t="s">
        <v>14779</v>
      </c>
      <c r="G1193" s="445"/>
    </row>
    <row r="1194" spans="2:7">
      <c r="B1194" s="407">
        <v>2407</v>
      </c>
      <c r="C1194" s="407">
        <v>20750</v>
      </c>
      <c r="D1194" s="459">
        <v>45504</v>
      </c>
      <c r="E1194" s="463" t="s">
        <v>14780</v>
      </c>
      <c r="G1194" s="445"/>
    </row>
    <row r="1195" spans="2:7">
      <c r="B1195" s="407">
        <v>2407</v>
      </c>
      <c r="C1195" s="407">
        <v>20743</v>
      </c>
      <c r="D1195" s="459">
        <v>45504</v>
      </c>
      <c r="E1195" s="463" t="s">
        <v>14781</v>
      </c>
      <c r="G1195" s="445"/>
    </row>
    <row r="1196" spans="2:7">
      <c r="B1196" s="407">
        <v>2407</v>
      </c>
      <c r="C1196" s="407">
        <v>20741</v>
      </c>
      <c r="D1196" s="459">
        <v>45504</v>
      </c>
      <c r="E1196" s="463" t="s">
        <v>14782</v>
      </c>
      <c r="G1196" s="445"/>
    </row>
    <row r="1197" spans="2:7">
      <c r="B1197" s="407">
        <v>2407</v>
      </c>
      <c r="C1197" s="407">
        <v>20730</v>
      </c>
      <c r="D1197" s="459">
        <v>45504</v>
      </c>
      <c r="E1197" s="463" t="s">
        <v>14784</v>
      </c>
      <c r="G1197" s="445"/>
    </row>
    <row r="1198" spans="2:7">
      <c r="B1198" s="407">
        <v>2407</v>
      </c>
      <c r="C1198" s="407">
        <v>20729</v>
      </c>
      <c r="D1198" s="459">
        <v>45504</v>
      </c>
      <c r="E1198" s="463" t="s">
        <v>14783</v>
      </c>
      <c r="G1198" s="445"/>
    </row>
    <row r="1199" spans="2:7">
      <c r="B1199" s="407">
        <v>2407</v>
      </c>
      <c r="C1199" s="407">
        <v>20728</v>
      </c>
      <c r="D1199" s="459">
        <v>45504</v>
      </c>
      <c r="E1199" s="463" t="s">
        <v>14785</v>
      </c>
      <c r="G1199" s="445"/>
    </row>
    <row r="1200" spans="2:7">
      <c r="B1200" s="407">
        <v>2407</v>
      </c>
      <c r="C1200" s="407">
        <v>20727</v>
      </c>
      <c r="D1200" s="459">
        <v>45504</v>
      </c>
      <c r="E1200" s="463" t="s">
        <v>14786</v>
      </c>
      <c r="G1200" s="445"/>
    </row>
    <row r="1201" spans="2:7">
      <c r="B1201" s="407">
        <v>2407</v>
      </c>
      <c r="C1201" s="407">
        <v>20724</v>
      </c>
      <c r="D1201" s="459">
        <v>45504</v>
      </c>
      <c r="E1201" s="463" t="s">
        <v>14787</v>
      </c>
      <c r="G1201" s="445"/>
    </row>
    <row r="1202" spans="2:7">
      <c r="B1202" s="407">
        <v>2407</v>
      </c>
      <c r="C1202" s="407">
        <v>20717</v>
      </c>
      <c r="D1202" s="459">
        <v>45504</v>
      </c>
      <c r="E1202" s="463" t="s">
        <v>14788</v>
      </c>
      <c r="G1202" s="445"/>
    </row>
    <row r="1203" spans="2:7">
      <c r="B1203" s="407">
        <v>2407</v>
      </c>
      <c r="C1203" s="407">
        <v>20708</v>
      </c>
      <c r="D1203" s="459">
        <v>45504</v>
      </c>
      <c r="E1203" s="463" t="s">
        <v>14789</v>
      </c>
      <c r="G1203" s="445"/>
    </row>
    <row r="1204" spans="2:7">
      <c r="B1204" s="407">
        <v>2407</v>
      </c>
      <c r="C1204" s="407">
        <v>20697</v>
      </c>
      <c r="D1204" s="459">
        <v>45504</v>
      </c>
      <c r="E1204" s="463" t="s">
        <v>14790</v>
      </c>
      <c r="G1204" s="445"/>
    </row>
    <row r="1205" spans="2:7">
      <c r="B1205" s="407">
        <v>2407</v>
      </c>
      <c r="C1205" s="407">
        <v>20695</v>
      </c>
      <c r="D1205" s="459">
        <v>45504</v>
      </c>
      <c r="E1205" s="463" t="s">
        <v>14791</v>
      </c>
      <c r="G1205" s="445"/>
    </row>
    <row r="1206" spans="2:7">
      <c r="B1206" s="407">
        <v>2407</v>
      </c>
      <c r="C1206" s="407">
        <v>20693</v>
      </c>
      <c r="D1206" s="459">
        <v>45504</v>
      </c>
      <c r="E1206" s="463" t="s">
        <v>14792</v>
      </c>
      <c r="G1206" s="445"/>
    </row>
    <row r="1207" spans="2:7">
      <c r="B1207" s="407">
        <v>2407</v>
      </c>
      <c r="C1207" s="407">
        <v>20685</v>
      </c>
      <c r="D1207" s="459">
        <v>45504</v>
      </c>
      <c r="E1207" s="463" t="s">
        <v>14793</v>
      </c>
      <c r="G1207" s="445"/>
    </row>
    <row r="1208" spans="2:7">
      <c r="B1208" s="407">
        <v>2407</v>
      </c>
      <c r="C1208" s="407">
        <v>20684</v>
      </c>
      <c r="D1208" s="459">
        <v>45504</v>
      </c>
      <c r="E1208" s="463" t="s">
        <v>14794</v>
      </c>
      <c r="G1208" s="445"/>
    </row>
    <row r="1209" spans="2:7">
      <c r="B1209" s="407">
        <v>2407</v>
      </c>
      <c r="C1209" s="407">
        <v>20678</v>
      </c>
      <c r="D1209" s="459">
        <v>45506</v>
      </c>
      <c r="E1209" s="463" t="s">
        <v>14795</v>
      </c>
      <c r="G1209" s="445"/>
    </row>
    <row r="1210" spans="2:7">
      <c r="B1210" s="407">
        <v>2407</v>
      </c>
      <c r="C1210" s="407">
        <v>20674</v>
      </c>
      <c r="D1210" s="459">
        <v>45504</v>
      </c>
      <c r="E1210" s="463" t="s">
        <v>14796</v>
      </c>
      <c r="G1210" s="445"/>
    </row>
    <row r="1211" spans="2:7">
      <c r="B1211" s="407">
        <v>2407</v>
      </c>
      <c r="C1211" s="407">
        <v>20673</v>
      </c>
      <c r="D1211" s="459">
        <v>45504</v>
      </c>
      <c r="E1211" s="463" t="s">
        <v>14797</v>
      </c>
      <c r="G1211" s="445"/>
    </row>
    <row r="1212" spans="2:7">
      <c r="B1212" s="407">
        <v>2407</v>
      </c>
      <c r="C1212" s="407">
        <v>20668</v>
      </c>
      <c r="D1212" s="459">
        <v>45504</v>
      </c>
      <c r="E1212" s="463" t="s">
        <v>14798</v>
      </c>
      <c r="G1212" s="445"/>
    </row>
    <row r="1213" spans="2:7">
      <c r="B1213" s="407">
        <v>2407</v>
      </c>
      <c r="C1213" s="407">
        <v>20667</v>
      </c>
      <c r="D1213" s="459">
        <v>45504</v>
      </c>
      <c r="E1213" s="463" t="s">
        <v>14799</v>
      </c>
      <c r="G1213" s="445"/>
    </row>
    <row r="1214" spans="2:7">
      <c r="B1214" s="407">
        <v>2407</v>
      </c>
      <c r="C1214" s="407">
        <v>20664</v>
      </c>
      <c r="D1214" s="459">
        <v>45505</v>
      </c>
      <c r="E1214" s="463" t="s">
        <v>14800</v>
      </c>
      <c r="G1214" s="445"/>
    </row>
    <row r="1215" spans="2:7">
      <c r="B1215" s="407">
        <v>2407</v>
      </c>
      <c r="C1215" s="407">
        <v>20663</v>
      </c>
      <c r="D1215" s="459">
        <v>45504</v>
      </c>
      <c r="E1215" s="463" t="s">
        <v>14801</v>
      </c>
      <c r="G1215" s="445"/>
    </row>
    <row r="1216" spans="2:7">
      <c r="B1216" s="407">
        <v>2407</v>
      </c>
      <c r="C1216" s="407">
        <v>20662</v>
      </c>
      <c r="D1216" s="459">
        <v>45504</v>
      </c>
      <c r="E1216" s="463" t="s">
        <v>14802</v>
      </c>
      <c r="G1216" s="445"/>
    </row>
    <row r="1217" spans="2:7">
      <c r="B1217" s="407">
        <v>2407</v>
      </c>
      <c r="C1217" s="407">
        <v>20657</v>
      </c>
      <c r="D1217" s="459">
        <v>45504</v>
      </c>
      <c r="E1217" s="463" t="s">
        <v>14803</v>
      </c>
      <c r="G1217" s="445"/>
    </row>
    <row r="1218" spans="2:7">
      <c r="B1218" s="407">
        <v>2407</v>
      </c>
      <c r="C1218" s="407">
        <v>20656</v>
      </c>
      <c r="D1218" s="459">
        <v>45504</v>
      </c>
      <c r="E1218" s="463" t="s">
        <v>14804</v>
      </c>
      <c r="G1218" s="445"/>
    </row>
    <row r="1219" spans="2:7">
      <c r="B1219" s="407">
        <v>2407</v>
      </c>
      <c r="C1219" s="407">
        <v>20654</v>
      </c>
      <c r="D1219" s="459">
        <v>45504</v>
      </c>
      <c r="E1219" s="463" t="s">
        <v>14805</v>
      </c>
      <c r="G1219" s="445"/>
    </row>
    <row r="1220" spans="2:7">
      <c r="B1220" s="407">
        <v>2407</v>
      </c>
      <c r="C1220" s="407">
        <v>20653</v>
      </c>
      <c r="D1220" s="459">
        <v>45504</v>
      </c>
      <c r="E1220" s="463" t="s">
        <v>14806</v>
      </c>
      <c r="G1220" s="445"/>
    </row>
    <row r="1221" spans="2:7">
      <c r="B1221" s="407">
        <v>2407</v>
      </c>
      <c r="C1221" s="407">
        <v>20651</v>
      </c>
      <c r="D1221" s="459">
        <v>45505</v>
      </c>
      <c r="E1221" s="463" t="s">
        <v>14807</v>
      </c>
      <c r="G1221" s="445"/>
    </row>
    <row r="1222" spans="2:7">
      <c r="B1222" s="407">
        <v>2407</v>
      </c>
      <c r="C1222" s="407">
        <v>20650</v>
      </c>
      <c r="D1222" s="459">
        <v>45504</v>
      </c>
      <c r="E1222" s="463" t="s">
        <v>14808</v>
      </c>
      <c r="G1222" s="445"/>
    </row>
    <row r="1223" spans="2:7">
      <c r="B1223" s="407">
        <v>2407</v>
      </c>
      <c r="C1223" s="407">
        <v>20647</v>
      </c>
      <c r="D1223" s="459">
        <v>45504</v>
      </c>
      <c r="E1223" s="463" t="s">
        <v>14809</v>
      </c>
      <c r="G1223" s="445"/>
    </row>
    <row r="1224" spans="2:7">
      <c r="B1224" s="407">
        <v>2407</v>
      </c>
      <c r="C1224" s="407">
        <v>20643</v>
      </c>
      <c r="D1224" s="459">
        <v>45504</v>
      </c>
      <c r="E1224" s="463" t="s">
        <v>14810</v>
      </c>
      <c r="G1224" s="445"/>
    </row>
    <row r="1225" spans="2:7">
      <c r="B1225" s="407">
        <v>2407</v>
      </c>
      <c r="C1225" s="407">
        <v>20642</v>
      </c>
      <c r="D1225" s="459">
        <v>45504</v>
      </c>
      <c r="E1225" s="463" t="s">
        <v>14811</v>
      </c>
      <c r="G1225" s="445"/>
    </row>
    <row r="1226" spans="2:7">
      <c r="B1226" s="407">
        <v>2407</v>
      </c>
      <c r="C1226" s="407">
        <v>20640</v>
      </c>
      <c r="D1226" s="459">
        <v>45504</v>
      </c>
      <c r="E1226" s="463" t="s">
        <v>14812</v>
      </c>
      <c r="G1226" s="445"/>
    </row>
    <row r="1227" spans="2:7">
      <c r="B1227" s="409">
        <v>2407</v>
      </c>
      <c r="C1227" s="409">
        <v>20637</v>
      </c>
      <c r="D1227" s="460">
        <v>45504</v>
      </c>
      <c r="E1227" s="424" t="s">
        <v>14813</v>
      </c>
      <c r="G1227" s="445"/>
    </row>
    <row r="1228" spans="2:7">
      <c r="B1228" s="407">
        <v>2407</v>
      </c>
      <c r="C1228" s="407">
        <v>20635</v>
      </c>
      <c r="D1228" s="459">
        <v>45504</v>
      </c>
      <c r="E1228" s="463" t="s">
        <v>14814</v>
      </c>
      <c r="G1228" s="445"/>
    </row>
    <row r="1229" spans="2:7">
      <c r="B1229" s="407">
        <v>2407</v>
      </c>
      <c r="C1229" s="407">
        <v>20633</v>
      </c>
      <c r="D1229" s="459">
        <v>45504</v>
      </c>
      <c r="E1229" s="463" t="s">
        <v>14815</v>
      </c>
      <c r="G1229" s="445"/>
    </row>
    <row r="1230" spans="2:7">
      <c r="B1230" s="407">
        <v>2407</v>
      </c>
      <c r="C1230" s="407">
        <v>20623</v>
      </c>
      <c r="D1230" s="459">
        <v>45504</v>
      </c>
      <c r="E1230" s="463" t="s">
        <v>14816</v>
      </c>
      <c r="G1230" s="445"/>
    </row>
    <row r="1231" spans="2:7">
      <c r="B1231" s="407">
        <v>2407</v>
      </c>
      <c r="C1231" s="407">
        <v>20622</v>
      </c>
      <c r="D1231" s="459">
        <v>45504</v>
      </c>
      <c r="E1231" s="463" t="s">
        <v>14817</v>
      </c>
      <c r="G1231" s="445"/>
    </row>
    <row r="1232" spans="2:7">
      <c r="B1232" s="407">
        <v>2407</v>
      </c>
      <c r="C1232" s="407">
        <v>20608</v>
      </c>
      <c r="D1232" s="459">
        <v>45504</v>
      </c>
      <c r="E1232" s="463" t="s">
        <v>14818</v>
      </c>
      <c r="G1232" s="445"/>
    </row>
    <row r="1233" spans="2:7">
      <c r="B1233" s="407">
        <v>2407</v>
      </c>
      <c r="C1233" s="407">
        <v>20601</v>
      </c>
      <c r="D1233" s="459">
        <v>45504</v>
      </c>
      <c r="E1233" s="463" t="s">
        <v>14819</v>
      </c>
      <c r="G1233" s="445"/>
    </row>
    <row r="1234" spans="2:7">
      <c r="B1234" s="407">
        <v>2407</v>
      </c>
      <c r="C1234" s="407">
        <v>20600</v>
      </c>
      <c r="D1234" s="459">
        <v>45504</v>
      </c>
      <c r="E1234" s="463" t="s">
        <v>14820</v>
      </c>
      <c r="G1234" s="445"/>
    </row>
    <row r="1235" spans="2:7">
      <c r="B1235" s="407">
        <v>2407</v>
      </c>
      <c r="C1235" s="407">
        <v>20597</v>
      </c>
      <c r="D1235" s="459">
        <v>45504</v>
      </c>
      <c r="E1235" s="463" t="s">
        <v>14821</v>
      </c>
      <c r="G1235" s="445"/>
    </row>
    <row r="1236" spans="2:7">
      <c r="B1236" s="407">
        <v>2407</v>
      </c>
      <c r="C1236" s="407">
        <v>20596</v>
      </c>
      <c r="D1236" s="459">
        <v>45504</v>
      </c>
      <c r="E1236" s="463" t="s">
        <v>14822</v>
      </c>
      <c r="G1236" s="445"/>
    </row>
    <row r="1237" spans="2:7">
      <c r="B1237" s="407">
        <v>2407</v>
      </c>
      <c r="C1237" s="407">
        <v>20595</v>
      </c>
      <c r="D1237" s="459">
        <v>45504</v>
      </c>
      <c r="E1237" s="463" t="s">
        <v>14823</v>
      </c>
      <c r="G1237" s="445"/>
    </row>
    <row r="1238" spans="2:7">
      <c r="B1238" s="407">
        <v>2407</v>
      </c>
      <c r="C1238" s="407">
        <v>20592</v>
      </c>
      <c r="D1238" s="459">
        <v>45504</v>
      </c>
      <c r="E1238" s="463" t="s">
        <v>14824</v>
      </c>
      <c r="G1238" s="445"/>
    </row>
    <row r="1239" spans="2:7">
      <c r="B1239" s="407">
        <v>2407</v>
      </c>
      <c r="C1239" s="407">
        <v>20590</v>
      </c>
      <c r="D1239" s="459">
        <v>45504</v>
      </c>
      <c r="E1239" s="463" t="s">
        <v>14825</v>
      </c>
      <c r="G1239" s="445"/>
    </row>
    <row r="1240" spans="2:7">
      <c r="B1240" s="407">
        <v>2407</v>
      </c>
      <c r="C1240" s="407">
        <v>20589</v>
      </c>
      <c r="D1240" s="459">
        <v>45504</v>
      </c>
      <c r="E1240" s="463" t="s">
        <v>14826</v>
      </c>
      <c r="G1240" s="445"/>
    </row>
    <row r="1241" spans="2:7">
      <c r="B1241" s="407">
        <v>2407</v>
      </c>
      <c r="C1241" s="407">
        <v>20584</v>
      </c>
      <c r="D1241" s="459">
        <v>45504</v>
      </c>
      <c r="E1241" s="463" t="s">
        <v>14827</v>
      </c>
      <c r="G1241" s="445"/>
    </row>
    <row r="1242" spans="2:7">
      <c r="B1242" s="407">
        <v>2407</v>
      </c>
      <c r="C1242" s="407">
        <v>20582</v>
      </c>
      <c r="D1242" s="459">
        <v>45504</v>
      </c>
      <c r="E1242" s="463" t="s">
        <v>14828</v>
      </c>
      <c r="G1242" s="445"/>
    </row>
    <row r="1243" spans="2:7">
      <c r="B1243" s="407">
        <v>2407</v>
      </c>
      <c r="C1243" s="407">
        <v>20581</v>
      </c>
      <c r="D1243" s="459">
        <v>45504</v>
      </c>
      <c r="E1243" s="463" t="s">
        <v>14829</v>
      </c>
      <c r="G1243" s="445"/>
    </row>
    <row r="1244" spans="2:7">
      <c r="B1244" s="407">
        <v>2407</v>
      </c>
      <c r="C1244" s="407">
        <v>20578</v>
      </c>
      <c r="D1244" s="459">
        <v>45504</v>
      </c>
      <c r="E1244" s="463" t="s">
        <v>14830</v>
      </c>
      <c r="G1244" s="445"/>
    </row>
    <row r="1245" spans="2:7">
      <c r="B1245" s="407">
        <v>2407</v>
      </c>
      <c r="C1245" s="407">
        <v>20570</v>
      </c>
      <c r="D1245" s="459">
        <v>45504</v>
      </c>
      <c r="E1245" s="463" t="s">
        <v>14831</v>
      </c>
      <c r="G1245" s="445"/>
    </row>
    <row r="1246" spans="2:7">
      <c r="B1246" s="407">
        <v>2407</v>
      </c>
      <c r="C1246" s="407">
        <v>20566</v>
      </c>
      <c r="D1246" s="459">
        <v>45504</v>
      </c>
      <c r="E1246" s="463" t="s">
        <v>14832</v>
      </c>
      <c r="G1246" s="445"/>
    </row>
    <row r="1247" spans="2:7">
      <c r="B1247" s="407">
        <v>2407</v>
      </c>
      <c r="C1247" s="407">
        <v>20564</v>
      </c>
      <c r="D1247" s="459">
        <v>45504</v>
      </c>
      <c r="E1247" s="463" t="s">
        <v>14833</v>
      </c>
      <c r="G1247" s="445"/>
    </row>
    <row r="1248" spans="2:7">
      <c r="B1248" s="407">
        <v>2407</v>
      </c>
      <c r="C1248" s="407">
        <v>20560</v>
      </c>
      <c r="D1248" s="459">
        <v>45504</v>
      </c>
      <c r="E1248" s="463" t="s">
        <v>14834</v>
      </c>
      <c r="G1248" s="445"/>
    </row>
    <row r="1249" spans="2:7">
      <c r="B1249" s="407">
        <v>2407</v>
      </c>
      <c r="C1249" s="407">
        <v>20557</v>
      </c>
      <c r="D1249" s="459">
        <v>45504</v>
      </c>
      <c r="E1249" s="463" t="s">
        <v>14835</v>
      </c>
      <c r="G1249" s="445"/>
    </row>
    <row r="1250" spans="2:7">
      <c r="B1250" s="407">
        <v>2407</v>
      </c>
      <c r="C1250" s="407">
        <v>20553</v>
      </c>
      <c r="D1250" s="459">
        <v>45504</v>
      </c>
      <c r="E1250" s="463" t="s">
        <v>14836</v>
      </c>
      <c r="G1250" s="445"/>
    </row>
    <row r="1251" spans="2:7">
      <c r="B1251" s="407">
        <v>2407</v>
      </c>
      <c r="C1251" s="407">
        <v>20547</v>
      </c>
      <c r="D1251" s="459">
        <v>45504</v>
      </c>
      <c r="E1251" s="463" t="s">
        <v>14837</v>
      </c>
      <c r="G1251" s="445"/>
    </row>
    <row r="1252" spans="2:7">
      <c r="B1252" s="407">
        <v>2407</v>
      </c>
      <c r="C1252" s="407">
        <v>20542</v>
      </c>
      <c r="D1252" s="459">
        <v>45504</v>
      </c>
      <c r="E1252" s="463" t="s">
        <v>14838</v>
      </c>
      <c r="G1252" s="445"/>
    </row>
    <row r="1253" spans="2:7">
      <c r="B1253" s="409">
        <v>2407</v>
      </c>
      <c r="C1253" s="409">
        <v>20535</v>
      </c>
      <c r="D1253" s="460">
        <v>45504</v>
      </c>
      <c r="E1253" s="424" t="s">
        <v>14839</v>
      </c>
      <c r="G1253" s="445"/>
    </row>
    <row r="1254" spans="2:7">
      <c r="B1254" s="407">
        <v>2407</v>
      </c>
      <c r="C1254" s="407">
        <v>20530</v>
      </c>
      <c r="D1254" s="408">
        <v>45504</v>
      </c>
      <c r="E1254" s="463" t="s">
        <v>14840</v>
      </c>
      <c r="G1254" s="445"/>
    </row>
    <row r="1255" spans="2:7">
      <c r="B1255" s="407">
        <v>2407</v>
      </c>
      <c r="C1255" s="407">
        <v>20524</v>
      </c>
      <c r="D1255" s="408">
        <v>45505</v>
      </c>
      <c r="E1255" s="463" t="s">
        <v>14841</v>
      </c>
      <c r="G1255" s="445"/>
    </row>
    <row r="1256" spans="2:7">
      <c r="B1256" s="407">
        <v>2407</v>
      </c>
      <c r="C1256" s="407">
        <v>20519</v>
      </c>
      <c r="D1256" s="408">
        <v>45503</v>
      </c>
      <c r="E1256" s="463" t="s">
        <v>14842</v>
      </c>
      <c r="G1256" s="445"/>
    </row>
    <row r="1257" spans="2:7">
      <c r="B1257" s="407">
        <v>2407</v>
      </c>
      <c r="C1257" s="407">
        <v>20518</v>
      </c>
      <c r="D1257" s="408">
        <v>45503</v>
      </c>
      <c r="E1257" s="463" t="s">
        <v>14843</v>
      </c>
      <c r="G1257" s="445"/>
    </row>
    <row r="1258" spans="2:7">
      <c r="B1258" s="407">
        <v>2407</v>
      </c>
      <c r="C1258" s="407">
        <v>20515</v>
      </c>
      <c r="D1258" s="408">
        <v>45503</v>
      </c>
      <c r="E1258" s="463" t="s">
        <v>14844</v>
      </c>
      <c r="G1258" s="445"/>
    </row>
    <row r="1259" spans="2:7">
      <c r="B1259" s="407">
        <v>2407</v>
      </c>
      <c r="C1259" s="407">
        <v>20513</v>
      </c>
      <c r="D1259" s="408">
        <v>45503</v>
      </c>
      <c r="E1259" s="463" t="s">
        <v>14845</v>
      </c>
      <c r="G1259" s="445"/>
    </row>
    <row r="1260" spans="2:7">
      <c r="B1260" s="407">
        <v>2407</v>
      </c>
      <c r="C1260" s="407">
        <v>20508</v>
      </c>
      <c r="D1260" s="408">
        <v>45503</v>
      </c>
      <c r="E1260" s="463" t="s">
        <v>14846</v>
      </c>
      <c r="G1260" s="445"/>
    </row>
    <row r="1261" spans="2:7">
      <c r="B1261" s="407">
        <v>2407</v>
      </c>
      <c r="C1261" s="407">
        <v>20506</v>
      </c>
      <c r="D1261" s="408">
        <v>45503</v>
      </c>
      <c r="E1261" s="463" t="s">
        <v>14847</v>
      </c>
      <c r="G1261" s="445"/>
    </row>
    <row r="1262" spans="2:7">
      <c r="B1262" s="407">
        <v>2407</v>
      </c>
      <c r="C1262" s="407">
        <v>20505</v>
      </c>
      <c r="D1262" s="408">
        <v>45503</v>
      </c>
      <c r="E1262" s="463" t="s">
        <v>14848</v>
      </c>
      <c r="G1262" s="445"/>
    </row>
    <row r="1263" spans="2:7">
      <c r="B1263" s="407">
        <v>2407</v>
      </c>
      <c r="C1263" s="407">
        <v>20503</v>
      </c>
      <c r="D1263" s="408">
        <v>45503</v>
      </c>
      <c r="E1263" s="463" t="s">
        <v>14849</v>
      </c>
      <c r="G1263" s="445"/>
    </row>
    <row r="1264" spans="2:7">
      <c r="B1264" s="407">
        <v>2407</v>
      </c>
      <c r="C1264" s="407">
        <v>20502</v>
      </c>
      <c r="D1264" s="408">
        <v>45503</v>
      </c>
      <c r="E1264" s="463" t="s">
        <v>14850</v>
      </c>
      <c r="G1264" s="445"/>
    </row>
    <row r="1265" spans="2:7">
      <c r="B1265" s="407">
        <v>2407</v>
      </c>
      <c r="C1265" s="407">
        <v>20499</v>
      </c>
      <c r="D1265" s="408">
        <v>45503</v>
      </c>
      <c r="E1265" s="463" t="s">
        <v>14851</v>
      </c>
      <c r="G1265" s="445"/>
    </row>
    <row r="1266" spans="2:7">
      <c r="B1266" s="407">
        <v>2407</v>
      </c>
      <c r="C1266" s="407">
        <v>20496</v>
      </c>
      <c r="D1266" s="408">
        <v>45503</v>
      </c>
      <c r="E1266" s="463" t="s">
        <v>14852</v>
      </c>
      <c r="G1266" s="445"/>
    </row>
    <row r="1267" spans="2:7">
      <c r="B1267" s="407">
        <v>2407</v>
      </c>
      <c r="C1267" s="407">
        <v>20495</v>
      </c>
      <c r="D1267" s="408">
        <v>45503</v>
      </c>
      <c r="E1267" s="463" t="s">
        <v>14853</v>
      </c>
      <c r="G1267" s="445"/>
    </row>
    <row r="1268" spans="2:7">
      <c r="B1268" s="407">
        <v>2407</v>
      </c>
      <c r="C1268" s="407">
        <v>20494</v>
      </c>
      <c r="D1268" s="408">
        <v>45503</v>
      </c>
      <c r="E1268" s="463" t="s">
        <v>14854</v>
      </c>
      <c r="G1268" s="445"/>
    </row>
    <row r="1269" spans="2:7">
      <c r="B1269" s="409">
        <v>2407</v>
      </c>
      <c r="C1269" s="409">
        <v>20485</v>
      </c>
      <c r="D1269" s="410">
        <v>45503</v>
      </c>
      <c r="E1269" s="424" t="s">
        <v>14855</v>
      </c>
      <c r="G1269" s="445"/>
    </row>
    <row r="1270" spans="2:7">
      <c r="B1270" s="407">
        <v>2407</v>
      </c>
      <c r="C1270" s="407">
        <v>20475</v>
      </c>
      <c r="D1270" s="408">
        <v>45503</v>
      </c>
      <c r="E1270" s="463" t="s">
        <v>14856</v>
      </c>
      <c r="G1270" s="445"/>
    </row>
    <row r="1271" spans="2:7">
      <c r="B1271" s="407">
        <v>2407</v>
      </c>
      <c r="C1271" s="407">
        <v>20471</v>
      </c>
      <c r="D1271" s="408">
        <v>45503</v>
      </c>
      <c r="E1271" s="463" t="s">
        <v>14857</v>
      </c>
      <c r="G1271" s="445"/>
    </row>
    <row r="1272" spans="2:7">
      <c r="B1272" s="407">
        <v>2407</v>
      </c>
      <c r="C1272" s="407">
        <v>20462</v>
      </c>
      <c r="D1272" s="408">
        <v>45503</v>
      </c>
      <c r="E1272" s="463" t="s">
        <v>14858</v>
      </c>
      <c r="G1272" s="445"/>
    </row>
    <row r="1273" spans="2:7">
      <c r="B1273" s="407">
        <v>2407</v>
      </c>
      <c r="C1273" s="407">
        <v>20461</v>
      </c>
      <c r="D1273" s="408">
        <v>45505</v>
      </c>
      <c r="E1273" s="463" t="s">
        <v>14859</v>
      </c>
      <c r="G1273" s="445"/>
    </row>
    <row r="1274" spans="2:7">
      <c r="B1274" s="407">
        <v>2407</v>
      </c>
      <c r="C1274" s="407">
        <v>20455</v>
      </c>
      <c r="D1274" s="408">
        <v>45503</v>
      </c>
      <c r="E1274" s="463" t="s">
        <v>14860</v>
      </c>
      <c r="G1274" s="445"/>
    </row>
    <row r="1275" spans="2:7">
      <c r="B1275" s="407">
        <v>2407</v>
      </c>
      <c r="C1275" s="407">
        <v>20454</v>
      </c>
      <c r="D1275" s="408">
        <v>45503</v>
      </c>
      <c r="E1275" s="463" t="s">
        <v>14861</v>
      </c>
      <c r="G1275" s="445"/>
    </row>
    <row r="1276" spans="2:7">
      <c r="B1276" s="407">
        <v>2407</v>
      </c>
      <c r="C1276" s="407">
        <v>20447</v>
      </c>
      <c r="D1276" s="408">
        <v>45503</v>
      </c>
      <c r="E1276" s="463" t="s">
        <v>14862</v>
      </c>
      <c r="G1276" s="445"/>
    </row>
    <row r="1277" spans="2:7">
      <c r="B1277" s="407">
        <v>2407</v>
      </c>
      <c r="D1277" s="408">
        <v>45503</v>
      </c>
      <c r="E1277" s="463"/>
      <c r="G1277" s="445"/>
    </row>
    <row r="1278" spans="2:7">
      <c r="B1278" s="407">
        <v>2407</v>
      </c>
      <c r="D1278" s="408">
        <v>45503</v>
      </c>
      <c r="E1278" s="463"/>
      <c r="G1278" s="445"/>
    </row>
    <row r="1279" spans="2:7">
      <c r="B1279" s="407">
        <v>2407</v>
      </c>
      <c r="D1279" s="408">
        <v>45503</v>
      </c>
      <c r="E1279" s="463"/>
      <c r="G1279" s="445"/>
    </row>
    <row r="1280" spans="2:7">
      <c r="B1280" s="407">
        <v>2407</v>
      </c>
      <c r="D1280" s="408">
        <v>45503</v>
      </c>
      <c r="E1280" s="463"/>
      <c r="G1280" s="445"/>
    </row>
    <row r="1281" spans="1:7">
      <c r="B1281" s="407">
        <v>2407</v>
      </c>
      <c r="D1281" s="408">
        <v>45503</v>
      </c>
      <c r="E1281" s="463"/>
      <c r="G1281" s="445"/>
    </row>
    <row r="1282" spans="1:7">
      <c r="B1282" s="407">
        <v>2407</v>
      </c>
      <c r="C1282" s="407">
        <v>7094</v>
      </c>
      <c r="D1282" s="408">
        <v>45483</v>
      </c>
      <c r="E1282" s="450" t="s">
        <v>14091</v>
      </c>
      <c r="G1282" s="445"/>
    </row>
    <row r="1283" spans="1:7">
      <c r="B1283" s="407">
        <v>2407</v>
      </c>
      <c r="C1283" s="407">
        <v>7093</v>
      </c>
      <c r="D1283" s="408">
        <v>45483</v>
      </c>
      <c r="E1283" s="450" t="s">
        <v>14092</v>
      </c>
      <c r="G1283" s="445"/>
    </row>
    <row r="1284" spans="1:7">
      <c r="B1284" s="407">
        <v>2407</v>
      </c>
      <c r="C1284" s="407">
        <v>7092</v>
      </c>
      <c r="D1284" s="408">
        <v>45483</v>
      </c>
      <c r="E1284" s="450" t="s">
        <v>14093</v>
      </c>
      <c r="G1284" s="445"/>
    </row>
    <row r="1285" spans="1:7">
      <c r="B1285" s="407">
        <v>2407</v>
      </c>
      <c r="C1285" s="407">
        <v>7090</v>
      </c>
      <c r="D1285" s="408">
        <v>45483</v>
      </c>
      <c r="E1285" s="450" t="s">
        <v>14094</v>
      </c>
      <c r="G1285" s="445"/>
    </row>
    <row r="1286" spans="1:7">
      <c r="A1286" s="406">
        <f t="shared" ref="A1286:A1294" si="2">C1286-C1287</f>
        <v>2</v>
      </c>
      <c r="B1286" s="407">
        <v>2407</v>
      </c>
      <c r="C1286" s="407">
        <v>7089</v>
      </c>
      <c r="D1286" s="408">
        <v>45483</v>
      </c>
      <c r="E1286" s="450" t="s">
        <v>14095</v>
      </c>
      <c r="G1286" s="445"/>
    </row>
    <row r="1287" spans="1:7">
      <c r="A1287" s="406">
        <f t="shared" si="2"/>
        <v>1</v>
      </c>
      <c r="B1287" s="407">
        <v>2407</v>
      </c>
      <c r="C1287" s="407">
        <v>7087</v>
      </c>
      <c r="D1287" s="408">
        <v>45483</v>
      </c>
      <c r="E1287" s="450" t="s">
        <v>14096</v>
      </c>
      <c r="G1287" s="445"/>
    </row>
    <row r="1288" spans="1:7">
      <c r="A1288" s="406">
        <f t="shared" si="2"/>
        <v>4</v>
      </c>
      <c r="B1288" s="407">
        <v>2407</v>
      </c>
      <c r="C1288" s="407">
        <v>7086</v>
      </c>
      <c r="D1288" s="408">
        <v>45483</v>
      </c>
      <c r="E1288" s="450" t="s">
        <v>14097</v>
      </c>
      <c r="G1288" s="445"/>
    </row>
    <row r="1289" spans="1:7">
      <c r="A1289" s="406">
        <f t="shared" si="2"/>
        <v>2</v>
      </c>
      <c r="B1289" s="407">
        <v>2407</v>
      </c>
      <c r="C1289" s="407">
        <v>7082</v>
      </c>
      <c r="D1289" s="408">
        <v>45483</v>
      </c>
      <c r="E1289" s="450" t="s">
        <v>14098</v>
      </c>
      <c r="G1289" s="445"/>
    </row>
    <row r="1290" spans="1:7">
      <c r="A1290" s="406">
        <f t="shared" si="2"/>
        <v>2</v>
      </c>
      <c r="B1290" s="407">
        <v>2407</v>
      </c>
      <c r="C1290" s="407">
        <v>7080</v>
      </c>
      <c r="D1290" s="408">
        <v>45483</v>
      </c>
      <c r="E1290" s="451" t="s">
        <v>14099</v>
      </c>
      <c r="G1290" s="445"/>
    </row>
    <row r="1291" spans="1:7">
      <c r="A1291" s="406">
        <f t="shared" si="2"/>
        <v>1</v>
      </c>
      <c r="B1291" s="407">
        <v>2407</v>
      </c>
      <c r="C1291" s="407">
        <v>7078</v>
      </c>
      <c r="D1291" s="408">
        <v>45483</v>
      </c>
      <c r="E1291" s="451" t="s">
        <v>14100</v>
      </c>
      <c r="G1291" s="445"/>
    </row>
    <row r="1292" spans="1:7">
      <c r="A1292" s="406">
        <f t="shared" si="2"/>
        <v>1</v>
      </c>
      <c r="B1292" s="407">
        <v>2407</v>
      </c>
      <c r="C1292" s="407">
        <v>7077</v>
      </c>
      <c r="D1292" s="408">
        <v>45483</v>
      </c>
      <c r="E1292" s="451" t="s">
        <v>14101</v>
      </c>
      <c r="G1292" s="445"/>
    </row>
    <row r="1293" spans="1:7">
      <c r="A1293" s="406">
        <f t="shared" si="2"/>
        <v>2</v>
      </c>
      <c r="B1293" s="407">
        <v>2407</v>
      </c>
      <c r="C1293" s="407">
        <v>7076</v>
      </c>
      <c r="D1293" s="408">
        <v>45483</v>
      </c>
      <c r="E1293" s="451" t="s">
        <v>14102</v>
      </c>
      <c r="G1293" s="445"/>
    </row>
    <row r="1294" spans="1:7">
      <c r="A1294" s="406">
        <f t="shared" si="2"/>
        <v>3</v>
      </c>
      <c r="B1294" s="407">
        <v>2407</v>
      </c>
      <c r="C1294" s="407">
        <v>7074</v>
      </c>
      <c r="D1294" s="408">
        <v>45483</v>
      </c>
      <c r="E1294" s="451" t="s">
        <v>14103</v>
      </c>
      <c r="G1294" s="445"/>
    </row>
    <row r="1295" spans="1:7">
      <c r="A1295" s="406">
        <f t="shared" ref="A1295:A1311" si="3">C1295-C1296</f>
        <v>7</v>
      </c>
      <c r="B1295" s="407">
        <v>2407</v>
      </c>
      <c r="C1295" s="407">
        <v>7071</v>
      </c>
      <c r="D1295" s="408">
        <v>45483</v>
      </c>
      <c r="E1295" s="451" t="s">
        <v>14104</v>
      </c>
      <c r="G1295" s="445"/>
    </row>
    <row r="1296" spans="1:7">
      <c r="A1296" s="406">
        <f t="shared" si="3"/>
        <v>3</v>
      </c>
      <c r="B1296" s="407">
        <v>2407</v>
      </c>
      <c r="C1296" s="407">
        <v>7064</v>
      </c>
      <c r="D1296" s="408">
        <v>45483</v>
      </c>
      <c r="E1296" s="451" t="s">
        <v>14105</v>
      </c>
      <c r="G1296" s="445"/>
    </row>
    <row r="1297" spans="1:7">
      <c r="A1297" s="406">
        <f t="shared" si="3"/>
        <v>2</v>
      </c>
      <c r="B1297" s="407">
        <v>2407</v>
      </c>
      <c r="C1297" s="407">
        <v>7061</v>
      </c>
      <c r="D1297" s="408">
        <v>45483</v>
      </c>
      <c r="E1297" s="451" t="s">
        <v>14106</v>
      </c>
      <c r="G1297" s="445"/>
    </row>
    <row r="1298" spans="1:7">
      <c r="A1298" s="406">
        <f t="shared" si="3"/>
        <v>3</v>
      </c>
      <c r="B1298" s="407">
        <v>2407</v>
      </c>
      <c r="C1298" s="407">
        <v>7059</v>
      </c>
      <c r="D1298" s="408">
        <v>45483</v>
      </c>
      <c r="E1298" s="451" t="s">
        <v>14107</v>
      </c>
      <c r="G1298" s="445"/>
    </row>
    <row r="1299" spans="1:7">
      <c r="A1299" s="406">
        <f t="shared" si="3"/>
        <v>3</v>
      </c>
      <c r="B1299" s="407">
        <v>2407</v>
      </c>
      <c r="C1299" s="407">
        <v>7056</v>
      </c>
      <c r="D1299" s="408">
        <v>45483</v>
      </c>
      <c r="E1299" s="451" t="s">
        <v>14108</v>
      </c>
      <c r="G1299" s="445"/>
    </row>
    <row r="1300" spans="1:7">
      <c r="A1300" s="406">
        <f t="shared" si="3"/>
        <v>1</v>
      </c>
      <c r="B1300" s="407">
        <v>2407</v>
      </c>
      <c r="C1300" s="407">
        <v>7053</v>
      </c>
      <c r="D1300" s="408">
        <v>45483</v>
      </c>
      <c r="E1300" s="451" t="s">
        <v>14109</v>
      </c>
      <c r="G1300" s="445"/>
    </row>
    <row r="1301" spans="1:7">
      <c r="A1301" s="406">
        <f t="shared" si="3"/>
        <v>6</v>
      </c>
      <c r="B1301" s="407">
        <v>2407</v>
      </c>
      <c r="C1301" s="407">
        <v>7052</v>
      </c>
      <c r="D1301" s="408">
        <v>45483</v>
      </c>
      <c r="E1301" s="451" t="s">
        <v>14110</v>
      </c>
      <c r="G1301" s="445"/>
    </row>
    <row r="1302" spans="1:7">
      <c r="A1302" s="406">
        <f t="shared" si="3"/>
        <v>4</v>
      </c>
      <c r="B1302" s="407">
        <v>2407</v>
      </c>
      <c r="C1302" s="407">
        <v>7046</v>
      </c>
      <c r="D1302" s="408">
        <v>45483</v>
      </c>
      <c r="E1302" s="451" t="s">
        <v>14111</v>
      </c>
      <c r="G1302" s="445"/>
    </row>
    <row r="1303" spans="1:7">
      <c r="A1303" s="406">
        <f t="shared" si="3"/>
        <v>7</v>
      </c>
      <c r="B1303" s="407">
        <v>2407</v>
      </c>
      <c r="C1303" s="407">
        <v>7042</v>
      </c>
      <c r="D1303" s="408">
        <v>45483</v>
      </c>
      <c r="E1303" s="451" t="s">
        <v>14112</v>
      </c>
      <c r="G1303" s="445"/>
    </row>
    <row r="1304" spans="1:7">
      <c r="A1304" s="406">
        <f t="shared" si="3"/>
        <v>11</v>
      </c>
      <c r="B1304" s="407">
        <v>2407</v>
      </c>
      <c r="C1304" s="407">
        <v>7035</v>
      </c>
      <c r="D1304" s="408">
        <v>45483</v>
      </c>
      <c r="E1304" s="451" t="s">
        <v>14113</v>
      </c>
      <c r="G1304" s="445"/>
    </row>
    <row r="1305" spans="1:7">
      <c r="A1305" s="406">
        <f t="shared" si="3"/>
        <v>5</v>
      </c>
      <c r="B1305" s="407">
        <v>2407</v>
      </c>
      <c r="C1305" s="407">
        <v>7024</v>
      </c>
      <c r="D1305" s="408">
        <v>45483</v>
      </c>
      <c r="E1305" s="451" t="s">
        <v>14114</v>
      </c>
      <c r="G1305" s="445"/>
    </row>
    <row r="1306" spans="1:7">
      <c r="A1306" s="406">
        <f t="shared" si="3"/>
        <v>1</v>
      </c>
      <c r="B1306" s="407">
        <v>2407</v>
      </c>
      <c r="C1306" s="407">
        <v>7019</v>
      </c>
      <c r="D1306" s="408">
        <v>45483</v>
      </c>
      <c r="E1306" s="451" t="s">
        <v>14115</v>
      </c>
      <c r="G1306" s="445"/>
    </row>
    <row r="1307" spans="1:7">
      <c r="A1307" s="406">
        <f t="shared" si="3"/>
        <v>3</v>
      </c>
      <c r="B1307" s="407">
        <v>2407</v>
      </c>
      <c r="C1307" s="407">
        <v>7018</v>
      </c>
      <c r="D1307" s="408">
        <v>45483</v>
      </c>
      <c r="E1307" s="451" t="s">
        <v>14116</v>
      </c>
      <c r="G1307" s="445"/>
    </row>
    <row r="1308" spans="1:7">
      <c r="A1308" s="406">
        <f t="shared" si="3"/>
        <v>1</v>
      </c>
      <c r="B1308" s="407">
        <v>2407</v>
      </c>
      <c r="C1308" s="407">
        <v>7015</v>
      </c>
      <c r="D1308" s="408">
        <v>45483</v>
      </c>
      <c r="E1308" s="451" t="s">
        <v>14117</v>
      </c>
      <c r="G1308" s="445"/>
    </row>
    <row r="1309" spans="1:7">
      <c r="A1309" s="406">
        <f t="shared" si="3"/>
        <v>3</v>
      </c>
      <c r="B1309" s="407">
        <v>2407</v>
      </c>
      <c r="C1309" s="407">
        <v>7014</v>
      </c>
      <c r="D1309" s="408">
        <v>45483</v>
      </c>
      <c r="E1309" s="451" t="s">
        <v>14118</v>
      </c>
      <c r="G1309" s="445"/>
    </row>
    <row r="1310" spans="1:7">
      <c r="A1310" s="406">
        <f t="shared" si="3"/>
        <v>2</v>
      </c>
      <c r="B1310" s="407">
        <v>2407</v>
      </c>
      <c r="C1310" s="407">
        <v>7011</v>
      </c>
      <c r="D1310" s="408">
        <v>45483</v>
      </c>
      <c r="E1310" s="451" t="s">
        <v>14119</v>
      </c>
      <c r="G1310" s="445"/>
    </row>
    <row r="1311" spans="1:7">
      <c r="A1311" s="406">
        <f t="shared" si="3"/>
        <v>9</v>
      </c>
      <c r="B1311" s="407">
        <v>2407</v>
      </c>
      <c r="C1311" s="407">
        <v>7009</v>
      </c>
      <c r="D1311" s="408">
        <v>45483</v>
      </c>
      <c r="E1311" s="451" t="s">
        <v>14120</v>
      </c>
      <c r="G1311" s="445"/>
    </row>
    <row r="1312" spans="1:7">
      <c r="B1312" s="407">
        <v>2407</v>
      </c>
      <c r="C1312" s="407">
        <v>7000</v>
      </c>
      <c r="D1312" s="408">
        <v>45483</v>
      </c>
      <c r="E1312" s="451" t="s">
        <v>14121</v>
      </c>
      <c r="G1312" s="445"/>
    </row>
    <row r="1313" spans="2:8">
      <c r="B1313" s="407">
        <v>2407</v>
      </c>
      <c r="D1313" s="408">
        <v>45483</v>
      </c>
      <c r="G1313" s="445"/>
    </row>
    <row r="1314" spans="2:8">
      <c r="B1314" s="407">
        <v>2407</v>
      </c>
      <c r="D1314" s="408">
        <v>45483</v>
      </c>
      <c r="G1314" s="445"/>
    </row>
    <row r="1315" spans="2:8">
      <c r="B1315" s="407">
        <v>2407</v>
      </c>
      <c r="D1315" s="408">
        <v>45483</v>
      </c>
      <c r="G1315" s="445"/>
    </row>
    <row r="1316" spans="2:8">
      <c r="B1316" s="407">
        <v>2407</v>
      </c>
      <c r="D1316" s="408">
        <v>45483</v>
      </c>
      <c r="G1316" s="445"/>
    </row>
    <row r="1317" spans="2:8">
      <c r="B1317" s="407">
        <v>2407</v>
      </c>
      <c r="D1317" s="408">
        <v>45483</v>
      </c>
      <c r="G1317" s="445"/>
    </row>
    <row r="1318" spans="2:8">
      <c r="B1318" s="407">
        <v>2407</v>
      </c>
      <c r="C1318" s="407">
        <v>6686</v>
      </c>
      <c r="D1318" s="408">
        <v>45483</v>
      </c>
      <c r="E1318" s="451" t="s">
        <v>14124</v>
      </c>
      <c r="G1318" s="445"/>
    </row>
    <row r="1319" spans="2:8">
      <c r="B1319" s="407">
        <v>2407</v>
      </c>
      <c r="C1319" s="407">
        <v>6677</v>
      </c>
      <c r="D1319" s="408">
        <v>45483</v>
      </c>
      <c r="E1319" s="451" t="s">
        <v>14123</v>
      </c>
      <c r="G1319" s="445"/>
    </row>
    <row r="1320" spans="2:8">
      <c r="B1320" s="407">
        <v>2407</v>
      </c>
      <c r="C1320" s="407">
        <v>6673</v>
      </c>
      <c r="D1320" s="408">
        <v>45483</v>
      </c>
      <c r="E1320" s="451" t="s">
        <v>14122</v>
      </c>
      <c r="G1320" s="445"/>
    </row>
    <row r="1321" spans="2:8">
      <c r="B1321" s="407">
        <v>2407</v>
      </c>
      <c r="C1321" s="407">
        <v>3321</v>
      </c>
      <c r="D1321" s="408">
        <v>45477</v>
      </c>
      <c r="E1321" s="438" t="s">
        <v>13274</v>
      </c>
      <c r="F1321" s="406">
        <v>3</v>
      </c>
      <c r="G1321" s="445" t="s">
        <v>13932</v>
      </c>
      <c r="H1321" s="445" t="s">
        <v>13919</v>
      </c>
    </row>
    <row r="1322" spans="2:8">
      <c r="B1322" s="407">
        <v>2407</v>
      </c>
      <c r="C1322" s="407">
        <v>3320</v>
      </c>
      <c r="D1322" s="408">
        <v>45477</v>
      </c>
      <c r="E1322" s="438" t="s">
        <v>13275</v>
      </c>
      <c r="F1322" s="406">
        <v>7</v>
      </c>
      <c r="G1322" s="445" t="s">
        <v>13931</v>
      </c>
      <c r="H1322" s="445" t="s">
        <v>13922</v>
      </c>
    </row>
    <row r="1323" spans="2:8">
      <c r="B1323" s="407">
        <v>2407</v>
      </c>
      <c r="C1323" s="407">
        <v>3314</v>
      </c>
      <c r="D1323" s="408">
        <v>45477</v>
      </c>
      <c r="E1323" s="438" t="s">
        <v>13276</v>
      </c>
      <c r="F1323" s="406">
        <v>6</v>
      </c>
      <c r="G1323" s="445" t="s">
        <v>13923</v>
      </c>
      <c r="H1323" s="445" t="s">
        <v>13924</v>
      </c>
    </row>
    <row r="1324" spans="2:8">
      <c r="B1324" s="407">
        <v>2407</v>
      </c>
      <c r="C1324" s="407">
        <v>3311</v>
      </c>
      <c r="D1324" s="408">
        <v>45477</v>
      </c>
      <c r="E1324" s="438" t="s">
        <v>13277</v>
      </c>
      <c r="F1324" s="406">
        <v>3</v>
      </c>
      <c r="G1324" s="445" t="s">
        <v>13925</v>
      </c>
      <c r="H1324" s="445" t="s">
        <v>13926</v>
      </c>
    </row>
    <row r="1325" spans="2:8">
      <c r="B1325" s="407">
        <v>2407</v>
      </c>
      <c r="C1325" s="407">
        <v>3310</v>
      </c>
      <c r="D1325" s="408">
        <v>45477</v>
      </c>
      <c r="E1325" s="438" t="s">
        <v>13278</v>
      </c>
      <c r="F1325" s="406">
        <v>5</v>
      </c>
      <c r="G1325" s="445" t="s">
        <v>13928</v>
      </c>
      <c r="H1325" s="445" t="s">
        <v>13927</v>
      </c>
    </row>
    <row r="1326" spans="2:8">
      <c r="B1326" s="407">
        <v>2407</v>
      </c>
      <c r="C1326" s="407">
        <v>3308</v>
      </c>
      <c r="D1326" s="408">
        <v>45477</v>
      </c>
      <c r="E1326" s="438" t="s">
        <v>13279</v>
      </c>
      <c r="F1326" s="406">
        <v>6</v>
      </c>
      <c r="G1326" s="445" t="s">
        <v>13930</v>
      </c>
      <c r="H1326" s="445" t="s">
        <v>13929</v>
      </c>
    </row>
    <row r="1327" spans="2:8">
      <c r="B1327" s="409">
        <v>2407</v>
      </c>
      <c r="C1327" s="409">
        <v>3307</v>
      </c>
      <c r="D1327" s="410">
        <v>45477</v>
      </c>
      <c r="E1327" s="49" t="s">
        <v>13280</v>
      </c>
      <c r="F1327" s="49">
        <v>8</v>
      </c>
      <c r="G1327" s="49" t="s">
        <v>13934</v>
      </c>
      <c r="H1327" s="49" t="s">
        <v>13933</v>
      </c>
    </row>
    <row r="1328" spans="2:8">
      <c r="B1328" s="407">
        <v>2407</v>
      </c>
      <c r="C1328" s="407">
        <v>3302</v>
      </c>
      <c r="D1328" s="408">
        <v>45477</v>
      </c>
      <c r="E1328" s="439" t="s">
        <v>13281</v>
      </c>
      <c r="F1328" s="406">
        <v>3</v>
      </c>
      <c r="G1328" s="445" t="s">
        <v>13935</v>
      </c>
      <c r="H1328" s="445" t="s">
        <v>13936</v>
      </c>
    </row>
    <row r="1329" spans="2:8">
      <c r="B1329" s="447">
        <v>2407</v>
      </c>
      <c r="C1329" s="447">
        <v>3300</v>
      </c>
      <c r="D1329" s="446">
        <v>45477</v>
      </c>
      <c r="E1329" s="445" t="s">
        <v>13282</v>
      </c>
      <c r="F1329" s="406">
        <v>7</v>
      </c>
      <c r="G1329" s="445" t="s">
        <v>1088</v>
      </c>
      <c r="H1329" s="445" t="s">
        <v>13937</v>
      </c>
    </row>
    <row r="1330" spans="2:8">
      <c r="B1330" s="447">
        <v>2407</v>
      </c>
      <c r="C1330" s="447">
        <v>3297</v>
      </c>
      <c r="D1330" s="446">
        <v>45477</v>
      </c>
      <c r="E1330" s="445" t="s">
        <v>13283</v>
      </c>
      <c r="F1330" s="406">
        <v>7</v>
      </c>
      <c r="G1330" s="445" t="s">
        <v>13938</v>
      </c>
      <c r="H1330" s="445" t="s">
        <v>13939</v>
      </c>
    </row>
    <row r="1331" spans="2:8">
      <c r="B1331" s="407">
        <v>2407</v>
      </c>
      <c r="C1331" s="407">
        <v>3292</v>
      </c>
      <c r="D1331" s="408">
        <v>45477</v>
      </c>
      <c r="E1331" s="438" t="s">
        <v>13284</v>
      </c>
    </row>
    <row r="1332" spans="2:8">
      <c r="B1332" s="407">
        <v>2407</v>
      </c>
      <c r="C1332" s="407">
        <v>3291</v>
      </c>
      <c r="D1332" s="408">
        <v>45477</v>
      </c>
      <c r="E1332" s="439" t="s">
        <v>13285</v>
      </c>
    </row>
    <row r="1333" spans="2:8">
      <c r="B1333" s="407">
        <v>2407</v>
      </c>
      <c r="C1333" s="407">
        <v>3286</v>
      </c>
      <c r="D1333" s="408">
        <v>45477</v>
      </c>
      <c r="E1333" s="439" t="s">
        <v>13286</v>
      </c>
    </row>
    <row r="1334" spans="2:8">
      <c r="B1334" s="407">
        <v>2407</v>
      </c>
      <c r="C1334" s="407">
        <v>3282</v>
      </c>
      <c r="D1334" s="408">
        <v>45477</v>
      </c>
      <c r="E1334" s="439" t="s">
        <v>13287</v>
      </c>
    </row>
    <row r="1335" spans="2:8">
      <c r="B1335" s="407">
        <v>2407</v>
      </c>
      <c r="C1335" s="407">
        <v>3277</v>
      </c>
      <c r="D1335" s="408">
        <v>45477</v>
      </c>
      <c r="E1335" s="439" t="s">
        <v>13288</v>
      </c>
    </row>
    <row r="1336" spans="2:8">
      <c r="B1336" s="407">
        <v>2407</v>
      </c>
      <c r="C1336" s="407">
        <v>3268</v>
      </c>
      <c r="D1336" s="408">
        <v>45477</v>
      </c>
      <c r="E1336" s="439" t="s">
        <v>13289</v>
      </c>
    </row>
    <row r="1337" spans="2:8">
      <c r="B1337" s="407">
        <v>2407</v>
      </c>
      <c r="C1337" s="407">
        <v>3263</v>
      </c>
      <c r="D1337" s="408">
        <v>45477</v>
      </c>
      <c r="E1337" s="439" t="s">
        <v>13290</v>
      </c>
    </row>
    <row r="1338" spans="2:8">
      <c r="B1338" s="407">
        <v>2407</v>
      </c>
      <c r="C1338" s="407">
        <v>3257</v>
      </c>
      <c r="D1338" s="408">
        <v>45477</v>
      </c>
      <c r="E1338" s="439" t="s">
        <v>13291</v>
      </c>
    </row>
    <row r="1339" spans="2:8">
      <c r="B1339" s="407">
        <v>2407</v>
      </c>
      <c r="C1339" s="407">
        <v>3253</v>
      </c>
      <c r="D1339" s="408">
        <v>45477</v>
      </c>
      <c r="E1339" s="439" t="s">
        <v>13292</v>
      </c>
    </row>
    <row r="1340" spans="2:8">
      <c r="B1340" s="407">
        <v>2407</v>
      </c>
      <c r="C1340" s="407">
        <v>3251</v>
      </c>
      <c r="D1340" s="408">
        <v>45477</v>
      </c>
      <c r="E1340" s="439" t="s">
        <v>13293</v>
      </c>
    </row>
    <row r="1341" spans="2:8">
      <c r="B1341" s="407">
        <v>2407</v>
      </c>
      <c r="C1341" s="407">
        <v>3245</v>
      </c>
      <c r="D1341" s="408">
        <v>45477</v>
      </c>
      <c r="E1341" s="439" t="s">
        <v>13294</v>
      </c>
    </row>
    <row r="1342" spans="2:8">
      <c r="B1342" s="407">
        <v>2407</v>
      </c>
      <c r="C1342" s="407">
        <v>3243</v>
      </c>
      <c r="D1342" s="408">
        <v>45477</v>
      </c>
      <c r="E1342" s="439" t="s">
        <v>13295</v>
      </c>
    </row>
    <row r="1343" spans="2:8">
      <c r="B1343" s="407">
        <v>2407</v>
      </c>
      <c r="C1343" s="407">
        <v>3240</v>
      </c>
      <c r="D1343" s="408">
        <v>45477</v>
      </c>
      <c r="E1343" s="439" t="s">
        <v>13296</v>
      </c>
    </row>
    <row r="1344" spans="2:8">
      <c r="B1344" s="407">
        <v>2407</v>
      </c>
      <c r="C1344" s="407">
        <v>3239</v>
      </c>
      <c r="D1344" s="408">
        <v>45477</v>
      </c>
      <c r="E1344" s="439" t="s">
        <v>13297</v>
      </c>
    </row>
    <row r="1345" spans="2:5">
      <c r="B1345" s="407">
        <v>2407</v>
      </c>
      <c r="C1345" s="407">
        <v>3236</v>
      </c>
      <c r="D1345" s="408">
        <v>45477</v>
      </c>
      <c r="E1345" s="439" t="s">
        <v>13298</v>
      </c>
    </row>
    <row r="1346" spans="2:5">
      <c r="B1346" s="407">
        <v>2407</v>
      </c>
      <c r="C1346" s="407">
        <v>3234</v>
      </c>
      <c r="D1346" s="408">
        <v>45477</v>
      </c>
      <c r="E1346" s="439" t="s">
        <v>13299</v>
      </c>
    </row>
    <row r="1347" spans="2:5">
      <c r="B1347" s="407">
        <v>2407</v>
      </c>
      <c r="C1347" s="407">
        <v>3232</v>
      </c>
      <c r="D1347" s="408">
        <v>45477</v>
      </c>
      <c r="E1347" s="439" t="s">
        <v>13300</v>
      </c>
    </row>
    <row r="1348" spans="2:5">
      <c r="B1348" s="407">
        <v>2407</v>
      </c>
      <c r="C1348" s="407">
        <v>3227</v>
      </c>
      <c r="D1348" s="408">
        <v>45477</v>
      </c>
      <c r="E1348" s="439" t="s">
        <v>13301</v>
      </c>
    </row>
    <row r="1349" spans="2:5">
      <c r="B1349" s="407">
        <v>2407</v>
      </c>
      <c r="C1349" s="407">
        <v>3218</v>
      </c>
      <c r="D1349" s="408">
        <v>45477</v>
      </c>
      <c r="E1349" s="439" t="s">
        <v>13302</v>
      </c>
    </row>
    <row r="1350" spans="2:5">
      <c r="B1350" s="407">
        <v>2407</v>
      </c>
      <c r="C1350" s="407">
        <v>3217</v>
      </c>
      <c r="D1350" s="408">
        <v>45477</v>
      </c>
      <c r="E1350" s="439" t="s">
        <v>13303</v>
      </c>
    </row>
    <row r="1351" spans="2:5">
      <c r="B1351" s="407">
        <v>2407</v>
      </c>
      <c r="C1351" s="407">
        <v>3216</v>
      </c>
      <c r="D1351" s="408">
        <v>45477</v>
      </c>
      <c r="E1351" s="439" t="s">
        <v>13304</v>
      </c>
    </row>
    <row r="1352" spans="2:5">
      <c r="B1352" s="407">
        <v>2407</v>
      </c>
      <c r="C1352" s="407">
        <v>3211</v>
      </c>
      <c r="D1352" s="408">
        <v>45477</v>
      </c>
      <c r="E1352" s="439" t="s">
        <v>13305</v>
      </c>
    </row>
    <row r="1353" spans="2:5">
      <c r="B1353" s="407">
        <v>2407</v>
      </c>
      <c r="C1353" s="407">
        <v>3210</v>
      </c>
      <c r="D1353" s="408">
        <v>45477</v>
      </c>
      <c r="E1353" s="439" t="s">
        <v>13306</v>
      </c>
    </row>
    <row r="1354" spans="2:5">
      <c r="B1354" s="407">
        <v>2407</v>
      </c>
      <c r="C1354" s="407">
        <v>3205</v>
      </c>
      <c r="D1354" s="408">
        <v>45477</v>
      </c>
      <c r="E1354" s="439" t="s">
        <v>13307</v>
      </c>
    </row>
    <row r="1355" spans="2:5">
      <c r="B1355" s="407">
        <v>2407</v>
      </c>
      <c r="C1355" s="407">
        <v>3204</v>
      </c>
      <c r="D1355" s="408">
        <v>45477</v>
      </c>
      <c r="E1355" s="439" t="s">
        <v>13308</v>
      </c>
    </row>
    <row r="1356" spans="2:5">
      <c r="B1356" s="407">
        <v>2407</v>
      </c>
      <c r="C1356" s="407">
        <v>3203</v>
      </c>
      <c r="D1356" s="408">
        <v>45477</v>
      </c>
      <c r="E1356" s="439" t="s">
        <v>13309</v>
      </c>
    </row>
    <row r="1357" spans="2:5">
      <c r="B1357" s="407">
        <v>2407</v>
      </c>
      <c r="C1357" s="407">
        <v>3200</v>
      </c>
      <c r="D1357" s="408">
        <v>45477</v>
      </c>
      <c r="E1357" s="439" t="s">
        <v>13310</v>
      </c>
    </row>
    <row r="1358" spans="2:5">
      <c r="B1358" s="407">
        <v>2407</v>
      </c>
      <c r="C1358" s="407">
        <v>3197</v>
      </c>
      <c r="D1358" s="408">
        <v>45477</v>
      </c>
      <c r="E1358" s="439" t="s">
        <v>13311</v>
      </c>
    </row>
    <row r="1359" spans="2:5">
      <c r="B1359" s="407">
        <v>2407</v>
      </c>
      <c r="C1359" s="407">
        <v>3194</v>
      </c>
      <c r="D1359" s="408">
        <v>45477</v>
      </c>
      <c r="E1359" s="439" t="s">
        <v>13312</v>
      </c>
    </row>
    <row r="1360" spans="2:5">
      <c r="B1360" s="407">
        <v>2407</v>
      </c>
      <c r="C1360" s="407">
        <v>3192</v>
      </c>
      <c r="D1360" s="408">
        <v>45477</v>
      </c>
      <c r="E1360" s="439" t="s">
        <v>13313</v>
      </c>
    </row>
    <row r="1361" spans="2:5">
      <c r="B1361" s="407">
        <v>2407</v>
      </c>
      <c r="C1361" s="407">
        <v>3188</v>
      </c>
      <c r="D1361" s="408">
        <v>45477</v>
      </c>
      <c r="E1361" s="439" t="s">
        <v>13314</v>
      </c>
    </row>
    <row r="1362" spans="2:5">
      <c r="B1362" s="407">
        <v>2407</v>
      </c>
      <c r="C1362" s="407">
        <v>3185</v>
      </c>
      <c r="D1362" s="408">
        <v>45477</v>
      </c>
      <c r="E1362" s="439" t="s">
        <v>13315</v>
      </c>
    </row>
    <row r="1363" spans="2:5">
      <c r="B1363" s="407">
        <v>2407</v>
      </c>
      <c r="C1363" s="407">
        <v>3183</v>
      </c>
      <c r="D1363" s="408">
        <v>45477</v>
      </c>
      <c r="E1363" s="439" t="s">
        <v>13316</v>
      </c>
    </row>
    <row r="1364" spans="2:5">
      <c r="B1364" s="407">
        <v>2407</v>
      </c>
      <c r="C1364" s="407">
        <v>3181</v>
      </c>
      <c r="D1364" s="408">
        <v>45477</v>
      </c>
      <c r="E1364" s="439" t="s">
        <v>13317</v>
      </c>
    </row>
    <row r="1365" spans="2:5">
      <c r="B1365" s="407">
        <v>2407</v>
      </c>
      <c r="C1365" s="407">
        <v>3180</v>
      </c>
      <c r="D1365" s="408">
        <v>45477</v>
      </c>
      <c r="E1365" s="439" t="s">
        <v>13318</v>
      </c>
    </row>
    <row r="1366" spans="2:5">
      <c r="B1366" s="407">
        <v>2407</v>
      </c>
      <c r="C1366" s="407">
        <v>3179</v>
      </c>
      <c r="D1366" s="408">
        <v>45477</v>
      </c>
      <c r="E1366" s="439" t="s">
        <v>13319</v>
      </c>
    </row>
    <row r="1367" spans="2:5">
      <c r="B1367" s="407">
        <v>2407</v>
      </c>
      <c r="C1367" s="407">
        <v>3178</v>
      </c>
      <c r="D1367" s="408">
        <v>45477</v>
      </c>
      <c r="E1367" s="439" t="s">
        <v>13320</v>
      </c>
    </row>
    <row r="1368" spans="2:5">
      <c r="B1368" s="407">
        <v>2407</v>
      </c>
      <c r="C1368" s="407">
        <v>3177</v>
      </c>
      <c r="D1368" s="408">
        <v>45477</v>
      </c>
      <c r="E1368" s="439" t="s">
        <v>13321</v>
      </c>
    </row>
    <row r="1369" spans="2:5">
      <c r="B1369" s="407">
        <v>2407</v>
      </c>
      <c r="C1369" s="407">
        <v>3172</v>
      </c>
      <c r="D1369" s="408">
        <v>45477</v>
      </c>
      <c r="E1369" s="439" t="s">
        <v>13322</v>
      </c>
    </row>
    <row r="1370" spans="2:5">
      <c r="B1370" s="407">
        <v>2407</v>
      </c>
      <c r="C1370" s="407">
        <v>3169</v>
      </c>
      <c r="D1370" s="408">
        <v>45477</v>
      </c>
      <c r="E1370" s="439" t="s">
        <v>13323</v>
      </c>
    </row>
    <row r="1371" spans="2:5">
      <c r="B1371" s="407">
        <v>2407</v>
      </c>
      <c r="C1371" s="407">
        <v>3168</v>
      </c>
      <c r="D1371" s="408">
        <v>45477</v>
      </c>
      <c r="E1371" s="439" t="s">
        <v>13324</v>
      </c>
    </row>
    <row r="1372" spans="2:5">
      <c r="B1372" s="407">
        <v>2407</v>
      </c>
      <c r="C1372" s="407">
        <v>3163</v>
      </c>
      <c r="D1372" s="408">
        <v>45477</v>
      </c>
      <c r="E1372" s="439" t="s">
        <v>13325</v>
      </c>
    </row>
    <row r="1373" spans="2:5">
      <c r="B1373" s="407">
        <v>2407</v>
      </c>
      <c r="C1373" s="407">
        <v>3162</v>
      </c>
      <c r="D1373" s="408">
        <v>45477</v>
      </c>
      <c r="E1373" s="439" t="s">
        <v>13326</v>
      </c>
    </row>
    <row r="1374" spans="2:5">
      <c r="B1374" s="407">
        <v>2407</v>
      </c>
      <c r="C1374" s="407">
        <v>3160</v>
      </c>
      <c r="D1374" s="408">
        <v>45477</v>
      </c>
      <c r="E1374" s="439" t="s">
        <v>13327</v>
      </c>
    </row>
    <row r="1375" spans="2:5">
      <c r="B1375" s="407">
        <v>2407</v>
      </c>
      <c r="C1375" s="407">
        <v>3157</v>
      </c>
      <c r="D1375" s="408">
        <v>45477</v>
      </c>
      <c r="E1375" s="439" t="s">
        <v>13328</v>
      </c>
    </row>
    <row r="1376" spans="2:5">
      <c r="B1376" s="407">
        <v>2407</v>
      </c>
      <c r="C1376" s="407">
        <v>3154</v>
      </c>
      <c r="D1376" s="408">
        <v>45477</v>
      </c>
      <c r="E1376" s="439" t="s">
        <v>13329</v>
      </c>
    </row>
    <row r="1377" spans="2:5">
      <c r="B1377" s="407">
        <v>2407</v>
      </c>
      <c r="C1377" s="407">
        <v>3153</v>
      </c>
      <c r="D1377" s="408">
        <v>45477</v>
      </c>
      <c r="E1377" s="439" t="s">
        <v>13330</v>
      </c>
    </row>
    <row r="1378" spans="2:5">
      <c r="B1378" s="407">
        <v>2407</v>
      </c>
      <c r="C1378" s="407">
        <v>3152</v>
      </c>
      <c r="D1378" s="408">
        <v>45477</v>
      </c>
      <c r="E1378" s="439" t="s">
        <v>13331</v>
      </c>
    </row>
    <row r="1379" spans="2:5">
      <c r="B1379" s="407">
        <v>2407</v>
      </c>
      <c r="C1379" s="407">
        <v>3146</v>
      </c>
      <c r="D1379" s="408">
        <v>45477</v>
      </c>
      <c r="E1379" s="439" t="s">
        <v>13332</v>
      </c>
    </row>
    <row r="1380" spans="2:5">
      <c r="B1380" s="407">
        <v>2407</v>
      </c>
      <c r="C1380" s="407">
        <v>3145</v>
      </c>
      <c r="D1380" s="408">
        <v>45477</v>
      </c>
      <c r="E1380" s="439" t="s">
        <v>13333</v>
      </c>
    </row>
    <row r="1381" spans="2:5">
      <c r="B1381" s="407">
        <v>2407</v>
      </c>
      <c r="C1381" s="407">
        <v>3140</v>
      </c>
      <c r="D1381" s="408">
        <v>45477</v>
      </c>
      <c r="E1381" s="439" t="s">
        <v>13334</v>
      </c>
    </row>
    <row r="1382" spans="2:5">
      <c r="B1382" s="407">
        <v>2407</v>
      </c>
      <c r="C1382" s="407">
        <v>3135</v>
      </c>
      <c r="D1382" s="408">
        <v>45477</v>
      </c>
      <c r="E1382" s="439" t="s">
        <v>13335</v>
      </c>
    </row>
    <row r="1383" spans="2:5">
      <c r="B1383" s="409">
        <v>2407</v>
      </c>
      <c r="C1383" s="409">
        <v>3132</v>
      </c>
      <c r="D1383" s="410">
        <v>45477</v>
      </c>
      <c r="E1383" s="424" t="s">
        <v>13336</v>
      </c>
    </row>
    <row r="1384" spans="2:5">
      <c r="B1384" s="407">
        <v>2407</v>
      </c>
      <c r="C1384" s="407">
        <v>3131</v>
      </c>
      <c r="D1384" s="408">
        <v>45477</v>
      </c>
      <c r="E1384" s="439" t="s">
        <v>13337</v>
      </c>
    </row>
    <row r="1385" spans="2:5">
      <c r="B1385" s="407">
        <v>2407</v>
      </c>
      <c r="C1385" s="407">
        <v>3130</v>
      </c>
      <c r="D1385" s="408">
        <v>45477</v>
      </c>
      <c r="E1385" s="439" t="s">
        <v>13338</v>
      </c>
    </row>
    <row r="1386" spans="2:5">
      <c r="B1386" s="407">
        <v>2407</v>
      </c>
      <c r="C1386" s="407">
        <v>3129</v>
      </c>
      <c r="D1386" s="408">
        <v>45477</v>
      </c>
      <c r="E1386" s="439" t="s">
        <v>13339</v>
      </c>
    </row>
    <row r="1387" spans="2:5">
      <c r="B1387" s="407">
        <v>2407</v>
      </c>
      <c r="C1387" s="407">
        <v>3125</v>
      </c>
      <c r="D1387" s="408">
        <v>45477</v>
      </c>
      <c r="E1387" s="439" t="s">
        <v>13340</v>
      </c>
    </row>
    <row r="1388" spans="2:5">
      <c r="B1388" s="407">
        <v>2407</v>
      </c>
      <c r="C1388" s="407">
        <v>3111</v>
      </c>
      <c r="D1388" s="408">
        <v>45477</v>
      </c>
      <c r="E1388" s="439" t="s">
        <v>13341</v>
      </c>
    </row>
    <row r="1389" spans="2:5">
      <c r="B1389" s="407">
        <v>2407</v>
      </c>
      <c r="C1389" s="407">
        <v>3110</v>
      </c>
      <c r="D1389" s="408">
        <v>45477</v>
      </c>
      <c r="E1389" s="439" t="s">
        <v>13342</v>
      </c>
    </row>
    <row r="1390" spans="2:5">
      <c r="B1390" s="407">
        <v>2407</v>
      </c>
      <c r="C1390" s="407">
        <v>3108</v>
      </c>
      <c r="D1390" s="408">
        <v>45477</v>
      </c>
      <c r="E1390" s="439" t="s">
        <v>13343</v>
      </c>
    </row>
    <row r="1391" spans="2:5">
      <c r="B1391" s="407">
        <v>2407</v>
      </c>
      <c r="C1391" s="407">
        <v>3106</v>
      </c>
      <c r="D1391" s="408">
        <v>45477</v>
      </c>
      <c r="E1391" s="439" t="s">
        <v>13344</v>
      </c>
    </row>
    <row r="1392" spans="2:5">
      <c r="B1392" s="409">
        <v>2407</v>
      </c>
      <c r="C1392" s="409">
        <v>3105</v>
      </c>
      <c r="D1392" s="410">
        <v>45477</v>
      </c>
      <c r="E1392" s="424" t="s">
        <v>13345</v>
      </c>
    </row>
    <row r="1393" spans="2:5">
      <c r="B1393" s="407">
        <v>2407</v>
      </c>
      <c r="C1393" s="407">
        <v>3104</v>
      </c>
      <c r="D1393" s="408">
        <v>45477</v>
      </c>
      <c r="E1393" s="439" t="s">
        <v>13346</v>
      </c>
    </row>
    <row r="1394" spans="2:5">
      <c r="B1394" s="409">
        <v>2407</v>
      </c>
      <c r="C1394" s="409">
        <v>3103</v>
      </c>
      <c r="D1394" s="410">
        <v>45477</v>
      </c>
      <c r="E1394" s="424" t="s">
        <v>13347</v>
      </c>
    </row>
    <row r="1395" spans="2:5">
      <c r="B1395" s="407">
        <v>2407</v>
      </c>
      <c r="C1395" s="407">
        <v>3101</v>
      </c>
      <c r="D1395" s="408">
        <v>45477</v>
      </c>
      <c r="E1395" s="439" t="s">
        <v>13348</v>
      </c>
    </row>
    <row r="1396" spans="2:5">
      <c r="B1396" s="407">
        <v>2407</v>
      </c>
      <c r="C1396" s="407">
        <v>3093</v>
      </c>
      <c r="D1396" s="408">
        <v>45477</v>
      </c>
      <c r="E1396" s="439" t="s">
        <v>13349</v>
      </c>
    </row>
    <row r="1397" spans="2:5">
      <c r="B1397" s="407">
        <v>2407</v>
      </c>
      <c r="C1397" s="407">
        <v>3089</v>
      </c>
      <c r="D1397" s="408">
        <v>45477</v>
      </c>
      <c r="E1397" s="439" t="s">
        <v>13350</v>
      </c>
    </row>
    <row r="1398" spans="2:5">
      <c r="B1398" s="407">
        <v>2407</v>
      </c>
      <c r="C1398" s="407">
        <v>3080</v>
      </c>
      <c r="D1398" s="408">
        <v>45477</v>
      </c>
      <c r="E1398" s="439" t="s">
        <v>13351</v>
      </c>
    </row>
    <row r="1399" spans="2:5">
      <c r="B1399" s="407">
        <v>2407</v>
      </c>
      <c r="C1399" s="407">
        <v>3076</v>
      </c>
      <c r="D1399" s="408">
        <v>45477</v>
      </c>
      <c r="E1399" s="439" t="s">
        <v>13352</v>
      </c>
    </row>
    <row r="1400" spans="2:5">
      <c r="B1400" s="407">
        <v>2407</v>
      </c>
      <c r="C1400" s="407">
        <v>3065</v>
      </c>
      <c r="D1400" s="408">
        <v>45477</v>
      </c>
      <c r="E1400" s="439" t="s">
        <v>13353</v>
      </c>
    </row>
    <row r="1401" spans="2:5">
      <c r="B1401" s="407">
        <v>2407</v>
      </c>
      <c r="C1401" s="407">
        <v>3063</v>
      </c>
      <c r="D1401" s="408">
        <v>45477</v>
      </c>
      <c r="E1401" s="439" t="s">
        <v>13354</v>
      </c>
    </row>
    <row r="1402" spans="2:5">
      <c r="B1402" s="407">
        <v>2407</v>
      </c>
      <c r="C1402" s="407">
        <v>3061</v>
      </c>
      <c r="D1402" s="408">
        <v>45477</v>
      </c>
      <c r="E1402" s="439" t="s">
        <v>13355</v>
      </c>
    </row>
    <row r="1403" spans="2:5">
      <c r="B1403" s="407">
        <v>2407</v>
      </c>
      <c r="C1403" s="407">
        <v>3059</v>
      </c>
      <c r="D1403" s="408">
        <v>45477</v>
      </c>
      <c r="E1403" s="439" t="s">
        <v>13356</v>
      </c>
    </row>
    <row r="1404" spans="2:5">
      <c r="B1404" s="407">
        <v>2407</v>
      </c>
      <c r="C1404" s="407">
        <v>3056</v>
      </c>
      <c r="D1404" s="408">
        <v>45477</v>
      </c>
      <c r="E1404" s="439" t="s">
        <v>13357</v>
      </c>
    </row>
    <row r="1405" spans="2:5">
      <c r="B1405" s="407">
        <v>2407</v>
      </c>
      <c r="C1405" s="407">
        <v>3051</v>
      </c>
      <c r="D1405" s="408">
        <v>45477</v>
      </c>
      <c r="E1405" s="439" t="s">
        <v>13358</v>
      </c>
    </row>
    <row r="1406" spans="2:5">
      <c r="B1406" s="407">
        <v>2407</v>
      </c>
      <c r="C1406" s="407">
        <v>3049</v>
      </c>
      <c r="D1406" s="408">
        <v>45477</v>
      </c>
      <c r="E1406" s="439" t="s">
        <v>13359</v>
      </c>
    </row>
    <row r="1407" spans="2:5">
      <c r="B1407" s="407">
        <v>2407</v>
      </c>
      <c r="C1407" s="407">
        <v>3045</v>
      </c>
      <c r="D1407" s="408">
        <v>45477</v>
      </c>
      <c r="E1407" s="439" t="s">
        <v>13360</v>
      </c>
    </row>
    <row r="1408" spans="2:5">
      <c r="B1408" s="407">
        <v>2407</v>
      </c>
      <c r="C1408" s="407">
        <v>3043</v>
      </c>
      <c r="D1408" s="408">
        <v>45477</v>
      </c>
      <c r="E1408" s="439" t="s">
        <v>13361</v>
      </c>
    </row>
    <row r="1409" spans="2:5">
      <c r="B1409" s="407">
        <v>2407</v>
      </c>
      <c r="C1409" s="407">
        <v>3040</v>
      </c>
      <c r="D1409" s="408">
        <v>45477</v>
      </c>
      <c r="E1409" s="439" t="s">
        <v>13362</v>
      </c>
    </row>
    <row r="1410" spans="2:5">
      <c r="B1410" s="407">
        <v>2407</v>
      </c>
      <c r="C1410" s="407">
        <v>3038</v>
      </c>
      <c r="D1410" s="408">
        <v>45477</v>
      </c>
      <c r="E1410" s="439" t="s">
        <v>13363</v>
      </c>
    </row>
    <row r="1411" spans="2:5">
      <c r="B1411" s="407">
        <v>2407</v>
      </c>
      <c r="C1411" s="407">
        <v>3037</v>
      </c>
      <c r="D1411" s="408">
        <v>45477</v>
      </c>
      <c r="E1411" s="439" t="s">
        <v>13364</v>
      </c>
    </row>
    <row r="1412" spans="2:5">
      <c r="B1412" s="407">
        <v>2407</v>
      </c>
      <c r="C1412" s="407">
        <v>3036</v>
      </c>
      <c r="D1412" s="408">
        <v>45477</v>
      </c>
      <c r="E1412" s="439" t="s">
        <v>13365</v>
      </c>
    </row>
    <row r="1413" spans="2:5">
      <c r="B1413" s="407">
        <v>2407</v>
      </c>
      <c r="C1413" s="407">
        <v>3035</v>
      </c>
      <c r="D1413" s="408">
        <v>45477</v>
      </c>
      <c r="E1413" s="439" t="s">
        <v>13366</v>
      </c>
    </row>
    <row r="1414" spans="2:5">
      <c r="B1414" s="407">
        <v>2407</v>
      </c>
      <c r="C1414" s="407">
        <v>3034</v>
      </c>
      <c r="D1414" s="408">
        <v>45477</v>
      </c>
      <c r="E1414" s="439" t="s">
        <v>13367</v>
      </c>
    </row>
    <row r="1415" spans="2:5">
      <c r="B1415" s="407">
        <v>2407</v>
      </c>
      <c r="C1415" s="407">
        <v>3033</v>
      </c>
      <c r="D1415" s="408">
        <v>45477</v>
      </c>
      <c r="E1415" s="439" t="s">
        <v>13368</v>
      </c>
    </row>
    <row r="1416" spans="2:5">
      <c r="B1416" s="407">
        <v>2407</v>
      </c>
      <c r="C1416" s="407">
        <v>3032</v>
      </c>
      <c r="D1416" s="408">
        <v>45477</v>
      </c>
      <c r="E1416" s="439" t="s">
        <v>13369</v>
      </c>
    </row>
    <row r="1417" spans="2:5">
      <c r="B1417" s="407">
        <v>2407</v>
      </c>
      <c r="C1417" s="407">
        <v>3026</v>
      </c>
      <c r="D1417" s="408">
        <v>45477</v>
      </c>
      <c r="E1417" s="439" t="s">
        <v>13370</v>
      </c>
    </row>
    <row r="1418" spans="2:5">
      <c r="B1418" s="407">
        <v>2407</v>
      </c>
      <c r="C1418" s="407">
        <v>3020</v>
      </c>
      <c r="D1418" s="408">
        <v>45477</v>
      </c>
      <c r="E1418" s="439" t="s">
        <v>13371</v>
      </c>
    </row>
    <row r="1419" spans="2:5">
      <c r="B1419" s="407">
        <v>2407</v>
      </c>
      <c r="C1419" s="407">
        <v>3018</v>
      </c>
      <c r="D1419" s="408">
        <v>45477</v>
      </c>
      <c r="E1419" s="439" t="s">
        <v>13372</v>
      </c>
    </row>
    <row r="1420" spans="2:5">
      <c r="B1420" s="407">
        <v>2407</v>
      </c>
      <c r="C1420" s="407">
        <v>3010</v>
      </c>
      <c r="D1420" s="408">
        <v>45477</v>
      </c>
      <c r="E1420" s="439" t="s">
        <v>13373</v>
      </c>
    </row>
    <row r="1421" spans="2:5">
      <c r="B1421" s="407">
        <v>2407</v>
      </c>
      <c r="C1421" s="407">
        <v>3009</v>
      </c>
      <c r="D1421" s="408">
        <v>45477</v>
      </c>
      <c r="E1421" s="439" t="s">
        <v>13374</v>
      </c>
    </row>
    <row r="1422" spans="2:5">
      <c r="B1422" s="407">
        <v>2407</v>
      </c>
      <c r="C1422" s="407">
        <v>3008</v>
      </c>
      <c r="D1422" s="408">
        <v>45477</v>
      </c>
      <c r="E1422" s="439" t="s">
        <v>13375</v>
      </c>
    </row>
    <row r="1423" spans="2:5">
      <c r="B1423" s="407">
        <v>2407</v>
      </c>
      <c r="C1423" s="407">
        <v>3007</v>
      </c>
      <c r="D1423" s="408">
        <v>45477</v>
      </c>
      <c r="E1423" s="439" t="s">
        <v>13376</v>
      </c>
    </row>
    <row r="1424" spans="2:5">
      <c r="B1424" s="407">
        <v>2407</v>
      </c>
      <c r="C1424" s="407">
        <v>3006</v>
      </c>
      <c r="D1424" s="408">
        <v>45477</v>
      </c>
      <c r="E1424" s="439" t="s">
        <v>13377</v>
      </c>
    </row>
    <row r="1425" spans="2:5">
      <c r="B1425" s="407">
        <v>2407</v>
      </c>
      <c r="C1425" s="407">
        <v>3005</v>
      </c>
      <c r="D1425" s="408">
        <v>45477</v>
      </c>
      <c r="E1425" s="439" t="s">
        <v>13378</v>
      </c>
    </row>
    <row r="1426" spans="2:5">
      <c r="B1426" s="407">
        <v>2407</v>
      </c>
      <c r="C1426" s="407">
        <v>3004</v>
      </c>
      <c r="D1426" s="408">
        <v>45477</v>
      </c>
      <c r="E1426" s="439" t="s">
        <v>13379</v>
      </c>
    </row>
    <row r="1427" spans="2:5">
      <c r="B1427" s="407">
        <v>2407</v>
      </c>
      <c r="C1427" s="407">
        <v>3000</v>
      </c>
      <c r="D1427" s="408">
        <v>45477</v>
      </c>
      <c r="E1427" s="439" t="s">
        <v>13380</v>
      </c>
    </row>
    <row r="1428" spans="2:5">
      <c r="B1428" s="407">
        <v>2407</v>
      </c>
      <c r="C1428" s="407">
        <v>2996</v>
      </c>
      <c r="D1428" s="408">
        <v>45477</v>
      </c>
      <c r="E1428" s="439" t="s">
        <v>13381</v>
      </c>
    </row>
    <row r="1429" spans="2:5">
      <c r="B1429" s="407">
        <v>2407</v>
      </c>
      <c r="C1429" s="407">
        <v>2994</v>
      </c>
      <c r="D1429" s="408">
        <v>45477</v>
      </c>
      <c r="E1429" s="439" t="s">
        <v>13382</v>
      </c>
    </row>
    <row r="1430" spans="2:5">
      <c r="B1430" s="407">
        <v>2407</v>
      </c>
      <c r="C1430" s="407">
        <v>2990</v>
      </c>
      <c r="D1430" s="408">
        <v>45477</v>
      </c>
      <c r="E1430" s="439" t="s">
        <v>13383</v>
      </c>
    </row>
    <row r="1431" spans="2:5">
      <c r="B1431" s="407">
        <v>2407</v>
      </c>
      <c r="C1431" s="407">
        <v>2988</v>
      </c>
      <c r="D1431" s="408">
        <v>45477</v>
      </c>
      <c r="E1431" s="439" t="s">
        <v>13384</v>
      </c>
    </row>
    <row r="1432" spans="2:5">
      <c r="B1432" s="407">
        <v>2407</v>
      </c>
      <c r="C1432" s="407">
        <v>2987</v>
      </c>
      <c r="D1432" s="408">
        <v>45477</v>
      </c>
      <c r="E1432" s="439" t="s">
        <v>13385</v>
      </c>
    </row>
    <row r="1433" spans="2:5">
      <c r="B1433" s="407">
        <v>2407</v>
      </c>
      <c r="C1433" s="407">
        <v>2984</v>
      </c>
      <c r="D1433" s="408">
        <v>45477</v>
      </c>
      <c r="E1433" s="439" t="s">
        <v>13386</v>
      </c>
    </row>
    <row r="1434" spans="2:5">
      <c r="B1434" s="407">
        <v>2407</v>
      </c>
      <c r="C1434" s="407">
        <v>2978</v>
      </c>
      <c r="D1434" s="408">
        <v>45477</v>
      </c>
      <c r="E1434" s="439" t="s">
        <v>13387</v>
      </c>
    </row>
    <row r="1435" spans="2:5">
      <c r="B1435" s="407">
        <v>2407</v>
      </c>
      <c r="C1435" s="407">
        <v>2977</v>
      </c>
      <c r="D1435" s="408">
        <v>45477</v>
      </c>
      <c r="E1435" s="439" t="s">
        <v>13388</v>
      </c>
    </row>
    <row r="1436" spans="2:5">
      <c r="B1436" s="407">
        <v>2407</v>
      </c>
      <c r="C1436" s="407">
        <v>2974</v>
      </c>
      <c r="D1436" s="408">
        <v>45477</v>
      </c>
      <c r="E1436" s="439" t="s">
        <v>13389</v>
      </c>
    </row>
    <row r="1437" spans="2:5">
      <c r="B1437" s="407">
        <v>2407</v>
      </c>
      <c r="C1437" s="407">
        <v>2968</v>
      </c>
      <c r="D1437" s="408">
        <v>45477</v>
      </c>
      <c r="E1437" s="439" t="s">
        <v>13390</v>
      </c>
    </row>
    <row r="1438" spans="2:5">
      <c r="B1438" s="407">
        <v>2407</v>
      </c>
      <c r="C1438" s="407">
        <v>2964</v>
      </c>
      <c r="D1438" s="408">
        <v>45477</v>
      </c>
      <c r="E1438" s="439" t="s">
        <v>13391</v>
      </c>
    </row>
    <row r="1439" spans="2:5">
      <c r="B1439" s="407">
        <v>2407</v>
      </c>
      <c r="C1439" s="407">
        <v>2961</v>
      </c>
      <c r="D1439" s="408">
        <v>45477</v>
      </c>
      <c r="E1439" s="439" t="s">
        <v>13392</v>
      </c>
    </row>
    <row r="1440" spans="2:5">
      <c r="B1440" s="407">
        <v>2407</v>
      </c>
      <c r="C1440" s="407">
        <v>2960</v>
      </c>
      <c r="D1440" s="408">
        <v>45477</v>
      </c>
      <c r="E1440" s="439" t="s">
        <v>13393</v>
      </c>
    </row>
    <row r="1441" spans="2:5">
      <c r="B1441" s="407">
        <v>2407</v>
      </c>
      <c r="C1441" s="407">
        <v>2956</v>
      </c>
      <c r="D1441" s="408">
        <v>45477</v>
      </c>
      <c r="E1441" s="439" t="s">
        <v>13394</v>
      </c>
    </row>
    <row r="1442" spans="2:5">
      <c r="B1442" s="407">
        <v>2407</v>
      </c>
      <c r="C1442" s="407">
        <v>2946</v>
      </c>
      <c r="D1442" s="408">
        <v>45477</v>
      </c>
      <c r="E1442" s="439" t="s">
        <v>13395</v>
      </c>
    </row>
    <row r="1443" spans="2:5">
      <c r="B1443" s="407">
        <v>2407</v>
      </c>
      <c r="C1443" s="407">
        <v>2945</v>
      </c>
      <c r="D1443" s="408">
        <v>45477</v>
      </c>
      <c r="E1443" s="439" t="s">
        <v>13396</v>
      </c>
    </row>
    <row r="1444" spans="2:5">
      <c r="B1444" s="407">
        <v>2407</v>
      </c>
      <c r="C1444" s="407">
        <v>2944</v>
      </c>
      <c r="D1444" s="408">
        <v>45477</v>
      </c>
      <c r="E1444" s="439" t="s">
        <v>13397</v>
      </c>
    </row>
    <row r="1445" spans="2:5">
      <c r="B1445" s="407">
        <v>2407</v>
      </c>
      <c r="C1445" s="407">
        <v>2943</v>
      </c>
      <c r="D1445" s="408">
        <v>45477</v>
      </c>
      <c r="E1445" s="439" t="s">
        <v>13398</v>
      </c>
    </row>
    <row r="1446" spans="2:5">
      <c r="B1446" s="407">
        <v>2407</v>
      </c>
      <c r="C1446" s="407">
        <v>2942</v>
      </c>
      <c r="D1446" s="408">
        <v>45477</v>
      </c>
      <c r="E1446" s="439" t="s">
        <v>13399</v>
      </c>
    </row>
    <row r="1447" spans="2:5">
      <c r="B1447" s="407">
        <v>2407</v>
      </c>
      <c r="C1447" s="407">
        <v>2937</v>
      </c>
      <c r="D1447" s="408">
        <v>45477</v>
      </c>
      <c r="E1447" s="439" t="s">
        <v>13400</v>
      </c>
    </row>
    <row r="1448" spans="2:5">
      <c r="B1448" s="407">
        <v>2407</v>
      </c>
      <c r="C1448" s="407">
        <v>2936</v>
      </c>
      <c r="D1448" s="408">
        <v>45477</v>
      </c>
      <c r="E1448" s="439" t="s">
        <v>13401</v>
      </c>
    </row>
    <row r="1449" spans="2:5">
      <c r="B1449" s="407">
        <v>2407</v>
      </c>
      <c r="C1449" s="407">
        <v>2934</v>
      </c>
      <c r="D1449" s="408">
        <v>45477</v>
      </c>
      <c r="E1449" s="439" t="s">
        <v>13402</v>
      </c>
    </row>
    <row r="1450" spans="2:5">
      <c r="B1450" s="407">
        <v>2407</v>
      </c>
      <c r="C1450" s="407">
        <v>2926</v>
      </c>
      <c r="D1450" s="408">
        <v>45477</v>
      </c>
      <c r="E1450" s="439" t="s">
        <v>13403</v>
      </c>
    </row>
    <row r="1451" spans="2:5">
      <c r="B1451" s="407">
        <v>2407</v>
      </c>
      <c r="C1451" s="407">
        <v>2920</v>
      </c>
      <c r="D1451" s="408">
        <v>45477</v>
      </c>
      <c r="E1451" s="439" t="s">
        <v>13404</v>
      </c>
    </row>
    <row r="1452" spans="2:5">
      <c r="B1452" s="407">
        <v>2407</v>
      </c>
      <c r="C1452" s="407">
        <v>2918</v>
      </c>
      <c r="D1452" s="408">
        <v>45477</v>
      </c>
      <c r="E1452" s="439" t="s">
        <v>13405</v>
      </c>
    </row>
    <row r="1453" spans="2:5">
      <c r="B1453" s="407">
        <v>2407</v>
      </c>
      <c r="C1453" s="407">
        <v>2917</v>
      </c>
      <c r="D1453" s="408">
        <v>45477</v>
      </c>
      <c r="E1453" s="439" t="s">
        <v>13406</v>
      </c>
    </row>
    <row r="1454" spans="2:5">
      <c r="B1454" s="407">
        <v>2407</v>
      </c>
      <c r="C1454" s="407">
        <v>2914</v>
      </c>
      <c r="D1454" s="408">
        <v>45477</v>
      </c>
      <c r="E1454" s="439" t="s">
        <v>13407</v>
      </c>
    </row>
    <row r="1455" spans="2:5">
      <c r="B1455" s="407">
        <v>2407</v>
      </c>
      <c r="C1455" s="407">
        <v>2913</v>
      </c>
      <c r="D1455" s="408">
        <v>45477</v>
      </c>
      <c r="E1455" s="439" t="s">
        <v>13408</v>
      </c>
    </row>
    <row r="1456" spans="2:5">
      <c r="B1456" s="407">
        <v>2407</v>
      </c>
      <c r="C1456" s="407">
        <v>2911</v>
      </c>
      <c r="D1456" s="408">
        <v>45477</v>
      </c>
      <c r="E1456" s="439" t="s">
        <v>13409</v>
      </c>
    </row>
    <row r="1457" spans="2:5">
      <c r="B1457" s="407">
        <v>2407</v>
      </c>
      <c r="C1457" s="407">
        <v>2910</v>
      </c>
      <c r="D1457" s="408">
        <v>45477</v>
      </c>
      <c r="E1457" s="439" t="s">
        <v>13410</v>
      </c>
    </row>
    <row r="1458" spans="2:5">
      <c r="B1458" s="407">
        <v>2407</v>
      </c>
      <c r="C1458" s="407">
        <v>2906</v>
      </c>
      <c r="D1458" s="408">
        <v>45477</v>
      </c>
      <c r="E1458" s="439" t="s">
        <v>13411</v>
      </c>
    </row>
    <row r="1459" spans="2:5">
      <c r="B1459" s="407">
        <v>2407</v>
      </c>
      <c r="C1459" s="407">
        <v>2903</v>
      </c>
      <c r="D1459" s="408">
        <v>45477</v>
      </c>
      <c r="E1459" s="439" t="s">
        <v>13412</v>
      </c>
    </row>
    <row r="1460" spans="2:5">
      <c r="B1460" s="407">
        <v>2407</v>
      </c>
      <c r="C1460" s="407">
        <v>2900</v>
      </c>
      <c r="D1460" s="408">
        <v>45477</v>
      </c>
      <c r="E1460" s="439" t="s">
        <v>13413</v>
      </c>
    </row>
    <row r="1461" spans="2:5">
      <c r="B1461" s="407">
        <v>2407</v>
      </c>
      <c r="C1461" s="407">
        <v>2894</v>
      </c>
      <c r="D1461" s="408">
        <v>45477</v>
      </c>
      <c r="E1461" s="439" t="s">
        <v>13414</v>
      </c>
    </row>
    <row r="1462" spans="2:5">
      <c r="B1462" s="407">
        <v>2407</v>
      </c>
      <c r="C1462" s="407">
        <v>2893</v>
      </c>
      <c r="D1462" s="408">
        <v>45477</v>
      </c>
      <c r="E1462" s="439" t="s">
        <v>13415</v>
      </c>
    </row>
    <row r="1463" spans="2:5">
      <c r="B1463" s="409">
        <v>2407</v>
      </c>
      <c r="C1463" s="409">
        <v>2891</v>
      </c>
      <c r="D1463" s="410">
        <v>45477</v>
      </c>
      <c r="E1463" s="424" t="s">
        <v>13416</v>
      </c>
    </row>
    <row r="1464" spans="2:5">
      <c r="B1464" s="407">
        <v>2407</v>
      </c>
      <c r="C1464" s="407">
        <v>2886</v>
      </c>
      <c r="D1464" s="408">
        <v>45477</v>
      </c>
      <c r="E1464" s="439" t="s">
        <v>13417</v>
      </c>
    </row>
    <row r="1465" spans="2:5">
      <c r="B1465" s="407">
        <v>2407</v>
      </c>
      <c r="C1465" s="407">
        <v>2885</v>
      </c>
      <c r="D1465" s="408">
        <v>45477</v>
      </c>
      <c r="E1465" s="439" t="s">
        <v>13418</v>
      </c>
    </row>
    <row r="1466" spans="2:5">
      <c r="B1466" s="407">
        <v>2407</v>
      </c>
      <c r="C1466" s="407">
        <v>2883</v>
      </c>
      <c r="D1466" s="408">
        <v>45477</v>
      </c>
      <c r="E1466" s="439" t="s">
        <v>13419</v>
      </c>
    </row>
    <row r="1467" spans="2:5">
      <c r="B1467" s="407">
        <v>2407</v>
      </c>
      <c r="C1467" s="407">
        <v>2881</v>
      </c>
      <c r="D1467" s="408">
        <v>45477</v>
      </c>
      <c r="E1467" s="439" t="s">
        <v>13420</v>
      </c>
    </row>
    <row r="1468" spans="2:5">
      <c r="B1468" s="407">
        <v>2407</v>
      </c>
      <c r="C1468" s="407">
        <v>2880</v>
      </c>
      <c r="D1468" s="408">
        <v>45477</v>
      </c>
      <c r="E1468" s="439" t="s">
        <v>13421</v>
      </c>
    </row>
    <row r="1469" spans="2:5">
      <c r="B1469" s="407">
        <v>2407</v>
      </c>
      <c r="C1469" s="407">
        <v>2873</v>
      </c>
      <c r="D1469" s="408">
        <v>45477</v>
      </c>
      <c r="E1469" s="439" t="s">
        <v>13422</v>
      </c>
    </row>
    <row r="1470" spans="2:5">
      <c r="B1470" s="407">
        <v>2407</v>
      </c>
      <c r="C1470" s="407">
        <v>2871</v>
      </c>
      <c r="D1470" s="408">
        <v>45477</v>
      </c>
      <c r="E1470" s="439" t="s">
        <v>13423</v>
      </c>
    </row>
    <row r="1471" spans="2:5">
      <c r="B1471" s="407">
        <v>2407</v>
      </c>
      <c r="C1471" s="407">
        <v>2870</v>
      </c>
      <c r="D1471" s="408">
        <v>45477</v>
      </c>
      <c r="E1471" s="439" t="s">
        <v>13424</v>
      </c>
    </row>
    <row r="1472" spans="2:5">
      <c r="B1472" s="407">
        <v>2407</v>
      </c>
      <c r="C1472" s="407">
        <v>2869</v>
      </c>
      <c r="D1472" s="408">
        <v>45477</v>
      </c>
      <c r="E1472" s="439" t="s">
        <v>13425</v>
      </c>
    </row>
    <row r="1473" spans="2:5">
      <c r="B1473" s="409">
        <v>2407</v>
      </c>
      <c r="C1473" s="409">
        <v>2857</v>
      </c>
      <c r="D1473" s="410">
        <v>45477</v>
      </c>
      <c r="E1473" s="424" t="s">
        <v>13426</v>
      </c>
    </row>
    <row r="1474" spans="2:5">
      <c r="B1474" s="407">
        <v>2407</v>
      </c>
      <c r="C1474" s="407">
        <v>2855</v>
      </c>
      <c r="D1474" s="408">
        <v>45477</v>
      </c>
      <c r="E1474" s="439" t="s">
        <v>13427</v>
      </c>
    </row>
    <row r="1475" spans="2:5">
      <c r="B1475" s="407">
        <v>2407</v>
      </c>
      <c r="C1475" s="407">
        <v>2854</v>
      </c>
      <c r="D1475" s="408">
        <v>45477</v>
      </c>
      <c r="E1475" s="439" t="s">
        <v>13428</v>
      </c>
    </row>
    <row r="1476" spans="2:5">
      <c r="B1476" s="407">
        <v>2407</v>
      </c>
      <c r="C1476" s="407">
        <v>2853</v>
      </c>
      <c r="D1476" s="408">
        <v>45477</v>
      </c>
      <c r="E1476" s="439" t="s">
        <v>13429</v>
      </c>
    </row>
    <row r="1477" spans="2:5">
      <c r="B1477" s="407">
        <v>2407</v>
      </c>
      <c r="C1477" s="407">
        <v>2846</v>
      </c>
      <c r="D1477" s="408">
        <v>45477</v>
      </c>
      <c r="E1477" s="439" t="s">
        <v>13430</v>
      </c>
    </row>
    <row r="1478" spans="2:5">
      <c r="B1478" s="407">
        <v>2407</v>
      </c>
      <c r="C1478" s="407">
        <v>2844</v>
      </c>
      <c r="D1478" s="408">
        <v>45477</v>
      </c>
      <c r="E1478" s="439" t="s">
        <v>13431</v>
      </c>
    </row>
    <row r="1479" spans="2:5">
      <c r="B1479" s="407">
        <v>2407</v>
      </c>
      <c r="C1479" s="407">
        <v>2842</v>
      </c>
      <c r="D1479" s="408">
        <v>45477</v>
      </c>
      <c r="E1479" s="439" t="s">
        <v>13432</v>
      </c>
    </row>
    <row r="1480" spans="2:5">
      <c r="B1480" s="407">
        <v>2407</v>
      </c>
      <c r="C1480" s="407">
        <v>2827</v>
      </c>
      <c r="D1480" s="408">
        <v>45477</v>
      </c>
      <c r="E1480" s="439" t="s">
        <v>13433</v>
      </c>
    </row>
    <row r="1481" spans="2:5">
      <c r="B1481" s="407">
        <v>2407</v>
      </c>
      <c r="C1481" s="407">
        <v>2825</v>
      </c>
      <c r="D1481" s="408">
        <v>45477</v>
      </c>
      <c r="E1481" s="439" t="s">
        <v>13434</v>
      </c>
    </row>
    <row r="1482" spans="2:5">
      <c r="B1482" s="407">
        <v>2407</v>
      </c>
      <c r="C1482" s="407">
        <v>2824</v>
      </c>
      <c r="D1482" s="408">
        <v>45477</v>
      </c>
      <c r="E1482" s="439" t="s">
        <v>13435</v>
      </c>
    </row>
    <row r="1483" spans="2:5">
      <c r="B1483" s="407">
        <v>2407</v>
      </c>
      <c r="C1483" s="407">
        <v>2821</v>
      </c>
      <c r="D1483" s="408">
        <v>45477</v>
      </c>
      <c r="E1483" s="439" t="s">
        <v>13436</v>
      </c>
    </row>
    <row r="1484" spans="2:5">
      <c r="B1484" s="407">
        <v>2407</v>
      </c>
      <c r="C1484" s="407">
        <v>2820</v>
      </c>
      <c r="D1484" s="408">
        <v>45477</v>
      </c>
      <c r="E1484" s="439" t="s">
        <v>13437</v>
      </c>
    </row>
    <row r="1485" spans="2:5">
      <c r="B1485" s="407">
        <v>2407</v>
      </c>
      <c r="C1485" s="407">
        <v>2819</v>
      </c>
      <c r="D1485" s="408">
        <v>45477</v>
      </c>
      <c r="E1485" s="439" t="s">
        <v>13438</v>
      </c>
    </row>
    <row r="1486" spans="2:5">
      <c r="B1486" s="407">
        <v>2407</v>
      </c>
      <c r="C1486" s="407">
        <v>2816</v>
      </c>
      <c r="D1486" s="408">
        <v>45477</v>
      </c>
      <c r="E1486" s="439" t="s">
        <v>13439</v>
      </c>
    </row>
    <row r="1487" spans="2:5">
      <c r="B1487" s="407">
        <v>2407</v>
      </c>
      <c r="C1487" s="407">
        <v>2805</v>
      </c>
      <c r="D1487" s="408">
        <v>45477</v>
      </c>
      <c r="E1487" s="439" t="s">
        <v>13440</v>
      </c>
    </row>
    <row r="1488" spans="2:5">
      <c r="B1488" s="407">
        <v>2407</v>
      </c>
      <c r="C1488" s="407">
        <v>2798</v>
      </c>
      <c r="D1488" s="408">
        <v>45477</v>
      </c>
      <c r="E1488" s="439" t="s">
        <v>13441</v>
      </c>
    </row>
    <row r="1489" spans="2:5">
      <c r="B1489" s="407">
        <v>2407</v>
      </c>
      <c r="C1489" s="407">
        <v>2793</v>
      </c>
      <c r="D1489" s="408">
        <v>45477</v>
      </c>
      <c r="E1489" s="439" t="s">
        <v>13442</v>
      </c>
    </row>
    <row r="1490" spans="2:5">
      <c r="B1490" s="407">
        <v>2407</v>
      </c>
      <c r="C1490" s="407">
        <v>2791</v>
      </c>
      <c r="D1490" s="408">
        <v>45477</v>
      </c>
      <c r="E1490" s="439" t="s">
        <v>13443</v>
      </c>
    </row>
    <row r="1491" spans="2:5">
      <c r="B1491" s="407">
        <v>2407</v>
      </c>
      <c r="C1491" s="407">
        <v>2783</v>
      </c>
      <c r="D1491" s="408">
        <v>45477</v>
      </c>
      <c r="E1491" s="439" t="s">
        <v>13444</v>
      </c>
    </row>
    <row r="1492" spans="2:5">
      <c r="B1492" s="407">
        <v>2407</v>
      </c>
      <c r="C1492" s="407">
        <v>2778</v>
      </c>
      <c r="D1492" s="408">
        <v>45477</v>
      </c>
      <c r="E1492" s="439" t="s">
        <v>13445</v>
      </c>
    </row>
    <row r="1493" spans="2:5">
      <c r="B1493" s="407">
        <v>2407</v>
      </c>
      <c r="C1493" s="407">
        <v>2775</v>
      </c>
      <c r="D1493" s="408">
        <v>45477</v>
      </c>
      <c r="E1493" s="439" t="s">
        <v>13446</v>
      </c>
    </row>
    <row r="1494" spans="2:5">
      <c r="B1494" s="407">
        <v>2407</v>
      </c>
      <c r="C1494" s="407">
        <v>2773</v>
      </c>
      <c r="D1494" s="408">
        <v>45477</v>
      </c>
      <c r="E1494" s="439" t="s">
        <v>13447</v>
      </c>
    </row>
    <row r="1495" spans="2:5">
      <c r="B1495" s="407">
        <v>2407</v>
      </c>
      <c r="C1495" s="407">
        <v>2772</v>
      </c>
      <c r="D1495" s="408">
        <v>45477</v>
      </c>
      <c r="E1495" s="439" t="s">
        <v>13448</v>
      </c>
    </row>
    <row r="1496" spans="2:5">
      <c r="B1496" s="407">
        <v>2407</v>
      </c>
      <c r="C1496" s="407">
        <v>2770</v>
      </c>
      <c r="D1496" s="408">
        <v>45477</v>
      </c>
      <c r="E1496" s="439" t="s">
        <v>13449</v>
      </c>
    </row>
    <row r="1497" spans="2:5">
      <c r="B1497" s="407">
        <v>2407</v>
      </c>
      <c r="C1497" s="407">
        <v>2769</v>
      </c>
      <c r="D1497" s="408">
        <v>45477</v>
      </c>
      <c r="E1497" s="439" t="s">
        <v>13450</v>
      </c>
    </row>
    <row r="1498" spans="2:5">
      <c r="B1498" s="407">
        <v>2407</v>
      </c>
      <c r="C1498" s="407">
        <v>2768</v>
      </c>
      <c r="D1498" s="408">
        <v>45477</v>
      </c>
      <c r="E1498" s="439" t="s">
        <v>13451</v>
      </c>
    </row>
    <row r="1499" spans="2:5">
      <c r="B1499" s="407">
        <v>2407</v>
      </c>
      <c r="C1499" s="407">
        <v>2766</v>
      </c>
      <c r="D1499" s="408">
        <v>45477</v>
      </c>
      <c r="E1499" s="439" t="s">
        <v>13452</v>
      </c>
    </row>
    <row r="1500" spans="2:5">
      <c r="B1500" s="407">
        <v>2407</v>
      </c>
      <c r="C1500" s="407">
        <v>2763</v>
      </c>
      <c r="D1500" s="408">
        <v>45477</v>
      </c>
      <c r="E1500" s="439" t="s">
        <v>13453</v>
      </c>
    </row>
    <row r="1501" spans="2:5">
      <c r="B1501" s="407">
        <v>2407</v>
      </c>
      <c r="C1501" s="407">
        <v>2751</v>
      </c>
      <c r="D1501" s="408">
        <v>45477</v>
      </c>
      <c r="E1501" s="439" t="s">
        <v>13454</v>
      </c>
    </row>
    <row r="1502" spans="2:5">
      <c r="B1502" s="407">
        <v>2407</v>
      </c>
      <c r="C1502" s="407">
        <v>2750</v>
      </c>
      <c r="D1502" s="408">
        <v>45477</v>
      </c>
      <c r="E1502" s="439" t="s">
        <v>13455</v>
      </c>
    </row>
    <row r="1503" spans="2:5">
      <c r="B1503" s="407">
        <v>2407</v>
      </c>
      <c r="C1503" s="407">
        <v>2749</v>
      </c>
      <c r="D1503" s="408">
        <v>45477</v>
      </c>
      <c r="E1503" s="439" t="s">
        <v>13456</v>
      </c>
    </row>
    <row r="1504" spans="2:5">
      <c r="B1504" s="407">
        <v>2407</v>
      </c>
      <c r="C1504" s="407">
        <v>2744</v>
      </c>
      <c r="D1504" s="408">
        <v>45477</v>
      </c>
      <c r="E1504" s="439" t="s">
        <v>13457</v>
      </c>
    </row>
    <row r="1505" spans="2:5">
      <c r="B1505" s="407">
        <v>2407</v>
      </c>
      <c r="C1505" s="407">
        <v>2742</v>
      </c>
      <c r="D1505" s="408">
        <v>45477</v>
      </c>
      <c r="E1505" s="439" t="s">
        <v>13458</v>
      </c>
    </row>
    <row r="1506" spans="2:5">
      <c r="B1506" s="407">
        <v>2407</v>
      </c>
      <c r="C1506" s="407">
        <v>2738</v>
      </c>
      <c r="D1506" s="408">
        <v>45477</v>
      </c>
      <c r="E1506" s="439" t="s">
        <v>13459</v>
      </c>
    </row>
    <row r="1507" spans="2:5">
      <c r="B1507" s="407">
        <v>2407</v>
      </c>
      <c r="C1507" s="407">
        <v>2737</v>
      </c>
      <c r="D1507" s="408">
        <v>45477</v>
      </c>
      <c r="E1507" s="439" t="s">
        <v>13460</v>
      </c>
    </row>
    <row r="1508" spans="2:5">
      <c r="B1508" s="407">
        <v>2407</v>
      </c>
      <c r="C1508" s="407">
        <v>2736</v>
      </c>
      <c r="D1508" s="408">
        <v>45477</v>
      </c>
      <c r="E1508" s="439" t="s">
        <v>13461</v>
      </c>
    </row>
    <row r="1509" spans="2:5">
      <c r="B1509" s="407">
        <v>2407</v>
      </c>
      <c r="C1509" s="407">
        <v>2732</v>
      </c>
      <c r="D1509" s="408">
        <v>45477</v>
      </c>
      <c r="E1509" s="439" t="s">
        <v>13462</v>
      </c>
    </row>
    <row r="1510" spans="2:5">
      <c r="B1510" s="407">
        <v>2407</v>
      </c>
      <c r="C1510" s="407">
        <v>2731</v>
      </c>
      <c r="D1510" s="408">
        <v>45477</v>
      </c>
      <c r="E1510" s="439" t="s">
        <v>13463</v>
      </c>
    </row>
    <row r="1511" spans="2:5">
      <c r="B1511" s="407">
        <v>2407</v>
      </c>
      <c r="C1511" s="407">
        <v>2730</v>
      </c>
      <c r="D1511" s="408">
        <v>45477</v>
      </c>
      <c r="E1511" s="439" t="s">
        <v>13464</v>
      </c>
    </row>
    <row r="1512" spans="2:5">
      <c r="B1512" s="407">
        <v>2407</v>
      </c>
      <c r="C1512" s="407">
        <v>2723</v>
      </c>
      <c r="D1512" s="408">
        <v>45477</v>
      </c>
      <c r="E1512" s="439" t="s">
        <v>13465</v>
      </c>
    </row>
    <row r="1513" spans="2:5">
      <c r="B1513" s="407">
        <v>2407</v>
      </c>
      <c r="C1513" s="407">
        <v>2719</v>
      </c>
      <c r="D1513" s="408">
        <v>45477</v>
      </c>
      <c r="E1513" s="439" t="s">
        <v>13466</v>
      </c>
    </row>
    <row r="1514" spans="2:5">
      <c r="B1514" s="407">
        <v>2407</v>
      </c>
      <c r="C1514" s="407">
        <v>2716</v>
      </c>
      <c r="D1514" s="408">
        <v>45477</v>
      </c>
      <c r="E1514" s="439" t="s">
        <v>13467</v>
      </c>
    </row>
    <row r="1515" spans="2:5">
      <c r="B1515" s="407">
        <v>2407</v>
      </c>
      <c r="C1515" s="407">
        <v>2697</v>
      </c>
      <c r="D1515" s="408">
        <v>45477</v>
      </c>
      <c r="E1515" s="439" t="s">
        <v>13468</v>
      </c>
    </row>
    <row r="1516" spans="2:5">
      <c r="B1516" s="407">
        <v>2407</v>
      </c>
      <c r="C1516" s="407">
        <v>2694</v>
      </c>
      <c r="D1516" s="408">
        <v>45477</v>
      </c>
      <c r="E1516" s="439" t="s">
        <v>13469</v>
      </c>
    </row>
    <row r="1517" spans="2:5">
      <c r="B1517" s="407">
        <v>2407</v>
      </c>
      <c r="C1517" s="407">
        <v>2688</v>
      </c>
      <c r="D1517" s="408">
        <v>45477</v>
      </c>
      <c r="E1517" s="439" t="s">
        <v>13470</v>
      </c>
    </row>
    <row r="1518" spans="2:5">
      <c r="B1518" s="407">
        <v>2407</v>
      </c>
      <c r="C1518" s="407">
        <v>2687</v>
      </c>
      <c r="D1518" s="408">
        <v>45477</v>
      </c>
      <c r="E1518" s="439" t="s">
        <v>13471</v>
      </c>
    </row>
    <row r="1519" spans="2:5">
      <c r="B1519" s="407">
        <v>2407</v>
      </c>
      <c r="C1519" s="407">
        <v>2685</v>
      </c>
      <c r="D1519" s="408">
        <v>45477</v>
      </c>
      <c r="E1519" s="439" t="s">
        <v>13472</v>
      </c>
    </row>
    <row r="1520" spans="2:5">
      <c r="B1520" s="407">
        <v>2407</v>
      </c>
      <c r="C1520" s="407">
        <v>2681</v>
      </c>
      <c r="D1520" s="408">
        <v>45477</v>
      </c>
      <c r="E1520" s="439" t="s">
        <v>13473</v>
      </c>
    </row>
    <row r="1521" spans="2:5">
      <c r="B1521" s="407">
        <v>2407</v>
      </c>
      <c r="C1521" s="407">
        <v>2680</v>
      </c>
      <c r="D1521" s="408">
        <v>45477</v>
      </c>
      <c r="E1521" s="439" t="s">
        <v>13474</v>
      </c>
    </row>
    <row r="1522" spans="2:5">
      <c r="B1522" s="407">
        <v>2407</v>
      </c>
      <c r="C1522" s="407">
        <v>2678</v>
      </c>
      <c r="D1522" s="408">
        <v>45477</v>
      </c>
      <c r="E1522" s="439" t="s">
        <v>13475</v>
      </c>
    </row>
    <row r="1523" spans="2:5">
      <c r="B1523" s="407">
        <v>2407</v>
      </c>
      <c r="C1523" s="407">
        <v>2675</v>
      </c>
      <c r="D1523" s="408">
        <v>45477</v>
      </c>
      <c r="E1523" s="439" t="s">
        <v>13476</v>
      </c>
    </row>
    <row r="1524" spans="2:5">
      <c r="B1524" s="407">
        <v>2407</v>
      </c>
      <c r="C1524" s="407">
        <v>2673</v>
      </c>
      <c r="D1524" s="408">
        <v>45477</v>
      </c>
      <c r="E1524" s="439" t="s">
        <v>13477</v>
      </c>
    </row>
    <row r="1525" spans="2:5">
      <c r="B1525" s="407">
        <v>2407</v>
      </c>
      <c r="C1525" s="407">
        <v>2670</v>
      </c>
      <c r="D1525" s="408">
        <v>45477</v>
      </c>
      <c r="E1525" s="439" t="s">
        <v>13478</v>
      </c>
    </row>
    <row r="1526" spans="2:5">
      <c r="B1526" s="407">
        <v>2407</v>
      </c>
      <c r="C1526" s="407">
        <v>2668</v>
      </c>
      <c r="D1526" s="408">
        <v>45477</v>
      </c>
      <c r="E1526" s="439" t="s">
        <v>13479</v>
      </c>
    </row>
    <row r="1527" spans="2:5">
      <c r="B1527" s="407">
        <v>2407</v>
      </c>
      <c r="C1527" s="407">
        <v>2665</v>
      </c>
      <c r="D1527" s="408">
        <v>45477</v>
      </c>
      <c r="E1527" s="439" t="s">
        <v>13480</v>
      </c>
    </row>
    <row r="1528" spans="2:5">
      <c r="B1528" s="407">
        <v>2407</v>
      </c>
      <c r="C1528" s="407">
        <v>2662</v>
      </c>
      <c r="D1528" s="408">
        <v>45477</v>
      </c>
      <c r="E1528" s="439" t="s">
        <v>13481</v>
      </c>
    </row>
    <row r="1529" spans="2:5">
      <c r="B1529" s="407">
        <v>2407</v>
      </c>
      <c r="C1529" s="407">
        <v>2659</v>
      </c>
      <c r="D1529" s="408">
        <v>45477</v>
      </c>
      <c r="E1529" s="439" t="s">
        <v>13482</v>
      </c>
    </row>
    <row r="1530" spans="2:5">
      <c r="B1530" s="407">
        <v>2407</v>
      </c>
      <c r="C1530" s="407">
        <v>2653</v>
      </c>
      <c r="D1530" s="408">
        <v>45477</v>
      </c>
      <c r="E1530" s="439" t="s">
        <v>13483</v>
      </c>
    </row>
    <row r="1531" spans="2:5">
      <c r="B1531" s="407">
        <v>2407</v>
      </c>
      <c r="C1531" s="407">
        <v>2651</v>
      </c>
      <c r="D1531" s="408">
        <v>45477</v>
      </c>
      <c r="E1531" s="439" t="s">
        <v>13484</v>
      </c>
    </row>
    <row r="1532" spans="2:5">
      <c r="B1532" s="407">
        <v>2407</v>
      </c>
      <c r="C1532" s="407">
        <v>2647</v>
      </c>
      <c r="D1532" s="408">
        <v>45477</v>
      </c>
      <c r="E1532" s="439" t="s">
        <v>13485</v>
      </c>
    </row>
    <row r="1533" spans="2:5">
      <c r="B1533" s="407">
        <v>2407</v>
      </c>
      <c r="C1533" s="407">
        <v>2646</v>
      </c>
      <c r="D1533" s="408">
        <v>45477</v>
      </c>
      <c r="E1533" s="439" t="s">
        <v>13486</v>
      </c>
    </row>
    <row r="1534" spans="2:5">
      <c r="B1534" s="407">
        <v>2407</v>
      </c>
      <c r="C1534" s="407">
        <v>2643</v>
      </c>
      <c r="D1534" s="408">
        <v>45477</v>
      </c>
      <c r="E1534" s="439" t="s">
        <v>13487</v>
      </c>
    </row>
    <row r="1535" spans="2:5">
      <c r="B1535" s="407">
        <v>2407</v>
      </c>
      <c r="C1535" s="407">
        <v>2641</v>
      </c>
      <c r="D1535" s="408">
        <v>45477</v>
      </c>
      <c r="E1535" s="439" t="s">
        <v>13488</v>
      </c>
    </row>
    <row r="1536" spans="2:5">
      <c r="B1536" s="407">
        <v>2407</v>
      </c>
      <c r="C1536" s="407">
        <v>2637</v>
      </c>
      <c r="D1536" s="408">
        <v>45477</v>
      </c>
      <c r="E1536" s="439" t="s">
        <v>13489</v>
      </c>
    </row>
    <row r="1537" spans="2:5">
      <c r="B1537" s="407">
        <v>2407</v>
      </c>
      <c r="C1537" s="407">
        <v>2633</v>
      </c>
      <c r="D1537" s="408">
        <v>45477</v>
      </c>
      <c r="E1537" s="439" t="s">
        <v>13490</v>
      </c>
    </row>
    <row r="1538" spans="2:5">
      <c r="B1538" s="407">
        <v>2407</v>
      </c>
      <c r="C1538" s="407">
        <v>2631</v>
      </c>
      <c r="D1538" s="408">
        <v>45477</v>
      </c>
      <c r="E1538" s="439" t="s">
        <v>13491</v>
      </c>
    </row>
    <row r="1539" spans="2:5">
      <c r="B1539" s="407">
        <v>2407</v>
      </c>
      <c r="C1539" s="407">
        <v>2626</v>
      </c>
      <c r="D1539" s="408">
        <v>45477</v>
      </c>
      <c r="E1539" s="439" t="s">
        <v>13492</v>
      </c>
    </row>
    <row r="1540" spans="2:5">
      <c r="B1540" s="407">
        <v>2407</v>
      </c>
      <c r="C1540" s="407">
        <v>2625</v>
      </c>
      <c r="D1540" s="408">
        <v>45477</v>
      </c>
      <c r="E1540" s="439" t="s">
        <v>13493</v>
      </c>
    </row>
    <row r="1541" spans="2:5">
      <c r="B1541" s="407">
        <v>2407</v>
      </c>
      <c r="C1541" s="407">
        <v>2616</v>
      </c>
      <c r="D1541" s="408">
        <v>45477</v>
      </c>
      <c r="E1541" s="439" t="s">
        <v>13494</v>
      </c>
    </row>
    <row r="1542" spans="2:5">
      <c r="B1542" s="407">
        <v>2407</v>
      </c>
      <c r="C1542" s="407">
        <v>2604</v>
      </c>
      <c r="D1542" s="408">
        <v>45477</v>
      </c>
      <c r="E1542" s="439" t="s">
        <v>13495</v>
      </c>
    </row>
    <row r="1543" spans="2:5">
      <c r="B1543" s="409">
        <v>2407</v>
      </c>
      <c r="C1543" s="409">
        <v>2599</v>
      </c>
      <c r="D1543" s="410">
        <v>45477</v>
      </c>
      <c r="E1543" s="424" t="s">
        <v>13496</v>
      </c>
    </row>
    <row r="1544" spans="2:5">
      <c r="B1544" s="407">
        <v>2407</v>
      </c>
      <c r="C1544" s="407">
        <v>2596</v>
      </c>
      <c r="D1544" s="408">
        <v>45477</v>
      </c>
      <c r="E1544" s="439" t="s">
        <v>13497</v>
      </c>
    </row>
    <row r="1545" spans="2:5">
      <c r="B1545" s="407">
        <v>2407</v>
      </c>
      <c r="C1545" s="407">
        <v>2586</v>
      </c>
      <c r="D1545" s="408">
        <v>45477</v>
      </c>
      <c r="E1545" s="439" t="s">
        <v>13498</v>
      </c>
    </row>
    <row r="1546" spans="2:5">
      <c r="B1546" s="407">
        <v>2407</v>
      </c>
      <c r="C1546" s="407">
        <v>2552</v>
      </c>
      <c r="D1546" s="408">
        <v>45477</v>
      </c>
      <c r="E1546" s="439" t="s">
        <v>13499</v>
      </c>
    </row>
    <row r="1547" spans="2:5">
      <c r="B1547" s="407">
        <v>2407</v>
      </c>
      <c r="C1547" s="407">
        <v>2549</v>
      </c>
      <c r="D1547" s="408">
        <v>45477</v>
      </c>
      <c r="E1547" s="439" t="s">
        <v>13500</v>
      </c>
    </row>
    <row r="1548" spans="2:5">
      <c r="B1548" s="407">
        <v>2407</v>
      </c>
      <c r="C1548" s="407">
        <v>2543</v>
      </c>
      <c r="D1548" s="408">
        <v>45477</v>
      </c>
      <c r="E1548" s="439" t="s">
        <v>13501</v>
      </c>
    </row>
    <row r="1549" spans="2:5">
      <c r="B1549" s="407">
        <v>2407</v>
      </c>
      <c r="C1549" s="407">
        <v>2538</v>
      </c>
      <c r="D1549" s="408">
        <v>45475</v>
      </c>
      <c r="E1549" s="439" t="s">
        <v>13502</v>
      </c>
    </row>
    <row r="1550" spans="2:5">
      <c r="B1550" s="407">
        <v>2407</v>
      </c>
      <c r="C1550" s="407">
        <v>2534</v>
      </c>
      <c r="D1550" s="408">
        <v>45475</v>
      </c>
      <c r="E1550" s="439" t="s">
        <v>13503</v>
      </c>
    </row>
    <row r="1551" spans="2:5">
      <c r="B1551" s="407">
        <v>2407</v>
      </c>
      <c r="C1551" s="407">
        <v>2533</v>
      </c>
      <c r="D1551" s="408">
        <v>45476</v>
      </c>
      <c r="E1551" s="439" t="s">
        <v>13504</v>
      </c>
    </row>
    <row r="1552" spans="2:5">
      <c r="B1552" s="407">
        <v>2407</v>
      </c>
      <c r="C1552" s="407">
        <v>2524</v>
      </c>
      <c r="D1552" s="408">
        <v>45471</v>
      </c>
      <c r="E1552" s="439" t="s">
        <v>13505</v>
      </c>
    </row>
    <row r="1553" spans="2:5">
      <c r="B1553" s="407">
        <v>2407</v>
      </c>
      <c r="C1553" s="407">
        <v>2519</v>
      </c>
      <c r="D1553" s="408">
        <v>45468</v>
      </c>
      <c r="E1553" s="439" t="s">
        <v>13506</v>
      </c>
    </row>
    <row r="1554" spans="2:5">
      <c r="B1554" s="407">
        <v>2407</v>
      </c>
      <c r="C1554" s="407">
        <v>2518</v>
      </c>
      <c r="D1554" s="408">
        <v>45467</v>
      </c>
      <c r="E1554" s="439" t="s">
        <v>13507</v>
      </c>
    </row>
    <row r="1555" spans="2:5">
      <c r="B1555" s="407">
        <v>2407</v>
      </c>
      <c r="C1555" s="407">
        <v>2514</v>
      </c>
      <c r="D1555" s="408">
        <v>45466</v>
      </c>
      <c r="E1555" s="439" t="s">
        <v>13508</v>
      </c>
    </row>
    <row r="1556" spans="2:5">
      <c r="B1556" s="407">
        <v>2407</v>
      </c>
      <c r="C1556" s="407">
        <v>2511</v>
      </c>
      <c r="D1556" s="408">
        <v>45463</v>
      </c>
      <c r="E1556" s="439" t="s">
        <v>13509</v>
      </c>
    </row>
    <row r="1557" spans="2:5">
      <c r="B1557" s="407">
        <v>2407</v>
      </c>
      <c r="C1557" s="407">
        <v>2495</v>
      </c>
      <c r="D1557" s="408">
        <v>45404</v>
      </c>
      <c r="E1557" s="439" t="s">
        <v>13510</v>
      </c>
    </row>
    <row r="1558" spans="2:5">
      <c r="B1558" s="407">
        <v>2407</v>
      </c>
      <c r="C1558" s="407">
        <v>2490</v>
      </c>
      <c r="D1558" s="408">
        <v>45476</v>
      </c>
      <c r="E1558" s="436" t="s">
        <v>13004</v>
      </c>
    </row>
    <row r="1559" spans="2:5">
      <c r="B1559" s="407">
        <v>2407</v>
      </c>
      <c r="C1559" s="407">
        <v>2489</v>
      </c>
      <c r="D1559" s="408">
        <v>45476</v>
      </c>
      <c r="E1559" s="435" t="s">
        <v>13005</v>
      </c>
    </row>
    <row r="1560" spans="2:5">
      <c r="B1560" s="407">
        <v>2407</v>
      </c>
      <c r="C1560" s="407">
        <v>2486</v>
      </c>
      <c r="D1560" s="408">
        <v>45476</v>
      </c>
      <c r="E1560" s="435" t="s">
        <v>13006</v>
      </c>
    </row>
    <row r="1561" spans="2:5">
      <c r="B1561" s="407">
        <v>2407</v>
      </c>
      <c r="C1561" s="407">
        <v>2485</v>
      </c>
      <c r="D1561" s="408">
        <v>45476</v>
      </c>
      <c r="E1561" s="435" t="s">
        <v>13007</v>
      </c>
    </row>
    <row r="1562" spans="2:5">
      <c r="B1562" s="407">
        <v>2407</v>
      </c>
      <c r="C1562" s="407">
        <v>2484</v>
      </c>
      <c r="D1562" s="408">
        <v>45476</v>
      </c>
      <c r="E1562" s="435" t="s">
        <v>13008</v>
      </c>
    </row>
    <row r="1563" spans="2:5">
      <c r="B1563" s="407">
        <v>2407</v>
      </c>
      <c r="C1563" s="407">
        <v>2483</v>
      </c>
      <c r="D1563" s="408">
        <v>45476</v>
      </c>
      <c r="E1563" s="435" t="s">
        <v>13009</v>
      </c>
    </row>
    <row r="1564" spans="2:5">
      <c r="B1564" s="407">
        <v>2407</v>
      </c>
      <c r="C1564" s="407">
        <v>2482</v>
      </c>
      <c r="D1564" s="408">
        <v>45476</v>
      </c>
      <c r="E1564" s="435" t="s">
        <v>13010</v>
      </c>
    </row>
    <row r="1565" spans="2:5">
      <c r="B1565" s="407">
        <v>2407</v>
      </c>
      <c r="C1565" s="407">
        <v>2477</v>
      </c>
      <c r="D1565" s="408">
        <v>45476</v>
      </c>
      <c r="E1565" s="435" t="s">
        <v>13011</v>
      </c>
    </row>
    <row r="1566" spans="2:5">
      <c r="B1566" s="407">
        <v>2407</v>
      </c>
      <c r="C1566" s="407">
        <v>2476</v>
      </c>
      <c r="D1566" s="408">
        <v>45476</v>
      </c>
      <c r="E1566" s="435" t="s">
        <v>13012</v>
      </c>
    </row>
    <row r="1567" spans="2:5">
      <c r="B1567" s="407">
        <v>2407</v>
      </c>
      <c r="C1567" s="407">
        <v>2473</v>
      </c>
      <c r="D1567" s="408">
        <v>45476</v>
      </c>
      <c r="E1567" s="435" t="s">
        <v>13013</v>
      </c>
    </row>
    <row r="1568" spans="2:5">
      <c r="B1568" s="407">
        <v>2407</v>
      </c>
      <c r="C1568" s="407">
        <v>2472</v>
      </c>
      <c r="D1568" s="408">
        <v>45476</v>
      </c>
      <c r="E1568" s="435" t="s">
        <v>13015</v>
      </c>
    </row>
    <row r="1569" spans="2:5">
      <c r="B1569" s="407">
        <v>2407</v>
      </c>
      <c r="C1569" s="407">
        <v>2468</v>
      </c>
      <c r="D1569" s="408">
        <v>45476</v>
      </c>
      <c r="E1569" s="435" t="s">
        <v>13014</v>
      </c>
    </row>
    <row r="1570" spans="2:5">
      <c r="B1570" s="407">
        <v>2407</v>
      </c>
      <c r="C1570" s="407">
        <v>2466</v>
      </c>
      <c r="D1570" s="408">
        <v>45476</v>
      </c>
      <c r="E1570" s="435" t="s">
        <v>13016</v>
      </c>
    </row>
    <row r="1571" spans="2:5">
      <c r="B1571" s="407">
        <v>2407</v>
      </c>
      <c r="C1571" s="407">
        <v>2465</v>
      </c>
      <c r="D1571" s="408">
        <v>45476</v>
      </c>
      <c r="E1571" s="435" t="s">
        <v>13017</v>
      </c>
    </row>
    <row r="1572" spans="2:5">
      <c r="B1572" s="407">
        <v>2407</v>
      </c>
      <c r="C1572" s="407">
        <v>2464</v>
      </c>
      <c r="D1572" s="408">
        <v>45476</v>
      </c>
      <c r="E1572" s="435" t="s">
        <v>13018</v>
      </c>
    </row>
    <row r="1573" spans="2:5">
      <c r="B1573" s="407">
        <v>2407</v>
      </c>
      <c r="C1573" s="407">
        <v>2461</v>
      </c>
      <c r="D1573" s="408">
        <v>45476</v>
      </c>
      <c r="E1573" s="435" t="s">
        <v>13019</v>
      </c>
    </row>
    <row r="1574" spans="2:5">
      <c r="B1574" s="407">
        <v>2407</v>
      </c>
      <c r="C1574" s="407">
        <v>2448</v>
      </c>
      <c r="D1574" s="408">
        <v>45476</v>
      </c>
      <c r="E1574" s="435" t="s">
        <v>13023</v>
      </c>
    </row>
    <row r="1575" spans="2:5">
      <c r="B1575" s="407">
        <v>2407</v>
      </c>
      <c r="C1575" s="407">
        <v>2447</v>
      </c>
      <c r="D1575" s="408">
        <v>45476</v>
      </c>
      <c r="E1575" s="435" t="s">
        <v>13022</v>
      </c>
    </row>
    <row r="1576" spans="2:5">
      <c r="B1576" s="407">
        <v>2407</v>
      </c>
      <c r="C1576" s="407">
        <v>2446</v>
      </c>
      <c r="D1576" s="408">
        <v>45476</v>
      </c>
      <c r="E1576" s="435" t="s">
        <v>13021</v>
      </c>
    </row>
    <row r="1577" spans="2:5">
      <c r="B1577" s="409">
        <v>2407</v>
      </c>
      <c r="C1577" s="409">
        <v>2445</v>
      </c>
      <c r="D1577" s="410">
        <v>45476</v>
      </c>
      <c r="E1577" s="424" t="s">
        <v>13020</v>
      </c>
    </row>
    <row r="1578" spans="2:5">
      <c r="B1578" s="407">
        <v>2407</v>
      </c>
      <c r="C1578" s="407">
        <v>2439</v>
      </c>
      <c r="D1578" s="408">
        <v>45476</v>
      </c>
      <c r="E1578" s="435" t="s">
        <v>13024</v>
      </c>
    </row>
    <row r="1579" spans="2:5">
      <c r="B1579" s="407">
        <v>2407</v>
      </c>
      <c r="C1579" s="407">
        <v>2432</v>
      </c>
      <c r="D1579" s="408">
        <v>45476</v>
      </c>
      <c r="E1579" s="435" t="s">
        <v>13025</v>
      </c>
    </row>
    <row r="1580" spans="2:5">
      <c r="B1580" s="407">
        <v>2407</v>
      </c>
      <c r="C1580" s="407">
        <v>2431</v>
      </c>
      <c r="D1580" s="408">
        <v>45476</v>
      </c>
      <c r="E1580" s="435" t="s">
        <v>13026</v>
      </c>
    </row>
    <row r="1581" spans="2:5">
      <c r="B1581" s="407">
        <v>2407</v>
      </c>
      <c r="C1581" s="407">
        <v>2430</v>
      </c>
      <c r="D1581" s="408">
        <v>45476</v>
      </c>
      <c r="E1581" s="435" t="s">
        <v>13027</v>
      </c>
    </row>
    <row r="1582" spans="2:5">
      <c r="B1582" s="407">
        <v>2407</v>
      </c>
      <c r="C1582" s="407">
        <v>2428</v>
      </c>
      <c r="D1582" s="408">
        <v>45476</v>
      </c>
      <c r="E1582" s="435" t="s">
        <v>13028</v>
      </c>
    </row>
    <row r="1583" spans="2:5">
      <c r="B1583" s="407">
        <v>2407</v>
      </c>
      <c r="C1583" s="407">
        <v>2425</v>
      </c>
      <c r="D1583" s="408">
        <v>45476</v>
      </c>
      <c r="E1583" s="435" t="s">
        <v>13029</v>
      </c>
    </row>
    <row r="1584" spans="2:5">
      <c r="B1584" s="407">
        <v>2407</v>
      </c>
      <c r="C1584" s="407">
        <v>2424</v>
      </c>
      <c r="D1584" s="408">
        <v>45476</v>
      </c>
      <c r="E1584" s="435" t="s">
        <v>13030</v>
      </c>
    </row>
    <row r="1585" spans="2:5">
      <c r="B1585" s="407">
        <v>2407</v>
      </c>
      <c r="C1585" s="407">
        <v>2423</v>
      </c>
      <c r="D1585" s="408">
        <v>45476</v>
      </c>
      <c r="E1585" s="435" t="s">
        <v>13031</v>
      </c>
    </row>
    <row r="1586" spans="2:5">
      <c r="B1586" s="407">
        <v>2407</v>
      </c>
      <c r="C1586" s="407">
        <v>2422</v>
      </c>
      <c r="D1586" s="408">
        <v>45476</v>
      </c>
      <c r="E1586" s="435" t="s">
        <v>13032</v>
      </c>
    </row>
    <row r="1587" spans="2:5">
      <c r="B1587" s="407">
        <v>2407</v>
      </c>
      <c r="C1587" s="407">
        <v>2418</v>
      </c>
      <c r="D1587" s="408">
        <v>45476</v>
      </c>
      <c r="E1587" s="435" t="s">
        <v>13033</v>
      </c>
    </row>
    <row r="1588" spans="2:5">
      <c r="B1588" s="407">
        <v>2407</v>
      </c>
      <c r="C1588" s="407">
        <v>2411</v>
      </c>
      <c r="D1588" s="408">
        <v>45476</v>
      </c>
      <c r="E1588" s="435" t="s">
        <v>13034</v>
      </c>
    </row>
    <row r="1589" spans="2:5">
      <c r="B1589" s="407">
        <v>2407</v>
      </c>
      <c r="C1589" s="407">
        <v>2409</v>
      </c>
      <c r="D1589" s="408">
        <v>45476</v>
      </c>
      <c r="E1589" s="435" t="s">
        <v>13035</v>
      </c>
    </row>
    <row r="1590" spans="2:5">
      <c r="B1590" s="407">
        <v>2407</v>
      </c>
      <c r="C1590" s="407">
        <v>2408</v>
      </c>
      <c r="D1590" s="408">
        <v>45476</v>
      </c>
      <c r="E1590" s="435" t="s">
        <v>13036</v>
      </c>
    </row>
    <row r="1591" spans="2:5">
      <c r="B1591" s="407">
        <v>2407</v>
      </c>
      <c r="C1591" s="407">
        <v>2403</v>
      </c>
      <c r="D1591" s="408">
        <v>45476</v>
      </c>
      <c r="E1591" s="435" t="s">
        <v>13037</v>
      </c>
    </row>
    <row r="1592" spans="2:5">
      <c r="B1592" s="407">
        <v>2407</v>
      </c>
      <c r="C1592" s="407">
        <v>2402</v>
      </c>
      <c r="D1592" s="408">
        <v>45476</v>
      </c>
      <c r="E1592" s="435" t="s">
        <v>13038</v>
      </c>
    </row>
    <row r="1593" spans="2:5">
      <c r="B1593" s="407">
        <v>2407</v>
      </c>
      <c r="C1593" s="407">
        <v>2398</v>
      </c>
      <c r="D1593" s="408">
        <v>45476</v>
      </c>
      <c r="E1593" s="435" t="s">
        <v>13039</v>
      </c>
    </row>
    <row r="1594" spans="2:5">
      <c r="B1594" s="407">
        <v>2407</v>
      </c>
      <c r="C1594" s="407">
        <v>2397</v>
      </c>
      <c r="D1594" s="408">
        <v>45476</v>
      </c>
      <c r="E1594" s="435" t="s">
        <v>13040</v>
      </c>
    </row>
    <row r="1595" spans="2:5">
      <c r="B1595" s="407">
        <v>2407</v>
      </c>
      <c r="C1595" s="407">
        <v>2395</v>
      </c>
      <c r="D1595" s="408">
        <v>45476</v>
      </c>
      <c r="E1595" s="435" t="s">
        <v>13041</v>
      </c>
    </row>
    <row r="1596" spans="2:5">
      <c r="B1596" s="407">
        <v>2407</v>
      </c>
      <c r="C1596" s="407">
        <v>2394</v>
      </c>
      <c r="D1596" s="408">
        <v>45476</v>
      </c>
      <c r="E1596" s="435" t="s">
        <v>13042</v>
      </c>
    </row>
    <row r="1597" spans="2:5">
      <c r="B1597" s="407">
        <v>2407</v>
      </c>
      <c r="C1597" s="407">
        <v>2392</v>
      </c>
      <c r="D1597" s="408">
        <v>45476</v>
      </c>
      <c r="E1597" s="435" t="s">
        <v>13043</v>
      </c>
    </row>
    <row r="1598" spans="2:5">
      <c r="B1598" s="407">
        <v>2407</v>
      </c>
      <c r="C1598" s="407">
        <v>2389</v>
      </c>
      <c r="D1598" s="408">
        <v>45476</v>
      </c>
      <c r="E1598" s="435" t="s">
        <v>13044</v>
      </c>
    </row>
    <row r="1599" spans="2:5">
      <c r="B1599" s="407">
        <v>2407</v>
      </c>
      <c r="C1599" s="407">
        <v>2387</v>
      </c>
      <c r="D1599" s="408">
        <v>45476</v>
      </c>
      <c r="E1599" s="435" t="s">
        <v>13045</v>
      </c>
    </row>
    <row r="1600" spans="2:5">
      <c r="B1600" s="407">
        <v>2407</v>
      </c>
      <c r="C1600" s="407">
        <v>2386</v>
      </c>
      <c r="D1600" s="408">
        <v>45476</v>
      </c>
      <c r="E1600" s="435" t="s">
        <v>13046</v>
      </c>
    </row>
    <row r="1601" spans="2:5">
      <c r="B1601" s="407">
        <v>2407</v>
      </c>
      <c r="C1601" s="407">
        <v>2382</v>
      </c>
      <c r="D1601" s="408">
        <v>45476</v>
      </c>
      <c r="E1601" s="435" t="s">
        <v>13047</v>
      </c>
    </row>
    <row r="1602" spans="2:5">
      <c r="B1602" s="407">
        <v>2407</v>
      </c>
      <c r="C1602" s="407">
        <v>2381</v>
      </c>
      <c r="D1602" s="408">
        <v>45476</v>
      </c>
      <c r="E1602" s="435" t="s">
        <v>13048</v>
      </c>
    </row>
    <row r="1603" spans="2:5">
      <c r="B1603" s="407">
        <v>2407</v>
      </c>
      <c r="C1603" s="407">
        <v>2371</v>
      </c>
      <c r="D1603" s="408">
        <v>45476</v>
      </c>
      <c r="E1603" s="435" t="s">
        <v>13049</v>
      </c>
    </row>
    <row r="1604" spans="2:5">
      <c r="B1604" s="407">
        <v>2407</v>
      </c>
      <c r="C1604" s="407">
        <v>2370</v>
      </c>
      <c r="D1604" s="408">
        <v>45476</v>
      </c>
      <c r="E1604" s="435" t="s">
        <v>13050</v>
      </c>
    </row>
    <row r="1605" spans="2:5">
      <c r="B1605" s="407">
        <v>2407</v>
      </c>
      <c r="C1605" s="407">
        <v>2369</v>
      </c>
      <c r="D1605" s="408">
        <v>45476</v>
      </c>
      <c r="E1605" s="435" t="s">
        <v>13051</v>
      </c>
    </row>
    <row r="1606" spans="2:5">
      <c r="B1606" s="407">
        <v>2407</v>
      </c>
      <c r="C1606" s="407">
        <v>2362</v>
      </c>
      <c r="D1606" s="408">
        <v>45476</v>
      </c>
      <c r="E1606" s="435" t="s">
        <v>13052</v>
      </c>
    </row>
    <row r="1607" spans="2:5">
      <c r="B1607" s="407">
        <v>2407</v>
      </c>
      <c r="C1607" s="407">
        <v>2361</v>
      </c>
      <c r="D1607" s="408">
        <v>45476</v>
      </c>
      <c r="E1607" s="435" t="s">
        <v>13053</v>
      </c>
    </row>
    <row r="1608" spans="2:5">
      <c r="B1608" s="407">
        <v>2407</v>
      </c>
      <c r="C1608" s="407">
        <v>2356</v>
      </c>
      <c r="D1608" s="408">
        <v>45476</v>
      </c>
      <c r="E1608" s="435" t="s">
        <v>13054</v>
      </c>
    </row>
    <row r="1609" spans="2:5">
      <c r="B1609" s="407">
        <v>2407</v>
      </c>
      <c r="C1609" s="407">
        <v>2354</v>
      </c>
      <c r="D1609" s="408">
        <v>45476</v>
      </c>
      <c r="E1609" s="435" t="s">
        <v>13055</v>
      </c>
    </row>
    <row r="1610" spans="2:5">
      <c r="B1610" s="407">
        <v>2407</v>
      </c>
      <c r="C1610" s="407">
        <v>2353</v>
      </c>
      <c r="D1610" s="408">
        <v>45476</v>
      </c>
      <c r="E1610" s="435" t="s">
        <v>13056</v>
      </c>
    </row>
    <row r="1611" spans="2:5">
      <c r="B1611" s="407">
        <v>2407</v>
      </c>
      <c r="C1611" s="407">
        <v>2352</v>
      </c>
      <c r="D1611" s="408">
        <v>45476</v>
      </c>
      <c r="E1611" s="435" t="s">
        <v>13057</v>
      </c>
    </row>
    <row r="1612" spans="2:5">
      <c r="B1612" s="407">
        <v>2407</v>
      </c>
      <c r="C1612" s="407">
        <v>2351</v>
      </c>
      <c r="D1612" s="408">
        <v>45476</v>
      </c>
      <c r="E1612" s="435" t="s">
        <v>13058</v>
      </c>
    </row>
    <row r="1613" spans="2:5">
      <c r="B1613" s="407">
        <v>2407</v>
      </c>
      <c r="C1613" s="407">
        <v>2350</v>
      </c>
      <c r="D1613" s="408">
        <v>45476</v>
      </c>
      <c r="E1613" s="435" t="s">
        <v>13059</v>
      </c>
    </row>
    <row r="1614" spans="2:5">
      <c r="B1614" s="407">
        <v>2407</v>
      </c>
      <c r="C1614" s="407">
        <v>2348</v>
      </c>
      <c r="D1614" s="408">
        <v>45476</v>
      </c>
      <c r="E1614" s="435" t="s">
        <v>13060</v>
      </c>
    </row>
    <row r="1615" spans="2:5">
      <c r="B1615" s="407">
        <v>2407</v>
      </c>
      <c r="C1615" s="407">
        <v>2345</v>
      </c>
      <c r="D1615" s="408">
        <v>45476</v>
      </c>
      <c r="E1615" s="435" t="s">
        <v>13061</v>
      </c>
    </row>
    <row r="1616" spans="2:5">
      <c r="B1616" s="407">
        <v>2407</v>
      </c>
      <c r="C1616" s="407">
        <v>2340</v>
      </c>
      <c r="D1616" s="408">
        <v>45476</v>
      </c>
      <c r="E1616" s="435" t="s">
        <v>13062</v>
      </c>
    </row>
    <row r="1617" spans="2:5">
      <c r="B1617" s="407">
        <v>2407</v>
      </c>
      <c r="C1617" s="407">
        <v>2337</v>
      </c>
      <c r="D1617" s="408">
        <v>45476</v>
      </c>
      <c r="E1617" s="435" t="s">
        <v>13063</v>
      </c>
    </row>
    <row r="1618" spans="2:5">
      <c r="B1618" s="407">
        <v>2407</v>
      </c>
      <c r="C1618" s="407">
        <v>2336</v>
      </c>
      <c r="D1618" s="408">
        <v>45476</v>
      </c>
      <c r="E1618" s="435" t="s">
        <v>13064</v>
      </c>
    </row>
    <row r="1619" spans="2:5">
      <c r="B1619" s="407">
        <v>2407</v>
      </c>
      <c r="C1619" s="407">
        <v>2335</v>
      </c>
      <c r="D1619" s="408">
        <v>45476</v>
      </c>
      <c r="E1619" s="435" t="s">
        <v>13065</v>
      </c>
    </row>
    <row r="1620" spans="2:5">
      <c r="B1620" s="407">
        <v>2407</v>
      </c>
      <c r="C1620" s="407">
        <v>2333</v>
      </c>
      <c r="D1620" s="408">
        <v>45476</v>
      </c>
      <c r="E1620" s="435" t="s">
        <v>13066</v>
      </c>
    </row>
    <row r="1621" spans="2:5">
      <c r="B1621" s="409">
        <v>2407</v>
      </c>
      <c r="C1621" s="409">
        <v>2329</v>
      </c>
      <c r="D1621" s="410">
        <v>45476</v>
      </c>
      <c r="E1621" s="424" t="s">
        <v>13067</v>
      </c>
    </row>
    <row r="1622" spans="2:5">
      <c r="B1622" s="407">
        <v>2407</v>
      </c>
      <c r="C1622" s="407">
        <v>2328</v>
      </c>
      <c r="D1622" s="408">
        <v>45476</v>
      </c>
      <c r="E1622" s="435" t="s">
        <v>13068</v>
      </c>
    </row>
    <row r="1623" spans="2:5">
      <c r="B1623" s="407">
        <v>2407</v>
      </c>
      <c r="C1623" s="407">
        <v>2327</v>
      </c>
      <c r="D1623" s="408">
        <v>45476</v>
      </c>
      <c r="E1623" s="435" t="s">
        <v>13069</v>
      </c>
    </row>
    <row r="1624" spans="2:5">
      <c r="B1624" s="407">
        <v>2407</v>
      </c>
      <c r="C1624" s="407">
        <v>2322</v>
      </c>
      <c r="D1624" s="408">
        <v>45476</v>
      </c>
      <c r="E1624" s="435" t="s">
        <v>13070</v>
      </c>
    </row>
    <row r="1625" spans="2:5">
      <c r="B1625" s="407">
        <v>2407</v>
      </c>
      <c r="C1625" s="407">
        <v>2320</v>
      </c>
      <c r="D1625" s="408">
        <v>45476</v>
      </c>
      <c r="E1625" s="435" t="s">
        <v>13071</v>
      </c>
    </row>
    <row r="1626" spans="2:5">
      <c r="B1626" s="407">
        <v>2407</v>
      </c>
      <c r="C1626" s="407">
        <v>2318</v>
      </c>
      <c r="D1626" s="408">
        <v>45476</v>
      </c>
      <c r="E1626" s="435" t="s">
        <v>13072</v>
      </c>
    </row>
    <row r="1627" spans="2:5">
      <c r="B1627" s="407">
        <v>2407</v>
      </c>
      <c r="C1627" s="407">
        <v>2317</v>
      </c>
      <c r="D1627" s="408">
        <v>45476</v>
      </c>
      <c r="E1627" s="435" t="s">
        <v>13073</v>
      </c>
    </row>
    <row r="1628" spans="2:5">
      <c r="B1628" s="407">
        <v>2407</v>
      </c>
      <c r="C1628" s="407">
        <v>2315</v>
      </c>
      <c r="D1628" s="408">
        <v>45476</v>
      </c>
      <c r="E1628" s="435" t="s">
        <v>13074</v>
      </c>
    </row>
    <row r="1629" spans="2:5">
      <c r="B1629" s="407">
        <v>2407</v>
      </c>
      <c r="C1629" s="407">
        <v>2310</v>
      </c>
      <c r="D1629" s="408">
        <v>45476</v>
      </c>
      <c r="E1629" s="435" t="s">
        <v>13075</v>
      </c>
    </row>
    <row r="1630" spans="2:5">
      <c r="B1630" s="407">
        <v>2407</v>
      </c>
      <c r="C1630" s="407">
        <v>2309</v>
      </c>
      <c r="D1630" s="408">
        <v>45476</v>
      </c>
      <c r="E1630" s="435" t="s">
        <v>13076</v>
      </c>
    </row>
    <row r="1631" spans="2:5">
      <c r="B1631" s="407">
        <v>2407</v>
      </c>
      <c r="C1631" s="407">
        <v>2302</v>
      </c>
      <c r="D1631" s="408">
        <v>45476</v>
      </c>
      <c r="E1631" s="435" t="s">
        <v>13077</v>
      </c>
    </row>
    <row r="1632" spans="2:5">
      <c r="B1632" s="407">
        <v>2407</v>
      </c>
      <c r="C1632" s="407">
        <v>2301</v>
      </c>
      <c r="D1632" s="408">
        <v>45476</v>
      </c>
      <c r="E1632" s="435" t="s">
        <v>13078</v>
      </c>
    </row>
    <row r="1633" spans="2:5">
      <c r="B1633" s="407">
        <v>2407</v>
      </c>
      <c r="C1633" s="407">
        <v>2284</v>
      </c>
      <c r="D1633" s="408">
        <v>45476</v>
      </c>
      <c r="E1633" s="435" t="s">
        <v>13079</v>
      </c>
    </row>
    <row r="1634" spans="2:5">
      <c r="B1634" s="407">
        <v>2407</v>
      </c>
      <c r="C1634" s="407">
        <v>2283</v>
      </c>
      <c r="D1634" s="408">
        <v>45476</v>
      </c>
      <c r="E1634" s="435" t="s">
        <v>13080</v>
      </c>
    </row>
    <row r="1635" spans="2:5">
      <c r="B1635" s="407">
        <v>2407</v>
      </c>
      <c r="C1635" s="407">
        <v>2282</v>
      </c>
      <c r="D1635" s="408">
        <v>45476</v>
      </c>
      <c r="E1635" s="435" t="s">
        <v>13081</v>
      </c>
    </row>
    <row r="1636" spans="2:5">
      <c r="B1636" s="407">
        <v>2407</v>
      </c>
      <c r="C1636" s="407">
        <v>2280</v>
      </c>
      <c r="D1636" s="408">
        <v>45476</v>
      </c>
      <c r="E1636" s="435" t="s">
        <v>13082</v>
      </c>
    </row>
    <row r="1637" spans="2:5">
      <c r="B1637" s="407">
        <v>2407</v>
      </c>
      <c r="C1637" s="407">
        <v>2279</v>
      </c>
      <c r="D1637" s="408">
        <v>45476</v>
      </c>
      <c r="E1637" s="435" t="s">
        <v>13083</v>
      </c>
    </row>
    <row r="1638" spans="2:5">
      <c r="B1638" s="407">
        <v>2407</v>
      </c>
      <c r="C1638" s="407">
        <v>2277</v>
      </c>
      <c r="D1638" s="408">
        <v>45476</v>
      </c>
      <c r="E1638" s="435" t="s">
        <v>13084</v>
      </c>
    </row>
    <row r="1639" spans="2:5">
      <c r="B1639" s="407">
        <v>2407</v>
      </c>
      <c r="C1639" s="407">
        <v>2275</v>
      </c>
      <c r="D1639" s="408">
        <v>45476</v>
      </c>
      <c r="E1639" s="435" t="s">
        <v>13085</v>
      </c>
    </row>
    <row r="1640" spans="2:5">
      <c r="B1640" s="407">
        <v>2407</v>
      </c>
      <c r="C1640" s="407">
        <v>2274</v>
      </c>
      <c r="D1640" s="408">
        <v>45476</v>
      </c>
      <c r="E1640" s="435" t="s">
        <v>13086</v>
      </c>
    </row>
    <row r="1641" spans="2:5">
      <c r="B1641" s="407">
        <v>2407</v>
      </c>
      <c r="C1641" s="407">
        <v>2273</v>
      </c>
      <c r="D1641" s="408">
        <v>45476</v>
      </c>
      <c r="E1641" s="435" t="s">
        <v>13087</v>
      </c>
    </row>
    <row r="1642" spans="2:5">
      <c r="B1642" s="407">
        <v>2407</v>
      </c>
      <c r="C1642" s="407">
        <v>2272</v>
      </c>
      <c r="D1642" s="408">
        <v>45476</v>
      </c>
      <c r="E1642" s="435" t="s">
        <v>13088</v>
      </c>
    </row>
    <row r="1643" spans="2:5">
      <c r="B1643" s="407">
        <v>2407</v>
      </c>
      <c r="C1643" s="407">
        <v>2271</v>
      </c>
      <c r="D1643" s="408">
        <v>45476</v>
      </c>
      <c r="E1643" s="435" t="s">
        <v>13089</v>
      </c>
    </row>
    <row r="1644" spans="2:5">
      <c r="B1644" s="407">
        <v>2407</v>
      </c>
      <c r="C1644" s="407">
        <v>2265</v>
      </c>
      <c r="D1644" s="408">
        <v>45476</v>
      </c>
      <c r="E1644" s="437" t="s">
        <v>13090</v>
      </c>
    </row>
    <row r="1645" spans="2:5">
      <c r="B1645" s="407">
        <v>2407</v>
      </c>
      <c r="C1645" s="407">
        <v>2264</v>
      </c>
      <c r="D1645" s="408">
        <v>45476</v>
      </c>
      <c r="E1645" s="435" t="s">
        <v>13091</v>
      </c>
    </row>
    <row r="1646" spans="2:5">
      <c r="B1646" s="407">
        <v>2407</v>
      </c>
      <c r="C1646" s="407">
        <v>2263</v>
      </c>
      <c r="D1646" s="408">
        <v>45476</v>
      </c>
      <c r="E1646" s="435" t="s">
        <v>13092</v>
      </c>
    </row>
    <row r="1647" spans="2:5">
      <c r="B1647" s="407">
        <v>2407</v>
      </c>
      <c r="C1647" s="407">
        <v>2261</v>
      </c>
      <c r="D1647" s="408">
        <v>45476</v>
      </c>
      <c r="E1647" s="435" t="s">
        <v>13093</v>
      </c>
    </row>
    <row r="1648" spans="2:5">
      <c r="B1648" s="407">
        <v>2407</v>
      </c>
      <c r="C1648" s="407">
        <v>2258</v>
      </c>
      <c r="D1648" s="408">
        <v>45476</v>
      </c>
      <c r="E1648" s="435" t="s">
        <v>13094</v>
      </c>
    </row>
    <row r="1649" spans="2:5">
      <c r="B1649" s="407">
        <v>2407</v>
      </c>
      <c r="C1649" s="407">
        <v>2253</v>
      </c>
      <c r="D1649" s="408">
        <v>45476</v>
      </c>
      <c r="E1649" s="435" t="s">
        <v>13095</v>
      </c>
    </row>
    <row r="1650" spans="2:5">
      <c r="B1650" s="407">
        <v>2407</v>
      </c>
      <c r="C1650" s="407">
        <v>2252</v>
      </c>
      <c r="D1650" s="408">
        <v>45476</v>
      </c>
      <c r="E1650" s="435" t="s">
        <v>13096</v>
      </c>
    </row>
    <row r="1651" spans="2:5">
      <c r="B1651" s="407">
        <v>2407</v>
      </c>
      <c r="C1651" s="407">
        <v>2248</v>
      </c>
      <c r="D1651" s="408">
        <v>45476</v>
      </c>
      <c r="E1651" s="435" t="s">
        <v>13097</v>
      </c>
    </row>
    <row r="1652" spans="2:5">
      <c r="B1652" s="407">
        <v>2407</v>
      </c>
      <c r="C1652" s="407">
        <v>2245</v>
      </c>
      <c r="D1652" s="408">
        <v>45476</v>
      </c>
      <c r="E1652" s="435" t="s">
        <v>13098</v>
      </c>
    </row>
    <row r="1653" spans="2:5">
      <c r="B1653" s="409">
        <v>2407</v>
      </c>
      <c r="C1653" s="409">
        <v>2243</v>
      </c>
      <c r="D1653" s="410">
        <v>45476</v>
      </c>
      <c r="E1653" s="424" t="s">
        <v>13099</v>
      </c>
    </row>
    <row r="1654" spans="2:5">
      <c r="B1654" s="407">
        <v>2407</v>
      </c>
      <c r="C1654" s="407">
        <v>2241</v>
      </c>
      <c r="D1654" s="408">
        <v>45476</v>
      </c>
      <c r="E1654" s="435" t="s">
        <v>13100</v>
      </c>
    </row>
    <row r="1655" spans="2:5">
      <c r="B1655" s="407">
        <v>2407</v>
      </c>
      <c r="C1655" s="407">
        <v>2240</v>
      </c>
      <c r="D1655" s="408">
        <v>45476</v>
      </c>
      <c r="E1655" s="435" t="s">
        <v>13101</v>
      </c>
    </row>
    <row r="1656" spans="2:5">
      <c r="B1656" s="407">
        <v>2407</v>
      </c>
      <c r="C1656" s="407">
        <v>2238</v>
      </c>
      <c r="D1656" s="408">
        <v>45476</v>
      </c>
      <c r="E1656" s="435" t="s">
        <v>13102</v>
      </c>
    </row>
    <row r="1657" spans="2:5">
      <c r="B1657" s="407">
        <v>2407</v>
      </c>
      <c r="C1657" s="407">
        <v>2236</v>
      </c>
      <c r="D1657" s="408">
        <v>45476</v>
      </c>
      <c r="E1657" s="435" t="s">
        <v>13103</v>
      </c>
    </row>
    <row r="1658" spans="2:5">
      <c r="B1658" s="407">
        <v>2407</v>
      </c>
      <c r="C1658" s="407">
        <v>2235</v>
      </c>
      <c r="D1658" s="408">
        <v>45476</v>
      </c>
      <c r="E1658" s="435" t="s">
        <v>13104</v>
      </c>
    </row>
    <row r="1659" spans="2:5">
      <c r="B1659" s="407">
        <v>2407</v>
      </c>
      <c r="C1659" s="407">
        <v>2233</v>
      </c>
      <c r="D1659" s="408">
        <v>45476</v>
      </c>
      <c r="E1659" s="435" t="s">
        <v>13105</v>
      </c>
    </row>
    <row r="1660" spans="2:5">
      <c r="B1660" s="407">
        <v>2407</v>
      </c>
      <c r="C1660" s="407">
        <v>2231</v>
      </c>
      <c r="D1660" s="408">
        <v>45476</v>
      </c>
      <c r="E1660" s="435" t="s">
        <v>13106</v>
      </c>
    </row>
    <row r="1661" spans="2:5">
      <c r="B1661" s="407">
        <v>2407</v>
      </c>
      <c r="C1661" s="407">
        <v>2229</v>
      </c>
      <c r="D1661" s="408">
        <v>45476</v>
      </c>
      <c r="E1661" s="435" t="s">
        <v>13107</v>
      </c>
    </row>
    <row r="1662" spans="2:5">
      <c r="B1662" s="407">
        <v>2407</v>
      </c>
      <c r="C1662" s="407">
        <v>2228</v>
      </c>
      <c r="D1662" s="408">
        <v>45476</v>
      </c>
      <c r="E1662" s="435" t="s">
        <v>13108</v>
      </c>
    </row>
    <row r="1663" spans="2:5">
      <c r="B1663" s="407">
        <v>2407</v>
      </c>
      <c r="C1663" s="407">
        <v>2222</v>
      </c>
      <c r="D1663" s="408">
        <v>45476</v>
      </c>
      <c r="E1663" s="435" t="s">
        <v>13109</v>
      </c>
    </row>
    <row r="1664" spans="2:5">
      <c r="B1664" s="407">
        <v>2407</v>
      </c>
      <c r="C1664" s="407">
        <v>2220</v>
      </c>
      <c r="D1664" s="408">
        <v>45476</v>
      </c>
      <c r="E1664" s="435" t="s">
        <v>13110</v>
      </c>
    </row>
    <row r="1665" spans="2:5">
      <c r="B1665" s="407">
        <v>2407</v>
      </c>
      <c r="C1665" s="407">
        <v>2218</v>
      </c>
      <c r="D1665" s="408">
        <v>45476</v>
      </c>
      <c r="E1665" s="435" t="s">
        <v>13111</v>
      </c>
    </row>
    <row r="1666" spans="2:5">
      <c r="B1666" s="407">
        <v>2407</v>
      </c>
      <c r="C1666" s="407">
        <v>2217</v>
      </c>
      <c r="D1666" s="408">
        <v>45476</v>
      </c>
      <c r="E1666" s="435" t="s">
        <v>13112</v>
      </c>
    </row>
    <row r="1667" spans="2:5">
      <c r="B1667" s="407">
        <v>2407</v>
      </c>
      <c r="C1667" s="407">
        <v>2211</v>
      </c>
      <c r="D1667" s="408">
        <v>45476</v>
      </c>
      <c r="E1667" s="435" t="s">
        <v>13113</v>
      </c>
    </row>
    <row r="1668" spans="2:5">
      <c r="B1668" s="407">
        <v>2407</v>
      </c>
      <c r="C1668" s="407">
        <v>2209</v>
      </c>
      <c r="D1668" s="408">
        <v>45476</v>
      </c>
      <c r="E1668" s="435" t="s">
        <v>13114</v>
      </c>
    </row>
    <row r="1669" spans="2:5">
      <c r="B1669" s="407">
        <v>2407</v>
      </c>
      <c r="C1669" s="407">
        <v>2208</v>
      </c>
      <c r="D1669" s="408">
        <v>45476</v>
      </c>
      <c r="E1669" s="435" t="s">
        <v>13115</v>
      </c>
    </row>
    <row r="1670" spans="2:5">
      <c r="B1670" s="407">
        <v>2407</v>
      </c>
      <c r="C1670" s="407">
        <v>2203</v>
      </c>
      <c r="D1670" s="408">
        <v>45476</v>
      </c>
      <c r="E1670" s="435" t="s">
        <v>13116</v>
      </c>
    </row>
    <row r="1671" spans="2:5">
      <c r="B1671" s="407">
        <v>2407</v>
      </c>
      <c r="C1671" s="407">
        <v>2197</v>
      </c>
      <c r="D1671" s="408">
        <v>45476</v>
      </c>
      <c r="E1671" s="435" t="s">
        <v>13117</v>
      </c>
    </row>
    <row r="1672" spans="2:5">
      <c r="B1672" s="407">
        <v>2407</v>
      </c>
      <c r="C1672" s="407">
        <v>2187</v>
      </c>
      <c r="D1672" s="408">
        <v>45476</v>
      </c>
      <c r="E1672" s="435" t="s">
        <v>13118</v>
      </c>
    </row>
    <row r="1673" spans="2:5">
      <c r="B1673" s="407">
        <v>2407</v>
      </c>
      <c r="C1673" s="407">
        <v>2182</v>
      </c>
      <c r="D1673" s="408">
        <v>45476</v>
      </c>
      <c r="E1673" s="435" t="s">
        <v>13119</v>
      </c>
    </row>
    <row r="1674" spans="2:5">
      <c r="B1674" s="409">
        <v>2407</v>
      </c>
      <c r="C1674" s="409">
        <v>2174</v>
      </c>
      <c r="D1674" s="410">
        <v>45476</v>
      </c>
      <c r="E1674" s="424" t="s">
        <v>13120</v>
      </c>
    </row>
    <row r="1675" spans="2:5">
      <c r="B1675" s="409">
        <v>2407</v>
      </c>
      <c r="C1675" s="409">
        <v>2170</v>
      </c>
      <c r="D1675" s="410">
        <v>45476</v>
      </c>
      <c r="E1675" s="424" t="s">
        <v>13121</v>
      </c>
    </row>
    <row r="1676" spans="2:5">
      <c r="B1676" s="409">
        <v>2407</v>
      </c>
      <c r="C1676" s="409">
        <v>2165</v>
      </c>
      <c r="D1676" s="410">
        <v>45476</v>
      </c>
      <c r="E1676" s="424" t="s">
        <v>13122</v>
      </c>
    </row>
    <row r="1677" spans="2:5">
      <c r="B1677" s="407">
        <v>2407</v>
      </c>
      <c r="C1677" s="407">
        <v>2159</v>
      </c>
      <c r="D1677" s="408">
        <v>45476</v>
      </c>
      <c r="E1677" s="435" t="s">
        <v>13123</v>
      </c>
    </row>
    <row r="1678" spans="2:5">
      <c r="B1678" s="409">
        <v>2407</v>
      </c>
      <c r="C1678" s="409">
        <v>2158</v>
      </c>
      <c r="D1678" s="410">
        <v>45476</v>
      </c>
      <c r="E1678" s="424" t="s">
        <v>13124</v>
      </c>
    </row>
    <row r="1679" spans="2:5">
      <c r="B1679" s="407">
        <v>2407</v>
      </c>
      <c r="C1679" s="407">
        <v>2157</v>
      </c>
      <c r="D1679" s="408">
        <v>45476</v>
      </c>
      <c r="E1679" s="435" t="s">
        <v>13125</v>
      </c>
    </row>
    <row r="1680" spans="2:5">
      <c r="B1680" s="409">
        <v>2407</v>
      </c>
      <c r="C1680" s="409">
        <v>2156</v>
      </c>
      <c r="D1680" s="410">
        <v>45476</v>
      </c>
      <c r="E1680" s="424" t="s">
        <v>13126</v>
      </c>
    </row>
    <row r="1681" spans="2:5">
      <c r="B1681" s="407">
        <v>2407</v>
      </c>
      <c r="C1681" s="407">
        <v>2153</v>
      </c>
      <c r="D1681" s="408">
        <v>45476</v>
      </c>
      <c r="E1681" s="435" t="s">
        <v>13127</v>
      </c>
    </row>
    <row r="1682" spans="2:5">
      <c r="B1682" s="407">
        <v>2407</v>
      </c>
      <c r="C1682" s="407">
        <v>2151</v>
      </c>
      <c r="D1682" s="408">
        <v>45476</v>
      </c>
      <c r="E1682" s="435" t="s">
        <v>13128</v>
      </c>
    </row>
    <row r="1683" spans="2:5">
      <c r="B1683" s="407">
        <v>2407</v>
      </c>
      <c r="C1683" s="407">
        <v>2150</v>
      </c>
      <c r="D1683" s="408">
        <v>45476</v>
      </c>
      <c r="E1683" s="435" t="s">
        <v>13129</v>
      </c>
    </row>
    <row r="1684" spans="2:5">
      <c r="B1684" s="407">
        <v>2407</v>
      </c>
      <c r="C1684" s="407">
        <v>2147</v>
      </c>
      <c r="D1684" s="408">
        <v>45476</v>
      </c>
      <c r="E1684" s="435" t="s">
        <v>13130</v>
      </c>
    </row>
    <row r="1685" spans="2:5">
      <c r="B1685" s="407">
        <v>2407</v>
      </c>
      <c r="C1685" s="407">
        <v>2143</v>
      </c>
      <c r="D1685" s="408">
        <v>45476</v>
      </c>
      <c r="E1685" s="435" t="s">
        <v>13131</v>
      </c>
    </row>
    <row r="1686" spans="2:5">
      <c r="B1686" s="407">
        <v>2407</v>
      </c>
      <c r="C1686" s="407">
        <v>2138</v>
      </c>
      <c r="D1686" s="408">
        <v>45476</v>
      </c>
      <c r="E1686" s="435" t="s">
        <v>13132</v>
      </c>
    </row>
    <row r="1687" spans="2:5">
      <c r="B1687" s="407">
        <v>2407</v>
      </c>
      <c r="C1687" s="407">
        <v>2136</v>
      </c>
      <c r="D1687" s="408">
        <v>45476</v>
      </c>
      <c r="E1687" s="435" t="s">
        <v>13133</v>
      </c>
    </row>
    <row r="1688" spans="2:5">
      <c r="B1688" s="407">
        <v>2407</v>
      </c>
      <c r="C1688" s="407">
        <v>2134</v>
      </c>
      <c r="D1688" s="408">
        <v>45476</v>
      </c>
      <c r="E1688" s="435" t="s">
        <v>13134</v>
      </c>
    </row>
    <row r="1689" spans="2:5">
      <c r="B1689" s="407">
        <v>2407</v>
      </c>
      <c r="C1689" s="407">
        <v>2129</v>
      </c>
      <c r="D1689" s="408">
        <v>45476</v>
      </c>
      <c r="E1689" s="435" t="s">
        <v>13135</v>
      </c>
    </row>
    <row r="1690" spans="2:5">
      <c r="B1690" s="407">
        <v>2407</v>
      </c>
      <c r="C1690" s="407">
        <v>2125</v>
      </c>
      <c r="D1690" s="408">
        <v>45476</v>
      </c>
      <c r="E1690" s="435" t="s">
        <v>13136</v>
      </c>
    </row>
    <row r="1691" spans="2:5">
      <c r="B1691" s="407">
        <v>2407</v>
      </c>
      <c r="C1691" s="407">
        <v>2123</v>
      </c>
      <c r="D1691" s="408">
        <v>45476</v>
      </c>
      <c r="E1691" s="435" t="s">
        <v>13137</v>
      </c>
    </row>
    <row r="1692" spans="2:5">
      <c r="B1692" s="407">
        <v>2407</v>
      </c>
      <c r="C1692" s="407">
        <v>2122</v>
      </c>
      <c r="D1692" s="408">
        <v>45476</v>
      </c>
      <c r="E1692" s="435" t="s">
        <v>13138</v>
      </c>
    </row>
    <row r="1693" spans="2:5">
      <c r="B1693" s="407">
        <v>2407</v>
      </c>
      <c r="C1693" s="407">
        <v>2119</v>
      </c>
      <c r="D1693" s="408">
        <v>45476</v>
      </c>
      <c r="E1693" s="435" t="s">
        <v>13139</v>
      </c>
    </row>
    <row r="1694" spans="2:5">
      <c r="B1694" s="407">
        <v>2407</v>
      </c>
      <c r="C1694" s="407">
        <v>2118</v>
      </c>
      <c r="D1694" s="408">
        <v>45476</v>
      </c>
      <c r="E1694" s="435" t="s">
        <v>13140</v>
      </c>
    </row>
    <row r="1695" spans="2:5">
      <c r="B1695" s="407">
        <v>2407</v>
      </c>
      <c r="C1695" s="407">
        <v>2112</v>
      </c>
      <c r="D1695" s="408">
        <v>45476</v>
      </c>
      <c r="E1695" s="435" t="s">
        <v>13141</v>
      </c>
    </row>
    <row r="1696" spans="2:5">
      <c r="B1696" s="407">
        <v>2407</v>
      </c>
      <c r="C1696" s="407">
        <v>2111</v>
      </c>
      <c r="D1696" s="408">
        <v>45476</v>
      </c>
      <c r="E1696" s="435" t="s">
        <v>13142</v>
      </c>
    </row>
    <row r="1697" spans="2:5">
      <c r="B1697" s="407">
        <v>2407</v>
      </c>
      <c r="C1697" s="407">
        <v>2109</v>
      </c>
      <c r="D1697" s="408">
        <v>45476</v>
      </c>
      <c r="E1697" s="435" t="s">
        <v>13143</v>
      </c>
    </row>
    <row r="1698" spans="2:5">
      <c r="B1698" s="407">
        <v>2407</v>
      </c>
      <c r="C1698" s="407">
        <v>2104</v>
      </c>
      <c r="D1698" s="408">
        <v>45476</v>
      </c>
      <c r="E1698" s="435" t="s">
        <v>13144</v>
      </c>
    </row>
    <row r="1699" spans="2:5">
      <c r="B1699" s="407">
        <v>2407</v>
      </c>
      <c r="C1699" s="407">
        <v>2099</v>
      </c>
      <c r="D1699" s="408">
        <v>45476</v>
      </c>
      <c r="E1699" s="435" t="s">
        <v>13145</v>
      </c>
    </row>
    <row r="1700" spans="2:5">
      <c r="B1700" s="407">
        <v>2407</v>
      </c>
      <c r="C1700" s="407">
        <v>2098</v>
      </c>
      <c r="D1700" s="408">
        <v>45476</v>
      </c>
      <c r="E1700" s="435" t="s">
        <v>13146</v>
      </c>
    </row>
    <row r="1701" spans="2:5">
      <c r="B1701" s="407">
        <v>2407</v>
      </c>
      <c r="C1701" s="407">
        <v>2095</v>
      </c>
      <c r="D1701" s="408">
        <v>45476</v>
      </c>
      <c r="E1701" s="435" t="s">
        <v>13147</v>
      </c>
    </row>
    <row r="1702" spans="2:5">
      <c r="B1702" s="407">
        <v>2407</v>
      </c>
      <c r="C1702" s="407">
        <v>2090</v>
      </c>
      <c r="D1702" s="408">
        <v>45476</v>
      </c>
      <c r="E1702" s="435" t="s">
        <v>13148</v>
      </c>
    </row>
    <row r="1703" spans="2:5">
      <c r="B1703" s="407">
        <v>2407</v>
      </c>
      <c r="C1703" s="407">
        <v>2089</v>
      </c>
      <c r="D1703" s="408">
        <v>45476</v>
      </c>
      <c r="E1703" s="435" t="s">
        <v>13149</v>
      </c>
    </row>
    <row r="1704" spans="2:5">
      <c r="B1704" s="407">
        <v>2407</v>
      </c>
      <c r="C1704" s="407">
        <v>2081</v>
      </c>
      <c r="D1704" s="408">
        <v>45476</v>
      </c>
      <c r="E1704" s="435" t="s">
        <v>13150</v>
      </c>
    </row>
    <row r="1705" spans="2:5">
      <c r="B1705" s="407">
        <v>2407</v>
      </c>
      <c r="C1705" s="407">
        <v>2079</v>
      </c>
      <c r="D1705" s="408">
        <v>45476</v>
      </c>
      <c r="E1705" s="435" t="s">
        <v>13151</v>
      </c>
    </row>
    <row r="1706" spans="2:5">
      <c r="B1706" s="407">
        <v>2407</v>
      </c>
      <c r="C1706" s="407">
        <v>2077</v>
      </c>
      <c r="D1706" s="408">
        <v>45476</v>
      </c>
      <c r="E1706" s="435" t="s">
        <v>13152</v>
      </c>
    </row>
    <row r="1707" spans="2:5">
      <c r="B1707" s="407">
        <v>2407</v>
      </c>
      <c r="C1707" s="407">
        <v>2075</v>
      </c>
      <c r="D1707" s="408">
        <v>45476</v>
      </c>
      <c r="E1707" s="435" t="s">
        <v>13153</v>
      </c>
    </row>
    <row r="1708" spans="2:5">
      <c r="B1708" s="407">
        <v>2407</v>
      </c>
      <c r="C1708" s="407">
        <v>2074</v>
      </c>
      <c r="D1708" s="408">
        <v>45476</v>
      </c>
      <c r="E1708" s="435" t="s">
        <v>13154</v>
      </c>
    </row>
    <row r="1709" spans="2:5">
      <c r="B1709" s="407">
        <v>2407</v>
      </c>
      <c r="C1709" s="407">
        <v>2073</v>
      </c>
      <c r="D1709" s="408">
        <v>45476</v>
      </c>
      <c r="E1709" s="435" t="s">
        <v>13155</v>
      </c>
    </row>
    <row r="1710" spans="2:5">
      <c r="B1710" s="407">
        <v>2407</v>
      </c>
      <c r="C1710" s="407">
        <v>2070</v>
      </c>
      <c r="D1710" s="408">
        <v>45476</v>
      </c>
      <c r="E1710" s="435" t="s">
        <v>13156</v>
      </c>
    </row>
    <row r="1711" spans="2:5">
      <c r="B1711" s="407">
        <v>2407</v>
      </c>
      <c r="C1711" s="407">
        <v>2068</v>
      </c>
      <c r="D1711" s="408">
        <v>45476</v>
      </c>
      <c r="E1711" s="435" t="s">
        <v>13157</v>
      </c>
    </row>
    <row r="1712" spans="2:5">
      <c r="B1712" s="407">
        <v>2407</v>
      </c>
      <c r="C1712" s="407">
        <v>2067</v>
      </c>
      <c r="D1712" s="408">
        <v>45476</v>
      </c>
      <c r="E1712" s="435" t="s">
        <v>13158</v>
      </c>
    </row>
    <row r="1713" spans="2:5">
      <c r="B1713" s="407">
        <v>2407</v>
      </c>
      <c r="C1713" s="407">
        <v>2066</v>
      </c>
      <c r="D1713" s="408">
        <v>45476</v>
      </c>
      <c r="E1713" s="435" t="s">
        <v>13159</v>
      </c>
    </row>
    <row r="1714" spans="2:5">
      <c r="B1714" s="407">
        <v>2407</v>
      </c>
      <c r="C1714" s="407">
        <v>2065</v>
      </c>
      <c r="D1714" s="408">
        <v>45476</v>
      </c>
      <c r="E1714" s="435" t="s">
        <v>13160</v>
      </c>
    </row>
    <row r="1715" spans="2:5">
      <c r="B1715" s="407">
        <v>2407</v>
      </c>
      <c r="C1715" s="407">
        <v>2062</v>
      </c>
      <c r="D1715" s="408">
        <v>45476</v>
      </c>
      <c r="E1715" s="435" t="s">
        <v>13161</v>
      </c>
    </row>
    <row r="1716" spans="2:5">
      <c r="B1716" s="407">
        <v>2407</v>
      </c>
      <c r="C1716" s="407">
        <v>2056</v>
      </c>
      <c r="D1716" s="408">
        <v>45476</v>
      </c>
      <c r="E1716" s="435" t="s">
        <v>13162</v>
      </c>
    </row>
    <row r="1717" spans="2:5">
      <c r="B1717" s="407">
        <v>2407</v>
      </c>
      <c r="C1717" s="407">
        <v>2055</v>
      </c>
      <c r="D1717" s="408">
        <v>45476</v>
      </c>
      <c r="E1717" s="435" t="s">
        <v>13163</v>
      </c>
    </row>
    <row r="1718" spans="2:5">
      <c r="B1718" s="407">
        <v>2407</v>
      </c>
      <c r="C1718" s="407">
        <v>2053</v>
      </c>
      <c r="D1718" s="408">
        <v>45476</v>
      </c>
      <c r="E1718" s="435" t="s">
        <v>13164</v>
      </c>
    </row>
    <row r="1719" spans="2:5">
      <c r="B1719" s="407">
        <v>2407</v>
      </c>
      <c r="C1719" s="407">
        <v>2052</v>
      </c>
      <c r="D1719" s="408">
        <v>45476</v>
      </c>
      <c r="E1719" s="435" t="s">
        <v>13165</v>
      </c>
    </row>
    <row r="1720" spans="2:5">
      <c r="B1720" s="407">
        <v>2407</v>
      </c>
      <c r="C1720" s="407">
        <v>2049</v>
      </c>
      <c r="D1720" s="408">
        <v>45476</v>
      </c>
      <c r="E1720" s="435" t="s">
        <v>13166</v>
      </c>
    </row>
    <row r="1721" spans="2:5">
      <c r="B1721" s="407">
        <v>2407</v>
      </c>
      <c r="C1721" s="407">
        <v>2048</v>
      </c>
      <c r="D1721" s="408">
        <v>45476</v>
      </c>
      <c r="E1721" s="435" t="s">
        <v>13167</v>
      </c>
    </row>
    <row r="1722" spans="2:5">
      <c r="B1722" s="407">
        <v>2407</v>
      </c>
      <c r="C1722" s="407">
        <v>2047</v>
      </c>
      <c r="D1722" s="408">
        <v>45476</v>
      </c>
      <c r="E1722" s="435" t="s">
        <v>13168</v>
      </c>
    </row>
    <row r="1723" spans="2:5">
      <c r="B1723" s="407">
        <v>2407</v>
      </c>
      <c r="C1723" s="407">
        <v>2043</v>
      </c>
      <c r="D1723" s="408">
        <v>45476</v>
      </c>
      <c r="E1723" s="435" t="s">
        <v>13169</v>
      </c>
    </row>
    <row r="1724" spans="2:5">
      <c r="B1724" s="407">
        <v>2407</v>
      </c>
      <c r="C1724" s="407">
        <v>2042</v>
      </c>
      <c r="D1724" s="408">
        <v>45476</v>
      </c>
      <c r="E1724" s="435" t="s">
        <v>13170</v>
      </c>
    </row>
    <row r="1725" spans="2:5">
      <c r="B1725" s="407">
        <v>2407</v>
      </c>
      <c r="C1725" s="407">
        <v>2040</v>
      </c>
      <c r="D1725" s="408">
        <v>45476</v>
      </c>
      <c r="E1725" s="435" t="s">
        <v>13171</v>
      </c>
    </row>
    <row r="1726" spans="2:5">
      <c r="B1726" s="407">
        <v>2407</v>
      </c>
      <c r="C1726" s="407">
        <v>2039</v>
      </c>
      <c r="D1726" s="408">
        <v>45476</v>
      </c>
      <c r="E1726" s="435" t="s">
        <v>13172</v>
      </c>
    </row>
    <row r="1727" spans="2:5">
      <c r="B1727" s="407">
        <v>2407</v>
      </c>
      <c r="C1727" s="407">
        <v>2038</v>
      </c>
      <c r="D1727" s="408">
        <v>45476</v>
      </c>
      <c r="E1727" s="435" t="s">
        <v>13173</v>
      </c>
    </row>
    <row r="1728" spans="2:5">
      <c r="B1728" s="407">
        <v>2407</v>
      </c>
      <c r="C1728" s="407">
        <v>2034</v>
      </c>
      <c r="D1728" s="408">
        <v>45476</v>
      </c>
      <c r="E1728" s="435" t="s">
        <v>13174</v>
      </c>
    </row>
    <row r="1729" spans="2:5">
      <c r="B1729" s="407">
        <v>2407</v>
      </c>
      <c r="C1729" s="407">
        <v>2031</v>
      </c>
      <c r="D1729" s="408">
        <v>45476</v>
      </c>
      <c r="E1729" s="435" t="s">
        <v>13175</v>
      </c>
    </row>
    <row r="1730" spans="2:5">
      <c r="B1730" s="407">
        <v>2407</v>
      </c>
      <c r="C1730" s="407">
        <v>2030</v>
      </c>
      <c r="D1730" s="408">
        <v>45476</v>
      </c>
      <c r="E1730" s="435" t="s">
        <v>13176</v>
      </c>
    </row>
    <row r="1731" spans="2:5">
      <c r="B1731" s="407">
        <v>2407</v>
      </c>
      <c r="C1731" s="407">
        <v>2028</v>
      </c>
      <c r="D1731" s="408">
        <v>45476</v>
      </c>
      <c r="E1731" s="435" t="s">
        <v>13177</v>
      </c>
    </row>
    <row r="1732" spans="2:5">
      <c r="B1732" s="407">
        <v>2407</v>
      </c>
      <c r="C1732" s="407">
        <v>2027</v>
      </c>
      <c r="D1732" s="408">
        <v>45476</v>
      </c>
      <c r="E1732" s="435" t="s">
        <v>13178</v>
      </c>
    </row>
    <row r="1733" spans="2:5">
      <c r="B1733" s="407">
        <v>2407</v>
      </c>
      <c r="C1733" s="407">
        <v>2025</v>
      </c>
      <c r="D1733" s="408">
        <v>45476</v>
      </c>
      <c r="E1733" s="435" t="s">
        <v>13179</v>
      </c>
    </row>
    <row r="1734" spans="2:5">
      <c r="B1734" s="407">
        <v>2407</v>
      </c>
      <c r="C1734" s="407">
        <v>2018</v>
      </c>
      <c r="D1734" s="408">
        <v>45476</v>
      </c>
      <c r="E1734" s="435" t="s">
        <v>13180</v>
      </c>
    </row>
    <row r="1735" spans="2:5">
      <c r="B1735" s="407">
        <v>2407</v>
      </c>
      <c r="C1735" s="407">
        <v>2014</v>
      </c>
      <c r="D1735" s="408">
        <v>45476</v>
      </c>
      <c r="E1735" s="435" t="s">
        <v>13181</v>
      </c>
    </row>
    <row r="1736" spans="2:5">
      <c r="B1736" s="407">
        <v>2407</v>
      </c>
      <c r="C1736" s="407">
        <v>2013</v>
      </c>
      <c r="D1736" s="408">
        <v>45476</v>
      </c>
      <c r="E1736" s="435" t="s">
        <v>13182</v>
      </c>
    </row>
    <row r="1737" spans="2:5">
      <c r="B1737" s="407">
        <v>2407</v>
      </c>
      <c r="C1737" s="407">
        <v>2005</v>
      </c>
      <c r="D1737" s="408">
        <v>45476</v>
      </c>
      <c r="E1737" s="435" t="s">
        <v>13183</v>
      </c>
    </row>
    <row r="1738" spans="2:5">
      <c r="B1738" s="407">
        <v>2407</v>
      </c>
      <c r="C1738" s="407">
        <v>2004</v>
      </c>
      <c r="D1738" s="408">
        <v>45476</v>
      </c>
      <c r="E1738" s="435" t="s">
        <v>13184</v>
      </c>
    </row>
    <row r="1739" spans="2:5">
      <c r="B1739" s="407">
        <v>2407</v>
      </c>
      <c r="C1739" s="407">
        <v>1996</v>
      </c>
      <c r="D1739" s="408">
        <v>45476</v>
      </c>
      <c r="E1739" s="435" t="s">
        <v>13185</v>
      </c>
    </row>
    <row r="1740" spans="2:5">
      <c r="B1740" s="407">
        <v>2407</v>
      </c>
      <c r="C1740" s="407">
        <v>1992</v>
      </c>
      <c r="D1740" s="408">
        <v>45476</v>
      </c>
      <c r="E1740" s="435" t="s">
        <v>13186</v>
      </c>
    </row>
    <row r="1741" spans="2:5">
      <c r="B1741" s="407">
        <v>2407</v>
      </c>
      <c r="C1741" s="407">
        <v>1987</v>
      </c>
      <c r="D1741" s="408">
        <v>45476</v>
      </c>
      <c r="E1741" s="435" t="s">
        <v>13187</v>
      </c>
    </row>
    <row r="1742" spans="2:5">
      <c r="B1742" s="407">
        <v>2407</v>
      </c>
      <c r="C1742" s="407">
        <v>1985</v>
      </c>
      <c r="D1742" s="408">
        <v>45476</v>
      </c>
      <c r="E1742" s="435" t="s">
        <v>13188</v>
      </c>
    </row>
    <row r="1743" spans="2:5">
      <c r="B1743" s="407">
        <v>2407</v>
      </c>
      <c r="C1743" s="407">
        <v>1983</v>
      </c>
      <c r="D1743" s="408">
        <v>45476</v>
      </c>
      <c r="E1743" s="435" t="s">
        <v>13189</v>
      </c>
    </row>
    <row r="1744" spans="2:5">
      <c r="B1744" s="407">
        <v>2407</v>
      </c>
      <c r="C1744" s="407">
        <v>1979</v>
      </c>
      <c r="D1744" s="408">
        <v>45476</v>
      </c>
      <c r="E1744" s="435" t="s">
        <v>13190</v>
      </c>
    </row>
    <row r="1745" spans="2:5">
      <c r="B1745" s="407">
        <v>2407</v>
      </c>
      <c r="C1745" s="407">
        <v>1976</v>
      </c>
      <c r="D1745" s="408">
        <v>45476</v>
      </c>
      <c r="E1745" s="435" t="s">
        <v>13191</v>
      </c>
    </row>
    <row r="1746" spans="2:5">
      <c r="B1746" s="407">
        <v>2407</v>
      </c>
      <c r="C1746" s="407">
        <v>1972</v>
      </c>
      <c r="D1746" s="408">
        <v>45476</v>
      </c>
      <c r="E1746" s="435" t="s">
        <v>13192</v>
      </c>
    </row>
    <row r="1747" spans="2:5">
      <c r="B1747" s="407">
        <v>2407</v>
      </c>
      <c r="C1747" s="407">
        <v>1971</v>
      </c>
      <c r="D1747" s="408">
        <v>45476</v>
      </c>
      <c r="E1747" s="435" t="s">
        <v>13193</v>
      </c>
    </row>
    <row r="1748" spans="2:5">
      <c r="B1748" s="407">
        <v>2407</v>
      </c>
      <c r="C1748" s="407">
        <v>1968</v>
      </c>
      <c r="D1748" s="408">
        <v>45476</v>
      </c>
      <c r="E1748" s="435" t="s">
        <v>13194</v>
      </c>
    </row>
    <row r="1749" spans="2:5">
      <c r="B1749" s="407">
        <v>2407</v>
      </c>
      <c r="C1749" s="407">
        <v>1967</v>
      </c>
      <c r="D1749" s="408">
        <v>45476</v>
      </c>
      <c r="E1749" s="435" t="s">
        <v>13195</v>
      </c>
    </row>
    <row r="1750" spans="2:5">
      <c r="B1750" s="407">
        <v>2407</v>
      </c>
      <c r="C1750" s="407">
        <v>1965</v>
      </c>
      <c r="D1750" s="408">
        <v>45476</v>
      </c>
      <c r="E1750" s="435" t="s">
        <v>13196</v>
      </c>
    </row>
    <row r="1751" spans="2:5">
      <c r="B1751" s="407">
        <v>2407</v>
      </c>
      <c r="C1751" s="407">
        <v>1964</v>
      </c>
      <c r="D1751" s="408">
        <v>45476</v>
      </c>
      <c r="E1751" s="435" t="s">
        <v>13197</v>
      </c>
    </row>
    <row r="1752" spans="2:5">
      <c r="B1752" s="407">
        <v>2407</v>
      </c>
      <c r="C1752" s="407">
        <v>1960</v>
      </c>
      <c r="D1752" s="408">
        <v>45476</v>
      </c>
      <c r="E1752" s="435" t="s">
        <v>13198</v>
      </c>
    </row>
    <row r="1753" spans="2:5">
      <c r="B1753" s="407">
        <v>2407</v>
      </c>
      <c r="C1753" s="407">
        <v>1959</v>
      </c>
      <c r="D1753" s="408">
        <v>45476</v>
      </c>
      <c r="E1753" s="435" t="s">
        <v>13199</v>
      </c>
    </row>
    <row r="1754" spans="2:5">
      <c r="B1754" s="407">
        <v>2407</v>
      </c>
      <c r="C1754" s="407">
        <v>1955</v>
      </c>
      <c r="D1754" s="408">
        <v>45476</v>
      </c>
      <c r="E1754" s="435" t="s">
        <v>13200</v>
      </c>
    </row>
    <row r="1755" spans="2:5">
      <c r="B1755" s="407">
        <v>2407</v>
      </c>
      <c r="C1755" s="407">
        <v>1953</v>
      </c>
      <c r="D1755" s="408">
        <v>45476</v>
      </c>
      <c r="E1755" s="435" t="s">
        <v>13201</v>
      </c>
    </row>
    <row r="1756" spans="2:5">
      <c r="B1756" s="407">
        <v>2407</v>
      </c>
      <c r="C1756" s="407">
        <v>1948</v>
      </c>
      <c r="D1756" s="408">
        <v>45476</v>
      </c>
      <c r="E1756" s="435" t="s">
        <v>13202</v>
      </c>
    </row>
    <row r="1757" spans="2:5">
      <c r="B1757" s="407">
        <v>2407</v>
      </c>
      <c r="C1757" s="407">
        <v>1945</v>
      </c>
      <c r="D1757" s="408">
        <v>45476</v>
      </c>
      <c r="E1757" s="435" t="s">
        <v>13203</v>
      </c>
    </row>
    <row r="1758" spans="2:5">
      <c r="B1758" s="407">
        <v>2407</v>
      </c>
      <c r="C1758" s="407">
        <v>1942</v>
      </c>
      <c r="D1758" s="408">
        <v>45476</v>
      </c>
      <c r="E1758" s="435" t="s">
        <v>13204</v>
      </c>
    </row>
    <row r="1759" spans="2:5">
      <c r="B1759" s="407">
        <v>2407</v>
      </c>
      <c r="C1759" s="407">
        <v>1937</v>
      </c>
      <c r="D1759" s="408">
        <v>45476</v>
      </c>
      <c r="E1759" s="435" t="s">
        <v>13205</v>
      </c>
    </row>
    <row r="1760" spans="2:5">
      <c r="B1760" s="407">
        <v>2407</v>
      </c>
      <c r="C1760" s="407">
        <v>1931</v>
      </c>
      <c r="D1760" s="408">
        <v>45475</v>
      </c>
      <c r="E1760" s="435" t="s">
        <v>13206</v>
      </c>
    </row>
    <row r="1761" spans="2:5">
      <c r="B1761" s="407">
        <v>2407</v>
      </c>
      <c r="C1761" s="407">
        <v>1930</v>
      </c>
      <c r="D1761" s="408">
        <v>45475</v>
      </c>
      <c r="E1761" s="435" t="s">
        <v>13207</v>
      </c>
    </row>
    <row r="1762" spans="2:5">
      <c r="B1762" s="407">
        <v>2407</v>
      </c>
      <c r="C1762" s="407">
        <v>1929</v>
      </c>
      <c r="D1762" s="408">
        <v>45475</v>
      </c>
      <c r="E1762" s="435" t="s">
        <v>13208</v>
      </c>
    </row>
    <row r="1763" spans="2:5">
      <c r="B1763" s="407">
        <v>2407</v>
      </c>
      <c r="C1763" s="407">
        <v>1928</v>
      </c>
      <c r="D1763" s="408">
        <v>45475</v>
      </c>
      <c r="E1763" s="435" t="s">
        <v>13209</v>
      </c>
    </row>
    <row r="1764" spans="2:5">
      <c r="B1764" s="407">
        <v>2407</v>
      </c>
      <c r="C1764" s="407">
        <v>1926</v>
      </c>
      <c r="D1764" s="408">
        <v>45475</v>
      </c>
      <c r="E1764" s="435" t="s">
        <v>13210</v>
      </c>
    </row>
    <row r="1765" spans="2:5">
      <c r="B1765" s="407">
        <v>2407</v>
      </c>
      <c r="C1765" s="407">
        <v>1925</v>
      </c>
      <c r="D1765" s="408">
        <v>45475</v>
      </c>
      <c r="E1765" s="435" t="s">
        <v>13211</v>
      </c>
    </row>
    <row r="1766" spans="2:5">
      <c r="B1766" s="407">
        <v>2407</v>
      </c>
      <c r="C1766" s="407">
        <v>1921</v>
      </c>
      <c r="D1766" s="408">
        <v>45475</v>
      </c>
      <c r="E1766" s="435" t="s">
        <v>13212</v>
      </c>
    </row>
    <row r="1767" spans="2:5">
      <c r="B1767" s="407">
        <v>2407</v>
      </c>
      <c r="C1767" s="407">
        <v>1920</v>
      </c>
      <c r="D1767" s="408">
        <v>45475</v>
      </c>
      <c r="E1767" s="435" t="s">
        <v>13213</v>
      </c>
    </row>
    <row r="1768" spans="2:5">
      <c r="B1768" s="407">
        <v>2407</v>
      </c>
      <c r="C1768" s="407">
        <v>1919</v>
      </c>
      <c r="D1768" s="408">
        <v>45475</v>
      </c>
      <c r="E1768" s="435" t="s">
        <v>13214</v>
      </c>
    </row>
    <row r="1769" spans="2:5">
      <c r="B1769" s="407">
        <v>2407</v>
      </c>
      <c r="C1769" s="407">
        <v>1917</v>
      </c>
      <c r="D1769" s="408">
        <v>45475</v>
      </c>
      <c r="E1769" s="435" t="s">
        <v>13215</v>
      </c>
    </row>
    <row r="1770" spans="2:5">
      <c r="B1770" s="407">
        <v>2407</v>
      </c>
      <c r="C1770" s="407">
        <v>1916</v>
      </c>
      <c r="D1770" s="408">
        <v>45475</v>
      </c>
      <c r="E1770" s="435" t="s">
        <v>13216</v>
      </c>
    </row>
    <row r="1771" spans="2:5">
      <c r="B1771" s="407">
        <v>2407</v>
      </c>
      <c r="C1771" s="407">
        <v>1911</v>
      </c>
      <c r="D1771" s="408">
        <v>45475</v>
      </c>
      <c r="E1771" s="435" t="s">
        <v>13217</v>
      </c>
    </row>
    <row r="1772" spans="2:5">
      <c r="B1772" s="407">
        <v>2407</v>
      </c>
      <c r="C1772" s="407">
        <v>1910</v>
      </c>
      <c r="D1772" s="408">
        <v>45475</v>
      </c>
      <c r="E1772" s="435" t="s">
        <v>13218</v>
      </c>
    </row>
    <row r="1773" spans="2:5">
      <c r="B1773" s="407">
        <v>2407</v>
      </c>
      <c r="C1773" s="407">
        <v>1909</v>
      </c>
      <c r="D1773" s="408">
        <v>45475</v>
      </c>
      <c r="E1773" s="435" t="s">
        <v>13219</v>
      </c>
    </row>
    <row r="1774" spans="2:5">
      <c r="B1774" s="407">
        <v>2407</v>
      </c>
      <c r="C1774" s="407">
        <v>1908</v>
      </c>
      <c r="D1774" s="408">
        <v>45475</v>
      </c>
      <c r="E1774" s="435" t="s">
        <v>13220</v>
      </c>
    </row>
    <row r="1775" spans="2:5">
      <c r="B1775" s="407">
        <v>2407</v>
      </c>
      <c r="C1775" s="407">
        <v>1907</v>
      </c>
      <c r="D1775" s="408">
        <v>45475</v>
      </c>
      <c r="E1775" s="435" t="s">
        <v>13221</v>
      </c>
    </row>
    <row r="1776" spans="2:5">
      <c r="B1776" s="407">
        <v>2407</v>
      </c>
      <c r="C1776" s="407">
        <v>1906</v>
      </c>
      <c r="D1776" s="408">
        <v>45475</v>
      </c>
      <c r="E1776" s="435" t="s">
        <v>13222</v>
      </c>
    </row>
    <row r="1777" spans="2:5">
      <c r="B1777" s="407">
        <v>2407</v>
      </c>
      <c r="C1777" s="407">
        <v>1905</v>
      </c>
      <c r="D1777" s="408">
        <v>45475</v>
      </c>
      <c r="E1777" s="435" t="s">
        <v>13223</v>
      </c>
    </row>
    <row r="1778" spans="2:5">
      <c r="B1778" s="407">
        <v>2407</v>
      </c>
      <c r="C1778" s="407">
        <v>1903</v>
      </c>
      <c r="D1778" s="408">
        <v>45475</v>
      </c>
      <c r="E1778" s="435" t="s">
        <v>13224</v>
      </c>
    </row>
    <row r="1779" spans="2:5">
      <c r="B1779" s="407">
        <v>2407</v>
      </c>
      <c r="C1779" s="407">
        <v>1902</v>
      </c>
      <c r="D1779" s="408">
        <v>45475</v>
      </c>
      <c r="E1779" s="435" t="s">
        <v>13225</v>
      </c>
    </row>
    <row r="1780" spans="2:5">
      <c r="B1780" s="407">
        <v>2407</v>
      </c>
      <c r="C1780" s="407">
        <v>1899</v>
      </c>
      <c r="D1780" s="408">
        <v>45475</v>
      </c>
      <c r="E1780" s="435" t="s">
        <v>13226</v>
      </c>
    </row>
    <row r="1781" spans="2:5">
      <c r="B1781" s="407">
        <v>2407</v>
      </c>
      <c r="C1781" s="407">
        <v>1897</v>
      </c>
      <c r="D1781" s="408">
        <v>45475</v>
      </c>
      <c r="E1781" s="435" t="s">
        <v>13227</v>
      </c>
    </row>
    <row r="1782" spans="2:5">
      <c r="B1782" s="407">
        <v>2407</v>
      </c>
      <c r="C1782" s="407">
        <v>1896</v>
      </c>
      <c r="D1782" s="408">
        <v>45475</v>
      </c>
      <c r="E1782" s="435" t="s">
        <v>13228</v>
      </c>
    </row>
    <row r="1783" spans="2:5">
      <c r="B1783" s="407">
        <v>2407</v>
      </c>
      <c r="C1783" s="407">
        <v>1894</v>
      </c>
      <c r="D1783" s="408">
        <v>45475</v>
      </c>
      <c r="E1783" s="435" t="s">
        <v>13229</v>
      </c>
    </row>
    <row r="1784" spans="2:5">
      <c r="B1784" s="407">
        <v>2407</v>
      </c>
      <c r="C1784" s="407">
        <v>1893</v>
      </c>
      <c r="D1784" s="408">
        <v>45475</v>
      </c>
      <c r="E1784" s="435" t="s">
        <v>13230</v>
      </c>
    </row>
    <row r="1785" spans="2:5">
      <c r="B1785" s="407">
        <v>2407</v>
      </c>
      <c r="C1785" s="407">
        <v>1892</v>
      </c>
      <c r="D1785" s="408">
        <v>45475</v>
      </c>
      <c r="E1785" s="435" t="s">
        <v>13231</v>
      </c>
    </row>
    <row r="1786" spans="2:5">
      <c r="B1786" s="407">
        <v>2407</v>
      </c>
      <c r="C1786" s="407">
        <v>1887</v>
      </c>
      <c r="D1786" s="408">
        <v>45475</v>
      </c>
      <c r="E1786" s="435" t="s">
        <v>13232</v>
      </c>
    </row>
    <row r="1787" spans="2:5">
      <c r="B1787" s="407">
        <v>2407</v>
      </c>
      <c r="C1787" s="407">
        <v>1886</v>
      </c>
      <c r="D1787" s="408">
        <v>45475</v>
      </c>
      <c r="E1787" s="435" t="s">
        <v>13233</v>
      </c>
    </row>
    <row r="1788" spans="2:5">
      <c r="B1788" s="407">
        <v>2407</v>
      </c>
      <c r="C1788" s="407">
        <v>1885</v>
      </c>
      <c r="D1788" s="408">
        <v>45475</v>
      </c>
      <c r="E1788" s="435" t="s">
        <v>13234</v>
      </c>
    </row>
    <row r="1789" spans="2:5">
      <c r="B1789" s="409">
        <v>2407</v>
      </c>
      <c r="C1789" s="409">
        <v>1884</v>
      </c>
      <c r="D1789" s="408">
        <v>45475</v>
      </c>
      <c r="E1789" s="424" t="s">
        <v>13235</v>
      </c>
    </row>
    <row r="1790" spans="2:5">
      <c r="B1790" s="407">
        <v>2407</v>
      </c>
      <c r="C1790" s="407">
        <v>1878</v>
      </c>
      <c r="D1790" s="408">
        <v>45475</v>
      </c>
      <c r="E1790" s="435" t="s">
        <v>13236</v>
      </c>
    </row>
    <row r="1791" spans="2:5">
      <c r="B1791" s="407">
        <v>2407</v>
      </c>
      <c r="C1791" s="407">
        <v>1875</v>
      </c>
      <c r="D1791" s="408">
        <v>45475</v>
      </c>
      <c r="E1791" s="435" t="s">
        <v>13237</v>
      </c>
    </row>
    <row r="1792" spans="2:5">
      <c r="B1792" s="407">
        <v>2407</v>
      </c>
      <c r="C1792" s="407">
        <v>1873</v>
      </c>
      <c r="D1792" s="408">
        <v>45475</v>
      </c>
      <c r="E1792" s="435" t="s">
        <v>13238</v>
      </c>
    </row>
    <row r="1793" spans="2:5">
      <c r="B1793" s="407">
        <v>2407</v>
      </c>
      <c r="C1793" s="407">
        <v>1872</v>
      </c>
      <c r="D1793" s="408">
        <v>45475</v>
      </c>
      <c r="E1793" s="435" t="s">
        <v>13239</v>
      </c>
    </row>
    <row r="1794" spans="2:5">
      <c r="B1794" s="407">
        <v>2407</v>
      </c>
      <c r="C1794" s="407">
        <v>1869</v>
      </c>
      <c r="D1794" s="408">
        <v>45475</v>
      </c>
      <c r="E1794" s="435" t="s">
        <v>13240</v>
      </c>
    </row>
    <row r="1795" spans="2:5">
      <c r="B1795" s="407">
        <v>2407</v>
      </c>
      <c r="C1795" s="407">
        <v>1866</v>
      </c>
      <c r="D1795" s="408">
        <v>45475</v>
      </c>
      <c r="E1795" s="435" t="s">
        <v>13241</v>
      </c>
    </row>
    <row r="1796" spans="2:5">
      <c r="B1796" s="407">
        <v>2407</v>
      </c>
      <c r="C1796" s="407">
        <v>1864</v>
      </c>
      <c r="D1796" s="408">
        <v>45475</v>
      </c>
      <c r="E1796" s="435" t="s">
        <v>13242</v>
      </c>
    </row>
    <row r="1797" spans="2:5">
      <c r="B1797" s="407">
        <v>2407</v>
      </c>
      <c r="C1797" s="407">
        <v>1863</v>
      </c>
      <c r="D1797" s="408">
        <v>45475</v>
      </c>
      <c r="E1797" s="435" t="s">
        <v>13243</v>
      </c>
    </row>
    <row r="1798" spans="2:5">
      <c r="B1798" s="407">
        <v>2407</v>
      </c>
      <c r="C1798" s="407">
        <v>1862</v>
      </c>
      <c r="D1798" s="408">
        <v>45475</v>
      </c>
      <c r="E1798" s="435" t="s">
        <v>13244</v>
      </c>
    </row>
    <row r="1799" spans="2:5">
      <c r="B1799" s="407">
        <v>2407</v>
      </c>
      <c r="C1799" s="407">
        <v>1860</v>
      </c>
      <c r="D1799" s="408">
        <v>45475</v>
      </c>
      <c r="E1799" s="435" t="s">
        <v>13245</v>
      </c>
    </row>
    <row r="1800" spans="2:5">
      <c r="B1800" s="407">
        <v>2407</v>
      </c>
      <c r="C1800" s="407">
        <v>1857</v>
      </c>
      <c r="D1800" s="408">
        <v>45475</v>
      </c>
      <c r="E1800" s="435" t="s">
        <v>13246</v>
      </c>
    </row>
    <row r="1801" spans="2:5">
      <c r="B1801" s="407">
        <v>2407</v>
      </c>
      <c r="C1801" s="407">
        <v>1856</v>
      </c>
      <c r="D1801" s="408">
        <v>45475</v>
      </c>
      <c r="E1801" s="435" t="s">
        <v>13247</v>
      </c>
    </row>
    <row r="1802" spans="2:5">
      <c r="B1802" s="407">
        <v>2407</v>
      </c>
      <c r="C1802" s="407">
        <v>1853</v>
      </c>
      <c r="D1802" s="408">
        <v>45475</v>
      </c>
      <c r="E1802" s="435" t="s">
        <v>13248</v>
      </c>
    </row>
    <row r="1803" spans="2:5">
      <c r="B1803" s="407">
        <v>2407</v>
      </c>
      <c r="C1803" s="407">
        <v>1851</v>
      </c>
      <c r="D1803" s="408">
        <v>45475</v>
      </c>
      <c r="E1803" s="435" t="s">
        <v>13249</v>
      </c>
    </row>
    <row r="1804" spans="2:5">
      <c r="B1804" s="407">
        <v>2407</v>
      </c>
      <c r="C1804" s="407">
        <v>1850</v>
      </c>
      <c r="D1804" s="408">
        <v>45475</v>
      </c>
      <c r="E1804" s="435" t="s">
        <v>13250</v>
      </c>
    </row>
    <row r="1805" spans="2:5">
      <c r="B1805" s="407">
        <v>2407</v>
      </c>
      <c r="C1805" s="407">
        <v>1846</v>
      </c>
      <c r="D1805" s="408">
        <v>45475</v>
      </c>
      <c r="E1805" s="435" t="s">
        <v>13251</v>
      </c>
    </row>
    <row r="1806" spans="2:5">
      <c r="B1806" s="407">
        <v>2407</v>
      </c>
      <c r="C1806" s="407">
        <v>1842</v>
      </c>
      <c r="D1806" s="408">
        <v>45475</v>
      </c>
      <c r="E1806" s="435" t="s">
        <v>13252</v>
      </c>
    </row>
    <row r="1807" spans="2:5">
      <c r="B1807" s="407">
        <v>2407</v>
      </c>
      <c r="C1807" s="407">
        <v>1837</v>
      </c>
      <c r="D1807" s="408">
        <v>45475</v>
      </c>
      <c r="E1807" s="435" t="s">
        <v>13253</v>
      </c>
    </row>
    <row r="1808" spans="2:5">
      <c r="B1808" s="407">
        <v>2407</v>
      </c>
      <c r="C1808" s="407">
        <v>1834</v>
      </c>
      <c r="D1808" s="408">
        <v>45475</v>
      </c>
      <c r="E1808" s="435" t="s">
        <v>13254</v>
      </c>
    </row>
    <row r="1809" spans="2:5">
      <c r="B1809" s="407">
        <v>2407</v>
      </c>
      <c r="C1809" s="407">
        <v>1825</v>
      </c>
      <c r="D1809" s="408">
        <v>45475</v>
      </c>
      <c r="E1809" s="435" t="s">
        <v>13255</v>
      </c>
    </row>
    <row r="1810" spans="2:5">
      <c r="B1810" s="407">
        <v>2407</v>
      </c>
      <c r="C1810" s="407">
        <v>1824</v>
      </c>
      <c r="D1810" s="408">
        <v>45475</v>
      </c>
      <c r="E1810" s="435" t="s">
        <v>13256</v>
      </c>
    </row>
    <row r="1811" spans="2:5">
      <c r="B1811" s="407">
        <v>2407</v>
      </c>
      <c r="C1811" s="407">
        <v>1811</v>
      </c>
      <c r="D1811" s="408">
        <v>45475</v>
      </c>
      <c r="E1811" s="435" t="s">
        <v>13257</v>
      </c>
    </row>
    <row r="1812" spans="2:5">
      <c r="B1812" s="407">
        <v>2407</v>
      </c>
      <c r="C1812" s="407">
        <v>1810</v>
      </c>
      <c r="D1812" s="408">
        <v>45475</v>
      </c>
      <c r="E1812" s="435" t="s">
        <v>13258</v>
      </c>
    </row>
    <row r="1813" spans="2:5">
      <c r="B1813" s="407">
        <v>2407</v>
      </c>
      <c r="C1813" s="407">
        <v>1804</v>
      </c>
      <c r="D1813" s="408">
        <v>45475</v>
      </c>
      <c r="E1813" s="435" t="s">
        <v>13259</v>
      </c>
    </row>
    <row r="1814" spans="2:5">
      <c r="B1814" s="407">
        <v>2407</v>
      </c>
      <c r="C1814" s="407">
        <v>1800</v>
      </c>
      <c r="D1814" s="408">
        <v>45475</v>
      </c>
      <c r="E1814" s="435" t="s">
        <v>13260</v>
      </c>
    </row>
    <row r="1815" spans="2:5">
      <c r="B1815" s="407">
        <v>2407</v>
      </c>
      <c r="C1815" s="407">
        <v>1796</v>
      </c>
      <c r="D1815" s="408">
        <v>45475</v>
      </c>
      <c r="E1815" s="435" t="s">
        <v>13261</v>
      </c>
    </row>
    <row r="1816" spans="2:5">
      <c r="B1816" s="407">
        <v>2407</v>
      </c>
      <c r="C1816" s="407">
        <v>1791</v>
      </c>
      <c r="D1816" s="408">
        <v>45475</v>
      </c>
      <c r="E1816" s="435" t="s">
        <v>13262</v>
      </c>
    </row>
    <row r="1817" spans="2:5">
      <c r="B1817" s="407">
        <v>2407</v>
      </c>
      <c r="C1817" s="407">
        <v>1790</v>
      </c>
      <c r="D1817" s="408">
        <v>45475</v>
      </c>
      <c r="E1817" s="435" t="s">
        <v>13263</v>
      </c>
    </row>
    <row r="1818" spans="2:5">
      <c r="B1818" s="407">
        <v>2407</v>
      </c>
      <c r="C1818" s="407">
        <v>1784</v>
      </c>
      <c r="D1818" s="408">
        <v>45475</v>
      </c>
      <c r="E1818" s="435" t="s">
        <v>13264</v>
      </c>
    </row>
    <row r="1819" spans="2:5">
      <c r="B1819" s="407">
        <v>2407</v>
      </c>
      <c r="C1819" s="407">
        <v>1782</v>
      </c>
      <c r="D1819" s="408">
        <v>45475</v>
      </c>
      <c r="E1819" s="435" t="s">
        <v>13265</v>
      </c>
    </row>
    <row r="1820" spans="2:5">
      <c r="B1820" s="407">
        <v>2407</v>
      </c>
      <c r="C1820" s="407">
        <v>1781</v>
      </c>
      <c r="D1820" s="408">
        <v>45475</v>
      </c>
      <c r="E1820" s="435" t="s">
        <v>13266</v>
      </c>
    </row>
    <row r="1821" spans="2:5">
      <c r="B1821" s="409">
        <v>2407</v>
      </c>
      <c r="C1821" s="409">
        <v>1777</v>
      </c>
      <c r="D1821" s="410">
        <v>45475</v>
      </c>
      <c r="E1821" s="424" t="s">
        <v>13267</v>
      </c>
    </row>
    <row r="1822" spans="2:5">
      <c r="B1822" s="407">
        <v>2407</v>
      </c>
      <c r="C1822" s="407">
        <v>1767</v>
      </c>
      <c r="D1822" s="408">
        <v>45475</v>
      </c>
      <c r="E1822" s="435" t="s">
        <v>13268</v>
      </c>
    </row>
    <row r="1823" spans="2:5">
      <c r="B1823" s="407">
        <v>2407</v>
      </c>
      <c r="C1823" s="407">
        <v>1761</v>
      </c>
      <c r="D1823" s="408">
        <v>45475</v>
      </c>
      <c r="E1823" s="435" t="s">
        <v>13269</v>
      </c>
    </row>
    <row r="1824" spans="2:5">
      <c r="B1824" s="407">
        <v>2407</v>
      </c>
      <c r="C1824" s="407">
        <v>1752</v>
      </c>
      <c r="D1824" s="408">
        <v>45475</v>
      </c>
      <c r="E1824" s="435" t="s">
        <v>13270</v>
      </c>
    </row>
    <row r="1825" spans="2:5">
      <c r="B1825" s="407">
        <v>2407</v>
      </c>
      <c r="C1825" s="407">
        <v>1745</v>
      </c>
      <c r="D1825" s="408">
        <v>45475</v>
      </c>
      <c r="E1825" s="435" t="s">
        <v>13271</v>
      </c>
    </row>
    <row r="1826" spans="2:5">
      <c r="B1826" s="407">
        <v>2407</v>
      </c>
      <c r="C1826" s="407">
        <v>1742</v>
      </c>
      <c r="D1826" s="408">
        <v>45475</v>
      </c>
      <c r="E1826" s="435" t="s">
        <v>13272</v>
      </c>
    </row>
    <row r="1827" spans="2:5">
      <c r="B1827" s="407">
        <v>2407</v>
      </c>
      <c r="C1827" s="407">
        <v>1738</v>
      </c>
      <c r="D1827" s="408">
        <v>45475</v>
      </c>
      <c r="E1827" s="435" t="s">
        <v>13273</v>
      </c>
    </row>
    <row r="1828" spans="2:5">
      <c r="B1828" s="407">
        <v>2407</v>
      </c>
      <c r="C1828" s="407">
        <v>1725</v>
      </c>
      <c r="D1828" s="408">
        <v>45475</v>
      </c>
      <c r="E1828" s="439" t="s">
        <v>13511</v>
      </c>
    </row>
    <row r="1829" spans="2:5">
      <c r="B1829" s="407">
        <v>2407</v>
      </c>
      <c r="C1829" s="407">
        <v>1705</v>
      </c>
      <c r="D1829" s="408">
        <v>45475</v>
      </c>
      <c r="E1829" s="439" t="s">
        <v>13512</v>
      </c>
    </row>
    <row r="1830" spans="2:5">
      <c r="B1830" s="407">
        <v>2407</v>
      </c>
      <c r="C1830" s="407">
        <v>1704</v>
      </c>
      <c r="D1830" s="408">
        <v>45475</v>
      </c>
      <c r="E1830" s="439" t="s">
        <v>13513</v>
      </c>
    </row>
    <row r="1831" spans="2:5">
      <c r="B1831" s="407">
        <v>2407</v>
      </c>
      <c r="C1831" s="407">
        <v>1687</v>
      </c>
      <c r="D1831" s="408">
        <v>45475</v>
      </c>
      <c r="E1831" s="439" t="s">
        <v>13514</v>
      </c>
    </row>
    <row r="1832" spans="2:5">
      <c r="B1832" s="407">
        <v>2407</v>
      </c>
      <c r="C1832" s="407">
        <v>1656</v>
      </c>
      <c r="D1832" s="408">
        <v>45475</v>
      </c>
      <c r="E1832" s="439" t="s">
        <v>13515</v>
      </c>
    </row>
    <row r="1833" spans="2:5">
      <c r="B1833" s="407">
        <v>2407</v>
      </c>
      <c r="C1833" s="407">
        <v>1649</v>
      </c>
      <c r="D1833" s="408">
        <v>45475</v>
      </c>
      <c r="E1833" s="439" t="s">
        <v>13516</v>
      </c>
    </row>
    <row r="1834" spans="2:5">
      <c r="B1834" s="407">
        <v>2407</v>
      </c>
      <c r="C1834" s="407">
        <v>1648</v>
      </c>
      <c r="D1834" s="408">
        <v>45475</v>
      </c>
      <c r="E1834" s="439" t="s">
        <v>13517</v>
      </c>
    </row>
    <row r="1835" spans="2:5">
      <c r="B1835" s="407">
        <v>2407</v>
      </c>
      <c r="C1835" s="407">
        <v>1646</v>
      </c>
      <c r="D1835" s="408">
        <v>44378</v>
      </c>
      <c r="E1835" s="439" t="s">
        <v>13518</v>
      </c>
    </row>
    <row r="1836" spans="2:5">
      <c r="B1836" s="407">
        <v>2407</v>
      </c>
      <c r="C1836" s="407">
        <v>1645</v>
      </c>
      <c r="D1836" s="408">
        <v>44378</v>
      </c>
      <c r="E1836" s="439" t="s">
        <v>13519</v>
      </c>
    </row>
    <row r="1837" spans="2:5">
      <c r="B1837" s="407">
        <v>2407</v>
      </c>
      <c r="C1837" s="407">
        <v>1640</v>
      </c>
      <c r="D1837" s="408">
        <v>44378</v>
      </c>
      <c r="E1837" s="439" t="s">
        <v>13520</v>
      </c>
    </row>
    <row r="1838" spans="2:5">
      <c r="B1838" s="407">
        <v>2407</v>
      </c>
      <c r="C1838" s="407">
        <v>1639</v>
      </c>
      <c r="D1838" s="408">
        <v>44378</v>
      </c>
      <c r="E1838" s="439" t="s">
        <v>13521</v>
      </c>
    </row>
    <row r="1839" spans="2:5">
      <c r="B1839" s="407">
        <v>2407</v>
      </c>
      <c r="C1839" s="407">
        <v>1638</v>
      </c>
      <c r="D1839" s="408">
        <v>44378</v>
      </c>
      <c r="E1839" s="439" t="s">
        <v>13522</v>
      </c>
    </row>
    <row r="1840" spans="2:5">
      <c r="B1840" s="407">
        <v>2407</v>
      </c>
      <c r="C1840" s="407">
        <v>1636</v>
      </c>
      <c r="D1840" s="408">
        <v>44378</v>
      </c>
      <c r="E1840" s="439" t="s">
        <v>13523</v>
      </c>
    </row>
    <row r="1841" spans="2:5">
      <c r="B1841" s="407">
        <v>2407</v>
      </c>
      <c r="C1841" s="407">
        <v>1627</v>
      </c>
      <c r="D1841" s="408">
        <v>45473</v>
      </c>
      <c r="E1841" s="439" t="s">
        <v>13524</v>
      </c>
    </row>
    <row r="1842" spans="2:5">
      <c r="B1842" s="407">
        <v>2407</v>
      </c>
      <c r="C1842" s="407">
        <v>1614</v>
      </c>
      <c r="D1842" s="408">
        <v>45471</v>
      </c>
      <c r="E1842" s="439" t="s">
        <v>13525</v>
      </c>
    </row>
    <row r="1843" spans="2:5">
      <c r="B1843" s="407">
        <v>2407</v>
      </c>
      <c r="C1843" s="407">
        <v>1613</v>
      </c>
      <c r="D1843" s="408">
        <v>45471</v>
      </c>
      <c r="E1843" s="439" t="s">
        <v>13526</v>
      </c>
    </row>
    <row r="1844" spans="2:5">
      <c r="B1844" s="407">
        <v>2407</v>
      </c>
      <c r="C1844" s="407">
        <v>1606</v>
      </c>
      <c r="D1844" s="408">
        <v>45470</v>
      </c>
      <c r="E1844" s="439" t="s">
        <v>13527</v>
      </c>
    </row>
    <row r="1845" spans="2:5">
      <c r="B1845" s="407">
        <v>2407</v>
      </c>
      <c r="C1845" s="407">
        <v>1603</v>
      </c>
      <c r="D1845" s="408">
        <v>45470</v>
      </c>
      <c r="E1845" s="439" t="s">
        <v>13528</v>
      </c>
    </row>
    <row r="1846" spans="2:5">
      <c r="B1846" s="407">
        <v>2407</v>
      </c>
      <c r="C1846" s="407">
        <v>1602</v>
      </c>
      <c r="D1846" s="408">
        <v>45470</v>
      </c>
      <c r="E1846" s="439" t="s">
        <v>13529</v>
      </c>
    </row>
    <row r="1847" spans="2:5">
      <c r="B1847" s="407">
        <v>2407</v>
      </c>
      <c r="C1847" s="407">
        <v>1601</v>
      </c>
      <c r="D1847" s="408">
        <v>45477</v>
      </c>
      <c r="E1847" s="439" t="s">
        <v>13530</v>
      </c>
    </row>
    <row r="1848" spans="2:5">
      <c r="B1848" s="407">
        <v>2407</v>
      </c>
      <c r="C1848" s="407">
        <v>1599</v>
      </c>
      <c r="D1848" s="408">
        <v>45469</v>
      </c>
      <c r="E1848" s="439" t="s">
        <v>13531</v>
      </c>
    </row>
    <row r="1849" spans="2:5">
      <c r="B1849" s="407">
        <v>2407</v>
      </c>
      <c r="C1849" s="407">
        <v>1595</v>
      </c>
      <c r="D1849" s="408">
        <v>45468</v>
      </c>
      <c r="E1849" s="439" t="s">
        <v>13532</v>
      </c>
    </row>
    <row r="1850" spans="2:5">
      <c r="B1850" s="407">
        <v>2407</v>
      </c>
      <c r="C1850" s="407">
        <v>1585</v>
      </c>
      <c r="D1850" s="408">
        <v>45462</v>
      </c>
      <c r="E1850" s="439" t="s">
        <v>13533</v>
      </c>
    </row>
    <row r="1851" spans="2:5">
      <c r="B1851" s="407">
        <v>2407</v>
      </c>
      <c r="C1851" s="407">
        <v>1579</v>
      </c>
      <c r="D1851" s="408">
        <v>45453</v>
      </c>
      <c r="E1851" s="439" t="s">
        <v>13534</v>
      </c>
    </row>
    <row r="1852" spans="2:5">
      <c r="B1852" s="407">
        <v>2407</v>
      </c>
      <c r="C1852" s="407">
        <v>1578</v>
      </c>
      <c r="D1852" s="408">
        <v>45451</v>
      </c>
      <c r="E1852" s="439" t="s">
        <v>13535</v>
      </c>
    </row>
    <row r="1853" spans="2:5">
      <c r="B1853" s="407">
        <v>2407</v>
      </c>
      <c r="C1853" s="407">
        <v>1577</v>
      </c>
      <c r="D1853" s="408">
        <v>45446</v>
      </c>
      <c r="E1853" s="439" t="s">
        <v>13536</v>
      </c>
    </row>
    <row r="1854" spans="2:5">
      <c r="B1854" s="407">
        <v>2407</v>
      </c>
      <c r="C1854" s="407">
        <v>1575</v>
      </c>
      <c r="D1854" s="408">
        <v>45442</v>
      </c>
      <c r="E1854" s="439" t="s">
        <v>13537</v>
      </c>
    </row>
    <row r="1855" spans="2:5">
      <c r="B1855" s="407">
        <v>2407</v>
      </c>
      <c r="C1855" s="407">
        <v>1574</v>
      </c>
      <c r="D1855" s="408">
        <v>45442</v>
      </c>
      <c r="E1855" s="439" t="s">
        <v>13538</v>
      </c>
    </row>
    <row r="1856" spans="2:5">
      <c r="B1856" s="407">
        <v>2407</v>
      </c>
      <c r="C1856" s="407">
        <v>1573</v>
      </c>
      <c r="D1856" s="408">
        <v>45441</v>
      </c>
      <c r="E1856" s="439" t="s">
        <v>13539</v>
      </c>
    </row>
    <row r="1857" spans="2:5">
      <c r="B1857" s="407">
        <v>2407</v>
      </c>
      <c r="C1857" s="407">
        <v>1572</v>
      </c>
      <c r="D1857" s="408">
        <v>45441</v>
      </c>
      <c r="E1857" s="439" t="s">
        <v>13540</v>
      </c>
    </row>
    <row r="1858" spans="2:5">
      <c r="B1858" s="407">
        <v>2407</v>
      </c>
      <c r="C1858" s="407">
        <v>1566</v>
      </c>
      <c r="D1858" s="408">
        <v>45435</v>
      </c>
      <c r="E1858" s="439" t="s">
        <v>13541</v>
      </c>
    </row>
    <row r="1859" spans="2:5">
      <c r="B1859" s="407">
        <v>2407</v>
      </c>
      <c r="C1859" s="407">
        <v>1561</v>
      </c>
      <c r="D1859" s="408">
        <v>45421</v>
      </c>
      <c r="E1859" s="439" t="s">
        <v>13542</v>
      </c>
    </row>
    <row r="1860" spans="2:5">
      <c r="B1860" s="407">
        <v>2407</v>
      </c>
      <c r="C1860" s="407">
        <v>1560</v>
      </c>
      <c r="D1860" s="408">
        <v>45420</v>
      </c>
      <c r="E1860" s="439" t="s">
        <v>13543</v>
      </c>
    </row>
    <row r="1861" spans="2:5">
      <c r="B1861" s="407">
        <v>2407</v>
      </c>
      <c r="C1861" s="407">
        <v>1559</v>
      </c>
      <c r="D1861" s="408">
        <v>45419</v>
      </c>
      <c r="E1861" s="439" t="s">
        <v>13544</v>
      </c>
    </row>
    <row r="1862" spans="2:5">
      <c r="B1862" s="407">
        <v>2407</v>
      </c>
      <c r="C1862" s="407">
        <v>1553</v>
      </c>
      <c r="D1862" s="408">
        <v>45413</v>
      </c>
      <c r="E1862" s="439" t="s">
        <v>13545</v>
      </c>
    </row>
    <row r="1863" spans="2:5">
      <c r="B1863" s="407">
        <v>2407</v>
      </c>
      <c r="C1863" s="407">
        <v>1551</v>
      </c>
      <c r="D1863" s="408">
        <v>45410</v>
      </c>
      <c r="E1863" s="439" t="s">
        <v>13546</v>
      </c>
    </row>
    <row r="1864" spans="2:5">
      <c r="B1864" s="407">
        <v>2407</v>
      </c>
      <c r="C1864" s="407">
        <v>1548</v>
      </c>
      <c r="D1864" s="408">
        <v>45408</v>
      </c>
      <c r="E1864" s="439" t="s">
        <v>13547</v>
      </c>
    </row>
    <row r="1865" spans="2:5">
      <c r="B1865" s="407">
        <v>2407</v>
      </c>
      <c r="C1865" s="407">
        <v>1530</v>
      </c>
      <c r="D1865" s="408">
        <v>45476</v>
      </c>
      <c r="E1865" s="439" t="s">
        <v>13548</v>
      </c>
    </row>
    <row r="1866" spans="2:5">
      <c r="B1866" s="407">
        <v>2407</v>
      </c>
      <c r="C1866" s="407">
        <v>1527</v>
      </c>
      <c r="D1866" s="408">
        <v>45475</v>
      </c>
      <c r="E1866" s="439" t="s">
        <v>13549</v>
      </c>
    </row>
    <row r="1867" spans="2:5">
      <c r="B1867" s="407">
        <v>2407</v>
      </c>
      <c r="C1867" s="407">
        <v>1526</v>
      </c>
      <c r="D1867" s="408">
        <v>45475</v>
      </c>
      <c r="E1867" s="439" t="s">
        <v>13550</v>
      </c>
    </row>
    <row r="1868" spans="2:5">
      <c r="B1868" s="407">
        <v>2407</v>
      </c>
      <c r="C1868" s="407">
        <v>1525</v>
      </c>
      <c r="D1868" s="408">
        <v>45476</v>
      </c>
      <c r="E1868" s="439" t="s">
        <v>13551</v>
      </c>
    </row>
    <row r="1869" spans="2:5">
      <c r="B1869" s="407">
        <v>2407</v>
      </c>
      <c r="C1869" s="407">
        <v>1523</v>
      </c>
      <c r="D1869" s="408">
        <v>45475</v>
      </c>
      <c r="E1869" s="439" t="s">
        <v>13552</v>
      </c>
    </row>
    <row r="1870" spans="2:5">
      <c r="B1870" s="407">
        <v>2407</v>
      </c>
      <c r="C1870" s="407">
        <v>1521</v>
      </c>
      <c r="D1870" s="408">
        <v>45475</v>
      </c>
      <c r="E1870" s="439" t="s">
        <v>13553</v>
      </c>
    </row>
    <row r="1871" spans="2:5">
      <c r="B1871" s="407">
        <v>2407</v>
      </c>
      <c r="C1871" s="407">
        <v>1519</v>
      </c>
      <c r="D1871" s="408">
        <v>45475</v>
      </c>
      <c r="E1871" s="439" t="s">
        <v>13554</v>
      </c>
    </row>
    <row r="1872" spans="2:5">
      <c r="B1872" s="407">
        <v>2407</v>
      </c>
      <c r="C1872" s="407">
        <v>1517</v>
      </c>
      <c r="D1872" s="408">
        <v>45475</v>
      </c>
      <c r="E1872" s="439" t="s">
        <v>13555</v>
      </c>
    </row>
    <row r="1873" spans="2:5">
      <c r="B1873" s="407">
        <v>2407</v>
      </c>
      <c r="C1873" s="407">
        <v>1516</v>
      </c>
      <c r="D1873" s="408">
        <v>45475</v>
      </c>
      <c r="E1873" s="439" t="s">
        <v>13556</v>
      </c>
    </row>
    <row r="1874" spans="2:5">
      <c r="B1874" s="407">
        <v>2407</v>
      </c>
      <c r="C1874" s="407">
        <v>1511</v>
      </c>
      <c r="D1874" s="408">
        <v>45475</v>
      </c>
      <c r="E1874" s="439" t="s">
        <v>13557</v>
      </c>
    </row>
    <row r="1875" spans="2:5">
      <c r="B1875" s="407">
        <v>2407</v>
      </c>
      <c r="C1875" s="407">
        <v>1509</v>
      </c>
      <c r="D1875" s="408">
        <v>45475</v>
      </c>
      <c r="E1875" s="439" t="s">
        <v>13558</v>
      </c>
    </row>
    <row r="1876" spans="2:5">
      <c r="B1876" s="407">
        <v>2407</v>
      </c>
      <c r="C1876" s="407">
        <v>1505</v>
      </c>
      <c r="D1876" s="408">
        <v>45475</v>
      </c>
      <c r="E1876" s="439" t="s">
        <v>13559</v>
      </c>
    </row>
    <row r="1877" spans="2:5">
      <c r="B1877" s="407">
        <v>2407</v>
      </c>
      <c r="C1877" s="407">
        <v>1502</v>
      </c>
      <c r="D1877" s="408">
        <v>45475</v>
      </c>
      <c r="E1877" s="439" t="s">
        <v>13560</v>
      </c>
    </row>
    <row r="1878" spans="2:5">
      <c r="B1878" s="409">
        <v>2407</v>
      </c>
      <c r="C1878" s="409">
        <v>1499</v>
      </c>
      <c r="D1878" s="410">
        <v>45475</v>
      </c>
      <c r="E1878" s="424" t="s">
        <v>13561</v>
      </c>
    </row>
    <row r="1879" spans="2:5">
      <c r="B1879" s="407">
        <v>2407</v>
      </c>
      <c r="C1879" s="407">
        <v>1494</v>
      </c>
      <c r="D1879" s="408">
        <v>45475</v>
      </c>
      <c r="E1879" s="439" t="s">
        <v>13562</v>
      </c>
    </row>
    <row r="1880" spans="2:5">
      <c r="B1880" s="407">
        <v>2407</v>
      </c>
      <c r="C1880" s="407">
        <v>1492</v>
      </c>
      <c r="D1880" s="408">
        <v>45475</v>
      </c>
      <c r="E1880" s="439" t="s">
        <v>13563</v>
      </c>
    </row>
    <row r="1881" spans="2:5">
      <c r="B1881" s="407">
        <v>2407</v>
      </c>
      <c r="C1881" s="407">
        <v>1491</v>
      </c>
      <c r="D1881" s="408">
        <v>45475</v>
      </c>
      <c r="E1881" s="439" t="s">
        <v>13564</v>
      </c>
    </row>
    <row r="1882" spans="2:5">
      <c r="B1882" s="407">
        <v>2407</v>
      </c>
      <c r="C1882" s="407">
        <v>1490</v>
      </c>
      <c r="D1882" s="408">
        <v>45475</v>
      </c>
      <c r="E1882" s="439" t="s">
        <v>13565</v>
      </c>
    </row>
    <row r="1883" spans="2:5">
      <c r="B1883" s="407">
        <v>2407</v>
      </c>
      <c r="C1883" s="407">
        <v>1489</v>
      </c>
      <c r="D1883" s="408">
        <v>45475</v>
      </c>
      <c r="E1883" s="439" t="s">
        <v>13566</v>
      </c>
    </row>
    <row r="1884" spans="2:5">
      <c r="B1884" s="407">
        <v>2407</v>
      </c>
      <c r="C1884" s="407">
        <v>1488</v>
      </c>
      <c r="D1884" s="408">
        <v>45476</v>
      </c>
      <c r="E1884" s="439" t="s">
        <v>13567</v>
      </c>
    </row>
    <row r="1885" spans="2:5">
      <c r="B1885" s="407">
        <v>2407</v>
      </c>
      <c r="C1885" s="407">
        <v>1476</v>
      </c>
      <c r="D1885" s="408">
        <v>45475</v>
      </c>
      <c r="E1885" s="439" t="s">
        <v>13568</v>
      </c>
    </row>
    <row r="1886" spans="2:5">
      <c r="B1886" s="407">
        <v>2407</v>
      </c>
      <c r="C1886" s="407">
        <v>1470</v>
      </c>
      <c r="D1886" s="408">
        <v>45475</v>
      </c>
      <c r="E1886" s="439" t="s">
        <v>13569</v>
      </c>
    </row>
    <row r="1887" spans="2:5">
      <c r="B1887" s="407">
        <v>2407</v>
      </c>
      <c r="C1887" s="407">
        <v>1467</v>
      </c>
      <c r="D1887" s="408">
        <v>45475</v>
      </c>
      <c r="E1887" s="439" t="s">
        <v>13570</v>
      </c>
    </row>
    <row r="1888" spans="2:5">
      <c r="B1888" s="407">
        <v>2407</v>
      </c>
      <c r="C1888" s="407">
        <v>1463</v>
      </c>
      <c r="D1888" s="408">
        <v>45475</v>
      </c>
      <c r="E1888" s="439" t="s">
        <v>13571</v>
      </c>
    </row>
    <row r="1889" spans="2:5">
      <c r="B1889" s="407">
        <v>2407</v>
      </c>
      <c r="C1889" s="407">
        <v>1461</v>
      </c>
      <c r="D1889" s="408">
        <v>45475</v>
      </c>
      <c r="E1889" s="439" t="s">
        <v>13572</v>
      </c>
    </row>
    <row r="1890" spans="2:5">
      <c r="B1890" s="407">
        <v>2407</v>
      </c>
      <c r="C1890" s="407">
        <v>1459</v>
      </c>
      <c r="D1890" s="408">
        <v>45475</v>
      </c>
      <c r="E1890" s="439" t="s">
        <v>13573</v>
      </c>
    </row>
    <row r="1891" spans="2:5">
      <c r="B1891" s="407">
        <v>2407</v>
      </c>
      <c r="C1891" s="407">
        <v>1458</v>
      </c>
      <c r="D1891" s="408">
        <v>45476</v>
      </c>
      <c r="E1891" s="439" t="s">
        <v>13574</v>
      </c>
    </row>
    <row r="1892" spans="2:5">
      <c r="B1892" s="407">
        <v>2407</v>
      </c>
      <c r="C1892" s="407">
        <v>1456</v>
      </c>
      <c r="D1892" s="408">
        <v>45471</v>
      </c>
      <c r="E1892" s="439" t="s">
        <v>13575</v>
      </c>
    </row>
    <row r="1893" spans="2:5">
      <c r="B1893" s="407">
        <v>2407</v>
      </c>
      <c r="C1893" s="407">
        <v>1455</v>
      </c>
      <c r="D1893" s="408">
        <v>45475</v>
      </c>
      <c r="E1893" s="439" t="s">
        <v>13576</v>
      </c>
    </row>
    <row r="1894" spans="2:5">
      <c r="B1894" s="407">
        <v>2407</v>
      </c>
      <c r="C1894" s="407">
        <v>1452</v>
      </c>
      <c r="D1894" s="408">
        <v>45475</v>
      </c>
      <c r="E1894" s="439" t="s">
        <v>13577</v>
      </c>
    </row>
    <row r="1895" spans="2:5">
      <c r="B1895" s="407">
        <v>2407</v>
      </c>
      <c r="C1895" s="407">
        <v>1449</v>
      </c>
      <c r="D1895" s="408">
        <v>45476</v>
      </c>
      <c r="E1895" s="439" t="s">
        <v>13578</v>
      </c>
    </row>
    <row r="1896" spans="2:5">
      <c r="B1896" s="407">
        <v>2407</v>
      </c>
      <c r="C1896" s="407">
        <v>1445</v>
      </c>
      <c r="D1896" s="408">
        <v>45475</v>
      </c>
      <c r="E1896" s="439" t="s">
        <v>13579</v>
      </c>
    </row>
    <row r="1897" spans="2:5">
      <c r="B1897" s="407">
        <v>2407</v>
      </c>
      <c r="C1897" s="407">
        <v>1437</v>
      </c>
      <c r="D1897" s="408">
        <v>45475</v>
      </c>
      <c r="E1897" s="439" t="s">
        <v>13580</v>
      </c>
    </row>
    <row r="1898" spans="2:5">
      <c r="B1898" s="409">
        <v>2407</v>
      </c>
      <c r="C1898" s="409">
        <v>1425</v>
      </c>
      <c r="D1898" s="410">
        <v>45475</v>
      </c>
      <c r="E1898" s="424" t="s">
        <v>13581</v>
      </c>
    </row>
    <row r="1899" spans="2:5">
      <c r="B1899" s="407">
        <v>2407</v>
      </c>
      <c r="C1899" s="407">
        <v>1419</v>
      </c>
      <c r="D1899" s="408">
        <v>45475</v>
      </c>
      <c r="E1899" s="439" t="s">
        <v>13582</v>
      </c>
    </row>
    <row r="1900" spans="2:5">
      <c r="B1900" s="407">
        <v>2407</v>
      </c>
      <c r="C1900" s="407">
        <v>1414</v>
      </c>
      <c r="D1900" s="408">
        <v>45475</v>
      </c>
      <c r="E1900" s="439" t="s">
        <v>13583</v>
      </c>
    </row>
    <row r="1901" spans="2:5">
      <c r="B1901" s="407">
        <v>2407</v>
      </c>
      <c r="C1901" s="407">
        <v>1411</v>
      </c>
      <c r="D1901" s="408">
        <v>45476</v>
      </c>
      <c r="E1901" s="439" t="s">
        <v>13584</v>
      </c>
    </row>
    <row r="1902" spans="2:5">
      <c r="B1902" s="407">
        <v>2407</v>
      </c>
      <c r="C1902" s="407">
        <v>1409</v>
      </c>
      <c r="D1902" s="408">
        <v>45475</v>
      </c>
      <c r="E1902" s="439" t="s">
        <v>13585</v>
      </c>
    </row>
    <row r="1903" spans="2:5">
      <c r="B1903" s="407">
        <v>2407</v>
      </c>
      <c r="C1903" s="407">
        <v>1408</v>
      </c>
      <c r="D1903" s="408">
        <v>45475</v>
      </c>
      <c r="E1903" s="439" t="s">
        <v>13586</v>
      </c>
    </row>
    <row r="1904" spans="2:5">
      <c r="B1904" s="407">
        <v>2407</v>
      </c>
      <c r="C1904" s="407">
        <v>1406</v>
      </c>
      <c r="D1904" s="408">
        <v>45475</v>
      </c>
      <c r="E1904" s="439" t="s">
        <v>13587</v>
      </c>
    </row>
    <row r="1905" spans="2:5">
      <c r="B1905" s="407">
        <v>2407</v>
      </c>
      <c r="C1905" s="407">
        <v>1403</v>
      </c>
      <c r="D1905" s="408">
        <v>45475</v>
      </c>
      <c r="E1905" s="439" t="s">
        <v>13588</v>
      </c>
    </row>
    <row r="1906" spans="2:5">
      <c r="B1906" s="407">
        <v>2407</v>
      </c>
      <c r="C1906" s="407">
        <v>1400</v>
      </c>
      <c r="D1906" s="408">
        <v>45475</v>
      </c>
      <c r="E1906" s="439" t="s">
        <v>13589</v>
      </c>
    </row>
    <row r="1907" spans="2:5">
      <c r="B1907" s="407">
        <v>2407</v>
      </c>
      <c r="C1907" s="407">
        <v>1397</v>
      </c>
      <c r="D1907" s="408">
        <v>45475</v>
      </c>
      <c r="E1907" s="439" t="s">
        <v>13590</v>
      </c>
    </row>
    <row r="1908" spans="2:5">
      <c r="B1908" s="407">
        <v>2407</v>
      </c>
      <c r="C1908" s="407">
        <v>1394</v>
      </c>
      <c r="D1908" s="408">
        <v>45475</v>
      </c>
      <c r="E1908" s="439" t="s">
        <v>13591</v>
      </c>
    </row>
    <row r="1909" spans="2:5">
      <c r="B1909" s="407">
        <v>2407</v>
      </c>
      <c r="C1909" s="407">
        <v>1392</v>
      </c>
      <c r="D1909" s="408">
        <v>45476</v>
      </c>
      <c r="E1909" s="439" t="s">
        <v>13592</v>
      </c>
    </row>
    <row r="1910" spans="2:5">
      <c r="B1910" s="407">
        <v>2407</v>
      </c>
      <c r="C1910" s="407">
        <v>1384</v>
      </c>
      <c r="D1910" s="408">
        <v>45475</v>
      </c>
      <c r="E1910" s="439" t="s">
        <v>13593</v>
      </c>
    </row>
    <row r="1911" spans="2:5">
      <c r="B1911" s="407">
        <v>2407</v>
      </c>
      <c r="C1911" s="407">
        <v>1378</v>
      </c>
      <c r="D1911" s="408">
        <v>45475</v>
      </c>
      <c r="E1911" s="439" t="s">
        <v>13594</v>
      </c>
    </row>
    <row r="1912" spans="2:5">
      <c r="B1912" s="407">
        <v>2407</v>
      </c>
      <c r="C1912" s="407">
        <v>1376</v>
      </c>
      <c r="D1912" s="408">
        <v>45475</v>
      </c>
      <c r="E1912" s="439" t="s">
        <v>13595</v>
      </c>
    </row>
    <row r="1913" spans="2:5">
      <c r="B1913" s="407">
        <v>2407</v>
      </c>
      <c r="C1913" s="407">
        <v>1375</v>
      </c>
      <c r="D1913" s="408">
        <v>45475</v>
      </c>
      <c r="E1913" s="439" t="s">
        <v>13596</v>
      </c>
    </row>
    <row r="1914" spans="2:5">
      <c r="B1914" s="407">
        <v>2407</v>
      </c>
      <c r="C1914" s="407">
        <v>1374</v>
      </c>
      <c r="D1914" s="408">
        <v>45475</v>
      </c>
      <c r="E1914" s="439" t="s">
        <v>13597</v>
      </c>
    </row>
    <row r="1915" spans="2:5">
      <c r="B1915" s="407">
        <v>2407</v>
      </c>
      <c r="C1915" s="407">
        <v>1371</v>
      </c>
      <c r="D1915" s="408">
        <v>45475</v>
      </c>
      <c r="E1915" s="439" t="s">
        <v>13598</v>
      </c>
    </row>
    <row r="1916" spans="2:5">
      <c r="B1916" s="407">
        <v>2407</v>
      </c>
      <c r="C1916" s="407">
        <v>1370</v>
      </c>
      <c r="D1916" s="408">
        <v>45475</v>
      </c>
      <c r="E1916" s="439" t="s">
        <v>13599</v>
      </c>
    </row>
    <row r="1917" spans="2:5">
      <c r="B1917" s="407">
        <v>2407</v>
      </c>
      <c r="C1917" s="407">
        <v>1358</v>
      </c>
      <c r="D1917" s="408">
        <v>45475</v>
      </c>
      <c r="E1917" s="439" t="s">
        <v>13600</v>
      </c>
    </row>
    <row r="1918" spans="2:5">
      <c r="B1918" s="407">
        <v>2407</v>
      </c>
      <c r="C1918" s="407">
        <v>1355</v>
      </c>
      <c r="D1918" s="408">
        <v>45475</v>
      </c>
      <c r="E1918" s="439" t="s">
        <v>13601</v>
      </c>
    </row>
    <row r="1919" spans="2:5">
      <c r="B1919" s="407">
        <v>2407</v>
      </c>
      <c r="C1919" s="407">
        <v>1349</v>
      </c>
      <c r="D1919" s="408">
        <v>45475</v>
      </c>
      <c r="E1919" s="439" t="s">
        <v>13602</v>
      </c>
    </row>
    <row r="1920" spans="2:5">
      <c r="B1920" s="407">
        <v>2407</v>
      </c>
      <c r="C1920" s="407">
        <v>1343</v>
      </c>
      <c r="D1920" s="408">
        <v>45475</v>
      </c>
      <c r="E1920" s="439" t="s">
        <v>13603</v>
      </c>
    </row>
    <row r="1921" spans="2:5">
      <c r="B1921" s="407">
        <v>2407</v>
      </c>
      <c r="C1921" s="407">
        <v>1332</v>
      </c>
      <c r="D1921" s="408">
        <v>45475</v>
      </c>
      <c r="E1921" s="439" t="s">
        <v>13604</v>
      </c>
    </row>
    <row r="1922" spans="2:5">
      <c r="B1922" s="407">
        <v>2407</v>
      </c>
      <c r="C1922" s="407">
        <v>1331</v>
      </c>
      <c r="D1922" s="408">
        <v>45475</v>
      </c>
      <c r="E1922" s="439" t="s">
        <v>13605</v>
      </c>
    </row>
    <row r="1923" spans="2:5">
      <c r="B1923" s="407">
        <v>2407</v>
      </c>
      <c r="C1923" s="407">
        <v>1330</v>
      </c>
      <c r="D1923" s="408">
        <v>45475</v>
      </c>
      <c r="E1923" s="439" t="s">
        <v>13606</v>
      </c>
    </row>
    <row r="1924" spans="2:5">
      <c r="B1924" s="407">
        <v>2407</v>
      </c>
      <c r="C1924" s="407">
        <v>1327</v>
      </c>
      <c r="D1924" s="408">
        <v>45475</v>
      </c>
      <c r="E1924" s="439" t="s">
        <v>13607</v>
      </c>
    </row>
    <row r="1925" spans="2:5">
      <c r="B1925" s="407">
        <v>2407</v>
      </c>
      <c r="C1925" s="407">
        <v>1320</v>
      </c>
      <c r="D1925" s="408">
        <v>45475</v>
      </c>
      <c r="E1925" s="439" t="s">
        <v>13608</v>
      </c>
    </row>
    <row r="1926" spans="2:5">
      <c r="B1926" s="407">
        <v>2407</v>
      </c>
      <c r="C1926" s="407">
        <v>1318</v>
      </c>
      <c r="D1926" s="408">
        <v>45475</v>
      </c>
      <c r="E1926" s="439" t="s">
        <v>13609</v>
      </c>
    </row>
    <row r="1927" spans="2:5">
      <c r="B1927" s="407">
        <v>2407</v>
      </c>
      <c r="C1927" s="407">
        <v>1317</v>
      </c>
      <c r="D1927" s="408">
        <v>45475</v>
      </c>
      <c r="E1927" s="439" t="s">
        <v>13610</v>
      </c>
    </row>
    <row r="1928" spans="2:5">
      <c r="B1928" s="407">
        <v>2407</v>
      </c>
      <c r="C1928" s="407">
        <v>1316</v>
      </c>
      <c r="D1928" s="408">
        <v>45475</v>
      </c>
      <c r="E1928" s="439" t="s">
        <v>13611</v>
      </c>
    </row>
    <row r="1929" spans="2:5">
      <c r="B1929" s="407">
        <v>2407</v>
      </c>
      <c r="C1929" s="407">
        <v>1315</v>
      </c>
      <c r="D1929" s="408">
        <v>45475</v>
      </c>
      <c r="E1929" s="439" t="s">
        <v>13612</v>
      </c>
    </row>
    <row r="1930" spans="2:5">
      <c r="B1930" s="407">
        <v>2407</v>
      </c>
      <c r="C1930" s="407">
        <v>1312</v>
      </c>
      <c r="D1930" s="408">
        <v>45475</v>
      </c>
      <c r="E1930" s="439" t="s">
        <v>13613</v>
      </c>
    </row>
    <row r="1931" spans="2:5">
      <c r="B1931" s="407">
        <v>2407</v>
      </c>
      <c r="C1931" s="407">
        <v>1310</v>
      </c>
      <c r="D1931" s="408">
        <v>45475</v>
      </c>
      <c r="E1931" s="439" t="s">
        <v>13614</v>
      </c>
    </row>
    <row r="1932" spans="2:5">
      <c r="B1932" s="407">
        <v>2407</v>
      </c>
      <c r="C1932" s="407">
        <v>1303</v>
      </c>
      <c r="D1932" s="408">
        <v>45475</v>
      </c>
      <c r="E1932" s="439" t="s">
        <v>13615</v>
      </c>
    </row>
    <row r="1933" spans="2:5">
      <c r="B1933" s="407">
        <v>2407</v>
      </c>
      <c r="C1933" s="407">
        <v>1301</v>
      </c>
      <c r="D1933" s="408">
        <v>45475</v>
      </c>
      <c r="E1933" s="439" t="s">
        <v>13616</v>
      </c>
    </row>
    <row r="1934" spans="2:5">
      <c r="B1934" s="407">
        <v>2407</v>
      </c>
      <c r="C1934" s="407">
        <v>1300</v>
      </c>
      <c r="D1934" s="408">
        <v>45475</v>
      </c>
      <c r="E1934" s="439" t="s">
        <v>13617</v>
      </c>
    </row>
    <row r="1935" spans="2:5">
      <c r="B1935" s="407">
        <v>2407</v>
      </c>
      <c r="C1935" s="407">
        <v>1299</v>
      </c>
      <c r="D1935" s="408">
        <v>45476</v>
      </c>
      <c r="E1935" s="439" t="s">
        <v>13618</v>
      </c>
    </row>
    <row r="1936" spans="2:5">
      <c r="B1936" s="407">
        <v>2407</v>
      </c>
      <c r="C1936" s="407">
        <v>1295</v>
      </c>
      <c r="D1936" s="408">
        <v>45475</v>
      </c>
      <c r="E1936" s="439" t="s">
        <v>13619</v>
      </c>
    </row>
    <row r="1937" spans="2:5">
      <c r="B1937" s="409">
        <v>2407</v>
      </c>
      <c r="C1937" s="409">
        <v>1291</v>
      </c>
      <c r="D1937" s="410">
        <v>45475</v>
      </c>
      <c r="E1937" s="424" t="s">
        <v>13620</v>
      </c>
    </row>
    <row r="1938" spans="2:5">
      <c r="B1938" s="407">
        <v>2407</v>
      </c>
      <c r="C1938" s="407">
        <v>1290</v>
      </c>
      <c r="D1938" s="408">
        <v>45475</v>
      </c>
      <c r="E1938" s="439" t="s">
        <v>13621</v>
      </c>
    </row>
    <row r="1939" spans="2:5">
      <c r="B1939" s="407">
        <v>2407</v>
      </c>
      <c r="C1939" s="407">
        <v>1284</v>
      </c>
      <c r="D1939" s="408">
        <v>45475</v>
      </c>
      <c r="E1939" s="439" t="s">
        <v>13622</v>
      </c>
    </row>
    <row r="1940" spans="2:5">
      <c r="B1940" s="407">
        <v>2407</v>
      </c>
      <c r="C1940" s="407">
        <v>1274</v>
      </c>
      <c r="D1940" s="408">
        <v>45476</v>
      </c>
      <c r="E1940" s="439" t="s">
        <v>13623</v>
      </c>
    </row>
    <row r="1941" spans="2:5">
      <c r="B1941" s="407">
        <v>2407</v>
      </c>
      <c r="C1941" s="407">
        <v>1272</v>
      </c>
      <c r="D1941" s="408">
        <v>45476</v>
      </c>
      <c r="E1941" s="439" t="s">
        <v>13624</v>
      </c>
    </row>
    <row r="1942" spans="2:5">
      <c r="B1942" s="407">
        <v>2407</v>
      </c>
      <c r="C1942" s="407">
        <v>1271</v>
      </c>
      <c r="D1942" s="408">
        <v>45475</v>
      </c>
      <c r="E1942" s="439" t="s">
        <v>13625</v>
      </c>
    </row>
    <row r="1943" spans="2:5">
      <c r="B1943" s="407">
        <v>2407</v>
      </c>
      <c r="C1943" s="407">
        <v>1265</v>
      </c>
      <c r="D1943" s="408">
        <v>45475</v>
      </c>
      <c r="E1943" s="439" t="s">
        <v>13626</v>
      </c>
    </row>
    <row r="1944" spans="2:5">
      <c r="B1944" s="407">
        <v>2407</v>
      </c>
      <c r="C1944" s="407">
        <v>1264</v>
      </c>
      <c r="D1944" s="408">
        <v>45475</v>
      </c>
      <c r="E1944" s="439" t="s">
        <v>13627</v>
      </c>
    </row>
    <row r="1945" spans="2:5">
      <c r="B1945" s="407">
        <v>2407</v>
      </c>
      <c r="C1945" s="407">
        <v>1260</v>
      </c>
      <c r="D1945" s="408">
        <v>45475</v>
      </c>
      <c r="E1945" s="439" t="s">
        <v>13628</v>
      </c>
    </row>
    <row r="1946" spans="2:5">
      <c r="B1946" s="409">
        <v>2407</v>
      </c>
      <c r="C1946" s="409">
        <v>1257</v>
      </c>
      <c r="D1946" s="410">
        <v>45477</v>
      </c>
      <c r="E1946" s="424" t="s">
        <v>13629</v>
      </c>
    </row>
    <row r="1947" spans="2:5">
      <c r="B1947" s="407">
        <v>2407</v>
      </c>
      <c r="C1947" s="407">
        <v>1245</v>
      </c>
      <c r="D1947" s="408">
        <v>45475</v>
      </c>
      <c r="E1947" s="439" t="s">
        <v>13630</v>
      </c>
    </row>
    <row r="1948" spans="2:5">
      <c r="B1948" s="407">
        <v>2407</v>
      </c>
      <c r="C1948" s="441">
        <v>1244</v>
      </c>
      <c r="D1948" s="408">
        <v>45475</v>
      </c>
      <c r="E1948" s="439" t="s">
        <v>13631</v>
      </c>
    </row>
    <row r="1949" spans="2:5">
      <c r="B1949" s="407">
        <v>2407</v>
      </c>
      <c r="C1949" s="441">
        <v>1239</v>
      </c>
      <c r="D1949" s="408">
        <v>45475</v>
      </c>
      <c r="E1949" s="439" t="s">
        <v>13632</v>
      </c>
    </row>
    <row r="1950" spans="2:5">
      <c r="B1950" s="407">
        <v>2407</v>
      </c>
      <c r="C1950" s="441">
        <v>1238</v>
      </c>
      <c r="D1950" s="408">
        <v>45475</v>
      </c>
      <c r="E1950" s="439" t="s">
        <v>13633</v>
      </c>
    </row>
    <row r="1951" spans="2:5">
      <c r="B1951" s="407">
        <v>2407</v>
      </c>
      <c r="C1951" s="441">
        <v>1235</v>
      </c>
      <c r="D1951" s="408">
        <v>45475</v>
      </c>
      <c r="E1951" s="439" t="s">
        <v>13634</v>
      </c>
    </row>
    <row r="1952" spans="2:5">
      <c r="B1952" s="407">
        <v>2407</v>
      </c>
      <c r="C1952" s="441">
        <v>1231</v>
      </c>
      <c r="D1952" s="408">
        <v>45475</v>
      </c>
      <c r="E1952" s="439" t="s">
        <v>13635</v>
      </c>
    </row>
    <row r="1953" spans="2:5">
      <c r="B1953" s="407">
        <v>2407</v>
      </c>
      <c r="C1953" s="441">
        <v>1230</v>
      </c>
      <c r="D1953" s="408">
        <v>45475</v>
      </c>
      <c r="E1953" s="439" t="s">
        <v>13636</v>
      </c>
    </row>
    <row r="1954" spans="2:5">
      <c r="B1954" s="407">
        <v>2407</v>
      </c>
      <c r="C1954" s="441">
        <v>1220</v>
      </c>
      <c r="D1954" s="408">
        <v>45475</v>
      </c>
      <c r="E1954" s="439" t="s">
        <v>13637</v>
      </c>
    </row>
    <row r="1955" spans="2:5">
      <c r="B1955" s="407">
        <v>2407</v>
      </c>
      <c r="C1955" s="441">
        <v>1219</v>
      </c>
      <c r="D1955" s="408">
        <v>45475</v>
      </c>
      <c r="E1955" s="439" t="s">
        <v>13638</v>
      </c>
    </row>
    <row r="1956" spans="2:5">
      <c r="B1956" s="407">
        <v>2407</v>
      </c>
      <c r="C1956" s="441">
        <v>1212</v>
      </c>
      <c r="D1956" s="408">
        <v>45475</v>
      </c>
      <c r="E1956" s="439" t="s">
        <v>13639</v>
      </c>
    </row>
    <row r="1957" spans="2:5">
      <c r="B1957" s="407">
        <v>2407</v>
      </c>
      <c r="C1957" s="441">
        <v>1211</v>
      </c>
      <c r="D1957" s="408">
        <v>45475</v>
      </c>
      <c r="E1957" s="439" t="s">
        <v>13640</v>
      </c>
    </row>
    <row r="1958" spans="2:5">
      <c r="B1958" s="407">
        <v>2407</v>
      </c>
      <c r="C1958" s="441">
        <v>1200</v>
      </c>
      <c r="D1958" s="408">
        <v>45475</v>
      </c>
      <c r="E1958" s="439" t="s">
        <v>13641</v>
      </c>
    </row>
    <row r="1959" spans="2:5">
      <c r="B1959" s="407">
        <v>2407</v>
      </c>
      <c r="C1959" s="441">
        <v>1199</v>
      </c>
      <c r="D1959" s="408">
        <v>45475</v>
      </c>
      <c r="E1959" s="439" t="s">
        <v>13642</v>
      </c>
    </row>
    <row r="1960" spans="2:5">
      <c r="B1960" s="407">
        <v>2407</v>
      </c>
      <c r="C1960" s="441">
        <v>1193</v>
      </c>
      <c r="D1960" s="408">
        <v>45475</v>
      </c>
      <c r="E1960" s="439" t="s">
        <v>13643</v>
      </c>
    </row>
    <row r="1961" spans="2:5">
      <c r="B1961" s="407">
        <v>2407</v>
      </c>
      <c r="C1961" s="441">
        <v>1183</v>
      </c>
      <c r="D1961" s="408">
        <v>45475</v>
      </c>
      <c r="E1961" s="439" t="s">
        <v>13644</v>
      </c>
    </row>
    <row r="1962" spans="2:5">
      <c r="B1962" s="407">
        <v>2407</v>
      </c>
      <c r="C1962" s="441">
        <v>1178</v>
      </c>
      <c r="D1962" s="408">
        <v>45475</v>
      </c>
      <c r="E1962" s="439" t="s">
        <v>13645</v>
      </c>
    </row>
    <row r="1963" spans="2:5">
      <c r="B1963" s="407">
        <v>2407</v>
      </c>
      <c r="C1963" s="441">
        <v>1171</v>
      </c>
      <c r="D1963" s="408">
        <v>45475</v>
      </c>
      <c r="E1963" s="439" t="s">
        <v>13646</v>
      </c>
    </row>
    <row r="1964" spans="2:5">
      <c r="B1964" s="407">
        <v>2407</v>
      </c>
      <c r="C1964" s="441">
        <v>1161</v>
      </c>
      <c r="D1964" s="408">
        <v>45475</v>
      </c>
      <c r="E1964" s="439" t="s">
        <v>13647</v>
      </c>
    </row>
    <row r="1965" spans="2:5">
      <c r="B1965" s="407">
        <v>2407</v>
      </c>
      <c r="C1965" s="441">
        <v>1158</v>
      </c>
      <c r="D1965" s="408">
        <v>45475</v>
      </c>
      <c r="E1965" s="439" t="s">
        <v>13648</v>
      </c>
    </row>
    <row r="1966" spans="2:5">
      <c r="B1966" s="407">
        <v>2407</v>
      </c>
      <c r="C1966" s="441">
        <v>1157</v>
      </c>
      <c r="D1966" s="408">
        <v>45475</v>
      </c>
      <c r="E1966" s="439" t="s">
        <v>13649</v>
      </c>
    </row>
    <row r="1967" spans="2:5">
      <c r="B1967" s="407">
        <v>2407</v>
      </c>
      <c r="C1967" s="441">
        <v>1146</v>
      </c>
      <c r="D1967" s="408">
        <v>45475</v>
      </c>
      <c r="E1967" s="439" t="s">
        <v>13650</v>
      </c>
    </row>
    <row r="1968" spans="2:5">
      <c r="B1968" s="407">
        <v>2407</v>
      </c>
      <c r="C1968" s="441">
        <v>1143</v>
      </c>
      <c r="D1968" s="408">
        <v>45475</v>
      </c>
      <c r="E1968" s="439" t="s">
        <v>13651</v>
      </c>
    </row>
    <row r="1969" spans="2:5">
      <c r="B1969" s="407">
        <v>2407</v>
      </c>
      <c r="C1969" s="441">
        <v>1142</v>
      </c>
      <c r="D1969" s="408">
        <v>45475</v>
      </c>
      <c r="E1969" s="439" t="s">
        <v>13652</v>
      </c>
    </row>
    <row r="1970" spans="2:5">
      <c r="B1970" s="407">
        <v>2407</v>
      </c>
      <c r="C1970" s="441">
        <v>1131</v>
      </c>
      <c r="D1970" s="408">
        <v>45475</v>
      </c>
      <c r="E1970" s="439" t="s">
        <v>13653</v>
      </c>
    </row>
    <row r="1971" spans="2:5">
      <c r="B1971" s="407">
        <v>2407</v>
      </c>
      <c r="C1971" s="441">
        <v>1130</v>
      </c>
      <c r="D1971" s="408">
        <v>45475</v>
      </c>
      <c r="E1971" s="439" t="s">
        <v>13654</v>
      </c>
    </row>
    <row r="1972" spans="2:5">
      <c r="B1972" s="407">
        <v>2407</v>
      </c>
      <c r="C1972" s="441">
        <v>1129</v>
      </c>
      <c r="D1972" s="408">
        <v>45475</v>
      </c>
      <c r="E1972" s="439" t="s">
        <v>13655</v>
      </c>
    </row>
    <row r="1973" spans="2:5">
      <c r="B1973" s="407">
        <v>2407</v>
      </c>
      <c r="C1973" s="441">
        <v>1126</v>
      </c>
      <c r="D1973" s="408">
        <v>45475</v>
      </c>
      <c r="E1973" s="439" t="s">
        <v>13656</v>
      </c>
    </row>
    <row r="1974" spans="2:5">
      <c r="B1974" s="407">
        <v>2407</v>
      </c>
      <c r="C1974" s="441">
        <v>1122</v>
      </c>
      <c r="D1974" s="408">
        <v>45475</v>
      </c>
      <c r="E1974" s="439" t="s">
        <v>13657</v>
      </c>
    </row>
    <row r="1975" spans="2:5">
      <c r="B1975" s="407">
        <v>2407</v>
      </c>
      <c r="C1975" s="441">
        <v>1119</v>
      </c>
      <c r="D1975" s="408">
        <v>45475</v>
      </c>
      <c r="E1975" s="439" t="s">
        <v>13658</v>
      </c>
    </row>
    <row r="1976" spans="2:5">
      <c r="B1976" s="407">
        <v>2407</v>
      </c>
      <c r="C1976" s="441">
        <v>1115</v>
      </c>
      <c r="D1976" s="408">
        <v>45475</v>
      </c>
      <c r="E1976" s="439" t="s">
        <v>13659</v>
      </c>
    </row>
    <row r="1977" spans="2:5">
      <c r="B1977" s="407">
        <v>2407</v>
      </c>
      <c r="C1977" s="441">
        <v>1111</v>
      </c>
      <c r="D1977" s="408">
        <v>45475</v>
      </c>
      <c r="E1977" s="439" t="s">
        <v>13660</v>
      </c>
    </row>
    <row r="1978" spans="2:5">
      <c r="B1978" s="407">
        <v>2407</v>
      </c>
      <c r="C1978" s="441">
        <v>1104</v>
      </c>
      <c r="D1978" s="408">
        <v>45475</v>
      </c>
      <c r="E1978" s="439" t="s">
        <v>13661</v>
      </c>
    </row>
    <row r="1979" spans="2:5">
      <c r="B1979" s="407">
        <v>2407</v>
      </c>
      <c r="C1979" s="441">
        <v>1103</v>
      </c>
      <c r="D1979" s="408">
        <v>45475</v>
      </c>
      <c r="E1979" s="439" t="s">
        <v>13662</v>
      </c>
    </row>
    <row r="1980" spans="2:5">
      <c r="B1980" s="407">
        <v>2407</v>
      </c>
      <c r="C1980" s="441">
        <v>1102</v>
      </c>
      <c r="D1980" s="408">
        <v>45475</v>
      </c>
      <c r="E1980" s="439" t="s">
        <v>13663</v>
      </c>
    </row>
    <row r="1981" spans="2:5">
      <c r="B1981" s="407">
        <v>2407</v>
      </c>
      <c r="C1981" s="441">
        <v>1100</v>
      </c>
      <c r="D1981" s="408">
        <v>45475</v>
      </c>
      <c r="E1981" s="439" t="s">
        <v>13664</v>
      </c>
    </row>
    <row r="1982" spans="2:5">
      <c r="B1982" s="407">
        <v>2407</v>
      </c>
      <c r="C1982" s="441">
        <v>1094</v>
      </c>
      <c r="D1982" s="408">
        <v>45475</v>
      </c>
      <c r="E1982" s="439" t="s">
        <v>13665</v>
      </c>
    </row>
    <row r="1983" spans="2:5">
      <c r="B1983" s="407">
        <v>2407</v>
      </c>
      <c r="C1983" s="441">
        <v>1093</v>
      </c>
      <c r="D1983" s="408">
        <v>45475</v>
      </c>
      <c r="E1983" s="439" t="s">
        <v>13666</v>
      </c>
    </row>
    <row r="1984" spans="2:5">
      <c r="B1984" s="407">
        <v>2407</v>
      </c>
      <c r="C1984" s="441">
        <v>1092</v>
      </c>
      <c r="D1984" s="408">
        <v>45475</v>
      </c>
      <c r="E1984" s="439" t="s">
        <v>13667</v>
      </c>
    </row>
    <row r="1985" spans="2:5">
      <c r="B1985" s="407">
        <v>2407</v>
      </c>
      <c r="C1985" s="441">
        <v>1091</v>
      </c>
      <c r="D1985" s="408">
        <v>45475</v>
      </c>
      <c r="E1985" s="439" t="s">
        <v>13668</v>
      </c>
    </row>
    <row r="1986" spans="2:5">
      <c r="B1986" s="407">
        <v>2407</v>
      </c>
      <c r="C1986" s="441">
        <v>1090</v>
      </c>
      <c r="D1986" s="408">
        <v>45475</v>
      </c>
      <c r="E1986" s="439" t="s">
        <v>13669</v>
      </c>
    </row>
    <row r="1987" spans="2:5">
      <c r="B1987" s="407">
        <v>2407</v>
      </c>
      <c r="C1987" s="441">
        <v>1085</v>
      </c>
      <c r="D1987" s="408">
        <v>45475</v>
      </c>
      <c r="E1987" s="439" t="s">
        <v>13670</v>
      </c>
    </row>
    <row r="1988" spans="2:5">
      <c r="B1988" s="407">
        <v>2407</v>
      </c>
      <c r="C1988" s="441">
        <v>1082</v>
      </c>
      <c r="D1988" s="408">
        <v>45475</v>
      </c>
      <c r="E1988" s="439" t="s">
        <v>13671</v>
      </c>
    </row>
    <row r="1989" spans="2:5">
      <c r="B1989" s="407">
        <v>2407</v>
      </c>
      <c r="C1989" s="441">
        <v>1081</v>
      </c>
      <c r="D1989" s="408">
        <v>45475</v>
      </c>
      <c r="E1989" s="439" t="s">
        <v>13672</v>
      </c>
    </row>
    <row r="1990" spans="2:5">
      <c r="B1990" s="407">
        <v>2407</v>
      </c>
      <c r="C1990" s="441">
        <v>1080</v>
      </c>
      <c r="D1990" s="408">
        <v>45477</v>
      </c>
      <c r="E1990" s="439" t="s">
        <v>13673</v>
      </c>
    </row>
    <row r="1991" spans="2:5">
      <c r="B1991" s="407">
        <v>2407</v>
      </c>
      <c r="C1991" s="441">
        <v>1079</v>
      </c>
      <c r="D1991" s="408">
        <v>45475</v>
      </c>
      <c r="E1991" s="439" t="s">
        <v>13674</v>
      </c>
    </row>
    <row r="1992" spans="2:5">
      <c r="B1992" s="407">
        <v>2407</v>
      </c>
      <c r="C1992" s="441">
        <v>1074</v>
      </c>
      <c r="D1992" s="408">
        <v>45475</v>
      </c>
      <c r="E1992" s="439" t="s">
        <v>13675</v>
      </c>
    </row>
    <row r="1993" spans="2:5">
      <c r="B1993" s="407">
        <v>2407</v>
      </c>
      <c r="C1993" s="441">
        <v>1073</v>
      </c>
      <c r="D1993" s="408">
        <v>45475</v>
      </c>
      <c r="E1993" s="439" t="s">
        <v>13676</v>
      </c>
    </row>
    <row r="1994" spans="2:5">
      <c r="B1994" s="407">
        <v>2407</v>
      </c>
      <c r="C1994" s="441">
        <v>1067</v>
      </c>
      <c r="D1994" s="408">
        <v>45475</v>
      </c>
      <c r="E1994" s="439" t="s">
        <v>13677</v>
      </c>
    </row>
    <row r="1995" spans="2:5">
      <c r="B1995" s="407">
        <v>2407</v>
      </c>
      <c r="C1995" s="441">
        <v>1054</v>
      </c>
      <c r="D1995" s="408">
        <v>45475</v>
      </c>
      <c r="E1995" s="439" t="s">
        <v>13678</v>
      </c>
    </row>
    <row r="1996" spans="2:5">
      <c r="B1996" s="407">
        <v>2407</v>
      </c>
      <c r="C1996" s="441">
        <v>1050</v>
      </c>
      <c r="D1996" s="408">
        <v>45475</v>
      </c>
      <c r="E1996" s="439" t="s">
        <v>13679</v>
      </c>
    </row>
    <row r="1997" spans="2:5">
      <c r="B1997" s="407">
        <v>2407</v>
      </c>
      <c r="C1997" s="441">
        <v>1049</v>
      </c>
      <c r="D1997" s="408">
        <v>45475</v>
      </c>
      <c r="E1997" s="439" t="s">
        <v>13680</v>
      </c>
    </row>
    <row r="1998" spans="2:5">
      <c r="B1998" s="407">
        <v>2407</v>
      </c>
      <c r="C1998" s="441">
        <v>1047</v>
      </c>
      <c r="D1998" s="408">
        <v>45475</v>
      </c>
      <c r="E1998" s="439" t="s">
        <v>13681</v>
      </c>
    </row>
    <row r="1999" spans="2:5">
      <c r="B1999" s="407">
        <v>2407</v>
      </c>
      <c r="C1999" s="441">
        <v>1046</v>
      </c>
      <c r="D1999" s="408">
        <v>45476</v>
      </c>
      <c r="E1999" s="439" t="s">
        <v>13682</v>
      </c>
    </row>
    <row r="2000" spans="2:5">
      <c r="B2000" s="409">
        <v>2407</v>
      </c>
      <c r="C2000" s="409">
        <v>1034</v>
      </c>
      <c r="D2000" s="410">
        <v>45475</v>
      </c>
      <c r="E2000" s="424" t="s">
        <v>13683</v>
      </c>
    </row>
    <row r="2001" spans="2:5">
      <c r="B2001" s="407">
        <v>2407</v>
      </c>
      <c r="C2001" s="441">
        <v>1033</v>
      </c>
      <c r="D2001" s="408">
        <v>45475</v>
      </c>
      <c r="E2001" s="439" t="s">
        <v>13684</v>
      </c>
    </row>
    <row r="2002" spans="2:5">
      <c r="B2002" s="407">
        <v>2407</v>
      </c>
      <c r="C2002" s="441">
        <v>1032</v>
      </c>
      <c r="D2002" s="408">
        <v>45475</v>
      </c>
      <c r="E2002" s="439" t="s">
        <v>13685</v>
      </c>
    </row>
    <row r="2003" spans="2:5">
      <c r="B2003" s="407">
        <v>2407</v>
      </c>
      <c r="C2003" s="441">
        <v>1031</v>
      </c>
      <c r="D2003" s="408">
        <v>45475</v>
      </c>
      <c r="E2003" s="439" t="s">
        <v>13686</v>
      </c>
    </row>
    <row r="2004" spans="2:5">
      <c r="B2004" s="407">
        <v>2407</v>
      </c>
      <c r="C2004" s="441">
        <v>1029</v>
      </c>
      <c r="D2004" s="408">
        <v>45475</v>
      </c>
      <c r="E2004" s="439" t="s">
        <v>13687</v>
      </c>
    </row>
    <row r="2005" spans="2:5">
      <c r="B2005" s="407">
        <v>2407</v>
      </c>
      <c r="C2005" s="441">
        <v>1027</v>
      </c>
      <c r="D2005" s="408">
        <v>45475</v>
      </c>
      <c r="E2005" s="439" t="s">
        <v>13688</v>
      </c>
    </row>
    <row r="2006" spans="2:5">
      <c r="B2006" s="409">
        <v>2407</v>
      </c>
      <c r="C2006" s="409">
        <v>1023</v>
      </c>
      <c r="D2006" s="410">
        <v>45475</v>
      </c>
      <c r="E2006" s="424" t="s">
        <v>13689</v>
      </c>
    </row>
    <row r="2007" spans="2:5">
      <c r="B2007" s="407">
        <v>2407</v>
      </c>
      <c r="C2007" s="441">
        <v>1016</v>
      </c>
      <c r="D2007" s="408">
        <v>45475</v>
      </c>
      <c r="E2007" s="439" t="s">
        <v>13690</v>
      </c>
    </row>
    <row r="2008" spans="2:5">
      <c r="B2008" s="407">
        <v>2407</v>
      </c>
      <c r="C2008" s="441">
        <v>1014</v>
      </c>
      <c r="D2008" s="408">
        <v>45475</v>
      </c>
      <c r="E2008" s="439" t="s">
        <v>13691</v>
      </c>
    </row>
    <row r="2009" spans="2:5">
      <c r="B2009" s="407">
        <v>2407</v>
      </c>
      <c r="C2009" s="441">
        <v>1012</v>
      </c>
      <c r="D2009" s="408">
        <v>45477</v>
      </c>
      <c r="E2009" s="439" t="s">
        <v>13692</v>
      </c>
    </row>
    <row r="2010" spans="2:5">
      <c r="B2010" s="407">
        <v>2407</v>
      </c>
      <c r="C2010" s="441">
        <v>1009</v>
      </c>
      <c r="D2010" s="408">
        <v>45475</v>
      </c>
      <c r="E2010" s="439" t="s">
        <v>13693</v>
      </c>
    </row>
    <row r="2011" spans="2:5">
      <c r="B2011" s="409">
        <v>2407</v>
      </c>
      <c r="C2011" s="409">
        <v>1003</v>
      </c>
      <c r="D2011" s="410">
        <v>45476</v>
      </c>
      <c r="E2011" s="424" t="s">
        <v>13694</v>
      </c>
    </row>
    <row r="2012" spans="2:5">
      <c r="B2012" s="407">
        <v>2407</v>
      </c>
      <c r="C2012" s="441">
        <v>997</v>
      </c>
      <c r="D2012" s="408">
        <v>45475</v>
      </c>
      <c r="E2012" s="439" t="s">
        <v>13695</v>
      </c>
    </row>
    <row r="2013" spans="2:5">
      <c r="B2013" s="407">
        <v>2407</v>
      </c>
      <c r="C2013" s="441">
        <v>996</v>
      </c>
      <c r="D2013" s="408">
        <v>45475</v>
      </c>
      <c r="E2013" s="439" t="s">
        <v>13696</v>
      </c>
    </row>
    <row r="2014" spans="2:5">
      <c r="B2014" s="407">
        <v>2407</v>
      </c>
      <c r="C2014" s="441">
        <v>995</v>
      </c>
      <c r="D2014" s="408">
        <v>45475</v>
      </c>
      <c r="E2014" s="439" t="s">
        <v>13697</v>
      </c>
    </row>
    <row r="2015" spans="2:5">
      <c r="B2015" s="407">
        <v>2407</v>
      </c>
      <c r="C2015" s="441">
        <v>994</v>
      </c>
      <c r="D2015" s="408">
        <v>45475</v>
      </c>
      <c r="E2015" s="439" t="s">
        <v>13698</v>
      </c>
    </row>
    <row r="2016" spans="2:5">
      <c r="B2016" s="407">
        <v>2407</v>
      </c>
      <c r="C2016" s="441">
        <v>985</v>
      </c>
      <c r="D2016" s="408">
        <v>45475</v>
      </c>
      <c r="E2016" s="439" t="s">
        <v>13699</v>
      </c>
    </row>
    <row r="2017" spans="2:5">
      <c r="B2017" s="407">
        <v>2407</v>
      </c>
      <c r="C2017" s="441">
        <v>984</v>
      </c>
      <c r="D2017" s="408">
        <v>45475</v>
      </c>
      <c r="E2017" s="439" t="s">
        <v>13700</v>
      </c>
    </row>
    <row r="2018" spans="2:5">
      <c r="B2018" s="407">
        <v>2407</v>
      </c>
      <c r="C2018" s="441">
        <v>983</v>
      </c>
      <c r="D2018" s="408">
        <v>45477</v>
      </c>
      <c r="E2018" s="439" t="s">
        <v>13701</v>
      </c>
    </row>
    <row r="2019" spans="2:5">
      <c r="B2019" s="407">
        <v>2407</v>
      </c>
      <c r="C2019" s="441">
        <v>981</v>
      </c>
      <c r="D2019" s="408">
        <v>45475</v>
      </c>
      <c r="E2019" s="439" t="s">
        <v>13702</v>
      </c>
    </row>
    <row r="2020" spans="2:5">
      <c r="B2020" s="407">
        <v>2407</v>
      </c>
      <c r="C2020" s="441">
        <v>979</v>
      </c>
      <c r="D2020" s="408">
        <v>45475</v>
      </c>
      <c r="E2020" s="439" t="s">
        <v>13703</v>
      </c>
    </row>
    <row r="2021" spans="2:5">
      <c r="B2021" s="407">
        <v>2407</v>
      </c>
      <c r="C2021" s="441">
        <v>978</v>
      </c>
      <c r="D2021" s="408">
        <v>45475</v>
      </c>
      <c r="E2021" s="439" t="s">
        <v>13704</v>
      </c>
    </row>
    <row r="2022" spans="2:5">
      <c r="B2022" s="407">
        <v>2407</v>
      </c>
      <c r="C2022" s="441">
        <v>972</v>
      </c>
      <c r="D2022" s="408">
        <v>45475</v>
      </c>
      <c r="E2022" s="439" t="s">
        <v>13705</v>
      </c>
    </row>
    <row r="2023" spans="2:5">
      <c r="B2023" s="407">
        <v>2407</v>
      </c>
      <c r="C2023" s="441">
        <v>968</v>
      </c>
      <c r="D2023" s="408">
        <v>45475</v>
      </c>
      <c r="E2023" s="439" t="s">
        <v>13706</v>
      </c>
    </row>
    <row r="2024" spans="2:5">
      <c r="B2024" s="407">
        <v>2407</v>
      </c>
      <c r="C2024" s="441">
        <v>967</v>
      </c>
      <c r="D2024" s="408">
        <v>45475</v>
      </c>
      <c r="E2024" s="439" t="s">
        <v>13707</v>
      </c>
    </row>
    <row r="2025" spans="2:5">
      <c r="B2025" s="407">
        <v>2407</v>
      </c>
      <c r="C2025" s="441">
        <v>958</v>
      </c>
      <c r="D2025" s="408">
        <v>45475</v>
      </c>
      <c r="E2025" s="439" t="s">
        <v>13708</v>
      </c>
    </row>
    <row r="2026" spans="2:5">
      <c r="B2026" s="407">
        <v>2407</v>
      </c>
      <c r="C2026" s="441">
        <v>957</v>
      </c>
      <c r="D2026" s="408">
        <v>45476</v>
      </c>
      <c r="E2026" s="439" t="s">
        <v>13709</v>
      </c>
    </row>
    <row r="2027" spans="2:5">
      <c r="B2027" s="407">
        <v>2407</v>
      </c>
      <c r="C2027" s="441">
        <v>956</v>
      </c>
      <c r="D2027" s="408">
        <v>45475</v>
      </c>
      <c r="E2027" s="439" t="s">
        <v>13710</v>
      </c>
    </row>
    <row r="2028" spans="2:5">
      <c r="B2028" s="407">
        <v>2407</v>
      </c>
      <c r="C2028" s="441">
        <v>952</v>
      </c>
      <c r="D2028" s="408">
        <v>45475</v>
      </c>
      <c r="E2028" s="439" t="s">
        <v>13711</v>
      </c>
    </row>
    <row r="2029" spans="2:5">
      <c r="B2029" s="407">
        <v>2407</v>
      </c>
      <c r="C2029" s="441">
        <v>949</v>
      </c>
      <c r="D2029" s="408">
        <v>45475</v>
      </c>
      <c r="E2029" s="439" t="s">
        <v>13712</v>
      </c>
    </row>
    <row r="2030" spans="2:5">
      <c r="B2030" s="407">
        <v>2407</v>
      </c>
      <c r="C2030" s="441">
        <v>948</v>
      </c>
      <c r="D2030" s="408">
        <v>45475</v>
      </c>
      <c r="E2030" s="439" t="s">
        <v>13713</v>
      </c>
    </row>
    <row r="2031" spans="2:5">
      <c r="B2031" s="407">
        <v>2407</v>
      </c>
      <c r="C2031" s="441">
        <v>945</v>
      </c>
      <c r="D2031" s="408">
        <v>45474</v>
      </c>
      <c r="E2031" s="439" t="s">
        <v>13714</v>
      </c>
    </row>
    <row r="2032" spans="2:5">
      <c r="B2032" s="407">
        <v>2407</v>
      </c>
      <c r="C2032" s="441">
        <v>944</v>
      </c>
      <c r="D2032" s="408">
        <v>45474</v>
      </c>
      <c r="E2032" s="439" t="s">
        <v>13715</v>
      </c>
    </row>
    <row r="2033" spans="2:5">
      <c r="B2033" s="407">
        <v>2407</v>
      </c>
      <c r="C2033" s="441">
        <v>942</v>
      </c>
      <c r="D2033" s="408">
        <v>45474</v>
      </c>
      <c r="E2033" s="439" t="s">
        <v>13716</v>
      </c>
    </row>
    <row r="2034" spans="2:5">
      <c r="B2034" s="407">
        <v>2407</v>
      </c>
      <c r="C2034" s="441">
        <v>938</v>
      </c>
      <c r="D2034" s="408">
        <v>45474</v>
      </c>
      <c r="E2034" s="439" t="s">
        <v>13717</v>
      </c>
    </row>
    <row r="2035" spans="2:5">
      <c r="B2035" s="407">
        <v>2407</v>
      </c>
      <c r="C2035" s="441">
        <v>936</v>
      </c>
      <c r="D2035" s="408">
        <v>45474</v>
      </c>
      <c r="E2035" s="439" t="s">
        <v>13718</v>
      </c>
    </row>
    <row r="2036" spans="2:5">
      <c r="B2036" s="407">
        <v>2407</v>
      </c>
      <c r="C2036" s="441">
        <v>935</v>
      </c>
      <c r="D2036" s="408">
        <v>45474</v>
      </c>
      <c r="E2036" s="439" t="s">
        <v>13719</v>
      </c>
    </row>
    <row r="2037" spans="2:5">
      <c r="B2037" s="407">
        <v>2407</v>
      </c>
      <c r="C2037" s="441">
        <v>934</v>
      </c>
      <c r="D2037" s="408">
        <v>45474</v>
      </c>
      <c r="E2037" s="439" t="s">
        <v>13720</v>
      </c>
    </row>
    <row r="2038" spans="2:5">
      <c r="B2038" s="407">
        <v>2407</v>
      </c>
      <c r="C2038" s="441">
        <v>928</v>
      </c>
      <c r="D2038" s="408">
        <v>45474</v>
      </c>
      <c r="E2038" s="439" t="s">
        <v>13721</v>
      </c>
    </row>
    <row r="2039" spans="2:5">
      <c r="B2039" s="407">
        <v>2407</v>
      </c>
      <c r="C2039" s="441">
        <v>925</v>
      </c>
      <c r="D2039" s="408">
        <v>45474</v>
      </c>
      <c r="E2039" s="439" t="s">
        <v>13722</v>
      </c>
    </row>
    <row r="2040" spans="2:5">
      <c r="B2040" s="407">
        <v>2407</v>
      </c>
      <c r="C2040" s="441">
        <v>924</v>
      </c>
      <c r="D2040" s="408">
        <v>45474</v>
      </c>
      <c r="E2040" s="439" t="s">
        <v>13723</v>
      </c>
    </row>
    <row r="2041" spans="2:5">
      <c r="B2041" s="407">
        <v>2407</v>
      </c>
      <c r="C2041" s="441">
        <v>923</v>
      </c>
      <c r="D2041" s="408">
        <v>45474</v>
      </c>
      <c r="E2041" s="439" t="s">
        <v>13724</v>
      </c>
    </row>
    <row r="2042" spans="2:5">
      <c r="B2042" s="407">
        <v>2407</v>
      </c>
      <c r="C2042" s="441">
        <v>921</v>
      </c>
      <c r="D2042" s="408">
        <v>45474</v>
      </c>
      <c r="E2042" s="439" t="s">
        <v>13725</v>
      </c>
    </row>
    <row r="2043" spans="2:5">
      <c r="B2043" s="407">
        <v>2407</v>
      </c>
      <c r="C2043" s="441">
        <v>917</v>
      </c>
      <c r="D2043" s="408">
        <v>45474</v>
      </c>
      <c r="E2043" s="439" t="s">
        <v>13726</v>
      </c>
    </row>
    <row r="2044" spans="2:5">
      <c r="B2044" s="407">
        <v>2407</v>
      </c>
      <c r="C2044" s="441">
        <v>913</v>
      </c>
      <c r="D2044" s="408">
        <v>45474</v>
      </c>
      <c r="E2044" s="439" t="s">
        <v>13727</v>
      </c>
    </row>
    <row r="2045" spans="2:5">
      <c r="B2045" s="407">
        <v>2407</v>
      </c>
      <c r="C2045" s="441">
        <v>911</v>
      </c>
      <c r="D2045" s="408">
        <v>45474</v>
      </c>
      <c r="E2045" s="439" t="s">
        <v>13728</v>
      </c>
    </row>
    <row r="2046" spans="2:5">
      <c r="B2046" s="407">
        <v>2407</v>
      </c>
      <c r="C2046" s="441">
        <v>908</v>
      </c>
      <c r="D2046" s="408">
        <v>45474</v>
      </c>
      <c r="E2046" s="439" t="s">
        <v>13729</v>
      </c>
    </row>
    <row r="2047" spans="2:5">
      <c r="B2047" s="407">
        <v>2407</v>
      </c>
      <c r="C2047" s="441">
        <v>905</v>
      </c>
      <c r="D2047" s="408">
        <v>45474</v>
      </c>
      <c r="E2047" s="439" t="s">
        <v>13730</v>
      </c>
    </row>
    <row r="2048" spans="2:5">
      <c r="B2048" s="407">
        <v>2407</v>
      </c>
      <c r="C2048" s="441">
        <v>904</v>
      </c>
      <c r="D2048" s="408">
        <v>45474</v>
      </c>
      <c r="E2048" s="439" t="s">
        <v>13731</v>
      </c>
    </row>
    <row r="2049" spans="2:5">
      <c r="B2049" s="407">
        <v>2407</v>
      </c>
      <c r="C2049" s="441">
        <v>902</v>
      </c>
      <c r="D2049" s="408">
        <v>45474</v>
      </c>
      <c r="E2049" s="439" t="s">
        <v>13732</v>
      </c>
    </row>
    <row r="2050" spans="2:5">
      <c r="B2050" s="407">
        <v>2407</v>
      </c>
      <c r="C2050" s="441">
        <v>900</v>
      </c>
      <c r="D2050" s="408">
        <v>45474</v>
      </c>
      <c r="E2050" s="439" t="s">
        <v>13733</v>
      </c>
    </row>
    <row r="2051" spans="2:5">
      <c r="B2051" s="407">
        <v>2407</v>
      </c>
      <c r="C2051" s="441">
        <v>894</v>
      </c>
      <c r="D2051" s="408">
        <v>45474</v>
      </c>
      <c r="E2051" s="439" t="s">
        <v>13734</v>
      </c>
    </row>
    <row r="2052" spans="2:5">
      <c r="B2052" s="407">
        <v>2407</v>
      </c>
      <c r="C2052" s="441">
        <v>891</v>
      </c>
      <c r="D2052" s="408">
        <v>45474</v>
      </c>
      <c r="E2052" s="439" t="s">
        <v>13735</v>
      </c>
    </row>
    <row r="2053" spans="2:5">
      <c r="B2053" s="407">
        <v>2407</v>
      </c>
      <c r="C2053" s="441">
        <v>890</v>
      </c>
      <c r="D2053" s="408">
        <v>45474</v>
      </c>
      <c r="E2053" s="439" t="s">
        <v>13736</v>
      </c>
    </row>
    <row r="2054" spans="2:5">
      <c r="B2054" s="407">
        <v>2407</v>
      </c>
      <c r="C2054" s="441">
        <v>888</v>
      </c>
      <c r="D2054" s="408">
        <v>45474</v>
      </c>
      <c r="E2054" s="439" t="s">
        <v>13737</v>
      </c>
    </row>
    <row r="2055" spans="2:5">
      <c r="B2055" s="407">
        <v>2407</v>
      </c>
      <c r="C2055" s="441">
        <v>886</v>
      </c>
      <c r="D2055" s="408">
        <v>45474</v>
      </c>
      <c r="E2055" s="439" t="s">
        <v>13738</v>
      </c>
    </row>
    <row r="2056" spans="2:5">
      <c r="B2056" s="407">
        <v>2407</v>
      </c>
      <c r="C2056" s="441">
        <v>875</v>
      </c>
      <c r="D2056" s="408">
        <v>45469</v>
      </c>
      <c r="E2056" s="439" t="s">
        <v>13739</v>
      </c>
    </row>
    <row r="2057" spans="2:5">
      <c r="B2057" s="407">
        <v>2407</v>
      </c>
      <c r="C2057" s="441">
        <v>870</v>
      </c>
      <c r="D2057" s="408">
        <v>45474</v>
      </c>
      <c r="E2057" s="439" t="s">
        <v>13740</v>
      </c>
    </row>
    <row r="2058" spans="2:5">
      <c r="B2058" s="407">
        <v>2407</v>
      </c>
      <c r="C2058" s="441">
        <v>869</v>
      </c>
      <c r="D2058" s="408">
        <v>45474</v>
      </c>
      <c r="E2058" s="439" t="s">
        <v>13741</v>
      </c>
    </row>
    <row r="2059" spans="2:5">
      <c r="B2059" s="407">
        <v>2407</v>
      </c>
      <c r="C2059" s="441">
        <v>851</v>
      </c>
      <c r="D2059" s="408">
        <v>45474</v>
      </c>
      <c r="E2059" s="439" t="s">
        <v>13742</v>
      </c>
    </row>
    <row r="2060" spans="2:5">
      <c r="B2060" s="407">
        <v>2407</v>
      </c>
      <c r="C2060" s="441">
        <v>849</v>
      </c>
      <c r="D2060" s="408">
        <v>45474</v>
      </c>
      <c r="E2060" s="439" t="s">
        <v>13743</v>
      </c>
    </row>
    <row r="2061" spans="2:5">
      <c r="B2061" s="407">
        <v>2407</v>
      </c>
      <c r="C2061" s="441">
        <v>848</v>
      </c>
      <c r="D2061" s="408">
        <v>45474</v>
      </c>
      <c r="E2061" s="439" t="s">
        <v>13744</v>
      </c>
    </row>
    <row r="2062" spans="2:5">
      <c r="B2062" s="407">
        <v>2407</v>
      </c>
      <c r="C2062" s="441">
        <v>840</v>
      </c>
      <c r="D2062" s="408">
        <v>45474</v>
      </c>
      <c r="E2062" s="439" t="s">
        <v>13745</v>
      </c>
    </row>
    <row r="2063" spans="2:5">
      <c r="B2063" s="407">
        <v>2407</v>
      </c>
      <c r="C2063" s="441">
        <v>837</v>
      </c>
      <c r="D2063" s="408">
        <v>45476</v>
      </c>
      <c r="E2063" s="439" t="s">
        <v>13746</v>
      </c>
    </row>
    <row r="2064" spans="2:5">
      <c r="B2064" s="407">
        <v>2407</v>
      </c>
      <c r="C2064" s="441">
        <v>826</v>
      </c>
      <c r="D2064" s="408">
        <v>45474</v>
      </c>
      <c r="E2064" s="439" t="s">
        <v>13747</v>
      </c>
    </row>
    <row r="2065" spans="2:5">
      <c r="B2065" s="407">
        <v>2407</v>
      </c>
      <c r="C2065" s="441">
        <v>824</v>
      </c>
      <c r="D2065" s="408">
        <v>45397</v>
      </c>
      <c r="E2065" s="439" t="s">
        <v>13748</v>
      </c>
    </row>
    <row r="2066" spans="2:5">
      <c r="B2066" s="407">
        <v>2407</v>
      </c>
      <c r="C2066" s="441">
        <v>806</v>
      </c>
      <c r="D2066" s="408">
        <v>45474</v>
      </c>
      <c r="E2066" s="439" t="s">
        <v>13749</v>
      </c>
    </row>
    <row r="2067" spans="2:5">
      <c r="B2067" s="407">
        <v>2407</v>
      </c>
      <c r="C2067" s="441">
        <v>803</v>
      </c>
      <c r="D2067" s="408">
        <v>45474</v>
      </c>
      <c r="E2067" s="439" t="s">
        <v>13750</v>
      </c>
    </row>
    <row r="2068" spans="2:5">
      <c r="B2068" s="407">
        <v>2407</v>
      </c>
      <c r="C2068" s="441">
        <v>788</v>
      </c>
      <c r="D2068" s="408">
        <v>45474</v>
      </c>
      <c r="E2068" s="439" t="s">
        <v>13751</v>
      </c>
    </row>
    <row r="2069" spans="2:5">
      <c r="B2069" s="407">
        <v>2407</v>
      </c>
      <c r="C2069" s="441">
        <v>783</v>
      </c>
      <c r="D2069" s="408">
        <v>45474</v>
      </c>
      <c r="E2069" s="439" t="s">
        <v>13752</v>
      </c>
    </row>
    <row r="2070" spans="2:5">
      <c r="B2070" s="407">
        <v>2407</v>
      </c>
      <c r="C2070" s="441">
        <v>782</v>
      </c>
      <c r="D2070" s="408">
        <v>45476</v>
      </c>
      <c r="E2070" s="439" t="s">
        <v>13753</v>
      </c>
    </row>
    <row r="2071" spans="2:5">
      <c r="B2071" s="409">
        <v>2407</v>
      </c>
      <c r="C2071" s="409">
        <v>766</v>
      </c>
      <c r="D2071" s="410">
        <v>45474</v>
      </c>
      <c r="E2071" s="424" t="s">
        <v>13754</v>
      </c>
    </row>
    <row r="2072" spans="2:5">
      <c r="B2072" s="441">
        <v>2407</v>
      </c>
      <c r="C2072" s="441">
        <v>765</v>
      </c>
      <c r="D2072" s="440">
        <v>45474</v>
      </c>
      <c r="E2072" s="439" t="s">
        <v>13755</v>
      </c>
    </row>
    <row r="2073" spans="2:5">
      <c r="B2073" s="441">
        <v>2407</v>
      </c>
      <c r="C2073" s="441">
        <v>759</v>
      </c>
      <c r="D2073" s="440">
        <v>45474</v>
      </c>
      <c r="E2073" s="439" t="s">
        <v>13756</v>
      </c>
    </row>
    <row r="2074" spans="2:5">
      <c r="B2074" s="441">
        <v>2407</v>
      </c>
      <c r="C2074" s="441">
        <v>756</v>
      </c>
      <c r="D2074" s="440">
        <v>45474</v>
      </c>
      <c r="E2074" s="439" t="s">
        <v>13757</v>
      </c>
    </row>
    <row r="2075" spans="2:5">
      <c r="B2075" s="409">
        <v>2407</v>
      </c>
      <c r="C2075" s="409">
        <v>753</v>
      </c>
      <c r="D2075" s="410">
        <v>45474</v>
      </c>
      <c r="E2075" s="424" t="s">
        <v>13758</v>
      </c>
    </row>
    <row r="2076" spans="2:5">
      <c r="B2076" s="441">
        <v>2407</v>
      </c>
      <c r="C2076" s="441">
        <v>752</v>
      </c>
      <c r="D2076" s="440">
        <v>45474</v>
      </c>
      <c r="E2076" s="439" t="s">
        <v>13759</v>
      </c>
    </row>
    <row r="2077" spans="2:5">
      <c r="B2077" s="441">
        <v>2407</v>
      </c>
      <c r="C2077" s="441">
        <v>747</v>
      </c>
      <c r="D2077" s="440">
        <v>45474</v>
      </c>
      <c r="E2077" s="439" t="s">
        <v>13760</v>
      </c>
    </row>
    <row r="2078" spans="2:5">
      <c r="B2078" s="441">
        <v>2407</v>
      </c>
      <c r="C2078" s="441">
        <v>744</v>
      </c>
      <c r="D2078" s="440">
        <v>45474</v>
      </c>
      <c r="E2078" s="439" t="s">
        <v>13761</v>
      </c>
    </row>
    <row r="2079" spans="2:5">
      <c r="B2079" s="441">
        <v>2407</v>
      </c>
      <c r="C2079" s="441">
        <v>743</v>
      </c>
      <c r="D2079" s="440">
        <v>45395</v>
      </c>
      <c r="E2079" s="439" t="s">
        <v>13762</v>
      </c>
    </row>
    <row r="2080" spans="2:5">
      <c r="B2080" s="441">
        <v>2407</v>
      </c>
      <c r="C2080" s="441">
        <v>741</v>
      </c>
      <c r="D2080" s="440">
        <v>45477</v>
      </c>
      <c r="E2080" s="439" t="s">
        <v>13763</v>
      </c>
    </row>
    <row r="2081" spans="2:5">
      <c r="B2081" s="441">
        <v>2407</v>
      </c>
      <c r="C2081" s="441">
        <v>740</v>
      </c>
      <c r="D2081" s="440">
        <v>45474</v>
      </c>
      <c r="E2081" s="439" t="s">
        <v>13764</v>
      </c>
    </row>
    <row r="2082" spans="2:5">
      <c r="B2082" s="441">
        <v>2407</v>
      </c>
      <c r="C2082" s="441">
        <v>738</v>
      </c>
      <c r="D2082" s="440">
        <v>45474</v>
      </c>
      <c r="E2082" s="439" t="s">
        <v>13765</v>
      </c>
    </row>
    <row r="2083" spans="2:5">
      <c r="B2083" s="441">
        <v>2407</v>
      </c>
      <c r="C2083" s="441">
        <v>737</v>
      </c>
      <c r="D2083" s="440">
        <v>45474</v>
      </c>
      <c r="E2083" s="439" t="s">
        <v>13766</v>
      </c>
    </row>
    <row r="2084" spans="2:5">
      <c r="B2084" s="441">
        <v>2407</v>
      </c>
      <c r="C2084" s="441">
        <v>735</v>
      </c>
      <c r="D2084" s="440">
        <v>45474</v>
      </c>
      <c r="E2084" s="439" t="s">
        <v>13767</v>
      </c>
    </row>
    <row r="2085" spans="2:5">
      <c r="B2085" s="441">
        <v>2407</v>
      </c>
      <c r="C2085" s="441">
        <v>731</v>
      </c>
      <c r="D2085" s="440">
        <v>45474</v>
      </c>
      <c r="E2085" s="439" t="s">
        <v>13768</v>
      </c>
    </row>
    <row r="2086" spans="2:5">
      <c r="B2086" s="441">
        <v>2407</v>
      </c>
      <c r="C2086" s="441">
        <v>718</v>
      </c>
      <c r="D2086" s="440">
        <v>45474</v>
      </c>
      <c r="E2086" s="439" t="s">
        <v>13769</v>
      </c>
    </row>
    <row r="2087" spans="2:5">
      <c r="B2087" s="441">
        <v>2407</v>
      </c>
      <c r="C2087" s="441">
        <v>693</v>
      </c>
      <c r="D2087" s="440">
        <v>45474</v>
      </c>
      <c r="E2087" s="439" t="s">
        <v>13770</v>
      </c>
    </row>
    <row r="2088" spans="2:5">
      <c r="B2088" s="441">
        <v>2407</v>
      </c>
      <c r="C2088" s="441">
        <v>679</v>
      </c>
      <c r="D2088" s="440">
        <v>45474</v>
      </c>
      <c r="E2088" s="439" t="s">
        <v>13771</v>
      </c>
    </row>
    <row r="2089" spans="2:5">
      <c r="B2089" s="441">
        <v>2407</v>
      </c>
      <c r="C2089" s="441">
        <v>678</v>
      </c>
      <c r="D2089" s="440">
        <v>45474</v>
      </c>
      <c r="E2089" s="439" t="s">
        <v>13772</v>
      </c>
    </row>
    <row r="2090" spans="2:5">
      <c r="B2090" s="441">
        <v>2407</v>
      </c>
      <c r="C2090" s="441">
        <v>676</v>
      </c>
      <c r="D2090" s="440">
        <v>45474</v>
      </c>
      <c r="E2090" s="439" t="s">
        <v>13773</v>
      </c>
    </row>
    <row r="2091" spans="2:5">
      <c r="B2091" s="441">
        <v>2407</v>
      </c>
      <c r="C2091" s="441">
        <v>668</v>
      </c>
      <c r="D2091" s="440">
        <v>45477</v>
      </c>
      <c r="E2091" s="439" t="s">
        <v>13774</v>
      </c>
    </row>
    <row r="2092" spans="2:5">
      <c r="B2092" s="441">
        <v>2407</v>
      </c>
      <c r="C2092" s="441">
        <v>665</v>
      </c>
      <c r="D2092" s="440">
        <v>45474</v>
      </c>
      <c r="E2092" s="439" t="s">
        <v>13775</v>
      </c>
    </row>
    <row r="2093" spans="2:5">
      <c r="B2093" s="441">
        <v>2407</v>
      </c>
      <c r="C2093" s="441">
        <v>664</v>
      </c>
      <c r="D2093" s="440">
        <v>45474</v>
      </c>
      <c r="E2093" s="439" t="s">
        <v>13776</v>
      </c>
    </row>
    <row r="2094" spans="2:5">
      <c r="B2094" s="441">
        <v>2407</v>
      </c>
      <c r="C2094" s="441">
        <v>662</v>
      </c>
      <c r="D2094" s="440">
        <v>45474</v>
      </c>
      <c r="E2094" s="439" t="s">
        <v>13777</v>
      </c>
    </row>
    <row r="2095" spans="2:5">
      <c r="B2095" s="441">
        <v>2407</v>
      </c>
      <c r="C2095" s="441">
        <v>657</v>
      </c>
      <c r="D2095" s="440">
        <v>45474</v>
      </c>
      <c r="E2095" s="439" t="s">
        <v>13778</v>
      </c>
    </row>
    <row r="2096" spans="2:5">
      <c r="B2096" s="441">
        <v>2407</v>
      </c>
      <c r="C2096" s="441">
        <v>653</v>
      </c>
      <c r="D2096" s="440">
        <v>45474</v>
      </c>
      <c r="E2096" s="439" t="s">
        <v>13779</v>
      </c>
    </row>
    <row r="2097" spans="2:5">
      <c r="B2097" s="441">
        <v>2407</v>
      </c>
      <c r="C2097" s="441">
        <v>648</v>
      </c>
      <c r="D2097" s="440">
        <v>45474</v>
      </c>
      <c r="E2097" s="439" t="s">
        <v>13780</v>
      </c>
    </row>
    <row r="2098" spans="2:5">
      <c r="B2098" s="441">
        <v>2407</v>
      </c>
      <c r="C2098" s="441">
        <v>641</v>
      </c>
      <c r="D2098" s="440">
        <v>45474</v>
      </c>
      <c r="E2098" s="439" t="s">
        <v>13781</v>
      </c>
    </row>
    <row r="2099" spans="2:5">
      <c r="B2099" s="441">
        <v>2407</v>
      </c>
      <c r="C2099" s="441">
        <v>637</v>
      </c>
      <c r="D2099" s="440">
        <v>45474</v>
      </c>
      <c r="E2099" s="439" t="s">
        <v>13782</v>
      </c>
    </row>
    <row r="2100" spans="2:5">
      <c r="B2100" s="441">
        <v>2407</v>
      </c>
      <c r="C2100" s="441">
        <v>635</v>
      </c>
      <c r="D2100" s="440">
        <v>45474</v>
      </c>
      <c r="E2100" s="439" t="s">
        <v>13783</v>
      </c>
    </row>
    <row r="2101" spans="2:5">
      <c r="B2101" s="441">
        <v>2407</v>
      </c>
      <c r="C2101" s="441">
        <v>634</v>
      </c>
      <c r="D2101" s="440">
        <v>45474</v>
      </c>
      <c r="E2101" s="439" t="s">
        <v>13784</v>
      </c>
    </row>
    <row r="2102" spans="2:5">
      <c r="B2102" s="441">
        <v>2407</v>
      </c>
      <c r="C2102" s="441">
        <v>632</v>
      </c>
      <c r="D2102" s="440">
        <v>45474</v>
      </c>
      <c r="E2102" s="439" t="s">
        <v>13785</v>
      </c>
    </row>
    <row r="2103" spans="2:5">
      <c r="B2103" s="441">
        <v>2407</v>
      </c>
      <c r="C2103" s="441">
        <v>631</v>
      </c>
      <c r="D2103" s="440">
        <v>45474</v>
      </c>
      <c r="E2103" s="439" t="s">
        <v>13786</v>
      </c>
    </row>
    <row r="2104" spans="2:5">
      <c r="B2104" s="441">
        <v>2407</v>
      </c>
      <c r="C2104" s="441">
        <v>626</v>
      </c>
      <c r="D2104" s="440">
        <v>45474</v>
      </c>
      <c r="E2104" s="439" t="s">
        <v>13787</v>
      </c>
    </row>
    <row r="2105" spans="2:5">
      <c r="B2105" s="441">
        <v>2407</v>
      </c>
      <c r="C2105" s="441">
        <v>623</v>
      </c>
      <c r="D2105" s="440">
        <v>45474</v>
      </c>
      <c r="E2105" s="439" t="s">
        <v>13788</v>
      </c>
    </row>
    <row r="2106" spans="2:5">
      <c r="B2106" s="441">
        <v>2407</v>
      </c>
      <c r="C2106" s="441">
        <v>617</v>
      </c>
      <c r="D2106" s="440">
        <v>45474</v>
      </c>
      <c r="E2106" s="439" t="s">
        <v>13789</v>
      </c>
    </row>
    <row r="2107" spans="2:5">
      <c r="B2107" s="441">
        <v>2407</v>
      </c>
      <c r="C2107" s="441">
        <v>611</v>
      </c>
      <c r="D2107" s="440">
        <v>45475</v>
      </c>
      <c r="E2107" s="439" t="s">
        <v>13790</v>
      </c>
    </row>
    <row r="2108" spans="2:5">
      <c r="B2108" s="441">
        <v>2407</v>
      </c>
      <c r="C2108" s="441">
        <v>609</v>
      </c>
      <c r="D2108" s="440">
        <v>45474</v>
      </c>
      <c r="E2108" s="439" t="s">
        <v>13791</v>
      </c>
    </row>
    <row r="2109" spans="2:5">
      <c r="B2109" s="441">
        <v>2407</v>
      </c>
      <c r="C2109" s="441">
        <v>608</v>
      </c>
      <c r="D2109" s="440">
        <v>45474</v>
      </c>
      <c r="E2109" s="439" t="s">
        <v>13792</v>
      </c>
    </row>
    <row r="2110" spans="2:5">
      <c r="B2110" s="441">
        <v>2407</v>
      </c>
      <c r="C2110" s="441">
        <v>604</v>
      </c>
      <c r="D2110" s="440">
        <v>45474</v>
      </c>
      <c r="E2110" s="439" t="s">
        <v>13793</v>
      </c>
    </row>
    <row r="2111" spans="2:5">
      <c r="B2111" s="441">
        <v>2407</v>
      </c>
      <c r="C2111" s="441">
        <v>603</v>
      </c>
      <c r="D2111" s="440">
        <v>45474</v>
      </c>
      <c r="E2111" s="439" t="s">
        <v>13794</v>
      </c>
    </row>
    <row r="2112" spans="2:5">
      <c r="B2112" s="441">
        <v>2407</v>
      </c>
      <c r="C2112" s="441">
        <v>599</v>
      </c>
      <c r="D2112" s="440">
        <v>45474</v>
      </c>
      <c r="E2112" s="439" t="s">
        <v>13795</v>
      </c>
    </row>
    <row r="2113" spans="2:5">
      <c r="B2113" s="441">
        <v>2407</v>
      </c>
      <c r="C2113" s="441">
        <v>596</v>
      </c>
      <c r="D2113" s="440">
        <v>45474</v>
      </c>
      <c r="E2113" s="439" t="s">
        <v>13796</v>
      </c>
    </row>
    <row r="2114" spans="2:5">
      <c r="B2114" s="441">
        <v>2407</v>
      </c>
      <c r="C2114" s="441">
        <v>592</v>
      </c>
      <c r="D2114" s="440">
        <v>45474</v>
      </c>
      <c r="E2114" s="439" t="s">
        <v>13797</v>
      </c>
    </row>
    <row r="2115" spans="2:5">
      <c r="B2115" s="441">
        <v>2407</v>
      </c>
      <c r="C2115" s="441">
        <v>581</v>
      </c>
      <c r="D2115" s="440">
        <v>45473</v>
      </c>
      <c r="E2115" s="439" t="s">
        <v>13798</v>
      </c>
    </row>
    <row r="2116" spans="2:5">
      <c r="B2116" s="441">
        <v>2407</v>
      </c>
      <c r="C2116" s="441">
        <v>574</v>
      </c>
      <c r="D2116" s="440">
        <v>45473</v>
      </c>
      <c r="E2116" s="439" t="s">
        <v>13799</v>
      </c>
    </row>
    <row r="2117" spans="2:5">
      <c r="B2117" s="441">
        <v>2407</v>
      </c>
      <c r="C2117" s="441">
        <v>569</v>
      </c>
      <c r="D2117" s="440">
        <v>45473</v>
      </c>
      <c r="E2117" s="439" t="s">
        <v>13800</v>
      </c>
    </row>
    <row r="2118" spans="2:5">
      <c r="B2118" s="441">
        <v>2407</v>
      </c>
      <c r="C2118" s="441">
        <v>557</v>
      </c>
      <c r="D2118" s="440">
        <v>45473</v>
      </c>
      <c r="E2118" s="439" t="s">
        <v>13801</v>
      </c>
    </row>
    <row r="2119" spans="2:5">
      <c r="B2119" s="441">
        <v>2407</v>
      </c>
      <c r="C2119" s="441">
        <v>541</v>
      </c>
      <c r="D2119" s="440">
        <v>45473</v>
      </c>
      <c r="E2119" s="439" t="s">
        <v>13802</v>
      </c>
    </row>
    <row r="2120" spans="2:5">
      <c r="B2120" s="441">
        <v>2407</v>
      </c>
      <c r="C2120" s="441">
        <v>538</v>
      </c>
      <c r="D2120" s="440">
        <v>45473</v>
      </c>
      <c r="E2120" s="439" t="s">
        <v>13803</v>
      </c>
    </row>
    <row r="2121" spans="2:5">
      <c r="B2121" s="441">
        <v>2407</v>
      </c>
      <c r="C2121" s="441">
        <v>537</v>
      </c>
      <c r="D2121" s="440">
        <v>45473</v>
      </c>
      <c r="E2121" s="439" t="s">
        <v>13804</v>
      </c>
    </row>
    <row r="2122" spans="2:5">
      <c r="B2122" s="441">
        <v>2407</v>
      </c>
      <c r="C2122" s="441">
        <v>535</v>
      </c>
      <c r="D2122" s="440">
        <v>45473</v>
      </c>
      <c r="E2122" s="439" t="s">
        <v>13805</v>
      </c>
    </row>
    <row r="2123" spans="2:5">
      <c r="B2123" s="441">
        <v>2407</v>
      </c>
      <c r="C2123" s="441">
        <v>531</v>
      </c>
      <c r="D2123" s="440">
        <v>45473</v>
      </c>
      <c r="E2123" s="439" t="s">
        <v>13806</v>
      </c>
    </row>
    <row r="2124" spans="2:5">
      <c r="B2124" s="441">
        <v>2407</v>
      </c>
      <c r="C2124" s="441">
        <v>529</v>
      </c>
      <c r="D2124" s="440">
        <v>45473</v>
      </c>
      <c r="E2124" s="439" t="s">
        <v>13807</v>
      </c>
    </row>
    <row r="2125" spans="2:5">
      <c r="B2125" s="441">
        <v>2407</v>
      </c>
      <c r="C2125" s="441">
        <v>503</v>
      </c>
      <c r="D2125" s="440">
        <v>45473</v>
      </c>
      <c r="E2125" s="439" t="s">
        <v>13808</v>
      </c>
    </row>
    <row r="2126" spans="2:5">
      <c r="B2126" s="441">
        <v>2407</v>
      </c>
      <c r="C2126" s="441">
        <v>500</v>
      </c>
      <c r="D2126" s="440">
        <v>45473</v>
      </c>
      <c r="E2126" s="439" t="s">
        <v>13809</v>
      </c>
    </row>
    <row r="2127" spans="2:5">
      <c r="B2127" s="441">
        <v>2407</v>
      </c>
      <c r="C2127" s="441">
        <v>497</v>
      </c>
      <c r="D2127" s="440">
        <v>45473</v>
      </c>
      <c r="E2127" s="439" t="s">
        <v>13810</v>
      </c>
    </row>
    <row r="2128" spans="2:5">
      <c r="B2128" s="441">
        <v>2407</v>
      </c>
      <c r="C2128" s="441">
        <v>495</v>
      </c>
      <c r="D2128" s="440">
        <v>45473</v>
      </c>
      <c r="E2128" s="439" t="s">
        <v>13811</v>
      </c>
    </row>
    <row r="2129" spans="2:5">
      <c r="B2129" s="441">
        <v>2407</v>
      </c>
      <c r="C2129" s="441">
        <v>488</v>
      </c>
      <c r="D2129" s="440">
        <v>45473</v>
      </c>
      <c r="E2129" s="439" t="s">
        <v>13812</v>
      </c>
    </row>
    <row r="2130" spans="2:5">
      <c r="B2130" s="441">
        <v>2407</v>
      </c>
      <c r="C2130" s="441">
        <v>487</v>
      </c>
      <c r="D2130" s="440">
        <v>45473</v>
      </c>
      <c r="E2130" s="439" t="s">
        <v>13813</v>
      </c>
    </row>
    <row r="2131" spans="2:5">
      <c r="B2131" s="441">
        <v>2407</v>
      </c>
      <c r="C2131" s="441">
        <v>480</v>
      </c>
      <c r="D2131" s="440">
        <v>45473</v>
      </c>
      <c r="E2131" s="439" t="s">
        <v>13814</v>
      </c>
    </row>
    <row r="2132" spans="2:5">
      <c r="B2132" s="441">
        <v>2407</v>
      </c>
      <c r="C2132" s="441">
        <v>474</v>
      </c>
      <c r="D2132" s="440">
        <v>45473</v>
      </c>
      <c r="E2132" s="439" t="s">
        <v>13815</v>
      </c>
    </row>
    <row r="2133" spans="2:5">
      <c r="B2133" s="441">
        <v>2407</v>
      </c>
      <c r="C2133" s="441">
        <v>468</v>
      </c>
      <c r="D2133" s="440">
        <v>45473</v>
      </c>
      <c r="E2133" s="439" t="s">
        <v>13816</v>
      </c>
    </row>
    <row r="2134" spans="2:5">
      <c r="B2134" s="441">
        <v>2407</v>
      </c>
      <c r="C2134" s="441">
        <v>467</v>
      </c>
      <c r="D2134" s="440">
        <v>45473</v>
      </c>
      <c r="E2134" s="439" t="s">
        <v>13817</v>
      </c>
    </row>
    <row r="2135" spans="2:5">
      <c r="B2135" s="441">
        <v>2407</v>
      </c>
      <c r="C2135" s="441">
        <v>466</v>
      </c>
      <c r="D2135" s="440">
        <v>45473</v>
      </c>
      <c r="E2135" s="439" t="s">
        <v>13818</v>
      </c>
    </row>
    <row r="2136" spans="2:5">
      <c r="B2136" s="441">
        <v>2407</v>
      </c>
      <c r="C2136" s="441">
        <v>465</v>
      </c>
      <c r="D2136" s="440">
        <v>45473</v>
      </c>
      <c r="E2136" s="439" t="s">
        <v>13819</v>
      </c>
    </row>
    <row r="2137" spans="2:5">
      <c r="B2137" s="441">
        <v>2407</v>
      </c>
      <c r="C2137" s="441">
        <v>463</v>
      </c>
      <c r="D2137" s="440">
        <v>45476</v>
      </c>
      <c r="E2137" s="439" t="s">
        <v>13820</v>
      </c>
    </row>
    <row r="2138" spans="2:5">
      <c r="B2138" s="441">
        <v>2407</v>
      </c>
      <c r="C2138" s="441">
        <v>462</v>
      </c>
      <c r="D2138" s="440">
        <v>45473</v>
      </c>
      <c r="E2138" s="439" t="s">
        <v>13821</v>
      </c>
    </row>
    <row r="2139" spans="2:5">
      <c r="B2139" s="441">
        <v>2407</v>
      </c>
      <c r="C2139" s="441">
        <v>456</v>
      </c>
      <c r="D2139" s="440">
        <v>45473</v>
      </c>
      <c r="E2139" s="439" t="s">
        <v>13822</v>
      </c>
    </row>
    <row r="2140" spans="2:5">
      <c r="B2140" s="441">
        <v>2407</v>
      </c>
      <c r="C2140" s="441">
        <v>454</v>
      </c>
      <c r="D2140" s="440">
        <v>45473</v>
      </c>
      <c r="E2140" s="439" t="s">
        <v>13823</v>
      </c>
    </row>
    <row r="2141" spans="2:5">
      <c r="B2141" s="441">
        <v>2407</v>
      </c>
      <c r="C2141" s="441">
        <v>453</v>
      </c>
      <c r="D2141" s="440">
        <v>45473</v>
      </c>
      <c r="E2141" s="439" t="s">
        <v>13824</v>
      </c>
    </row>
    <row r="2142" spans="2:5">
      <c r="B2142" s="441">
        <v>2407</v>
      </c>
      <c r="C2142" s="441">
        <v>452</v>
      </c>
      <c r="D2142" s="440">
        <v>45473</v>
      </c>
      <c r="E2142" s="439" t="s">
        <v>13825</v>
      </c>
    </row>
    <row r="2143" spans="2:5">
      <c r="B2143" s="441">
        <v>2407</v>
      </c>
      <c r="C2143" s="441">
        <v>449</v>
      </c>
      <c r="D2143" s="440">
        <v>45473</v>
      </c>
      <c r="E2143" s="439" t="s">
        <v>13826</v>
      </c>
    </row>
    <row r="2144" spans="2:5">
      <c r="B2144" s="441">
        <v>2407</v>
      </c>
      <c r="C2144" s="441">
        <v>438</v>
      </c>
      <c r="D2144" s="440">
        <v>45473</v>
      </c>
      <c r="E2144" s="439" t="s">
        <v>13827</v>
      </c>
    </row>
    <row r="2145" spans="2:5">
      <c r="B2145" s="441">
        <v>2407</v>
      </c>
      <c r="C2145" s="441">
        <v>436</v>
      </c>
      <c r="D2145" s="440">
        <v>45473</v>
      </c>
      <c r="E2145" s="439" t="s">
        <v>13828</v>
      </c>
    </row>
    <row r="2146" spans="2:5">
      <c r="B2146" s="441">
        <v>2407</v>
      </c>
      <c r="C2146" s="441">
        <v>435</v>
      </c>
      <c r="D2146" s="440">
        <v>45476</v>
      </c>
      <c r="E2146" s="439" t="s">
        <v>13829</v>
      </c>
    </row>
    <row r="2147" spans="2:5">
      <c r="B2147" s="441">
        <v>2407</v>
      </c>
      <c r="C2147" s="441">
        <v>431</v>
      </c>
      <c r="D2147" s="440">
        <v>45473</v>
      </c>
      <c r="E2147" s="439" t="s">
        <v>13830</v>
      </c>
    </row>
    <row r="2148" spans="2:5">
      <c r="B2148" s="441">
        <v>2407</v>
      </c>
      <c r="C2148" s="441">
        <v>429</v>
      </c>
      <c r="D2148" s="440">
        <v>45473</v>
      </c>
      <c r="E2148" s="439" t="s">
        <v>13831</v>
      </c>
    </row>
    <row r="2149" spans="2:5">
      <c r="B2149" s="441">
        <v>2407</v>
      </c>
      <c r="C2149" s="441">
        <v>416</v>
      </c>
      <c r="D2149" s="440">
        <v>45473</v>
      </c>
      <c r="E2149" s="439" t="s">
        <v>13832</v>
      </c>
    </row>
    <row r="2150" spans="2:5">
      <c r="B2150" s="441">
        <v>2407</v>
      </c>
      <c r="C2150" s="441">
        <v>411</v>
      </c>
      <c r="D2150" s="440">
        <v>45473</v>
      </c>
      <c r="E2150" s="439" t="s">
        <v>13833</v>
      </c>
    </row>
    <row r="2151" spans="2:5">
      <c r="B2151" s="441">
        <v>2407</v>
      </c>
      <c r="C2151" s="441">
        <v>410</v>
      </c>
      <c r="D2151" s="440">
        <v>45473</v>
      </c>
      <c r="E2151" s="439" t="s">
        <v>13834</v>
      </c>
    </row>
    <row r="2152" spans="2:5">
      <c r="B2152" s="441">
        <v>2407</v>
      </c>
      <c r="C2152" s="441">
        <v>402</v>
      </c>
      <c r="D2152" s="440">
        <v>45473</v>
      </c>
      <c r="E2152" s="439" t="s">
        <v>13835</v>
      </c>
    </row>
    <row r="2153" spans="2:5">
      <c r="B2153" s="441">
        <v>2407</v>
      </c>
      <c r="C2153" s="441">
        <v>401</v>
      </c>
      <c r="D2153" s="440">
        <v>45473</v>
      </c>
      <c r="E2153" s="439" t="s">
        <v>13836</v>
      </c>
    </row>
    <row r="2154" spans="2:5">
      <c r="B2154" s="441">
        <v>2407</v>
      </c>
      <c r="C2154" s="441">
        <v>396</v>
      </c>
      <c r="D2154" s="440">
        <v>45473</v>
      </c>
      <c r="E2154" s="439" t="s">
        <v>13837</v>
      </c>
    </row>
    <row r="2155" spans="2:5">
      <c r="B2155" s="441">
        <v>2407</v>
      </c>
      <c r="C2155" s="441">
        <v>390</v>
      </c>
      <c r="D2155" s="440">
        <v>45473</v>
      </c>
      <c r="E2155" s="439" t="s">
        <v>13838</v>
      </c>
    </row>
    <row r="2156" spans="2:5">
      <c r="B2156" s="441">
        <v>2407</v>
      </c>
      <c r="C2156" s="441">
        <v>379</v>
      </c>
      <c r="D2156" s="440">
        <v>45473</v>
      </c>
      <c r="E2156" s="439" t="s">
        <v>13839</v>
      </c>
    </row>
    <row r="2157" spans="2:5">
      <c r="B2157" s="441">
        <v>2407</v>
      </c>
      <c r="C2157" s="441">
        <v>377</v>
      </c>
      <c r="D2157" s="440">
        <v>45473</v>
      </c>
      <c r="E2157" s="439" t="s">
        <v>13840</v>
      </c>
    </row>
    <row r="2158" spans="2:5">
      <c r="B2158" s="441">
        <v>2407</v>
      </c>
      <c r="C2158" s="441">
        <v>369</v>
      </c>
      <c r="D2158" s="440">
        <v>45473</v>
      </c>
      <c r="E2158" s="439" t="s">
        <v>13841</v>
      </c>
    </row>
    <row r="2159" spans="2:5">
      <c r="B2159" s="441">
        <v>2407</v>
      </c>
      <c r="C2159" s="441">
        <v>367</v>
      </c>
      <c r="D2159" s="440">
        <v>45473</v>
      </c>
      <c r="E2159" s="439" t="s">
        <v>13842</v>
      </c>
    </row>
    <row r="2160" spans="2:5">
      <c r="B2160" s="441">
        <v>2407</v>
      </c>
      <c r="C2160" s="441">
        <v>365</v>
      </c>
      <c r="D2160" s="440">
        <v>45473</v>
      </c>
      <c r="E2160" s="439" t="s">
        <v>13843</v>
      </c>
    </row>
    <row r="2161" spans="2:5">
      <c r="B2161" s="441">
        <v>2407</v>
      </c>
      <c r="C2161" s="441">
        <v>362</v>
      </c>
      <c r="D2161" s="440">
        <v>45473</v>
      </c>
      <c r="E2161" s="439" t="s">
        <v>13844</v>
      </c>
    </row>
    <row r="2162" spans="2:5">
      <c r="B2162" s="441">
        <v>2407</v>
      </c>
      <c r="C2162" s="441">
        <v>361</v>
      </c>
      <c r="D2162" s="440">
        <v>45473</v>
      </c>
      <c r="E2162" s="439" t="s">
        <v>13845</v>
      </c>
    </row>
    <row r="2163" spans="2:5">
      <c r="B2163" s="441">
        <v>2407</v>
      </c>
      <c r="C2163" s="441">
        <v>356</v>
      </c>
      <c r="D2163" s="440">
        <v>45473</v>
      </c>
      <c r="E2163" s="439" t="s">
        <v>13846</v>
      </c>
    </row>
    <row r="2164" spans="2:5">
      <c r="B2164" s="441">
        <v>2407</v>
      </c>
      <c r="C2164" s="441">
        <v>332</v>
      </c>
      <c r="D2164" s="440">
        <v>45473</v>
      </c>
      <c r="E2164" s="439" t="s">
        <v>13847</v>
      </c>
    </row>
    <row r="2165" spans="2:5">
      <c r="B2165" s="441">
        <v>2407</v>
      </c>
      <c r="C2165" s="441">
        <v>326</v>
      </c>
      <c r="D2165" s="440">
        <v>45473</v>
      </c>
      <c r="E2165" s="439" t="s">
        <v>13848</v>
      </c>
    </row>
    <row r="2166" spans="2:5">
      <c r="B2166" s="441">
        <v>2407</v>
      </c>
      <c r="C2166" s="441">
        <v>322</v>
      </c>
      <c r="D2166" s="440">
        <v>45473</v>
      </c>
      <c r="E2166" s="439" t="s">
        <v>13849</v>
      </c>
    </row>
    <row r="2167" spans="2:5">
      <c r="B2167" s="441">
        <v>2407</v>
      </c>
      <c r="C2167" s="441">
        <v>316</v>
      </c>
      <c r="D2167" s="440">
        <v>45473</v>
      </c>
      <c r="E2167" s="439" t="s">
        <v>13850</v>
      </c>
    </row>
    <row r="2168" spans="2:5">
      <c r="B2168" s="441">
        <v>2407</v>
      </c>
      <c r="C2168" s="441">
        <v>315</v>
      </c>
      <c r="D2168" s="440">
        <v>45473</v>
      </c>
      <c r="E2168" s="439" t="s">
        <v>13851</v>
      </c>
    </row>
    <row r="2169" spans="2:5">
      <c r="B2169" s="441">
        <v>2407</v>
      </c>
      <c r="C2169" s="441">
        <v>305</v>
      </c>
      <c r="D2169" s="440">
        <v>45473</v>
      </c>
      <c r="E2169" s="439" t="s">
        <v>13852</v>
      </c>
    </row>
    <row r="2170" spans="2:5">
      <c r="B2170" s="441">
        <v>2407</v>
      </c>
      <c r="C2170" s="441">
        <v>301</v>
      </c>
      <c r="D2170" s="440">
        <v>45473</v>
      </c>
      <c r="E2170" s="439" t="s">
        <v>13853</v>
      </c>
    </row>
    <row r="2171" spans="2:5">
      <c r="B2171" s="441">
        <v>2407</v>
      </c>
      <c r="C2171" s="441">
        <v>297</v>
      </c>
      <c r="D2171" s="440">
        <v>45472</v>
      </c>
      <c r="E2171" s="439" t="s">
        <v>13854</v>
      </c>
    </row>
    <row r="2172" spans="2:5">
      <c r="B2172" s="441">
        <v>2407</v>
      </c>
      <c r="C2172" s="441">
        <v>291</v>
      </c>
      <c r="D2172" s="440">
        <v>45472</v>
      </c>
      <c r="E2172" s="439" t="s">
        <v>13855</v>
      </c>
    </row>
    <row r="2173" spans="2:5">
      <c r="B2173" s="441">
        <v>2407</v>
      </c>
      <c r="C2173" s="441">
        <v>289</v>
      </c>
      <c r="D2173" s="440">
        <v>45472</v>
      </c>
      <c r="E2173" s="439" t="s">
        <v>13856</v>
      </c>
    </row>
    <row r="2174" spans="2:5">
      <c r="B2174" s="441">
        <v>2407</v>
      </c>
      <c r="C2174" s="441">
        <v>280</v>
      </c>
      <c r="D2174" s="440">
        <v>45472</v>
      </c>
      <c r="E2174" s="439" t="s">
        <v>13857</v>
      </c>
    </row>
    <row r="2175" spans="2:5">
      <c r="B2175" s="441">
        <v>2407</v>
      </c>
      <c r="C2175" s="441">
        <v>267</v>
      </c>
      <c r="D2175" s="440">
        <v>45472</v>
      </c>
      <c r="E2175" s="439" t="s">
        <v>13858</v>
      </c>
    </row>
    <row r="2176" spans="2:5">
      <c r="B2176" s="441">
        <v>2407</v>
      </c>
      <c r="C2176" s="441">
        <v>261</v>
      </c>
      <c r="D2176" s="440">
        <v>45472</v>
      </c>
      <c r="E2176" s="439" t="s">
        <v>13859</v>
      </c>
    </row>
    <row r="2177" spans="2:5">
      <c r="B2177" s="441">
        <v>2407</v>
      </c>
      <c r="C2177" s="441">
        <v>256</v>
      </c>
      <c r="D2177" s="440">
        <v>45472</v>
      </c>
      <c r="E2177" s="439" t="s">
        <v>13860</v>
      </c>
    </row>
    <row r="2178" spans="2:5">
      <c r="B2178" s="441">
        <v>2407</v>
      </c>
      <c r="C2178" s="441">
        <v>254</v>
      </c>
      <c r="D2178" s="440">
        <v>45472</v>
      </c>
      <c r="E2178" s="439" t="s">
        <v>13861</v>
      </c>
    </row>
    <row r="2179" spans="2:5">
      <c r="B2179" s="441">
        <v>2407</v>
      </c>
      <c r="C2179" s="441">
        <v>252</v>
      </c>
      <c r="D2179" s="440">
        <v>45472</v>
      </c>
      <c r="E2179" s="439" t="s">
        <v>13862</v>
      </c>
    </row>
    <row r="2180" spans="2:5">
      <c r="B2180" s="441">
        <v>2407</v>
      </c>
      <c r="C2180" s="441">
        <v>250</v>
      </c>
      <c r="D2180" s="440">
        <v>45472</v>
      </c>
      <c r="E2180" s="439" t="s">
        <v>13863</v>
      </c>
    </row>
    <row r="2181" spans="2:5">
      <c r="B2181" s="441">
        <v>2407</v>
      </c>
      <c r="C2181" s="441">
        <v>247</v>
      </c>
      <c r="D2181" s="440">
        <v>45472</v>
      </c>
      <c r="E2181" s="439" t="s">
        <v>13864</v>
      </c>
    </row>
    <row r="2182" spans="2:5">
      <c r="B2182" s="441">
        <v>2407</v>
      </c>
      <c r="C2182" s="441">
        <v>242</v>
      </c>
      <c r="D2182" s="440">
        <v>45472</v>
      </c>
      <c r="E2182" s="439" t="s">
        <v>13865</v>
      </c>
    </row>
    <row r="2183" spans="2:5">
      <c r="B2183" s="441">
        <v>2407</v>
      </c>
      <c r="C2183" s="441">
        <v>229</v>
      </c>
      <c r="D2183" s="440">
        <v>45472</v>
      </c>
      <c r="E2183" s="439" t="s">
        <v>13866</v>
      </c>
    </row>
    <row r="2184" spans="2:5">
      <c r="B2184" s="441">
        <v>2407</v>
      </c>
      <c r="C2184" s="441">
        <v>226</v>
      </c>
      <c r="D2184" s="440">
        <v>45472</v>
      </c>
      <c r="E2184" s="439" t="s">
        <v>13867</v>
      </c>
    </row>
    <row r="2185" spans="2:5">
      <c r="B2185" s="441">
        <v>2407</v>
      </c>
      <c r="C2185" s="441">
        <v>224</v>
      </c>
      <c r="D2185" s="440">
        <v>45472</v>
      </c>
      <c r="E2185" s="439" t="s">
        <v>13868</v>
      </c>
    </row>
    <row r="2186" spans="2:5">
      <c r="B2186" s="441">
        <v>2407</v>
      </c>
      <c r="C2186" s="441">
        <v>203</v>
      </c>
      <c r="D2186" s="440">
        <v>45472</v>
      </c>
      <c r="E2186" s="439" t="s">
        <v>13869</v>
      </c>
    </row>
    <row r="2187" spans="2:5">
      <c r="B2187" s="441">
        <v>2407</v>
      </c>
      <c r="C2187" s="441">
        <v>201</v>
      </c>
      <c r="D2187" s="440">
        <v>45472</v>
      </c>
      <c r="E2187" s="439" t="s">
        <v>13870</v>
      </c>
    </row>
    <row r="2188" spans="2:5">
      <c r="B2188" s="441">
        <v>2407</v>
      </c>
      <c r="C2188" s="441">
        <v>188</v>
      </c>
      <c r="D2188" s="440">
        <v>45472</v>
      </c>
      <c r="E2188" s="439" t="s">
        <v>13871</v>
      </c>
    </row>
    <row r="2189" spans="2:5">
      <c r="B2189" s="441">
        <v>2407</v>
      </c>
      <c r="C2189" s="441">
        <v>187</v>
      </c>
      <c r="D2189" s="440">
        <v>45472</v>
      </c>
      <c r="E2189" s="439" t="s">
        <v>13872</v>
      </c>
    </row>
    <row r="2190" spans="2:5">
      <c r="B2190" s="441">
        <v>2407</v>
      </c>
      <c r="C2190" s="441">
        <v>186</v>
      </c>
      <c r="D2190" s="440">
        <v>45472</v>
      </c>
      <c r="E2190" s="439" t="s">
        <v>13873</v>
      </c>
    </row>
    <row r="2191" spans="2:5">
      <c r="B2191" s="441">
        <v>2407</v>
      </c>
      <c r="C2191" s="441">
        <v>175</v>
      </c>
      <c r="D2191" s="440">
        <v>45472</v>
      </c>
      <c r="E2191" s="439" t="s">
        <v>13874</v>
      </c>
    </row>
    <row r="2192" spans="2:5">
      <c r="B2192" s="441">
        <v>2407</v>
      </c>
      <c r="C2192" s="441">
        <v>167</v>
      </c>
      <c r="D2192" s="440">
        <v>45472</v>
      </c>
      <c r="E2192" s="439" t="s">
        <v>13875</v>
      </c>
    </row>
    <row r="2193" spans="2:5">
      <c r="B2193" s="441">
        <v>2407</v>
      </c>
      <c r="C2193" s="441">
        <v>148</v>
      </c>
      <c r="D2193" s="440">
        <v>45472</v>
      </c>
      <c r="E2193" s="439" t="s">
        <v>13876</v>
      </c>
    </row>
    <row r="2194" spans="2:5">
      <c r="B2194" s="441">
        <v>2407</v>
      </c>
      <c r="C2194" s="441">
        <v>147</v>
      </c>
      <c r="D2194" s="440">
        <v>45472</v>
      </c>
      <c r="E2194" s="439" t="s">
        <v>13877</v>
      </c>
    </row>
    <row r="2195" spans="2:5">
      <c r="B2195" s="441">
        <v>2407</v>
      </c>
      <c r="C2195" s="441">
        <v>146</v>
      </c>
      <c r="D2195" s="440">
        <v>45472</v>
      </c>
      <c r="E2195" s="439" t="s">
        <v>13878</v>
      </c>
    </row>
    <row r="2196" spans="2:5">
      <c r="B2196" s="441">
        <v>2407</v>
      </c>
      <c r="C2196" s="441">
        <v>142</v>
      </c>
      <c r="D2196" s="440">
        <v>45472</v>
      </c>
      <c r="E2196" s="439" t="s">
        <v>13879</v>
      </c>
    </row>
    <row r="2197" spans="2:5">
      <c r="B2197" s="441">
        <v>2407</v>
      </c>
      <c r="C2197" s="441">
        <v>138</v>
      </c>
      <c r="D2197" s="440">
        <v>45472</v>
      </c>
      <c r="E2197" s="439" t="s">
        <v>13880</v>
      </c>
    </row>
    <row r="2198" spans="2:5">
      <c r="B2198" s="441">
        <v>2407</v>
      </c>
      <c r="C2198" s="441">
        <v>134</v>
      </c>
      <c r="D2198" s="440">
        <v>45472</v>
      </c>
      <c r="E2198" s="439" t="s">
        <v>13881</v>
      </c>
    </row>
    <row r="2199" spans="2:5">
      <c r="B2199" s="441">
        <v>2407</v>
      </c>
      <c r="C2199" s="441">
        <v>132</v>
      </c>
      <c r="D2199" s="440">
        <v>45472</v>
      </c>
      <c r="E2199" s="439" t="s">
        <v>13882</v>
      </c>
    </row>
    <row r="2200" spans="2:5">
      <c r="B2200" s="441">
        <v>2407</v>
      </c>
      <c r="C2200" s="441">
        <v>129</v>
      </c>
      <c r="D2200" s="440">
        <v>45472</v>
      </c>
      <c r="E2200" s="439" t="s">
        <v>13883</v>
      </c>
    </row>
    <row r="2201" spans="2:5">
      <c r="B2201" s="441">
        <v>2407</v>
      </c>
      <c r="C2201" s="441">
        <v>121</v>
      </c>
      <c r="D2201" s="440">
        <v>45472</v>
      </c>
      <c r="E2201" s="439" t="s">
        <v>13884</v>
      </c>
    </row>
    <row r="2202" spans="2:5">
      <c r="B2202" s="441">
        <v>2407</v>
      </c>
      <c r="C2202" s="441">
        <v>120</v>
      </c>
      <c r="D2202" s="440">
        <v>45471</v>
      </c>
      <c r="E2202" s="439" t="s">
        <v>13885</v>
      </c>
    </row>
    <row r="2203" spans="2:5">
      <c r="B2203" s="441">
        <v>2407</v>
      </c>
      <c r="C2203" s="441">
        <v>119</v>
      </c>
      <c r="D2203" s="440">
        <v>45471</v>
      </c>
      <c r="E2203" s="439" t="s">
        <v>13886</v>
      </c>
    </row>
    <row r="2204" spans="2:5">
      <c r="B2204" s="441">
        <v>2407</v>
      </c>
      <c r="C2204" s="441">
        <v>118</v>
      </c>
      <c r="D2204" s="440">
        <v>45471</v>
      </c>
      <c r="E2204" s="439" t="s">
        <v>13887</v>
      </c>
    </row>
    <row r="2205" spans="2:5">
      <c r="B2205" s="441">
        <v>2407</v>
      </c>
      <c r="C2205" s="441">
        <v>117</v>
      </c>
      <c r="D2205" s="440">
        <v>45471</v>
      </c>
      <c r="E2205" s="439" t="s">
        <v>13888</v>
      </c>
    </row>
    <row r="2206" spans="2:5">
      <c r="B2206" s="441">
        <v>2407</v>
      </c>
      <c r="C2206" s="441">
        <v>116</v>
      </c>
      <c r="D2206" s="440">
        <v>45471</v>
      </c>
      <c r="E2206" s="439" t="s">
        <v>13889</v>
      </c>
    </row>
    <row r="2207" spans="2:5">
      <c r="B2207" s="441">
        <v>2407</v>
      </c>
      <c r="C2207" s="441">
        <v>114</v>
      </c>
      <c r="D2207" s="440">
        <v>45471</v>
      </c>
      <c r="E2207" s="439" t="s">
        <v>13890</v>
      </c>
    </row>
    <row r="2208" spans="2:5">
      <c r="B2208" s="441">
        <v>2407</v>
      </c>
      <c r="C2208" s="441">
        <v>111</v>
      </c>
      <c r="D2208" s="440">
        <v>45471</v>
      </c>
      <c r="E2208" s="439" t="s">
        <v>13891</v>
      </c>
    </row>
    <row r="2209" spans="2:5">
      <c r="B2209" s="441">
        <v>2407</v>
      </c>
      <c r="C2209" s="441">
        <v>108</v>
      </c>
      <c r="D2209" s="440">
        <v>45471</v>
      </c>
      <c r="E2209" s="439" t="s">
        <v>13892</v>
      </c>
    </row>
    <row r="2210" spans="2:5">
      <c r="B2210" s="441">
        <v>2407</v>
      </c>
      <c r="C2210" s="441">
        <v>107</v>
      </c>
      <c r="D2210" s="440">
        <v>45471</v>
      </c>
      <c r="E2210" s="439" t="s">
        <v>13893</v>
      </c>
    </row>
    <row r="2211" spans="2:5">
      <c r="B2211" s="441">
        <v>2407</v>
      </c>
      <c r="C2211" s="441">
        <v>105</v>
      </c>
      <c r="D2211" s="440">
        <v>45471</v>
      </c>
      <c r="E2211" s="439" t="s">
        <v>13894</v>
      </c>
    </row>
    <row r="2212" spans="2:5">
      <c r="B2212" s="441">
        <v>2407</v>
      </c>
      <c r="C2212" s="441">
        <v>104</v>
      </c>
      <c r="D2212" s="440">
        <v>45471</v>
      </c>
      <c r="E2212" s="439" t="s">
        <v>13895</v>
      </c>
    </row>
    <row r="2213" spans="2:5">
      <c r="B2213" s="441">
        <v>2407</v>
      </c>
      <c r="C2213" s="441">
        <v>102</v>
      </c>
      <c r="D2213" s="440">
        <v>45471</v>
      </c>
      <c r="E2213" s="439" t="s">
        <v>13896</v>
      </c>
    </row>
    <row r="2214" spans="2:5">
      <c r="B2214" s="441">
        <v>2407</v>
      </c>
      <c r="C2214" s="441">
        <v>98</v>
      </c>
      <c r="D2214" s="440">
        <v>45470</v>
      </c>
      <c r="E2214" s="439" t="s">
        <v>13897</v>
      </c>
    </row>
    <row r="2215" spans="2:5">
      <c r="B2215" s="441">
        <v>2407</v>
      </c>
      <c r="C2215" s="441">
        <v>87</v>
      </c>
      <c r="D2215" s="440">
        <v>45469</v>
      </c>
      <c r="E2215" s="439" t="s">
        <v>13898</v>
      </c>
    </row>
    <row r="2216" spans="2:5">
      <c r="B2216" s="441">
        <v>2407</v>
      </c>
      <c r="C2216" s="441">
        <v>79</v>
      </c>
      <c r="D2216" s="440">
        <v>45475</v>
      </c>
      <c r="E2216" s="439" t="s">
        <v>13899</v>
      </c>
    </row>
    <row r="2217" spans="2:5">
      <c r="B2217" s="441">
        <v>2407</v>
      </c>
      <c r="C2217" s="441">
        <v>72</v>
      </c>
      <c r="D2217" s="440">
        <v>45477</v>
      </c>
      <c r="E2217" s="439" t="s">
        <v>13900</v>
      </c>
    </row>
    <row r="2218" spans="2:5">
      <c r="B2218" s="441">
        <v>2407</v>
      </c>
      <c r="C2218" s="441">
        <v>66</v>
      </c>
      <c r="D2218" s="440">
        <v>45461</v>
      </c>
      <c r="E2218" s="439" t="s">
        <v>13901</v>
      </c>
    </row>
    <row r="2219" spans="2:5">
      <c r="B2219" s="441">
        <v>2407</v>
      </c>
      <c r="C2219" s="441">
        <v>65</v>
      </c>
      <c r="D2219" s="440">
        <v>45461</v>
      </c>
      <c r="E2219" s="439" t="s">
        <v>13902</v>
      </c>
    </row>
    <row r="2220" spans="2:5">
      <c r="B2220" s="441">
        <v>2407</v>
      </c>
      <c r="C2220" s="441">
        <v>50</v>
      </c>
      <c r="D2220" s="440">
        <v>45455</v>
      </c>
      <c r="E2220" s="439" t="s">
        <v>13903</v>
      </c>
    </row>
    <row r="2221" spans="2:5">
      <c r="B2221" s="441">
        <v>2407</v>
      </c>
      <c r="C2221" s="441">
        <v>40</v>
      </c>
      <c r="D2221" s="440">
        <v>45442</v>
      </c>
      <c r="E2221" s="439" t="s">
        <v>13904</v>
      </c>
    </row>
    <row r="2222" spans="2:5">
      <c r="B2222" s="441">
        <v>2407</v>
      </c>
      <c r="C2222" s="441">
        <v>39</v>
      </c>
      <c r="D2222" s="440">
        <v>45441</v>
      </c>
      <c r="E2222" s="439" t="s">
        <v>13905</v>
      </c>
    </row>
    <row r="2223" spans="2:5">
      <c r="B2223" s="441">
        <v>2407</v>
      </c>
      <c r="C2223" s="441">
        <v>33</v>
      </c>
      <c r="D2223" s="440">
        <v>45437</v>
      </c>
      <c r="E2223" s="439" t="s">
        <v>13906</v>
      </c>
    </row>
    <row r="2224" spans="2:5">
      <c r="B2224" s="441">
        <v>2407</v>
      </c>
      <c r="C2224" s="441">
        <v>29</v>
      </c>
      <c r="D2224" s="440">
        <v>45429</v>
      </c>
      <c r="E2224" s="439" t="s">
        <v>13907</v>
      </c>
    </row>
    <row r="2225" spans="2:5">
      <c r="B2225" s="441">
        <v>2407</v>
      </c>
      <c r="C2225" s="441">
        <v>28</v>
      </c>
      <c r="D2225" s="440">
        <v>45427</v>
      </c>
      <c r="E2225" s="439" t="s">
        <v>13908</v>
      </c>
    </row>
    <row r="2226" spans="2:5">
      <c r="B2226" s="441">
        <v>2407</v>
      </c>
      <c r="C2226" s="441">
        <v>25</v>
      </c>
      <c r="D2226" s="440">
        <v>45423</v>
      </c>
      <c r="E2226" s="439" t="s">
        <v>13909</v>
      </c>
    </row>
    <row r="2227" spans="2:5">
      <c r="B2227" s="441">
        <v>2407</v>
      </c>
      <c r="C2227" s="441">
        <v>24</v>
      </c>
      <c r="D2227" s="440">
        <v>45421</v>
      </c>
      <c r="E2227" s="439" t="s">
        <v>13910</v>
      </c>
    </row>
    <row r="2228" spans="2:5">
      <c r="B2228" s="441">
        <v>2407</v>
      </c>
      <c r="C2228" s="441">
        <v>23</v>
      </c>
      <c r="D2228" s="440">
        <v>45421</v>
      </c>
      <c r="E2228" s="439" t="s">
        <v>13911</v>
      </c>
    </row>
    <row r="2229" spans="2:5">
      <c r="B2229" s="441">
        <v>2407</v>
      </c>
      <c r="C2229" s="441">
        <v>15</v>
      </c>
      <c r="D2229" s="440">
        <v>45414</v>
      </c>
      <c r="E2229" s="439" t="s">
        <v>13912</v>
      </c>
    </row>
    <row r="2230" spans="2:5">
      <c r="B2230" s="441">
        <v>2407</v>
      </c>
      <c r="C2230" s="441">
        <v>4</v>
      </c>
      <c r="D2230" s="440">
        <v>45399</v>
      </c>
      <c r="E2230" s="439" t="s">
        <v>13913</v>
      </c>
    </row>
    <row r="2231" spans="2:5">
      <c r="B2231" s="407">
        <v>2406</v>
      </c>
      <c r="C2231" s="407">
        <v>20099</v>
      </c>
      <c r="D2231" s="408">
        <v>45472</v>
      </c>
      <c r="E2231" s="429" t="s">
        <v>12803</v>
      </c>
    </row>
    <row r="2232" spans="2:5">
      <c r="B2232" s="407">
        <v>2406</v>
      </c>
      <c r="C2232" s="407">
        <v>20098</v>
      </c>
      <c r="D2232" s="408">
        <v>45472</v>
      </c>
      <c r="E2232" s="429" t="s">
        <v>12804</v>
      </c>
    </row>
    <row r="2233" spans="2:5">
      <c r="B2233" s="407">
        <v>2406</v>
      </c>
      <c r="C2233" s="407">
        <v>20095</v>
      </c>
      <c r="D2233" s="408">
        <v>45472</v>
      </c>
      <c r="E2233" s="430" t="s">
        <v>12808</v>
      </c>
    </row>
    <row r="2234" spans="2:5">
      <c r="B2234" s="407">
        <v>2406</v>
      </c>
      <c r="C2234" s="407">
        <v>20094</v>
      </c>
      <c r="D2234" s="408">
        <v>45472</v>
      </c>
      <c r="E2234" s="430" t="s">
        <v>12805</v>
      </c>
    </row>
    <row r="2235" spans="2:5">
      <c r="B2235" s="407">
        <v>2406</v>
      </c>
      <c r="C2235" s="407">
        <v>20092</v>
      </c>
      <c r="D2235" s="408">
        <v>45472</v>
      </c>
      <c r="E2235" s="430" t="s">
        <v>12810</v>
      </c>
    </row>
    <row r="2236" spans="2:5">
      <c r="B2236" s="407">
        <v>2406</v>
      </c>
      <c r="C2236" s="407">
        <v>20087</v>
      </c>
      <c r="D2236" s="408">
        <v>45472</v>
      </c>
      <c r="E2236" s="430" t="s">
        <v>12812</v>
      </c>
    </row>
    <row r="2237" spans="2:5">
      <c r="B2237" s="407">
        <v>2406</v>
      </c>
      <c r="C2237" s="407">
        <v>20086</v>
      </c>
      <c r="D2237" s="408">
        <v>45472</v>
      </c>
      <c r="E2237" s="430" t="s">
        <v>12813</v>
      </c>
    </row>
    <row r="2238" spans="2:5">
      <c r="B2238" s="407">
        <v>2406</v>
      </c>
      <c r="C2238" s="407">
        <v>20085</v>
      </c>
      <c r="D2238" s="408">
        <v>45472</v>
      </c>
      <c r="E2238" s="430" t="s">
        <v>12814</v>
      </c>
    </row>
    <row r="2239" spans="2:5">
      <c r="B2239" s="407">
        <v>2406</v>
      </c>
      <c r="C2239" s="407">
        <v>20083</v>
      </c>
      <c r="D2239" s="408">
        <v>45472</v>
      </c>
      <c r="E2239" s="430" t="s">
        <v>12815</v>
      </c>
    </row>
    <row r="2240" spans="2:5">
      <c r="B2240" s="407">
        <v>2406</v>
      </c>
      <c r="C2240" s="407">
        <v>20081</v>
      </c>
      <c r="D2240" s="408">
        <v>45472</v>
      </c>
      <c r="E2240" s="430" t="s">
        <v>12816</v>
      </c>
    </row>
    <row r="2241" spans="2:5">
      <c r="B2241" s="407">
        <v>2406</v>
      </c>
      <c r="C2241" s="407">
        <v>20080</v>
      </c>
      <c r="D2241" s="408">
        <v>45472</v>
      </c>
      <c r="E2241" s="430" t="s">
        <v>12818</v>
      </c>
    </row>
    <row r="2242" spans="2:5">
      <c r="B2242" s="407">
        <v>2406</v>
      </c>
      <c r="C2242" s="407">
        <v>20079</v>
      </c>
      <c r="D2242" s="408">
        <v>45472</v>
      </c>
      <c r="E2242" s="430" t="s">
        <v>12819</v>
      </c>
    </row>
    <row r="2243" spans="2:5">
      <c r="B2243" s="407">
        <v>2406</v>
      </c>
      <c r="C2243" s="407">
        <v>20078</v>
      </c>
      <c r="D2243" s="408">
        <v>45472</v>
      </c>
      <c r="E2243" s="430" t="s">
        <v>12820</v>
      </c>
    </row>
    <row r="2244" spans="2:5">
      <c r="B2244" s="407">
        <v>2406</v>
      </c>
      <c r="C2244" s="407">
        <v>20077</v>
      </c>
      <c r="D2244" s="408">
        <v>45472</v>
      </c>
      <c r="E2244" s="430" t="s">
        <v>12821</v>
      </c>
    </row>
    <row r="2245" spans="2:5">
      <c r="B2245" s="407">
        <v>2406</v>
      </c>
      <c r="C2245" s="407">
        <v>20076</v>
      </c>
      <c r="D2245" s="408">
        <v>45477</v>
      </c>
      <c r="E2245" s="430" t="s">
        <v>12822</v>
      </c>
    </row>
    <row r="2246" spans="2:5">
      <c r="B2246" s="407">
        <v>2406</v>
      </c>
      <c r="C2246" s="407">
        <v>20066</v>
      </c>
      <c r="D2246" s="408">
        <v>45472</v>
      </c>
      <c r="E2246" s="429" t="s">
        <v>12823</v>
      </c>
    </row>
    <row r="2247" spans="2:5">
      <c r="B2247" s="407">
        <v>2406</v>
      </c>
      <c r="C2247" s="407">
        <v>20065</v>
      </c>
      <c r="D2247" s="408">
        <v>45472</v>
      </c>
      <c r="E2247" s="430" t="s">
        <v>12824</v>
      </c>
    </row>
    <row r="2248" spans="2:5">
      <c r="B2248" s="407">
        <v>2406</v>
      </c>
      <c r="C2248" s="407">
        <v>20062</v>
      </c>
      <c r="D2248" s="408">
        <v>45472</v>
      </c>
      <c r="E2248" s="430" t="s">
        <v>12825</v>
      </c>
    </row>
    <row r="2249" spans="2:5">
      <c r="B2249" s="407">
        <v>2406</v>
      </c>
      <c r="C2249" s="407">
        <v>20060</v>
      </c>
      <c r="D2249" s="408">
        <v>45472</v>
      </c>
      <c r="E2249" s="430" t="s">
        <v>12826</v>
      </c>
    </row>
    <row r="2250" spans="2:5">
      <c r="B2250" s="407">
        <v>2406</v>
      </c>
      <c r="C2250" s="407">
        <v>20056</v>
      </c>
      <c r="D2250" s="408">
        <v>45472</v>
      </c>
      <c r="E2250" s="430" t="s">
        <v>12828</v>
      </c>
    </row>
    <row r="2251" spans="2:5">
      <c r="B2251" s="407">
        <v>2406</v>
      </c>
      <c r="C2251" s="407">
        <v>20055</v>
      </c>
      <c r="D2251" s="408">
        <v>45472</v>
      </c>
      <c r="E2251" s="430" t="s">
        <v>12829</v>
      </c>
    </row>
    <row r="2252" spans="2:5">
      <c r="B2252" s="407">
        <v>2406</v>
      </c>
      <c r="C2252" s="407">
        <v>20054</v>
      </c>
      <c r="D2252" s="408">
        <v>45472</v>
      </c>
      <c r="E2252" s="430" t="s">
        <v>12830</v>
      </c>
    </row>
    <row r="2253" spans="2:5">
      <c r="B2253" s="407">
        <v>2406</v>
      </c>
      <c r="C2253" s="407">
        <v>20053</v>
      </c>
      <c r="D2253" s="408">
        <v>45472</v>
      </c>
      <c r="E2253" s="430" t="s">
        <v>12831</v>
      </c>
    </row>
    <row r="2254" spans="2:5">
      <c r="B2254" s="407">
        <v>2406</v>
      </c>
      <c r="C2254" s="407">
        <v>20052</v>
      </c>
      <c r="D2254" s="408">
        <v>45472</v>
      </c>
      <c r="E2254" s="430" t="s">
        <v>12832</v>
      </c>
    </row>
    <row r="2255" spans="2:5">
      <c r="B2255" s="407">
        <v>2406</v>
      </c>
      <c r="C2255" s="407">
        <v>20046</v>
      </c>
      <c r="D2255" s="408">
        <v>45472</v>
      </c>
      <c r="E2255" s="430" t="s">
        <v>12834</v>
      </c>
    </row>
    <row r="2256" spans="2:5">
      <c r="B2256" s="407">
        <v>2406</v>
      </c>
      <c r="C2256" s="407">
        <v>20042</v>
      </c>
      <c r="D2256" s="408">
        <v>45472</v>
      </c>
      <c r="E2256" s="430" t="s">
        <v>12835</v>
      </c>
    </row>
    <row r="2257" spans="2:5">
      <c r="B2257" s="407">
        <v>2406</v>
      </c>
      <c r="C2257" s="407">
        <v>20041</v>
      </c>
      <c r="D2257" s="408">
        <v>45476</v>
      </c>
      <c r="E2257" s="430" t="s">
        <v>12837</v>
      </c>
    </row>
    <row r="2258" spans="2:5">
      <c r="B2258" s="407">
        <v>2406</v>
      </c>
      <c r="C2258" s="407">
        <v>20038</v>
      </c>
      <c r="D2258" s="408">
        <v>45472</v>
      </c>
      <c r="E2258" s="430" t="s">
        <v>12839</v>
      </c>
    </row>
    <row r="2259" spans="2:5">
      <c r="B2259" s="407">
        <v>2406</v>
      </c>
      <c r="C2259" s="407">
        <v>20037</v>
      </c>
      <c r="D2259" s="408">
        <v>45472</v>
      </c>
      <c r="E2259" s="430" t="s">
        <v>12840</v>
      </c>
    </row>
    <row r="2260" spans="2:5">
      <c r="B2260" s="407">
        <v>2406</v>
      </c>
      <c r="C2260" s="407">
        <v>20035</v>
      </c>
      <c r="D2260" s="408">
        <v>45472</v>
      </c>
      <c r="E2260" s="430" t="s">
        <v>12842</v>
      </c>
    </row>
    <row r="2261" spans="2:5">
      <c r="B2261" s="407">
        <v>2406</v>
      </c>
      <c r="C2261" s="407">
        <v>20031</v>
      </c>
      <c r="D2261" s="408">
        <v>45472</v>
      </c>
      <c r="E2261" s="430" t="s">
        <v>12845</v>
      </c>
    </row>
    <row r="2262" spans="2:5">
      <c r="B2262" s="407">
        <v>2406</v>
      </c>
      <c r="C2262" s="407">
        <v>20030</v>
      </c>
      <c r="D2262" s="408">
        <v>45472</v>
      </c>
      <c r="E2262" s="430" t="s">
        <v>12846</v>
      </c>
    </row>
    <row r="2263" spans="2:5">
      <c r="B2263" s="407">
        <v>2406</v>
      </c>
      <c r="C2263" s="407">
        <v>20024</v>
      </c>
      <c r="D2263" s="408">
        <v>45472</v>
      </c>
      <c r="E2263" s="430" t="s">
        <v>12847</v>
      </c>
    </row>
    <row r="2264" spans="2:5">
      <c r="B2264" s="407">
        <v>2406</v>
      </c>
      <c r="C2264" s="407">
        <v>20019</v>
      </c>
      <c r="D2264" s="408">
        <v>45472</v>
      </c>
      <c r="E2264" s="430" t="s">
        <v>12849</v>
      </c>
    </row>
    <row r="2265" spans="2:5">
      <c r="B2265" s="407">
        <v>2406</v>
      </c>
      <c r="C2265" s="407">
        <v>20015</v>
      </c>
      <c r="D2265" s="408">
        <v>45472</v>
      </c>
      <c r="E2265" s="430" t="s">
        <v>12851</v>
      </c>
    </row>
    <row r="2266" spans="2:5">
      <c r="B2266" s="407">
        <v>2406</v>
      </c>
      <c r="C2266" s="407">
        <v>20006</v>
      </c>
      <c r="D2266" s="408">
        <v>45472</v>
      </c>
      <c r="E2266" s="430" t="s">
        <v>12852</v>
      </c>
    </row>
    <row r="2267" spans="2:5">
      <c r="B2267" s="407">
        <v>2406</v>
      </c>
      <c r="C2267" s="407">
        <v>20005</v>
      </c>
      <c r="D2267" s="408">
        <v>45472</v>
      </c>
      <c r="E2267" s="430" t="s">
        <v>12853</v>
      </c>
    </row>
    <row r="2268" spans="2:5">
      <c r="B2268" s="407">
        <v>2406</v>
      </c>
      <c r="C2268" s="407">
        <v>19999</v>
      </c>
      <c r="D2268" s="408">
        <v>45472</v>
      </c>
      <c r="E2268" s="430" t="s">
        <v>12857</v>
      </c>
    </row>
    <row r="2269" spans="2:5">
      <c r="B2269" s="407">
        <v>2406</v>
      </c>
      <c r="C2269" s="407">
        <v>19997</v>
      </c>
      <c r="D2269" s="408">
        <v>45472</v>
      </c>
      <c r="E2269" s="430" t="s">
        <v>12859</v>
      </c>
    </row>
    <row r="2270" spans="2:5">
      <c r="B2270" s="407">
        <v>2406</v>
      </c>
      <c r="C2270" s="407">
        <v>19995</v>
      </c>
      <c r="D2270" s="408">
        <v>45472</v>
      </c>
      <c r="E2270" s="430" t="s">
        <v>12860</v>
      </c>
    </row>
    <row r="2271" spans="2:5">
      <c r="B2271" s="407">
        <v>2406</v>
      </c>
      <c r="C2271" s="407">
        <v>19990</v>
      </c>
      <c r="D2271" s="408">
        <v>45472</v>
      </c>
      <c r="E2271" s="430" t="s">
        <v>12861</v>
      </c>
    </row>
    <row r="2272" spans="2:5">
      <c r="B2272" s="407">
        <v>2406</v>
      </c>
      <c r="C2272" s="407">
        <v>19987</v>
      </c>
      <c r="D2272" s="408">
        <v>45472</v>
      </c>
      <c r="E2272" s="430" t="s">
        <v>12862</v>
      </c>
    </row>
    <row r="2273" spans="2:5">
      <c r="B2273" s="407">
        <v>2406</v>
      </c>
      <c r="C2273" s="407">
        <v>19983</v>
      </c>
      <c r="D2273" s="408">
        <v>45472</v>
      </c>
      <c r="E2273" s="430" t="s">
        <v>12865</v>
      </c>
    </row>
    <row r="2274" spans="2:5">
      <c r="B2274" s="407">
        <v>2406</v>
      </c>
      <c r="C2274" s="407">
        <v>19980</v>
      </c>
      <c r="D2274" s="408">
        <v>45472</v>
      </c>
      <c r="E2274" s="430" t="s">
        <v>12869</v>
      </c>
    </row>
    <row r="2275" spans="2:5">
      <c r="B2275" s="407">
        <v>2406</v>
      </c>
      <c r="C2275" s="407">
        <v>19976</v>
      </c>
      <c r="D2275" s="408">
        <v>45472</v>
      </c>
      <c r="E2275" s="430" t="s">
        <v>12870</v>
      </c>
    </row>
    <row r="2276" spans="2:5">
      <c r="B2276" s="407">
        <v>2406</v>
      </c>
      <c r="C2276" s="407">
        <v>19973</v>
      </c>
      <c r="D2276" s="408">
        <v>45472</v>
      </c>
      <c r="E2276" s="430" t="s">
        <v>12871</v>
      </c>
    </row>
    <row r="2277" spans="2:5">
      <c r="B2277" s="407">
        <v>2406</v>
      </c>
      <c r="C2277" s="407">
        <v>19972</v>
      </c>
      <c r="D2277" s="408">
        <v>45472</v>
      </c>
      <c r="E2277" s="430" t="s">
        <v>12873</v>
      </c>
    </row>
    <row r="2278" spans="2:5">
      <c r="B2278" s="407">
        <v>2406</v>
      </c>
      <c r="C2278" s="407">
        <v>19971</v>
      </c>
      <c r="D2278" s="408">
        <v>45472</v>
      </c>
      <c r="E2278" s="430" t="s">
        <v>12874</v>
      </c>
    </row>
    <row r="2279" spans="2:5">
      <c r="B2279" s="407">
        <v>2406</v>
      </c>
      <c r="C2279" s="407">
        <v>19967</v>
      </c>
      <c r="D2279" s="408">
        <v>45472</v>
      </c>
      <c r="E2279" s="430" t="s">
        <v>12875</v>
      </c>
    </row>
    <row r="2280" spans="2:5">
      <c r="B2280" s="407">
        <v>2406</v>
      </c>
      <c r="C2280" s="407">
        <v>19966</v>
      </c>
      <c r="D2280" s="408">
        <v>45472</v>
      </c>
      <c r="E2280" s="430" t="s">
        <v>12876</v>
      </c>
    </row>
    <row r="2281" spans="2:5">
      <c r="B2281" s="407">
        <v>2406</v>
      </c>
      <c r="C2281" s="407">
        <v>19963</v>
      </c>
      <c r="D2281" s="408">
        <v>45475</v>
      </c>
      <c r="E2281" s="430" t="s">
        <v>12879</v>
      </c>
    </row>
    <row r="2282" spans="2:5">
      <c r="B2282" s="407">
        <v>2406</v>
      </c>
      <c r="C2282" s="407">
        <v>19959</v>
      </c>
      <c r="D2282" s="408">
        <v>45472</v>
      </c>
      <c r="E2282" s="430" t="s">
        <v>12880</v>
      </c>
    </row>
    <row r="2283" spans="2:5">
      <c r="B2283" s="409">
        <v>2406</v>
      </c>
      <c r="C2283" s="409">
        <v>19954</v>
      </c>
      <c r="D2283" s="410">
        <v>45472</v>
      </c>
      <c r="E2283" s="424" t="s">
        <v>12881</v>
      </c>
    </row>
    <row r="2284" spans="2:5">
      <c r="B2284" s="407">
        <v>2406</v>
      </c>
      <c r="C2284" s="407">
        <v>19951</v>
      </c>
      <c r="D2284" s="408">
        <v>45472</v>
      </c>
      <c r="E2284" s="430" t="s">
        <v>12882</v>
      </c>
    </row>
    <row r="2285" spans="2:5">
      <c r="B2285" s="407">
        <v>2406</v>
      </c>
      <c r="C2285" s="407">
        <v>19949</v>
      </c>
      <c r="D2285" s="408">
        <v>45472</v>
      </c>
      <c r="E2285" s="430" t="s">
        <v>12884</v>
      </c>
    </row>
    <row r="2286" spans="2:5">
      <c r="B2286" s="407">
        <v>2406</v>
      </c>
      <c r="C2286" s="407">
        <v>19948</v>
      </c>
      <c r="D2286" s="408">
        <v>45472</v>
      </c>
      <c r="E2286" s="430" t="s">
        <v>12886</v>
      </c>
    </row>
    <row r="2287" spans="2:5">
      <c r="B2287" s="407">
        <v>2406</v>
      </c>
      <c r="C2287" s="407">
        <v>19943</v>
      </c>
      <c r="D2287" s="408">
        <v>45472</v>
      </c>
      <c r="E2287" s="430" t="s">
        <v>12889</v>
      </c>
    </row>
    <row r="2288" spans="2:5">
      <c r="B2288" s="407">
        <v>2406</v>
      </c>
      <c r="C2288" s="407">
        <v>19941</v>
      </c>
      <c r="D2288" s="408">
        <v>45474</v>
      </c>
      <c r="E2288" s="430" t="s">
        <v>12890</v>
      </c>
    </row>
    <row r="2289" spans="2:5">
      <c r="B2289" s="407">
        <v>2406</v>
      </c>
      <c r="C2289" s="407">
        <v>19934</v>
      </c>
      <c r="D2289" s="408">
        <v>45472</v>
      </c>
      <c r="E2289" s="430" t="s">
        <v>12892</v>
      </c>
    </row>
    <row r="2290" spans="2:5">
      <c r="B2290" s="407">
        <v>2406</v>
      </c>
      <c r="C2290" s="407">
        <v>19931</v>
      </c>
      <c r="D2290" s="408">
        <v>45472</v>
      </c>
      <c r="E2290" s="430" t="s">
        <v>12894</v>
      </c>
    </row>
    <row r="2291" spans="2:5">
      <c r="B2291" s="407">
        <v>2406</v>
      </c>
      <c r="C2291" s="407">
        <v>19928</v>
      </c>
      <c r="D2291" s="408">
        <v>45472</v>
      </c>
      <c r="E2291" s="430" t="s">
        <v>12895</v>
      </c>
    </row>
    <row r="2292" spans="2:5">
      <c r="B2292" s="407">
        <v>2406</v>
      </c>
      <c r="C2292" s="407">
        <v>19926</v>
      </c>
      <c r="D2292" s="408">
        <v>45472</v>
      </c>
      <c r="E2292" s="430" t="s">
        <v>12896</v>
      </c>
    </row>
    <row r="2293" spans="2:5">
      <c r="B2293" s="407">
        <v>2406</v>
      </c>
      <c r="C2293" s="407">
        <v>19922</v>
      </c>
      <c r="D2293" s="408">
        <v>45472</v>
      </c>
      <c r="E2293" s="430" t="s">
        <v>12897</v>
      </c>
    </row>
    <row r="2294" spans="2:5">
      <c r="B2294" s="407">
        <v>2406</v>
      </c>
      <c r="C2294" s="407">
        <v>19913</v>
      </c>
      <c r="D2294" s="408">
        <v>45472</v>
      </c>
      <c r="E2294" s="430" t="s">
        <v>12898</v>
      </c>
    </row>
    <row r="2295" spans="2:5">
      <c r="B2295" s="407">
        <v>2406</v>
      </c>
      <c r="C2295" s="407">
        <v>19905</v>
      </c>
      <c r="D2295" s="408">
        <v>45472</v>
      </c>
      <c r="E2295" s="430" t="s">
        <v>12903</v>
      </c>
    </row>
    <row r="2296" spans="2:5">
      <c r="B2296" s="407">
        <v>2406</v>
      </c>
      <c r="C2296" s="407">
        <v>19899</v>
      </c>
      <c r="D2296" s="408">
        <v>45472</v>
      </c>
      <c r="E2296" s="430" t="s">
        <v>12907</v>
      </c>
    </row>
    <row r="2297" spans="2:5">
      <c r="B2297" s="407">
        <v>2406</v>
      </c>
      <c r="C2297" s="407">
        <v>19898</v>
      </c>
      <c r="D2297" s="408">
        <v>45472</v>
      </c>
      <c r="E2297" s="430" t="s">
        <v>12908</v>
      </c>
    </row>
    <row r="2298" spans="2:5">
      <c r="B2298" s="407">
        <v>2406</v>
      </c>
      <c r="C2298" s="407">
        <v>19897</v>
      </c>
      <c r="D2298" s="408">
        <v>45472</v>
      </c>
      <c r="E2298" s="430" t="s">
        <v>12909</v>
      </c>
    </row>
    <row r="2299" spans="2:5">
      <c r="B2299" s="407">
        <v>2406</v>
      </c>
      <c r="C2299" s="407">
        <v>19896</v>
      </c>
      <c r="D2299" s="408">
        <v>45472</v>
      </c>
      <c r="E2299" s="430" t="s">
        <v>12910</v>
      </c>
    </row>
    <row r="2300" spans="2:5">
      <c r="B2300" s="407">
        <v>2406</v>
      </c>
      <c r="C2300" s="407">
        <v>19893</v>
      </c>
      <c r="D2300" s="408">
        <v>45472</v>
      </c>
      <c r="E2300" s="430" t="s">
        <v>12912</v>
      </c>
    </row>
    <row r="2301" spans="2:5">
      <c r="B2301" s="407">
        <v>2406</v>
      </c>
      <c r="C2301" s="407">
        <v>19892</v>
      </c>
      <c r="D2301" s="408">
        <v>45472</v>
      </c>
      <c r="E2301" s="430" t="s">
        <v>12913</v>
      </c>
    </row>
    <row r="2302" spans="2:5">
      <c r="B2302" s="407">
        <v>2406</v>
      </c>
      <c r="C2302" s="407">
        <v>19888</v>
      </c>
      <c r="D2302" s="408">
        <v>45472</v>
      </c>
      <c r="E2302" s="430" t="s">
        <v>12916</v>
      </c>
    </row>
    <row r="2303" spans="2:5">
      <c r="B2303" s="407">
        <v>2406</v>
      </c>
      <c r="C2303" s="407">
        <v>19884</v>
      </c>
      <c r="D2303" s="408">
        <v>45472</v>
      </c>
      <c r="E2303" s="430" t="s">
        <v>12917</v>
      </c>
    </row>
    <row r="2304" spans="2:5">
      <c r="B2304" s="407">
        <v>2406</v>
      </c>
      <c r="C2304" s="407">
        <v>19875</v>
      </c>
      <c r="D2304" s="408">
        <v>45472</v>
      </c>
      <c r="E2304" s="430" t="s">
        <v>12919</v>
      </c>
    </row>
    <row r="2305" spans="2:5">
      <c r="B2305" s="407">
        <v>2406</v>
      </c>
      <c r="C2305" s="407">
        <v>19874</v>
      </c>
      <c r="D2305" s="408">
        <v>45472</v>
      </c>
      <c r="E2305" s="430" t="s">
        <v>12920</v>
      </c>
    </row>
    <row r="2306" spans="2:5">
      <c r="B2306" s="407">
        <v>2406</v>
      </c>
      <c r="C2306" s="407">
        <v>19861</v>
      </c>
      <c r="D2306" s="408">
        <v>45472</v>
      </c>
      <c r="E2306" s="430" t="s">
        <v>12921</v>
      </c>
    </row>
    <row r="2307" spans="2:5">
      <c r="B2307" s="407">
        <v>2406</v>
      </c>
      <c r="C2307" s="407">
        <v>19859</v>
      </c>
      <c r="D2307" s="408">
        <v>45472</v>
      </c>
      <c r="E2307" s="430" t="s">
        <v>12923</v>
      </c>
    </row>
    <row r="2308" spans="2:5">
      <c r="B2308" s="409">
        <v>2406</v>
      </c>
      <c r="C2308" s="409">
        <v>19853</v>
      </c>
      <c r="D2308" s="410">
        <v>45472</v>
      </c>
      <c r="E2308" s="424" t="s">
        <v>12924</v>
      </c>
    </row>
    <row r="2309" spans="2:5">
      <c r="B2309" s="407">
        <v>2406</v>
      </c>
      <c r="C2309" s="407">
        <v>19852</v>
      </c>
      <c r="D2309" s="408">
        <v>45472</v>
      </c>
      <c r="E2309" s="430" t="s">
        <v>12925</v>
      </c>
    </row>
    <row r="2310" spans="2:5">
      <c r="B2310" s="407">
        <v>2406</v>
      </c>
      <c r="C2310" s="407">
        <v>19848</v>
      </c>
      <c r="D2310" s="408">
        <v>45472</v>
      </c>
      <c r="E2310" s="430" t="s">
        <v>12928</v>
      </c>
    </row>
    <row r="2311" spans="2:5">
      <c r="B2311" s="407">
        <v>2406</v>
      </c>
      <c r="C2311" s="407">
        <v>19847</v>
      </c>
      <c r="D2311" s="408">
        <v>45472</v>
      </c>
      <c r="E2311" s="430" t="s">
        <v>12929</v>
      </c>
    </row>
    <row r="2312" spans="2:5">
      <c r="B2312" s="407">
        <v>2406</v>
      </c>
      <c r="C2312" s="407">
        <v>19845</v>
      </c>
      <c r="D2312" s="408">
        <v>45472</v>
      </c>
      <c r="E2312" s="430" t="s">
        <v>12930</v>
      </c>
    </row>
    <row r="2313" spans="2:5">
      <c r="B2313" s="407">
        <v>2406</v>
      </c>
      <c r="C2313" s="407">
        <v>19844</v>
      </c>
      <c r="D2313" s="408">
        <v>45472</v>
      </c>
      <c r="E2313" s="430" t="s">
        <v>12931</v>
      </c>
    </row>
    <row r="2314" spans="2:5">
      <c r="B2314" s="407">
        <v>2406</v>
      </c>
      <c r="C2314" s="407">
        <v>19840</v>
      </c>
      <c r="D2314" s="408">
        <v>45472</v>
      </c>
      <c r="E2314" s="430" t="s">
        <v>12934</v>
      </c>
    </row>
    <row r="2315" spans="2:5">
      <c r="B2315" s="407">
        <v>2406</v>
      </c>
      <c r="C2315" s="407">
        <v>19833</v>
      </c>
      <c r="D2315" s="408">
        <v>45472</v>
      </c>
      <c r="E2315" s="430" t="s">
        <v>12936</v>
      </c>
    </row>
    <row r="2316" spans="2:5">
      <c r="B2316" s="407">
        <v>2406</v>
      </c>
      <c r="C2316" s="407">
        <v>19832</v>
      </c>
      <c r="D2316" s="408">
        <v>45472</v>
      </c>
      <c r="E2316" s="430" t="s">
        <v>12937</v>
      </c>
    </row>
    <row r="2317" spans="2:5">
      <c r="B2317" s="407">
        <v>2406</v>
      </c>
      <c r="C2317" s="407">
        <v>19830</v>
      </c>
      <c r="D2317" s="408">
        <v>45472</v>
      </c>
      <c r="E2317" s="430" t="s">
        <v>12938</v>
      </c>
    </row>
    <row r="2318" spans="2:5">
      <c r="B2318" s="407">
        <v>2406</v>
      </c>
      <c r="C2318" s="407">
        <v>19827</v>
      </c>
      <c r="D2318" s="408">
        <v>45472</v>
      </c>
      <c r="E2318" s="430" t="s">
        <v>12939</v>
      </c>
    </row>
    <row r="2319" spans="2:5">
      <c r="B2319" s="407">
        <v>2406</v>
      </c>
      <c r="C2319" s="407">
        <v>19825</v>
      </c>
      <c r="D2319" s="408">
        <v>45472</v>
      </c>
      <c r="E2319" s="435" t="s">
        <v>12941</v>
      </c>
    </row>
    <row r="2320" spans="2:5">
      <c r="B2320" s="407">
        <v>2406</v>
      </c>
      <c r="C2320" s="407">
        <v>19820</v>
      </c>
      <c r="D2320" s="408">
        <v>45472</v>
      </c>
      <c r="E2320" s="435" t="s">
        <v>12940</v>
      </c>
    </row>
    <row r="2321" spans="2:5">
      <c r="B2321" s="407">
        <v>2406</v>
      </c>
      <c r="C2321" s="407">
        <v>19814</v>
      </c>
      <c r="D2321" s="408">
        <v>45472</v>
      </c>
      <c r="E2321" s="435" t="s">
        <v>12942</v>
      </c>
    </row>
    <row r="2322" spans="2:5">
      <c r="B2322" s="407">
        <v>2406</v>
      </c>
      <c r="C2322" s="407">
        <v>19812</v>
      </c>
      <c r="D2322" s="408">
        <v>45472</v>
      </c>
      <c r="E2322" s="435" t="s">
        <v>12943</v>
      </c>
    </row>
    <row r="2323" spans="2:5">
      <c r="B2323" s="407">
        <v>2406</v>
      </c>
      <c r="C2323" s="407">
        <v>19811</v>
      </c>
      <c r="D2323" s="408">
        <v>45472</v>
      </c>
      <c r="E2323" s="435" t="s">
        <v>12944</v>
      </c>
    </row>
    <row r="2324" spans="2:5">
      <c r="B2324" s="407">
        <v>2406</v>
      </c>
      <c r="C2324" s="407">
        <v>19807</v>
      </c>
      <c r="D2324" s="408">
        <v>45472</v>
      </c>
      <c r="E2324" s="435" t="s">
        <v>12945</v>
      </c>
    </row>
    <row r="2325" spans="2:5">
      <c r="B2325" s="407">
        <v>2406</v>
      </c>
      <c r="C2325" s="407">
        <v>19803</v>
      </c>
      <c r="D2325" s="408">
        <v>45472</v>
      </c>
      <c r="E2325" s="435" t="s">
        <v>12946</v>
      </c>
    </row>
    <row r="2326" spans="2:5">
      <c r="B2326" s="407">
        <v>2406</v>
      </c>
      <c r="C2326" s="407">
        <v>19800</v>
      </c>
      <c r="D2326" s="408">
        <v>45472</v>
      </c>
      <c r="E2326" s="435" t="s">
        <v>12947</v>
      </c>
    </row>
    <row r="2327" spans="2:5">
      <c r="B2327" s="407">
        <v>2406</v>
      </c>
      <c r="C2327" s="407">
        <v>19796</v>
      </c>
      <c r="D2327" s="408">
        <v>45472</v>
      </c>
      <c r="E2327" s="435" t="s">
        <v>12948</v>
      </c>
    </row>
    <row r="2328" spans="2:5">
      <c r="B2328" s="407">
        <v>2406</v>
      </c>
      <c r="C2328" s="407">
        <v>19792</v>
      </c>
      <c r="D2328" s="408">
        <v>45472</v>
      </c>
      <c r="E2328" s="435" t="s">
        <v>12949</v>
      </c>
    </row>
    <row r="2329" spans="2:5">
      <c r="B2329" s="407">
        <v>2406</v>
      </c>
      <c r="C2329" s="407">
        <v>19791</v>
      </c>
      <c r="D2329" s="408">
        <v>45474</v>
      </c>
      <c r="E2329" s="435" t="s">
        <v>12950</v>
      </c>
    </row>
    <row r="2330" spans="2:5">
      <c r="B2330" s="407">
        <v>2406</v>
      </c>
      <c r="C2330" s="407">
        <v>19783</v>
      </c>
      <c r="D2330" s="408">
        <v>45472</v>
      </c>
      <c r="E2330" s="435" t="s">
        <v>12951</v>
      </c>
    </row>
    <row r="2331" spans="2:5">
      <c r="B2331" s="407">
        <v>2406</v>
      </c>
      <c r="C2331" s="407">
        <v>19781</v>
      </c>
      <c r="D2331" s="408">
        <v>45472</v>
      </c>
      <c r="E2331" s="435" t="s">
        <v>12952</v>
      </c>
    </row>
    <row r="2332" spans="2:5">
      <c r="B2332" s="407">
        <v>2406</v>
      </c>
      <c r="C2332" s="407">
        <v>19776</v>
      </c>
      <c r="D2332" s="408">
        <v>45472</v>
      </c>
      <c r="E2332" s="435" t="s">
        <v>12953</v>
      </c>
    </row>
    <row r="2333" spans="2:5">
      <c r="B2333" s="407">
        <v>2406</v>
      </c>
      <c r="C2333" s="407">
        <v>19774</v>
      </c>
      <c r="D2333" s="408">
        <v>45472</v>
      </c>
      <c r="E2333" s="435" t="s">
        <v>12954</v>
      </c>
    </row>
    <row r="2334" spans="2:5">
      <c r="B2334" s="407">
        <v>2406</v>
      </c>
      <c r="C2334" s="407">
        <v>19770</v>
      </c>
      <c r="D2334" s="408">
        <v>45564</v>
      </c>
      <c r="E2334" s="435" t="s">
        <v>12955</v>
      </c>
    </row>
    <row r="2335" spans="2:5">
      <c r="B2335" s="407">
        <v>2406</v>
      </c>
      <c r="C2335" s="407">
        <v>19768</v>
      </c>
      <c r="D2335" s="408">
        <v>45475</v>
      </c>
      <c r="E2335" s="435" t="s">
        <v>12956</v>
      </c>
    </row>
    <row r="2336" spans="2:5">
      <c r="B2336" s="407">
        <v>2406</v>
      </c>
      <c r="C2336" s="407">
        <v>19765</v>
      </c>
      <c r="D2336" s="408">
        <v>45476</v>
      </c>
      <c r="E2336" s="435" t="s">
        <v>12957</v>
      </c>
    </row>
    <row r="2337" spans="2:5">
      <c r="B2337" s="407">
        <v>2406</v>
      </c>
      <c r="C2337" s="407">
        <v>19764</v>
      </c>
      <c r="D2337" s="408">
        <v>45472</v>
      </c>
      <c r="E2337" s="435" t="s">
        <v>12958</v>
      </c>
    </row>
    <row r="2338" spans="2:5">
      <c r="B2338" s="407">
        <v>2406</v>
      </c>
      <c r="C2338" s="407">
        <v>19763</v>
      </c>
      <c r="D2338" s="408">
        <v>45472</v>
      </c>
      <c r="E2338" s="435" t="s">
        <v>12959</v>
      </c>
    </row>
    <row r="2339" spans="2:5">
      <c r="B2339" s="407">
        <v>2406</v>
      </c>
      <c r="C2339" s="407">
        <v>19760</v>
      </c>
      <c r="D2339" s="408">
        <v>45472</v>
      </c>
      <c r="E2339" s="435" t="s">
        <v>12960</v>
      </c>
    </row>
    <row r="2340" spans="2:5">
      <c r="B2340" s="407">
        <v>2406</v>
      </c>
      <c r="C2340" s="407">
        <v>19759</v>
      </c>
      <c r="D2340" s="408">
        <v>45472</v>
      </c>
      <c r="E2340" s="435" t="s">
        <v>12961</v>
      </c>
    </row>
    <row r="2341" spans="2:5">
      <c r="B2341" s="407">
        <v>2406</v>
      </c>
      <c r="C2341" s="407">
        <v>19756</v>
      </c>
      <c r="D2341" s="408">
        <v>45472</v>
      </c>
      <c r="E2341" s="435" t="s">
        <v>12962</v>
      </c>
    </row>
    <row r="2342" spans="2:5">
      <c r="B2342" s="407">
        <v>2406</v>
      </c>
      <c r="C2342" s="407">
        <v>19755</v>
      </c>
      <c r="D2342" s="408">
        <v>45472</v>
      </c>
      <c r="E2342" s="435" t="s">
        <v>12963</v>
      </c>
    </row>
    <row r="2343" spans="2:5">
      <c r="B2343" s="407">
        <v>2406</v>
      </c>
      <c r="C2343" s="407">
        <v>19753</v>
      </c>
      <c r="D2343" s="408">
        <v>45472</v>
      </c>
      <c r="E2343" s="435" t="s">
        <v>12964</v>
      </c>
    </row>
    <row r="2344" spans="2:5">
      <c r="B2344" s="407">
        <v>2406</v>
      </c>
      <c r="C2344" s="407">
        <v>19749</v>
      </c>
      <c r="D2344" s="408">
        <v>45472</v>
      </c>
      <c r="E2344" s="435" t="s">
        <v>12965</v>
      </c>
    </row>
    <row r="2345" spans="2:5">
      <c r="B2345" s="407">
        <v>2406</v>
      </c>
      <c r="C2345" s="407">
        <v>19746</v>
      </c>
      <c r="D2345" s="408">
        <v>45472</v>
      </c>
      <c r="E2345" s="435" t="s">
        <v>12966</v>
      </c>
    </row>
    <row r="2346" spans="2:5">
      <c r="B2346" s="407">
        <v>2406</v>
      </c>
      <c r="C2346" s="407">
        <v>19741</v>
      </c>
      <c r="D2346" s="408">
        <v>45476</v>
      </c>
      <c r="E2346" s="435" t="s">
        <v>12967</v>
      </c>
    </row>
    <row r="2347" spans="2:5">
      <c r="B2347" s="407">
        <v>2406</v>
      </c>
      <c r="C2347" s="407">
        <v>19736</v>
      </c>
      <c r="D2347" s="408">
        <v>45472</v>
      </c>
      <c r="E2347" s="435" t="s">
        <v>12968</v>
      </c>
    </row>
    <row r="2348" spans="2:5">
      <c r="B2348" s="407">
        <v>2406</v>
      </c>
      <c r="C2348" s="407">
        <v>19731</v>
      </c>
      <c r="D2348" s="408">
        <v>45472</v>
      </c>
      <c r="E2348" s="435" t="s">
        <v>12969</v>
      </c>
    </row>
    <row r="2349" spans="2:5">
      <c r="B2349" s="407">
        <v>2406</v>
      </c>
      <c r="C2349" s="407">
        <v>19729</v>
      </c>
      <c r="D2349" s="408">
        <v>45472</v>
      </c>
      <c r="E2349" s="435" t="s">
        <v>12970</v>
      </c>
    </row>
    <row r="2350" spans="2:5">
      <c r="B2350" s="407">
        <v>2406</v>
      </c>
      <c r="C2350" s="407">
        <v>19726</v>
      </c>
      <c r="D2350" s="408">
        <v>45472</v>
      </c>
      <c r="E2350" s="435" t="s">
        <v>12971</v>
      </c>
    </row>
    <row r="2351" spans="2:5">
      <c r="B2351" s="407">
        <v>2406</v>
      </c>
      <c r="C2351" s="407">
        <v>19720</v>
      </c>
      <c r="D2351" s="408">
        <v>45472</v>
      </c>
      <c r="E2351" s="435" t="s">
        <v>12972</v>
      </c>
    </row>
    <row r="2352" spans="2:5">
      <c r="B2352" s="407">
        <v>2406</v>
      </c>
      <c r="C2352" s="407">
        <v>19712</v>
      </c>
      <c r="D2352" s="408">
        <v>45472</v>
      </c>
      <c r="E2352" s="435" t="s">
        <v>12973</v>
      </c>
    </row>
    <row r="2353" spans="2:5">
      <c r="B2353" s="407">
        <v>2406</v>
      </c>
      <c r="C2353" s="407">
        <v>19708</v>
      </c>
      <c r="D2353" s="408">
        <v>45475</v>
      </c>
      <c r="E2353" s="435" t="s">
        <v>12974</v>
      </c>
    </row>
    <row r="2354" spans="2:5">
      <c r="B2354" s="407">
        <v>2406</v>
      </c>
      <c r="C2354" s="407">
        <v>19707</v>
      </c>
      <c r="D2354" s="408">
        <v>45472</v>
      </c>
      <c r="E2354" s="435" t="s">
        <v>12975</v>
      </c>
    </row>
    <row r="2355" spans="2:5">
      <c r="B2355" s="407">
        <v>2406</v>
      </c>
      <c r="C2355" s="407">
        <v>19706</v>
      </c>
      <c r="D2355" s="408">
        <v>45472</v>
      </c>
      <c r="E2355" s="435" t="s">
        <v>12976</v>
      </c>
    </row>
    <row r="2356" spans="2:5">
      <c r="B2356" s="407">
        <v>2406</v>
      </c>
      <c r="C2356" s="407">
        <v>19703</v>
      </c>
      <c r="D2356" s="408">
        <v>45472</v>
      </c>
      <c r="E2356" s="435" t="s">
        <v>12977</v>
      </c>
    </row>
    <row r="2357" spans="2:5">
      <c r="B2357" s="407">
        <v>2406</v>
      </c>
      <c r="C2357" s="407">
        <v>19693</v>
      </c>
      <c r="D2357" s="408">
        <v>45472</v>
      </c>
      <c r="E2357" s="435" t="s">
        <v>12978</v>
      </c>
    </row>
    <row r="2358" spans="2:5">
      <c r="B2358" s="407">
        <v>2406</v>
      </c>
      <c r="C2358" s="407">
        <v>19690</v>
      </c>
      <c r="D2358" s="408">
        <v>45472</v>
      </c>
      <c r="E2358" s="435" t="s">
        <v>12979</v>
      </c>
    </row>
    <row r="2359" spans="2:5">
      <c r="B2359" s="407">
        <v>2406</v>
      </c>
      <c r="C2359" s="407">
        <v>19686</v>
      </c>
      <c r="D2359" s="408">
        <v>45472</v>
      </c>
      <c r="E2359" s="435" t="s">
        <v>12980</v>
      </c>
    </row>
    <row r="2360" spans="2:5">
      <c r="B2360" s="407">
        <v>2406</v>
      </c>
      <c r="C2360" s="407">
        <v>19680</v>
      </c>
      <c r="D2360" s="408">
        <v>45472</v>
      </c>
      <c r="E2360" s="435" t="s">
        <v>12981</v>
      </c>
    </row>
    <row r="2361" spans="2:5">
      <c r="B2361" s="407">
        <v>2406</v>
      </c>
      <c r="C2361" s="407">
        <v>19675</v>
      </c>
      <c r="D2361" s="408">
        <v>45472</v>
      </c>
      <c r="E2361" s="435" t="s">
        <v>12982</v>
      </c>
    </row>
    <row r="2362" spans="2:5">
      <c r="B2362" s="407">
        <v>2406</v>
      </c>
      <c r="C2362" s="407">
        <v>19674</v>
      </c>
      <c r="D2362" s="408">
        <v>45472</v>
      </c>
      <c r="E2362" s="435" t="s">
        <v>12983</v>
      </c>
    </row>
    <row r="2363" spans="2:5">
      <c r="B2363" s="407">
        <v>2406</v>
      </c>
      <c r="C2363" s="407">
        <v>19670</v>
      </c>
      <c r="D2363" s="408">
        <v>45472</v>
      </c>
      <c r="E2363" s="435" t="s">
        <v>12984</v>
      </c>
    </row>
    <row r="2364" spans="2:5">
      <c r="B2364" s="407">
        <v>2406</v>
      </c>
      <c r="C2364" s="407">
        <v>19668</v>
      </c>
      <c r="D2364" s="408">
        <v>45472</v>
      </c>
      <c r="E2364" s="435" t="s">
        <v>12985</v>
      </c>
    </row>
    <row r="2365" spans="2:5">
      <c r="B2365" s="407">
        <v>2406</v>
      </c>
      <c r="C2365" s="407">
        <v>19666</v>
      </c>
      <c r="D2365" s="408">
        <v>45472</v>
      </c>
      <c r="E2365" s="435" t="s">
        <v>12986</v>
      </c>
    </row>
    <row r="2366" spans="2:5">
      <c r="B2366" s="407">
        <v>2406</v>
      </c>
      <c r="C2366" s="407">
        <v>19665</v>
      </c>
      <c r="D2366" s="408">
        <v>45472</v>
      </c>
      <c r="E2366" s="435" t="s">
        <v>12987</v>
      </c>
    </row>
    <row r="2367" spans="2:5">
      <c r="B2367" s="407">
        <v>2406</v>
      </c>
      <c r="C2367" s="407">
        <v>19664</v>
      </c>
      <c r="D2367" s="408">
        <v>45472</v>
      </c>
      <c r="E2367" s="435" t="s">
        <v>12988</v>
      </c>
    </row>
    <row r="2368" spans="2:5">
      <c r="B2368" s="407">
        <v>2406</v>
      </c>
      <c r="C2368" s="407">
        <v>19662</v>
      </c>
      <c r="D2368" s="408">
        <v>45472</v>
      </c>
      <c r="E2368" s="435" t="s">
        <v>12989</v>
      </c>
    </row>
    <row r="2369" spans="2:5">
      <c r="B2369" s="409">
        <v>2406</v>
      </c>
      <c r="C2369" s="409">
        <v>19657</v>
      </c>
      <c r="D2369" s="410">
        <v>45476</v>
      </c>
      <c r="E2369" s="424" t="s">
        <v>12990</v>
      </c>
    </row>
    <row r="2370" spans="2:5">
      <c r="B2370" s="407">
        <v>2406</v>
      </c>
      <c r="C2370" s="407">
        <v>19655</v>
      </c>
      <c r="D2370" s="408">
        <v>45472</v>
      </c>
      <c r="E2370" s="435" t="s">
        <v>12991</v>
      </c>
    </row>
    <row r="2371" spans="2:5">
      <c r="B2371" s="407">
        <v>2406</v>
      </c>
      <c r="C2371" s="407">
        <v>19653</v>
      </c>
      <c r="D2371" s="408">
        <v>45472</v>
      </c>
      <c r="E2371" s="435" t="s">
        <v>12992</v>
      </c>
    </row>
    <row r="2372" spans="2:5">
      <c r="B2372" s="407">
        <v>2406</v>
      </c>
      <c r="C2372" s="407">
        <v>19651</v>
      </c>
      <c r="D2372" s="408">
        <v>45472</v>
      </c>
      <c r="E2372" s="435" t="s">
        <v>12994</v>
      </c>
    </row>
    <row r="2373" spans="2:5">
      <c r="B2373" s="407">
        <v>2406</v>
      </c>
      <c r="C2373" s="407">
        <v>19650</v>
      </c>
      <c r="D2373" s="408">
        <v>45472</v>
      </c>
      <c r="E2373" s="435" t="s">
        <v>12993</v>
      </c>
    </row>
    <row r="2374" spans="2:5">
      <c r="B2374" s="407">
        <v>2406</v>
      </c>
      <c r="C2374" s="407">
        <v>19649</v>
      </c>
      <c r="D2374" s="408">
        <v>45472</v>
      </c>
      <c r="E2374" s="435" t="s">
        <v>12995</v>
      </c>
    </row>
    <row r="2375" spans="2:5">
      <c r="B2375" s="407">
        <v>2406</v>
      </c>
      <c r="C2375" s="407">
        <v>19648</v>
      </c>
      <c r="D2375" s="408">
        <v>45472</v>
      </c>
      <c r="E2375" s="435" t="s">
        <v>12996</v>
      </c>
    </row>
    <row r="2376" spans="2:5">
      <c r="B2376" s="407">
        <v>2406</v>
      </c>
      <c r="C2376" s="407">
        <v>19647</v>
      </c>
      <c r="D2376" s="408">
        <v>45472</v>
      </c>
      <c r="E2376" s="435" t="s">
        <v>12997</v>
      </c>
    </row>
    <row r="2377" spans="2:5">
      <c r="B2377" s="407">
        <v>2406</v>
      </c>
      <c r="C2377" s="407">
        <v>19645</v>
      </c>
      <c r="D2377" s="408">
        <v>45472</v>
      </c>
      <c r="E2377" s="435" t="s">
        <v>12998</v>
      </c>
    </row>
    <row r="2378" spans="2:5">
      <c r="B2378" s="407">
        <v>2406</v>
      </c>
      <c r="C2378" s="407">
        <v>19644</v>
      </c>
      <c r="D2378" s="408">
        <v>45474</v>
      </c>
      <c r="E2378" s="435" t="s">
        <v>12999</v>
      </c>
    </row>
    <row r="2379" spans="2:5">
      <c r="B2379" s="407">
        <v>2406</v>
      </c>
      <c r="C2379" s="407">
        <v>19643</v>
      </c>
      <c r="D2379" s="408">
        <v>45472</v>
      </c>
      <c r="E2379" s="435" t="s">
        <v>13000</v>
      </c>
    </row>
    <row r="2380" spans="2:5">
      <c r="B2380" s="407">
        <v>2406</v>
      </c>
      <c r="C2380" s="407">
        <v>19642</v>
      </c>
      <c r="D2380" s="408">
        <v>45472</v>
      </c>
      <c r="E2380" s="435" t="s">
        <v>13001</v>
      </c>
    </row>
    <row r="2381" spans="2:5">
      <c r="B2381" s="407">
        <v>2406</v>
      </c>
      <c r="C2381" s="407">
        <v>19640</v>
      </c>
      <c r="D2381" s="408">
        <v>45472</v>
      </c>
      <c r="E2381" s="435" t="s">
        <v>13002</v>
      </c>
    </row>
    <row r="2382" spans="2:5">
      <c r="B2382" s="407">
        <v>2406</v>
      </c>
      <c r="C2382" s="407">
        <v>19638</v>
      </c>
      <c r="D2382" s="408">
        <v>45471</v>
      </c>
      <c r="E2382" s="435" t="s">
        <v>13003</v>
      </c>
    </row>
    <row r="2383" spans="2:5">
      <c r="B2383" s="407">
        <v>2406</v>
      </c>
      <c r="C2383" s="407">
        <v>19636</v>
      </c>
      <c r="D2383" s="408">
        <v>45471</v>
      </c>
      <c r="E2383" s="448" t="s">
        <v>13940</v>
      </c>
    </row>
    <row r="2384" spans="2:5">
      <c r="B2384" s="407">
        <v>2406</v>
      </c>
      <c r="C2384" s="407">
        <v>19621</v>
      </c>
      <c r="D2384" s="408">
        <v>45471</v>
      </c>
      <c r="E2384" s="448" t="s">
        <v>13941</v>
      </c>
    </row>
    <row r="2385" spans="2:5">
      <c r="B2385" s="407">
        <v>2406</v>
      </c>
      <c r="C2385" s="407">
        <v>19619</v>
      </c>
      <c r="D2385" s="408">
        <v>45471</v>
      </c>
      <c r="E2385" s="448" t="s">
        <v>13942</v>
      </c>
    </row>
    <row r="2386" spans="2:5">
      <c r="B2386" s="407">
        <v>2406</v>
      </c>
      <c r="C2386" s="407">
        <v>19617</v>
      </c>
      <c r="D2386" s="408">
        <v>45471</v>
      </c>
      <c r="E2386" s="448" t="s">
        <v>13943</v>
      </c>
    </row>
    <row r="2387" spans="2:5">
      <c r="B2387" s="407">
        <v>2406</v>
      </c>
      <c r="C2387" s="407">
        <v>19615</v>
      </c>
      <c r="D2387" s="408">
        <v>45471</v>
      </c>
      <c r="E2387" s="448" t="s">
        <v>13944</v>
      </c>
    </row>
    <row r="2388" spans="2:5">
      <c r="B2388" s="407">
        <v>2406</v>
      </c>
      <c r="C2388" s="407">
        <v>19614</v>
      </c>
      <c r="D2388" s="408">
        <v>45471</v>
      </c>
      <c r="E2388" s="448" t="s">
        <v>13945</v>
      </c>
    </row>
    <row r="2389" spans="2:5">
      <c r="B2389" s="407">
        <v>2406</v>
      </c>
      <c r="C2389" s="407">
        <v>19611</v>
      </c>
      <c r="D2389" s="408">
        <v>45471</v>
      </c>
      <c r="E2389" s="448" t="s">
        <v>13946</v>
      </c>
    </row>
    <row r="2390" spans="2:5">
      <c r="B2390" s="407">
        <v>2406</v>
      </c>
      <c r="C2390" s="407">
        <v>19598</v>
      </c>
      <c r="D2390" s="408">
        <v>45471</v>
      </c>
      <c r="E2390" s="448" t="s">
        <v>13947</v>
      </c>
    </row>
    <row r="2391" spans="2:5">
      <c r="B2391" s="407">
        <v>2406</v>
      </c>
      <c r="C2391" s="407">
        <v>19593</v>
      </c>
      <c r="D2391" s="408">
        <v>45471</v>
      </c>
      <c r="E2391" s="448" t="s">
        <v>13948</v>
      </c>
    </row>
    <row r="2392" spans="2:5">
      <c r="B2392" s="407">
        <v>2406</v>
      </c>
      <c r="C2392" s="407">
        <v>19589</v>
      </c>
      <c r="D2392" s="408">
        <v>45471</v>
      </c>
      <c r="E2392" s="448" t="s">
        <v>13949</v>
      </c>
    </row>
    <row r="2393" spans="2:5">
      <c r="B2393" s="407">
        <v>2406</v>
      </c>
      <c r="C2393" s="407">
        <v>19578</v>
      </c>
      <c r="D2393" s="408">
        <v>45471</v>
      </c>
      <c r="E2393" s="448" t="s">
        <v>13950</v>
      </c>
    </row>
    <row r="2394" spans="2:5">
      <c r="B2394" s="407">
        <v>2406</v>
      </c>
      <c r="C2394" s="407">
        <v>19574</v>
      </c>
      <c r="D2394" s="408">
        <v>45471</v>
      </c>
      <c r="E2394" s="448" t="s">
        <v>13951</v>
      </c>
    </row>
    <row r="2395" spans="2:5">
      <c r="B2395" s="407">
        <v>2406</v>
      </c>
      <c r="C2395" s="407">
        <v>19573</v>
      </c>
      <c r="D2395" s="408">
        <v>45471</v>
      </c>
      <c r="E2395" s="448" t="s">
        <v>13952</v>
      </c>
    </row>
    <row r="2396" spans="2:5">
      <c r="B2396" s="407">
        <v>2406</v>
      </c>
      <c r="C2396" s="407">
        <v>19570</v>
      </c>
      <c r="D2396" s="408">
        <v>45471</v>
      </c>
      <c r="E2396" s="448" t="s">
        <v>13953</v>
      </c>
    </row>
    <row r="2397" spans="2:5">
      <c r="B2397" s="407">
        <v>2406</v>
      </c>
      <c r="C2397" s="407">
        <v>19568</v>
      </c>
      <c r="D2397" s="408">
        <v>45471</v>
      </c>
      <c r="E2397" s="448" t="s">
        <v>13954</v>
      </c>
    </row>
    <row r="2398" spans="2:5">
      <c r="B2398" s="407">
        <v>2406</v>
      </c>
      <c r="C2398" s="407">
        <v>19564</v>
      </c>
      <c r="D2398" s="408">
        <v>45471</v>
      </c>
      <c r="E2398" s="448" t="s">
        <v>13955</v>
      </c>
    </row>
    <row r="2399" spans="2:5">
      <c r="B2399" s="407">
        <v>2406</v>
      </c>
      <c r="C2399" s="407">
        <v>19557</v>
      </c>
      <c r="D2399" s="408">
        <v>45471</v>
      </c>
      <c r="E2399" s="448" t="s">
        <v>13956</v>
      </c>
    </row>
    <row r="2400" spans="2:5">
      <c r="B2400" s="407">
        <v>2406</v>
      </c>
      <c r="C2400" s="407">
        <v>19556</v>
      </c>
      <c r="D2400" s="408">
        <v>45471</v>
      </c>
      <c r="E2400" s="448" t="s">
        <v>13957</v>
      </c>
    </row>
    <row r="2401" spans="2:5">
      <c r="B2401" s="407">
        <v>2406</v>
      </c>
      <c r="C2401" s="407">
        <v>19552</v>
      </c>
      <c r="D2401" s="408">
        <v>45471</v>
      </c>
      <c r="E2401" s="448" t="s">
        <v>13958</v>
      </c>
    </row>
    <row r="2402" spans="2:5">
      <c r="B2402" s="407">
        <v>2406</v>
      </c>
      <c r="C2402" s="407">
        <v>19545</v>
      </c>
      <c r="D2402" s="408">
        <v>45471</v>
      </c>
      <c r="E2402" s="448" t="s">
        <v>13959</v>
      </c>
    </row>
    <row r="2403" spans="2:5">
      <c r="B2403" s="407">
        <v>2406</v>
      </c>
      <c r="C2403" s="407">
        <v>19544</v>
      </c>
      <c r="D2403" s="408">
        <v>45471</v>
      </c>
      <c r="E2403" s="448" t="s">
        <v>13960</v>
      </c>
    </row>
    <row r="2404" spans="2:5">
      <c r="B2404" s="407">
        <v>2406</v>
      </c>
      <c r="C2404" s="407">
        <v>19540</v>
      </c>
      <c r="D2404" s="408">
        <v>45471</v>
      </c>
      <c r="E2404" s="448" t="s">
        <v>13961</v>
      </c>
    </row>
    <row r="2405" spans="2:5">
      <c r="B2405" s="407">
        <v>2406</v>
      </c>
      <c r="C2405" s="407">
        <v>19538</v>
      </c>
      <c r="D2405" s="408">
        <v>45471</v>
      </c>
      <c r="E2405" s="448" t="s">
        <v>13962</v>
      </c>
    </row>
    <row r="2406" spans="2:5">
      <c r="B2406" s="407">
        <v>2406</v>
      </c>
      <c r="C2406" s="407">
        <v>19537</v>
      </c>
      <c r="D2406" s="408">
        <v>45471</v>
      </c>
      <c r="E2406" s="448" t="s">
        <v>13963</v>
      </c>
    </row>
    <row r="2407" spans="2:5">
      <c r="B2407" s="407">
        <v>2406</v>
      </c>
      <c r="C2407" s="407">
        <v>19531</v>
      </c>
      <c r="D2407" s="408">
        <v>45471</v>
      </c>
      <c r="E2407" s="448" t="s">
        <v>13964</v>
      </c>
    </row>
    <row r="2408" spans="2:5">
      <c r="B2408" s="407">
        <v>2406</v>
      </c>
      <c r="C2408" s="407">
        <v>19528</v>
      </c>
      <c r="D2408" s="408">
        <v>45471</v>
      </c>
      <c r="E2408" s="448" t="s">
        <v>13965</v>
      </c>
    </row>
    <row r="2409" spans="2:5">
      <c r="B2409" s="407">
        <v>2406</v>
      </c>
      <c r="C2409" s="407">
        <v>19526</v>
      </c>
      <c r="D2409" s="408">
        <v>45471</v>
      </c>
      <c r="E2409" s="448" t="s">
        <v>13966</v>
      </c>
    </row>
    <row r="2410" spans="2:5">
      <c r="B2410" s="407">
        <v>2406</v>
      </c>
      <c r="C2410" s="407">
        <v>19520</v>
      </c>
      <c r="D2410" s="408">
        <v>45471</v>
      </c>
      <c r="E2410" s="448" t="s">
        <v>13967</v>
      </c>
    </row>
    <row r="2411" spans="2:5">
      <c r="B2411" s="407">
        <v>2406</v>
      </c>
      <c r="C2411" s="407">
        <v>19512</v>
      </c>
      <c r="D2411" s="408">
        <v>45471</v>
      </c>
      <c r="E2411" s="448" t="s">
        <v>13968</v>
      </c>
    </row>
    <row r="2412" spans="2:5">
      <c r="B2412" s="407">
        <v>2406</v>
      </c>
      <c r="C2412" s="407">
        <v>19508</v>
      </c>
      <c r="D2412" s="408">
        <v>45471</v>
      </c>
      <c r="E2412" s="448" t="s">
        <v>13969</v>
      </c>
    </row>
    <row r="2413" spans="2:5">
      <c r="B2413" s="407">
        <v>2406</v>
      </c>
      <c r="C2413" s="407">
        <v>19507</v>
      </c>
      <c r="D2413" s="408">
        <v>45471</v>
      </c>
      <c r="E2413" s="448" t="s">
        <v>13970</v>
      </c>
    </row>
    <row r="2414" spans="2:5">
      <c r="B2414" s="407">
        <v>2406</v>
      </c>
      <c r="C2414" s="407">
        <v>19504</v>
      </c>
      <c r="D2414" s="408">
        <v>45471</v>
      </c>
      <c r="E2414" s="448" t="s">
        <v>13971</v>
      </c>
    </row>
    <row r="2415" spans="2:5">
      <c r="B2415" s="407">
        <v>2406</v>
      </c>
      <c r="C2415" s="407">
        <v>19502</v>
      </c>
      <c r="D2415" s="408">
        <v>45471</v>
      </c>
      <c r="E2415" s="448" t="s">
        <v>13972</v>
      </c>
    </row>
    <row r="2416" spans="2:5">
      <c r="B2416" s="407">
        <v>2406</v>
      </c>
      <c r="C2416" s="407">
        <v>19501</v>
      </c>
      <c r="D2416" s="408">
        <v>45471</v>
      </c>
      <c r="E2416" s="448" t="s">
        <v>13973</v>
      </c>
    </row>
    <row r="2417" spans="2:5">
      <c r="B2417" s="407">
        <v>2406</v>
      </c>
      <c r="C2417" s="407">
        <v>19500</v>
      </c>
      <c r="D2417" s="408">
        <v>45471</v>
      </c>
      <c r="E2417" s="448" t="s">
        <v>13974</v>
      </c>
    </row>
    <row r="2418" spans="2:5">
      <c r="B2418" s="407">
        <v>2406</v>
      </c>
      <c r="C2418" s="407">
        <v>19493</v>
      </c>
      <c r="D2418" s="408">
        <v>45471</v>
      </c>
      <c r="E2418" s="448" t="s">
        <v>13975</v>
      </c>
    </row>
    <row r="2419" spans="2:5">
      <c r="B2419" s="407">
        <v>2406</v>
      </c>
      <c r="C2419" s="407">
        <v>19492</v>
      </c>
      <c r="D2419" s="408">
        <v>45471</v>
      </c>
      <c r="E2419" s="448" t="s">
        <v>13976</v>
      </c>
    </row>
    <row r="2420" spans="2:5">
      <c r="B2420" s="407">
        <v>2406</v>
      </c>
      <c r="C2420" s="407">
        <v>19486</v>
      </c>
      <c r="D2420" s="408">
        <v>45471</v>
      </c>
      <c r="E2420" s="448" t="s">
        <v>13977</v>
      </c>
    </row>
    <row r="2421" spans="2:5">
      <c r="B2421" s="407">
        <v>2406</v>
      </c>
      <c r="C2421" s="407">
        <v>19485</v>
      </c>
      <c r="D2421" s="408">
        <v>45471</v>
      </c>
      <c r="E2421" s="448" t="s">
        <v>13978</v>
      </c>
    </row>
    <row r="2422" spans="2:5">
      <c r="B2422" s="407">
        <v>2406</v>
      </c>
      <c r="C2422" s="407">
        <v>19482</v>
      </c>
      <c r="D2422" s="408">
        <v>45471</v>
      </c>
      <c r="E2422" s="448" t="s">
        <v>13979</v>
      </c>
    </row>
    <row r="2423" spans="2:5">
      <c r="B2423" s="407">
        <v>2406</v>
      </c>
      <c r="C2423" s="407">
        <v>19478</v>
      </c>
      <c r="D2423" s="408">
        <v>45471</v>
      </c>
      <c r="E2423" s="448" t="s">
        <v>13980</v>
      </c>
    </row>
    <row r="2424" spans="2:5">
      <c r="B2424" s="407">
        <v>2406</v>
      </c>
      <c r="C2424" s="407">
        <v>19477</v>
      </c>
      <c r="D2424" s="408">
        <v>45471</v>
      </c>
      <c r="E2424" s="448" t="s">
        <v>13981</v>
      </c>
    </row>
    <row r="2425" spans="2:5">
      <c r="B2425" s="407">
        <v>2406</v>
      </c>
      <c r="C2425" s="407">
        <v>19470</v>
      </c>
      <c r="D2425" s="408">
        <v>45471</v>
      </c>
      <c r="E2425" s="448" t="s">
        <v>13982</v>
      </c>
    </row>
    <row r="2426" spans="2:5">
      <c r="B2426" s="407">
        <v>2406</v>
      </c>
      <c r="C2426" s="407">
        <v>19465</v>
      </c>
      <c r="D2426" s="408">
        <v>45471</v>
      </c>
      <c r="E2426" s="448" t="s">
        <v>13983</v>
      </c>
    </row>
    <row r="2427" spans="2:5">
      <c r="B2427" s="407">
        <v>2406</v>
      </c>
      <c r="C2427" s="407">
        <v>19464</v>
      </c>
      <c r="D2427" s="408">
        <v>45471</v>
      </c>
      <c r="E2427" s="448" t="s">
        <v>13984</v>
      </c>
    </row>
    <row r="2428" spans="2:5">
      <c r="B2428" s="407">
        <v>2406</v>
      </c>
      <c r="C2428" s="407">
        <v>19461</v>
      </c>
      <c r="D2428" s="408">
        <v>45471</v>
      </c>
      <c r="E2428" s="448" t="s">
        <v>13985</v>
      </c>
    </row>
    <row r="2429" spans="2:5">
      <c r="B2429" s="407">
        <v>2406</v>
      </c>
      <c r="C2429" s="407">
        <v>19435</v>
      </c>
      <c r="D2429" s="408">
        <v>45471</v>
      </c>
      <c r="E2429" s="448" t="s">
        <v>13986</v>
      </c>
    </row>
    <row r="2430" spans="2:5">
      <c r="B2430" s="407">
        <v>2406</v>
      </c>
      <c r="C2430" s="407">
        <v>19434</v>
      </c>
      <c r="D2430" s="408">
        <v>45471</v>
      </c>
      <c r="E2430" s="448" t="s">
        <v>13987</v>
      </c>
    </row>
    <row r="2431" spans="2:5">
      <c r="B2431" s="407">
        <v>2406</v>
      </c>
      <c r="C2431" s="407">
        <v>19417</v>
      </c>
      <c r="D2431" s="408">
        <v>45470</v>
      </c>
      <c r="E2431" s="448" t="s">
        <v>13988</v>
      </c>
    </row>
    <row r="2432" spans="2:5">
      <c r="B2432" s="407">
        <v>2406</v>
      </c>
      <c r="C2432" s="407">
        <v>19415</v>
      </c>
      <c r="D2432" s="408">
        <v>45464</v>
      </c>
      <c r="E2432" s="448" t="s">
        <v>13989</v>
      </c>
    </row>
    <row r="2433" spans="2:5">
      <c r="B2433" s="407">
        <v>2406</v>
      </c>
      <c r="C2433" s="407">
        <v>19414</v>
      </c>
      <c r="D2433" s="446">
        <v>45463</v>
      </c>
      <c r="E2433" s="448" t="s">
        <v>13990</v>
      </c>
    </row>
    <row r="2434" spans="2:5">
      <c r="B2434" s="407">
        <v>2406</v>
      </c>
      <c r="C2434" s="407">
        <v>19407</v>
      </c>
      <c r="D2434" s="408">
        <v>45475</v>
      </c>
      <c r="E2434" s="448" t="s">
        <v>13991</v>
      </c>
    </row>
    <row r="2435" spans="2:5">
      <c r="B2435" s="407">
        <v>2406</v>
      </c>
      <c r="C2435" s="407">
        <v>19403</v>
      </c>
      <c r="D2435" s="408">
        <v>45448</v>
      </c>
      <c r="E2435" s="448" t="s">
        <v>13992</v>
      </c>
    </row>
    <row r="2436" spans="2:5">
      <c r="B2436" s="407">
        <v>2406</v>
      </c>
      <c r="C2436" s="407">
        <v>19402</v>
      </c>
      <c r="D2436" s="446">
        <v>45445</v>
      </c>
      <c r="E2436" s="448" t="s">
        <v>13993</v>
      </c>
    </row>
    <row r="2437" spans="2:5">
      <c r="B2437" s="407">
        <v>2406</v>
      </c>
      <c r="C2437" s="407">
        <v>19400</v>
      </c>
      <c r="D2437" s="449">
        <v>45436</v>
      </c>
      <c r="E2437" s="448" t="s">
        <v>13994</v>
      </c>
    </row>
    <row r="2438" spans="2:5">
      <c r="B2438" s="407">
        <v>2406</v>
      </c>
      <c r="C2438" s="407">
        <v>19399</v>
      </c>
      <c r="D2438" s="408">
        <v>45434</v>
      </c>
      <c r="E2438" s="448" t="s">
        <v>13995</v>
      </c>
    </row>
    <row r="2439" spans="2:5">
      <c r="B2439" s="407">
        <v>2406</v>
      </c>
      <c r="C2439" s="407">
        <v>19398</v>
      </c>
      <c r="D2439" s="408">
        <v>45475</v>
      </c>
      <c r="E2439" s="448" t="s">
        <v>13996</v>
      </c>
    </row>
    <row r="2440" spans="2:5">
      <c r="B2440" s="407">
        <v>2406</v>
      </c>
      <c r="C2440" s="407">
        <v>19397</v>
      </c>
      <c r="D2440" s="408">
        <v>45372</v>
      </c>
      <c r="E2440" s="448" t="s">
        <v>13997</v>
      </c>
    </row>
    <row r="2441" spans="2:5">
      <c r="B2441" s="407">
        <v>2406</v>
      </c>
      <c r="C2441" s="407">
        <v>19396</v>
      </c>
      <c r="D2441" s="408">
        <v>45471</v>
      </c>
      <c r="E2441" s="448" t="s">
        <v>13998</v>
      </c>
    </row>
    <row r="2442" spans="2:5">
      <c r="B2442" s="407">
        <v>2406</v>
      </c>
      <c r="C2442" s="407">
        <v>19395</v>
      </c>
      <c r="D2442" s="408">
        <v>45471</v>
      </c>
      <c r="E2442" s="448" t="s">
        <v>13999</v>
      </c>
    </row>
    <row r="2443" spans="2:5">
      <c r="B2443" s="407">
        <v>2406</v>
      </c>
      <c r="C2443" s="407">
        <v>19394</v>
      </c>
      <c r="D2443" s="408">
        <v>45471</v>
      </c>
      <c r="E2443" s="448" t="s">
        <v>14000</v>
      </c>
    </row>
    <row r="2444" spans="2:5">
      <c r="B2444" s="407">
        <v>2406</v>
      </c>
      <c r="C2444" s="407">
        <v>19393</v>
      </c>
      <c r="D2444" s="408">
        <v>45471</v>
      </c>
      <c r="E2444" s="448" t="s">
        <v>14001</v>
      </c>
    </row>
    <row r="2445" spans="2:5">
      <c r="B2445" s="407">
        <v>2406</v>
      </c>
      <c r="C2445" s="407">
        <v>19392</v>
      </c>
      <c r="D2445" s="408">
        <v>45476</v>
      </c>
      <c r="E2445" s="448" t="s">
        <v>14002</v>
      </c>
    </row>
    <row r="2446" spans="2:5">
      <c r="B2446" s="407">
        <v>2406</v>
      </c>
      <c r="C2446" s="407">
        <v>19391</v>
      </c>
      <c r="D2446" s="408">
        <v>45471</v>
      </c>
      <c r="E2446" s="448" t="s">
        <v>14003</v>
      </c>
    </row>
    <row r="2447" spans="2:5">
      <c r="B2447" s="407">
        <v>2406</v>
      </c>
      <c r="C2447" s="407">
        <v>19390</v>
      </c>
      <c r="D2447" s="408">
        <v>45471</v>
      </c>
      <c r="E2447" s="448" t="s">
        <v>14004</v>
      </c>
    </row>
    <row r="2448" spans="2:5">
      <c r="B2448" s="407">
        <v>2406</v>
      </c>
      <c r="C2448" s="407">
        <v>19389</v>
      </c>
      <c r="D2448" s="408">
        <v>45471</v>
      </c>
      <c r="E2448" s="448" t="s">
        <v>14005</v>
      </c>
    </row>
    <row r="2449" spans="2:5">
      <c r="B2449" s="407">
        <v>2406</v>
      </c>
      <c r="C2449" s="407">
        <v>19388</v>
      </c>
      <c r="D2449" s="408">
        <v>45471</v>
      </c>
      <c r="E2449" s="448" t="s">
        <v>14006</v>
      </c>
    </row>
    <row r="2450" spans="2:5">
      <c r="B2450" s="407">
        <v>2406</v>
      </c>
      <c r="C2450" s="407">
        <v>19384</v>
      </c>
      <c r="D2450" s="408">
        <v>45471</v>
      </c>
      <c r="E2450" s="448" t="s">
        <v>14007</v>
      </c>
    </row>
    <row r="2451" spans="2:5">
      <c r="B2451" s="407">
        <v>2406</v>
      </c>
      <c r="C2451" s="407">
        <v>19380</v>
      </c>
      <c r="D2451" s="408">
        <v>45475</v>
      </c>
      <c r="E2451" s="448" t="s">
        <v>14008</v>
      </c>
    </row>
    <row r="2452" spans="2:5">
      <c r="B2452" s="407">
        <v>2406</v>
      </c>
      <c r="C2452" s="407">
        <v>19371</v>
      </c>
      <c r="D2452" s="408">
        <v>45471</v>
      </c>
      <c r="E2452" s="448" t="s">
        <v>14009</v>
      </c>
    </row>
    <row r="2453" spans="2:5">
      <c r="B2453" s="407">
        <v>2406</v>
      </c>
      <c r="C2453" s="407">
        <v>19370</v>
      </c>
      <c r="D2453" s="408">
        <v>45471</v>
      </c>
      <c r="E2453" s="448" t="s">
        <v>14010</v>
      </c>
    </row>
    <row r="2454" spans="2:5">
      <c r="B2454" s="407">
        <v>2406</v>
      </c>
      <c r="C2454" s="407">
        <v>19369</v>
      </c>
      <c r="D2454" s="408">
        <v>45471</v>
      </c>
      <c r="E2454" s="448" t="s">
        <v>14011</v>
      </c>
    </row>
    <row r="2455" spans="2:5">
      <c r="B2455" s="407">
        <v>2406</v>
      </c>
      <c r="C2455" s="407">
        <v>19364</v>
      </c>
      <c r="D2455" s="408">
        <v>45471</v>
      </c>
      <c r="E2455" s="448" t="s">
        <v>14012</v>
      </c>
    </row>
    <row r="2456" spans="2:5">
      <c r="B2456" s="407">
        <v>2406</v>
      </c>
      <c r="C2456" s="407">
        <v>19362</v>
      </c>
      <c r="D2456" s="408">
        <v>45471</v>
      </c>
      <c r="E2456" s="448" t="s">
        <v>14013</v>
      </c>
    </row>
    <row r="2457" spans="2:5">
      <c r="B2457" s="407">
        <v>2406</v>
      </c>
      <c r="C2457" s="407">
        <v>19358</v>
      </c>
      <c r="D2457" s="408">
        <v>45471</v>
      </c>
      <c r="E2457" s="448" t="s">
        <v>14014</v>
      </c>
    </row>
    <row r="2458" spans="2:5">
      <c r="B2458" s="407">
        <v>2406</v>
      </c>
      <c r="C2458" s="407">
        <v>19356</v>
      </c>
      <c r="D2458" s="408">
        <v>45471</v>
      </c>
      <c r="E2458" s="448" t="s">
        <v>14015</v>
      </c>
    </row>
    <row r="2459" spans="2:5">
      <c r="B2459" s="407">
        <v>2406</v>
      </c>
      <c r="C2459" s="407">
        <v>19354</v>
      </c>
      <c r="D2459" s="408">
        <v>45471</v>
      </c>
      <c r="E2459" s="448" t="s">
        <v>14016</v>
      </c>
    </row>
    <row r="2460" spans="2:5">
      <c r="B2460" s="407">
        <v>2406</v>
      </c>
      <c r="C2460" s="407">
        <v>19353</v>
      </c>
      <c r="D2460" s="408">
        <v>45471</v>
      </c>
      <c r="E2460" s="448" t="s">
        <v>14017</v>
      </c>
    </row>
    <row r="2461" spans="2:5">
      <c r="B2461" s="407">
        <v>2406</v>
      </c>
      <c r="C2461" s="407">
        <v>19341</v>
      </c>
      <c r="D2461" s="408">
        <v>45471</v>
      </c>
      <c r="E2461" s="448" t="s">
        <v>14018</v>
      </c>
    </row>
    <row r="2462" spans="2:5">
      <c r="B2462" s="407">
        <v>2406</v>
      </c>
      <c r="C2462" s="407">
        <v>19328</v>
      </c>
      <c r="D2462" s="408">
        <v>45471</v>
      </c>
      <c r="E2462" s="448" t="s">
        <v>14019</v>
      </c>
    </row>
    <row r="2463" spans="2:5">
      <c r="B2463" s="407">
        <v>2406</v>
      </c>
      <c r="C2463" s="407">
        <v>19320</v>
      </c>
      <c r="D2463" s="408">
        <v>45471</v>
      </c>
      <c r="E2463" s="448" t="s">
        <v>14020</v>
      </c>
    </row>
    <row r="2464" spans="2:5">
      <c r="B2464" s="407">
        <v>2406</v>
      </c>
      <c r="C2464" s="407">
        <v>19317</v>
      </c>
      <c r="D2464" s="408">
        <v>45471</v>
      </c>
      <c r="E2464" s="448" t="s">
        <v>14021</v>
      </c>
    </row>
    <row r="2465" spans="2:5">
      <c r="B2465" s="407">
        <v>2406</v>
      </c>
      <c r="C2465" s="407">
        <v>19314</v>
      </c>
      <c r="D2465" s="408">
        <v>45471</v>
      </c>
      <c r="E2465" s="448" t="s">
        <v>14022</v>
      </c>
    </row>
    <row r="2466" spans="2:5">
      <c r="B2466" s="407">
        <v>2406</v>
      </c>
      <c r="C2466" s="407">
        <v>19311</v>
      </c>
      <c r="D2466" s="408">
        <v>45471</v>
      </c>
      <c r="E2466" s="448" t="s">
        <v>14023</v>
      </c>
    </row>
    <row r="2467" spans="2:5">
      <c r="B2467" s="407">
        <v>2406</v>
      </c>
      <c r="C2467" s="407">
        <v>19309</v>
      </c>
      <c r="D2467" s="408">
        <v>45471</v>
      </c>
      <c r="E2467" s="448" t="s">
        <v>14024</v>
      </c>
    </row>
    <row r="2468" spans="2:5">
      <c r="B2468" s="407">
        <v>2406</v>
      </c>
      <c r="C2468" s="407">
        <v>19307</v>
      </c>
      <c r="D2468" s="408">
        <v>45471</v>
      </c>
      <c r="E2468" s="448" t="s">
        <v>14025</v>
      </c>
    </row>
    <row r="2469" spans="2:5">
      <c r="B2469" s="407">
        <v>2406</v>
      </c>
      <c r="C2469" s="407">
        <v>19301</v>
      </c>
      <c r="D2469" s="408">
        <v>45471</v>
      </c>
      <c r="E2469" s="448" t="s">
        <v>14026</v>
      </c>
    </row>
    <row r="2470" spans="2:5">
      <c r="B2470" s="407">
        <v>2406</v>
      </c>
      <c r="C2470" s="407">
        <v>19300</v>
      </c>
      <c r="D2470" s="408">
        <v>45471</v>
      </c>
      <c r="E2470" s="448" t="s">
        <v>14027</v>
      </c>
    </row>
    <row r="2471" spans="2:5">
      <c r="B2471" s="407">
        <v>2406</v>
      </c>
      <c r="C2471" s="407">
        <v>19299</v>
      </c>
      <c r="D2471" s="408">
        <v>45471</v>
      </c>
      <c r="E2471" s="448" t="s">
        <v>14028</v>
      </c>
    </row>
    <row r="2472" spans="2:5">
      <c r="B2472" s="407">
        <v>2406</v>
      </c>
      <c r="C2472" s="407">
        <v>19298</v>
      </c>
      <c r="D2472" s="408">
        <v>45471</v>
      </c>
      <c r="E2472" s="448" t="s">
        <v>14029</v>
      </c>
    </row>
    <row r="2473" spans="2:5">
      <c r="B2473" s="407">
        <v>2406</v>
      </c>
      <c r="C2473" s="407">
        <v>19297</v>
      </c>
      <c r="D2473" s="408">
        <v>45471</v>
      </c>
      <c r="E2473" s="448" t="s">
        <v>14030</v>
      </c>
    </row>
    <row r="2474" spans="2:5">
      <c r="B2474" s="407">
        <v>2406</v>
      </c>
      <c r="C2474" s="407">
        <v>19292</v>
      </c>
      <c r="D2474" s="408">
        <v>45471</v>
      </c>
      <c r="E2474" s="448" t="s">
        <v>14031</v>
      </c>
    </row>
    <row r="2475" spans="2:5">
      <c r="B2475" s="407">
        <v>2406</v>
      </c>
      <c r="C2475" s="407">
        <v>19291</v>
      </c>
      <c r="D2475" s="408">
        <v>45471</v>
      </c>
      <c r="E2475" s="448" t="s">
        <v>14032</v>
      </c>
    </row>
    <row r="2476" spans="2:5">
      <c r="B2476" s="407">
        <v>2406</v>
      </c>
      <c r="C2476" s="407">
        <v>19290</v>
      </c>
      <c r="D2476" s="408">
        <v>45471</v>
      </c>
      <c r="E2476" s="448" t="s">
        <v>14033</v>
      </c>
    </row>
    <row r="2477" spans="2:5">
      <c r="B2477" s="407">
        <v>2406</v>
      </c>
      <c r="C2477" s="407">
        <v>19283</v>
      </c>
      <c r="D2477" s="408">
        <v>45471</v>
      </c>
      <c r="E2477" s="448" t="s">
        <v>14034</v>
      </c>
    </row>
    <row r="2478" spans="2:5">
      <c r="B2478" s="407">
        <v>2406</v>
      </c>
      <c r="C2478" s="407">
        <v>19281</v>
      </c>
      <c r="D2478" s="408">
        <v>45471</v>
      </c>
      <c r="E2478" s="448" t="s">
        <v>14035</v>
      </c>
    </row>
    <row r="2479" spans="2:5">
      <c r="B2479" s="407">
        <v>2406</v>
      </c>
      <c r="C2479" s="407">
        <v>19280</v>
      </c>
      <c r="D2479" s="408">
        <v>45471</v>
      </c>
      <c r="E2479" s="448" t="s">
        <v>14036</v>
      </c>
    </row>
    <row r="2480" spans="2:5">
      <c r="B2480" s="407">
        <v>2406</v>
      </c>
      <c r="C2480" s="407">
        <v>19276</v>
      </c>
      <c r="D2480" s="408">
        <v>45471</v>
      </c>
      <c r="E2480" s="448" t="s">
        <v>14037</v>
      </c>
    </row>
    <row r="2481" spans="2:5">
      <c r="B2481" s="407">
        <v>2406</v>
      </c>
      <c r="C2481" s="407">
        <v>19271</v>
      </c>
      <c r="D2481" s="408">
        <v>45471</v>
      </c>
      <c r="E2481" s="448" t="s">
        <v>14038</v>
      </c>
    </row>
    <row r="2482" spans="2:5">
      <c r="B2482" s="407">
        <v>2406</v>
      </c>
      <c r="C2482" s="407">
        <v>19258</v>
      </c>
      <c r="D2482" s="408">
        <v>45471</v>
      </c>
      <c r="E2482" s="448" t="s">
        <v>14039</v>
      </c>
    </row>
    <row r="2483" spans="2:5">
      <c r="B2483" s="407">
        <v>2406</v>
      </c>
      <c r="C2483" s="407">
        <v>19256</v>
      </c>
      <c r="D2483" s="408">
        <v>45471</v>
      </c>
      <c r="E2483" s="448" t="s">
        <v>14040</v>
      </c>
    </row>
    <row r="2484" spans="2:5">
      <c r="B2484" s="407">
        <v>2406</v>
      </c>
      <c r="C2484" s="407">
        <v>19255</v>
      </c>
      <c r="D2484" s="408">
        <v>45471</v>
      </c>
      <c r="E2484" s="448" t="s">
        <v>14041</v>
      </c>
    </row>
    <row r="2485" spans="2:5">
      <c r="B2485" s="407">
        <v>2406</v>
      </c>
      <c r="C2485" s="407">
        <v>19253</v>
      </c>
      <c r="D2485" s="408">
        <v>45471</v>
      </c>
      <c r="E2485" s="448" t="s">
        <v>14042</v>
      </c>
    </row>
    <row r="2486" spans="2:5">
      <c r="B2486" s="407">
        <v>2406</v>
      </c>
      <c r="C2486" s="407">
        <v>19251</v>
      </c>
      <c r="D2486" s="408">
        <v>45471</v>
      </c>
      <c r="E2486" s="448" t="s">
        <v>14043</v>
      </c>
    </row>
    <row r="2487" spans="2:5">
      <c r="B2487" s="407">
        <v>2406</v>
      </c>
      <c r="C2487" s="407">
        <v>19249</v>
      </c>
      <c r="D2487" s="408">
        <v>45471</v>
      </c>
      <c r="E2487" s="448" t="s">
        <v>14044</v>
      </c>
    </row>
    <row r="2488" spans="2:5">
      <c r="B2488" s="407">
        <v>2406</v>
      </c>
      <c r="C2488" s="407">
        <v>19248</v>
      </c>
      <c r="D2488" s="408">
        <v>45471</v>
      </c>
      <c r="E2488" s="448" t="s">
        <v>14045</v>
      </c>
    </row>
    <row r="2489" spans="2:5">
      <c r="B2489" s="407">
        <v>2406</v>
      </c>
      <c r="C2489" s="407">
        <v>19247</v>
      </c>
      <c r="D2489" s="408">
        <v>45471</v>
      </c>
      <c r="E2489" s="448" t="s">
        <v>14046</v>
      </c>
    </row>
    <row r="2490" spans="2:5">
      <c r="B2490" s="407">
        <v>2406</v>
      </c>
      <c r="C2490" s="407">
        <v>19243</v>
      </c>
      <c r="D2490" s="408">
        <v>45471</v>
      </c>
      <c r="E2490" s="448" t="s">
        <v>14047</v>
      </c>
    </row>
    <row r="2491" spans="2:5">
      <c r="B2491" s="407">
        <v>2406</v>
      </c>
      <c r="C2491" s="407">
        <v>19239</v>
      </c>
      <c r="D2491" s="408">
        <v>45471</v>
      </c>
      <c r="E2491" s="448" t="s">
        <v>14048</v>
      </c>
    </row>
    <row r="2492" spans="2:5">
      <c r="B2492" s="407">
        <v>2406</v>
      </c>
      <c r="C2492" s="407">
        <v>19238</v>
      </c>
      <c r="D2492" s="408">
        <v>45471</v>
      </c>
      <c r="E2492" s="448" t="s">
        <v>14049</v>
      </c>
    </row>
    <row r="2493" spans="2:5">
      <c r="B2493" s="407">
        <v>2406</v>
      </c>
      <c r="C2493" s="407">
        <v>19237</v>
      </c>
      <c r="D2493" s="408">
        <v>45472</v>
      </c>
      <c r="E2493" s="448" t="s">
        <v>14050</v>
      </c>
    </row>
    <row r="2494" spans="2:5">
      <c r="B2494" s="407">
        <v>2406</v>
      </c>
      <c r="C2494" s="407">
        <v>19230</v>
      </c>
      <c r="D2494" s="408">
        <v>45471</v>
      </c>
      <c r="E2494" s="448" t="s">
        <v>14051</v>
      </c>
    </row>
    <row r="2495" spans="2:5">
      <c r="B2495" s="407">
        <v>2406</v>
      </c>
      <c r="C2495" s="407">
        <v>19227</v>
      </c>
      <c r="D2495" s="408">
        <v>45471</v>
      </c>
      <c r="E2495" s="448" t="s">
        <v>14052</v>
      </c>
    </row>
    <row r="2496" spans="2:5">
      <c r="B2496" s="407">
        <v>2406</v>
      </c>
      <c r="C2496" s="407">
        <v>19226</v>
      </c>
      <c r="D2496" s="408">
        <v>45471</v>
      </c>
      <c r="E2496" s="448" t="s">
        <v>14053</v>
      </c>
    </row>
    <row r="2497" spans="2:5">
      <c r="B2497" s="407">
        <v>2406</v>
      </c>
      <c r="C2497" s="407">
        <v>19223</v>
      </c>
      <c r="D2497" s="408">
        <v>45471</v>
      </c>
      <c r="E2497" s="448" t="s">
        <v>14054</v>
      </c>
    </row>
    <row r="2498" spans="2:5">
      <c r="B2498" s="407">
        <v>2406</v>
      </c>
      <c r="C2498" s="407">
        <v>19217</v>
      </c>
      <c r="D2498" s="408">
        <v>45471</v>
      </c>
      <c r="E2498" s="448" t="s">
        <v>14055</v>
      </c>
    </row>
    <row r="2499" spans="2:5">
      <c r="B2499" s="407">
        <v>2406</v>
      </c>
      <c r="C2499" s="407">
        <v>19215</v>
      </c>
      <c r="D2499" s="408">
        <v>45471</v>
      </c>
      <c r="E2499" s="448" t="s">
        <v>14056</v>
      </c>
    </row>
    <row r="2500" spans="2:5">
      <c r="B2500" s="409">
        <v>2406</v>
      </c>
      <c r="C2500" s="409">
        <v>19189</v>
      </c>
      <c r="D2500" s="410">
        <v>45471</v>
      </c>
      <c r="E2500" s="424" t="s">
        <v>14057</v>
      </c>
    </row>
    <row r="2501" spans="2:5">
      <c r="B2501" s="407">
        <v>2406</v>
      </c>
      <c r="C2501" s="407">
        <v>19188</v>
      </c>
      <c r="D2501" s="408">
        <v>45471</v>
      </c>
      <c r="E2501" s="448" t="s">
        <v>14058</v>
      </c>
    </row>
    <row r="2502" spans="2:5">
      <c r="B2502" s="407">
        <v>2406</v>
      </c>
      <c r="C2502" s="407">
        <v>19185</v>
      </c>
      <c r="D2502" s="408">
        <v>45471</v>
      </c>
      <c r="E2502" s="448" t="s">
        <v>14059</v>
      </c>
    </row>
    <row r="2503" spans="2:5">
      <c r="B2503" s="407">
        <v>2406</v>
      </c>
      <c r="C2503" s="407">
        <v>19175</v>
      </c>
      <c r="D2503" s="408">
        <v>45471</v>
      </c>
      <c r="E2503" s="448" t="s">
        <v>14060</v>
      </c>
    </row>
    <row r="2504" spans="2:5">
      <c r="B2504" s="407">
        <v>2406</v>
      </c>
      <c r="C2504" s="407">
        <v>19170</v>
      </c>
      <c r="D2504" s="408">
        <v>45471</v>
      </c>
      <c r="E2504" s="448" t="s">
        <v>14061</v>
      </c>
    </row>
    <row r="2505" spans="2:5">
      <c r="B2505" s="407">
        <v>2406</v>
      </c>
      <c r="C2505" s="407">
        <v>19162</v>
      </c>
      <c r="D2505" s="408">
        <v>45471</v>
      </c>
      <c r="E2505" s="448" t="s">
        <v>14062</v>
      </c>
    </row>
    <row r="2506" spans="2:5">
      <c r="B2506" s="407">
        <v>2406</v>
      </c>
      <c r="C2506" s="407">
        <v>19156</v>
      </c>
      <c r="D2506" s="408">
        <v>45471</v>
      </c>
      <c r="E2506" s="448" t="s">
        <v>14063</v>
      </c>
    </row>
    <row r="2507" spans="2:5">
      <c r="B2507" s="407">
        <v>2406</v>
      </c>
      <c r="C2507" s="407">
        <v>19154</v>
      </c>
      <c r="D2507" s="408">
        <v>45471</v>
      </c>
      <c r="E2507" s="448" t="s">
        <v>14064</v>
      </c>
    </row>
    <row r="2508" spans="2:5">
      <c r="B2508" s="407">
        <v>2406</v>
      </c>
      <c r="C2508" s="407">
        <v>19150</v>
      </c>
      <c r="D2508" s="408">
        <v>45471</v>
      </c>
      <c r="E2508" s="448" t="s">
        <v>14065</v>
      </c>
    </row>
    <row r="2509" spans="2:5">
      <c r="B2509" s="407">
        <v>2406</v>
      </c>
      <c r="C2509" s="407">
        <v>19148</v>
      </c>
      <c r="D2509" s="408">
        <v>45471</v>
      </c>
      <c r="E2509" s="448" t="s">
        <v>14066</v>
      </c>
    </row>
    <row r="2510" spans="2:5">
      <c r="B2510" s="407">
        <v>2406</v>
      </c>
      <c r="C2510" s="407">
        <v>19146</v>
      </c>
      <c r="D2510" s="408">
        <v>45471</v>
      </c>
      <c r="E2510" s="448" t="s">
        <v>14067</v>
      </c>
    </row>
    <row r="2511" spans="2:5">
      <c r="B2511" s="407">
        <v>2406</v>
      </c>
      <c r="C2511" s="407">
        <v>19136</v>
      </c>
      <c r="D2511" s="408">
        <v>45477</v>
      </c>
      <c r="E2511" s="448" t="s">
        <v>14068</v>
      </c>
    </row>
    <row r="2512" spans="2:5">
      <c r="B2512" s="409">
        <v>2406</v>
      </c>
      <c r="C2512" s="409">
        <v>19135</v>
      </c>
      <c r="D2512" s="410">
        <v>45471</v>
      </c>
      <c r="E2512" s="424" t="s">
        <v>14069</v>
      </c>
    </row>
    <row r="2513" spans="2:5">
      <c r="B2513" s="407">
        <v>2406</v>
      </c>
      <c r="C2513" s="407">
        <v>19131</v>
      </c>
      <c r="D2513" s="408">
        <v>45471</v>
      </c>
      <c r="E2513" s="448" t="s">
        <v>14070</v>
      </c>
    </row>
    <row r="2514" spans="2:5">
      <c r="B2514" s="407">
        <v>2406</v>
      </c>
      <c r="C2514" s="407">
        <v>19130</v>
      </c>
      <c r="D2514" s="408">
        <v>45471</v>
      </c>
      <c r="E2514" s="448" t="s">
        <v>14071</v>
      </c>
    </row>
    <row r="2515" spans="2:5">
      <c r="B2515" s="407">
        <v>2406</v>
      </c>
      <c r="C2515" s="407">
        <v>19126</v>
      </c>
      <c r="D2515" s="408">
        <v>45471</v>
      </c>
      <c r="E2515" s="448" t="s">
        <v>14072</v>
      </c>
    </row>
    <row r="2516" spans="2:5">
      <c r="B2516" s="407">
        <v>2406</v>
      </c>
      <c r="C2516" s="407">
        <v>19121</v>
      </c>
      <c r="D2516" s="408">
        <v>45471</v>
      </c>
      <c r="E2516" s="448" t="s">
        <v>14073</v>
      </c>
    </row>
    <row r="2517" spans="2:5">
      <c r="B2517" s="407">
        <v>2406</v>
      </c>
      <c r="C2517" s="407">
        <v>19116</v>
      </c>
      <c r="D2517" s="408">
        <v>45471</v>
      </c>
      <c r="E2517" s="448" t="s">
        <v>14074</v>
      </c>
    </row>
    <row r="2518" spans="2:5">
      <c r="B2518" s="407">
        <v>2406</v>
      </c>
      <c r="C2518" s="407">
        <v>19112</v>
      </c>
      <c r="D2518" s="408">
        <v>45471</v>
      </c>
      <c r="E2518" s="448" t="s">
        <v>14075</v>
      </c>
    </row>
    <row r="2519" spans="2:5">
      <c r="B2519" s="407">
        <v>2406</v>
      </c>
      <c r="C2519" s="407">
        <v>19108</v>
      </c>
      <c r="D2519" s="408">
        <v>45471</v>
      </c>
      <c r="E2519" s="448" t="s">
        <v>14076</v>
      </c>
    </row>
    <row r="2520" spans="2:5">
      <c r="B2520" s="407">
        <v>2406</v>
      </c>
      <c r="C2520" s="407">
        <v>19107</v>
      </c>
      <c r="D2520" s="408">
        <v>45471</v>
      </c>
      <c r="E2520" s="448" t="s">
        <v>14077</v>
      </c>
    </row>
    <row r="2521" spans="2:5">
      <c r="B2521" s="407">
        <v>2406</v>
      </c>
      <c r="C2521" s="407">
        <v>19102</v>
      </c>
      <c r="D2521" s="408">
        <v>45471</v>
      </c>
      <c r="E2521" s="448" t="s">
        <v>14078</v>
      </c>
    </row>
    <row r="2522" spans="2:5">
      <c r="B2522" s="407">
        <v>2406</v>
      </c>
      <c r="C2522" s="407">
        <v>19101</v>
      </c>
      <c r="D2522" s="408">
        <v>45471</v>
      </c>
      <c r="E2522" s="448" t="s">
        <v>14079</v>
      </c>
    </row>
    <row r="2523" spans="2:5">
      <c r="B2523" s="407">
        <v>2406</v>
      </c>
      <c r="C2523" s="407">
        <v>19092</v>
      </c>
      <c r="D2523" s="408">
        <v>45471</v>
      </c>
      <c r="E2523" s="448" t="s">
        <v>14080</v>
      </c>
    </row>
    <row r="2524" spans="2:5">
      <c r="B2524" s="407">
        <v>2406</v>
      </c>
      <c r="C2524" s="407">
        <v>19087</v>
      </c>
      <c r="D2524" s="408">
        <v>45471</v>
      </c>
      <c r="E2524" s="448" t="s">
        <v>14081</v>
      </c>
    </row>
    <row r="2525" spans="2:5">
      <c r="B2525" s="407">
        <v>2406</v>
      </c>
      <c r="C2525" s="407">
        <v>19081</v>
      </c>
      <c r="D2525" s="408">
        <v>45477</v>
      </c>
      <c r="E2525" s="448" t="s">
        <v>14082</v>
      </c>
    </row>
    <row r="2526" spans="2:5">
      <c r="B2526" s="407">
        <v>2406</v>
      </c>
      <c r="C2526" s="407">
        <v>19073</v>
      </c>
      <c r="D2526" s="408">
        <v>45471</v>
      </c>
      <c r="E2526" s="448" t="s">
        <v>14083</v>
      </c>
    </row>
    <row r="2527" spans="2:5">
      <c r="B2527" s="407">
        <v>2406</v>
      </c>
      <c r="C2527" s="407">
        <v>19071</v>
      </c>
      <c r="D2527" s="408">
        <v>45471</v>
      </c>
      <c r="E2527" s="448" t="s">
        <v>14084</v>
      </c>
    </row>
    <row r="2528" spans="2:5">
      <c r="B2528" s="407">
        <v>2406</v>
      </c>
      <c r="C2528" s="407">
        <v>19070</v>
      </c>
      <c r="D2528" s="408">
        <v>45472</v>
      </c>
      <c r="E2528" s="448" t="s">
        <v>14085</v>
      </c>
    </row>
    <row r="2529" spans="2:5">
      <c r="B2529" s="407">
        <v>2406</v>
      </c>
      <c r="C2529" s="407">
        <v>19065</v>
      </c>
      <c r="D2529" s="408">
        <v>45471</v>
      </c>
      <c r="E2529" s="448" t="s">
        <v>14086</v>
      </c>
    </row>
    <row r="2530" spans="2:5">
      <c r="B2530" s="407">
        <v>2406</v>
      </c>
      <c r="C2530" s="407">
        <v>19058</v>
      </c>
      <c r="D2530" s="408">
        <v>45471</v>
      </c>
      <c r="E2530" s="448" t="s">
        <v>14087</v>
      </c>
    </row>
    <row r="2531" spans="2:5">
      <c r="B2531" s="407">
        <v>2406</v>
      </c>
      <c r="C2531" s="407">
        <v>19057</v>
      </c>
      <c r="D2531" s="408">
        <v>45474</v>
      </c>
      <c r="E2531" s="448" t="s">
        <v>14088</v>
      </c>
    </row>
    <row r="2532" spans="2:5">
      <c r="B2532" s="407">
        <v>2406</v>
      </c>
      <c r="C2532" s="407">
        <v>19055</v>
      </c>
      <c r="D2532" s="408">
        <v>45471</v>
      </c>
      <c r="E2532" s="448" t="s">
        <v>14089</v>
      </c>
    </row>
    <row r="2533" spans="2:5">
      <c r="B2533" s="407">
        <v>2406</v>
      </c>
      <c r="C2533" s="407">
        <v>19054</v>
      </c>
      <c r="D2533" s="408">
        <v>45471</v>
      </c>
      <c r="E2533" s="448" t="s">
        <v>14090</v>
      </c>
    </row>
    <row r="2534" spans="2:5">
      <c r="B2534" s="407"/>
      <c r="D2534" s="408"/>
      <c r="E2534" s="448"/>
    </row>
    <row r="2535" spans="2:5">
      <c r="B2535" s="407"/>
      <c r="D2535" s="408"/>
      <c r="E2535" s="448"/>
    </row>
    <row r="2536" spans="2:5">
      <c r="B2536" s="407"/>
      <c r="D2536" s="408"/>
      <c r="E2536" s="448"/>
    </row>
    <row r="2537" spans="2:5">
      <c r="B2537" s="407"/>
      <c r="D2537" s="408"/>
      <c r="E2537" s="448"/>
    </row>
    <row r="2538" spans="2:5">
      <c r="B2538" s="407">
        <v>2406</v>
      </c>
      <c r="C2538" s="407">
        <v>18757</v>
      </c>
      <c r="D2538" s="408">
        <v>45474</v>
      </c>
      <c r="E2538" s="430" t="s">
        <v>12827</v>
      </c>
    </row>
    <row r="2539" spans="2:5">
      <c r="B2539" s="407">
        <v>2406</v>
      </c>
      <c r="C2539" s="407">
        <v>18534</v>
      </c>
      <c r="D2539" s="408">
        <v>45470</v>
      </c>
      <c r="E2539" s="429" t="s">
        <v>12774</v>
      </c>
    </row>
    <row r="2540" spans="2:5">
      <c r="B2540" s="407">
        <v>2406</v>
      </c>
      <c r="C2540" s="407">
        <v>18533</v>
      </c>
      <c r="D2540" s="408">
        <v>45470</v>
      </c>
      <c r="E2540" s="429" t="s">
        <v>12775</v>
      </c>
    </row>
    <row r="2541" spans="2:5">
      <c r="B2541" s="407">
        <v>2406</v>
      </c>
      <c r="C2541" s="407">
        <v>18532</v>
      </c>
      <c r="D2541" s="408">
        <v>45470</v>
      </c>
      <c r="E2541" s="430" t="s">
        <v>12776</v>
      </c>
    </row>
    <row r="2542" spans="2:5">
      <c r="B2542" s="407">
        <v>2406</v>
      </c>
      <c r="C2542" s="407">
        <v>18530</v>
      </c>
      <c r="D2542" s="408">
        <v>45470</v>
      </c>
      <c r="E2542" s="430" t="s">
        <v>12777</v>
      </c>
    </row>
    <row r="2543" spans="2:5">
      <c r="B2543" s="407">
        <v>2406</v>
      </c>
      <c r="C2543" s="407">
        <v>18529</v>
      </c>
      <c r="D2543" s="408">
        <v>45470</v>
      </c>
      <c r="E2543" s="430" t="s">
        <v>12778</v>
      </c>
    </row>
    <row r="2544" spans="2:5">
      <c r="B2544" s="407">
        <v>2406</v>
      </c>
      <c r="C2544" s="407">
        <v>18528</v>
      </c>
      <c r="D2544" s="408">
        <v>45470</v>
      </c>
      <c r="E2544" s="430" t="s">
        <v>12779</v>
      </c>
    </row>
    <row r="2545" spans="1:5">
      <c r="B2545" s="409">
        <v>2406</v>
      </c>
      <c r="C2545" s="409">
        <v>18524</v>
      </c>
      <c r="D2545" s="410">
        <v>45470</v>
      </c>
      <c r="E2545" s="424" t="s">
        <v>12780</v>
      </c>
    </row>
    <row r="2546" spans="1:5">
      <c r="B2546" s="407">
        <v>2406</v>
      </c>
      <c r="C2546" s="407">
        <v>18522</v>
      </c>
      <c r="D2546" s="408">
        <v>45470</v>
      </c>
      <c r="E2546" s="430" t="s">
        <v>12781</v>
      </c>
    </row>
    <row r="2547" spans="1:5">
      <c r="B2547" s="407">
        <v>2406</v>
      </c>
      <c r="C2547" s="407">
        <v>18521</v>
      </c>
      <c r="D2547" s="408">
        <v>45470</v>
      </c>
      <c r="E2547" s="430" t="s">
        <v>12782</v>
      </c>
    </row>
    <row r="2548" spans="1:5">
      <c r="B2548" s="407">
        <v>2406</v>
      </c>
      <c r="C2548" s="407">
        <v>18519</v>
      </c>
      <c r="D2548" s="408">
        <v>45470</v>
      </c>
      <c r="E2548" s="430" t="s">
        <v>12783</v>
      </c>
    </row>
    <row r="2549" spans="1:5">
      <c r="B2549" s="407">
        <v>2406</v>
      </c>
      <c r="C2549" s="407">
        <v>18518</v>
      </c>
      <c r="D2549" s="408">
        <v>45470</v>
      </c>
      <c r="E2549" s="430" t="s">
        <v>12784</v>
      </c>
    </row>
    <row r="2550" spans="1:5">
      <c r="A2550" s="49"/>
      <c r="B2550" s="409">
        <v>2406</v>
      </c>
      <c r="C2550" s="409">
        <v>18516</v>
      </c>
      <c r="D2550" s="410">
        <v>45470</v>
      </c>
      <c r="E2550" s="424" t="s">
        <v>12785</v>
      </c>
    </row>
    <row r="2551" spans="1:5">
      <c r="B2551" s="407">
        <v>2406</v>
      </c>
      <c r="C2551" s="407">
        <v>18512</v>
      </c>
      <c r="D2551" s="408">
        <v>45470</v>
      </c>
      <c r="E2551" s="430" t="s">
        <v>12786</v>
      </c>
    </row>
    <row r="2552" spans="1:5">
      <c r="B2552" s="407">
        <v>2406</v>
      </c>
      <c r="C2552" s="407">
        <v>18510</v>
      </c>
      <c r="D2552" s="408">
        <v>45470</v>
      </c>
      <c r="E2552" s="430" t="s">
        <v>12787</v>
      </c>
    </row>
    <row r="2553" spans="1:5">
      <c r="B2553" s="407">
        <v>2406</v>
      </c>
      <c r="C2553" s="407">
        <v>18505</v>
      </c>
      <c r="D2553" s="408">
        <v>45470</v>
      </c>
      <c r="E2553" s="430" t="s">
        <v>12788</v>
      </c>
    </row>
    <row r="2554" spans="1:5">
      <c r="B2554" s="407">
        <v>2406</v>
      </c>
      <c r="C2554" s="407">
        <v>18501</v>
      </c>
      <c r="D2554" s="408">
        <v>45470</v>
      </c>
      <c r="E2554" s="430" t="s">
        <v>12789</v>
      </c>
    </row>
    <row r="2555" spans="1:5">
      <c r="B2555" s="407">
        <v>2406</v>
      </c>
      <c r="C2555" s="407">
        <v>18495</v>
      </c>
      <c r="D2555" s="408">
        <v>45470</v>
      </c>
      <c r="E2555" s="430" t="s">
        <v>12790</v>
      </c>
    </row>
    <row r="2556" spans="1:5">
      <c r="B2556" s="407">
        <v>2406</v>
      </c>
      <c r="C2556" s="407">
        <v>18491</v>
      </c>
      <c r="D2556" s="408">
        <v>45470</v>
      </c>
      <c r="E2556" s="430"/>
    </row>
    <row r="2557" spans="1:5">
      <c r="B2557" s="407">
        <v>2406</v>
      </c>
      <c r="C2557" s="407">
        <v>18328</v>
      </c>
      <c r="D2557" s="408">
        <v>45472</v>
      </c>
      <c r="E2557" s="430" t="s">
        <v>12918</v>
      </c>
    </row>
    <row r="2558" spans="1:5">
      <c r="B2558" s="407">
        <v>2406</v>
      </c>
      <c r="C2558" s="407">
        <v>17295</v>
      </c>
      <c r="D2558" s="408">
        <v>45472</v>
      </c>
      <c r="E2558" s="430" t="s">
        <v>12901</v>
      </c>
    </row>
    <row r="2559" spans="1:5">
      <c r="B2559" s="407">
        <v>2406</v>
      </c>
      <c r="C2559" s="407">
        <v>17032</v>
      </c>
      <c r="D2559" s="408">
        <v>45472</v>
      </c>
      <c r="E2559" s="430" t="s">
        <v>12883</v>
      </c>
    </row>
    <row r="2560" spans="1:5">
      <c r="B2560" s="407">
        <v>2406</v>
      </c>
      <c r="C2560" s="407">
        <v>15612</v>
      </c>
      <c r="D2560" s="408">
        <v>45472</v>
      </c>
      <c r="E2560" s="430" t="s">
        <v>12888</v>
      </c>
    </row>
    <row r="2561" spans="2:5">
      <c r="B2561" s="407">
        <v>2406</v>
      </c>
      <c r="C2561" s="407">
        <v>14862</v>
      </c>
      <c r="D2561" s="408">
        <v>45472</v>
      </c>
      <c r="E2561" s="430" t="s">
        <v>12904</v>
      </c>
    </row>
    <row r="2562" spans="2:5">
      <c r="B2562" s="407">
        <v>2406</v>
      </c>
      <c r="C2562" s="407">
        <v>14563</v>
      </c>
      <c r="D2562" s="408">
        <v>45464</v>
      </c>
      <c r="E2562" s="429" t="s">
        <v>12625</v>
      </c>
    </row>
    <row r="2563" spans="2:5">
      <c r="B2563" s="407">
        <v>2406</v>
      </c>
      <c r="C2563" s="407">
        <v>14562</v>
      </c>
      <c r="D2563" s="408">
        <v>45464</v>
      </c>
      <c r="E2563" s="430" t="s">
        <v>12626</v>
      </c>
    </row>
    <row r="2564" spans="2:5">
      <c r="B2564" s="407">
        <v>2406</v>
      </c>
      <c r="C2564" s="407">
        <v>14561</v>
      </c>
      <c r="D2564" s="408">
        <v>45464</v>
      </c>
      <c r="E2564" s="430" t="s">
        <v>12627</v>
      </c>
    </row>
    <row r="2565" spans="2:5">
      <c r="B2565" s="407">
        <v>2406</v>
      </c>
      <c r="C2565" s="407">
        <v>14559</v>
      </c>
      <c r="D2565" s="408">
        <v>45464</v>
      </c>
      <c r="E2565" s="430" t="s">
        <v>12628</v>
      </c>
    </row>
    <row r="2566" spans="2:5">
      <c r="B2566" s="407">
        <v>2406</v>
      </c>
      <c r="C2566" s="407">
        <v>14558</v>
      </c>
      <c r="D2566" s="408">
        <v>45464</v>
      </c>
      <c r="E2566" s="430" t="s">
        <v>12629</v>
      </c>
    </row>
    <row r="2567" spans="2:5">
      <c r="B2567" s="407">
        <v>2406</v>
      </c>
      <c r="C2567" s="407">
        <v>14556</v>
      </c>
      <c r="D2567" s="408">
        <v>45464</v>
      </c>
      <c r="E2567" s="430" t="s">
        <v>12630</v>
      </c>
    </row>
    <row r="2568" spans="2:5">
      <c r="B2568" s="409">
        <v>2406</v>
      </c>
      <c r="C2568" s="409">
        <v>14555</v>
      </c>
      <c r="D2568" s="410">
        <v>45464</v>
      </c>
      <c r="E2568" s="424" t="s">
        <v>12631</v>
      </c>
    </row>
    <row r="2569" spans="2:5">
      <c r="B2569" s="407">
        <v>2406</v>
      </c>
      <c r="C2569" s="407">
        <v>14553</v>
      </c>
      <c r="D2569" s="408">
        <v>45464</v>
      </c>
      <c r="E2569" s="430" t="s">
        <v>12632</v>
      </c>
    </row>
    <row r="2570" spans="2:5">
      <c r="B2570" s="407">
        <v>2406</v>
      </c>
      <c r="C2570" s="407">
        <v>14551</v>
      </c>
      <c r="D2570" s="408">
        <v>45464</v>
      </c>
      <c r="E2570" s="430" t="s">
        <v>12633</v>
      </c>
    </row>
    <row r="2571" spans="2:5">
      <c r="B2571" s="407">
        <v>2406</v>
      </c>
      <c r="C2571" s="407">
        <v>14550</v>
      </c>
      <c r="D2571" s="408">
        <v>45464</v>
      </c>
      <c r="E2571" s="430" t="s">
        <v>12634</v>
      </c>
    </row>
    <row r="2572" spans="2:5">
      <c r="B2572" s="407">
        <v>2406</v>
      </c>
      <c r="C2572" s="407">
        <v>14549</v>
      </c>
      <c r="D2572" s="408">
        <v>45464</v>
      </c>
      <c r="E2572" s="430" t="s">
        <v>12635</v>
      </c>
    </row>
    <row r="2573" spans="2:5">
      <c r="B2573" s="407">
        <v>2406</v>
      </c>
      <c r="C2573" s="407">
        <v>14548</v>
      </c>
      <c r="D2573" s="408">
        <v>45464</v>
      </c>
      <c r="E2573" s="430" t="s">
        <v>12636</v>
      </c>
    </row>
    <row r="2574" spans="2:5">
      <c r="B2574" s="407">
        <v>2406</v>
      </c>
      <c r="C2574" s="407">
        <v>14546</v>
      </c>
      <c r="D2574" s="408">
        <v>45464</v>
      </c>
      <c r="E2574" s="430" t="s">
        <v>12637</v>
      </c>
    </row>
    <row r="2575" spans="2:5">
      <c r="B2575" s="407">
        <v>2406</v>
      </c>
      <c r="C2575" s="407">
        <v>14545</v>
      </c>
      <c r="D2575" s="408">
        <v>45464</v>
      </c>
      <c r="E2575" s="430" t="s">
        <v>12638</v>
      </c>
    </row>
    <row r="2576" spans="2:5">
      <c r="B2576" s="407">
        <v>2406</v>
      </c>
      <c r="C2576" s="407">
        <v>14544</v>
      </c>
      <c r="D2576" s="408">
        <v>45464</v>
      </c>
      <c r="E2576" s="430" t="s">
        <v>12639</v>
      </c>
    </row>
    <row r="2577" spans="2:5">
      <c r="B2577" s="407">
        <v>2406</v>
      </c>
      <c r="C2577" s="407">
        <v>14541</v>
      </c>
      <c r="D2577" s="408">
        <v>45464</v>
      </c>
      <c r="E2577" s="430" t="s">
        <v>12640</v>
      </c>
    </row>
    <row r="2578" spans="2:5">
      <c r="B2578" s="407">
        <v>2406</v>
      </c>
      <c r="C2578" s="407">
        <v>14540</v>
      </c>
      <c r="D2578" s="408">
        <v>45464</v>
      </c>
      <c r="E2578" s="430" t="s">
        <v>12641</v>
      </c>
    </row>
    <row r="2579" spans="2:5">
      <c r="B2579" s="409">
        <v>2406</v>
      </c>
      <c r="C2579" s="409">
        <v>14539</v>
      </c>
      <c r="D2579" s="410">
        <v>45464</v>
      </c>
      <c r="E2579" s="424" t="s">
        <v>12642</v>
      </c>
    </row>
    <row r="2580" spans="2:5">
      <c r="B2580" s="409">
        <v>2406</v>
      </c>
      <c r="C2580" s="409">
        <v>14537</v>
      </c>
      <c r="D2580" s="410">
        <v>45464</v>
      </c>
      <c r="E2580" s="424" t="s">
        <v>12643</v>
      </c>
    </row>
    <row r="2581" spans="2:5">
      <c r="B2581" s="431">
        <v>2406</v>
      </c>
      <c r="C2581" s="407">
        <v>14534</v>
      </c>
      <c r="D2581" s="432">
        <v>45464</v>
      </c>
      <c r="E2581" s="430" t="s">
        <v>12644</v>
      </c>
    </row>
    <row r="2582" spans="2:5">
      <c r="B2582" s="431">
        <v>2406</v>
      </c>
      <c r="C2582" s="407">
        <v>14532</v>
      </c>
      <c r="D2582" s="432">
        <v>45464</v>
      </c>
      <c r="E2582" s="430" t="s">
        <v>12645</v>
      </c>
    </row>
    <row r="2583" spans="2:5">
      <c r="B2583" s="431">
        <v>2406</v>
      </c>
      <c r="C2583" s="407">
        <v>14529</v>
      </c>
      <c r="D2583" s="432">
        <v>45464</v>
      </c>
      <c r="E2583" s="430" t="s">
        <v>12646</v>
      </c>
    </row>
    <row r="2584" spans="2:5">
      <c r="B2584" s="431">
        <v>2406</v>
      </c>
      <c r="C2584" s="407">
        <v>14528</v>
      </c>
      <c r="D2584" s="432">
        <v>45464</v>
      </c>
      <c r="E2584" s="430" t="s">
        <v>12648</v>
      </c>
    </row>
    <row r="2585" spans="2:5">
      <c r="B2585" s="431">
        <v>2406</v>
      </c>
      <c r="C2585" s="407">
        <v>14526</v>
      </c>
      <c r="D2585" s="432">
        <v>45464</v>
      </c>
      <c r="E2585" s="430" t="s">
        <v>12647</v>
      </c>
    </row>
    <row r="2586" spans="2:5">
      <c r="B2586" s="431">
        <v>2406</v>
      </c>
      <c r="C2586" s="407">
        <v>14525</v>
      </c>
      <c r="D2586" s="432">
        <v>45464</v>
      </c>
      <c r="E2586" s="430" t="s">
        <v>12649</v>
      </c>
    </row>
    <row r="2587" spans="2:5">
      <c r="B2587" s="431">
        <v>2406</v>
      </c>
      <c r="C2587" s="407">
        <v>14522</v>
      </c>
      <c r="D2587" s="432">
        <v>45464</v>
      </c>
      <c r="E2587" s="430" t="s">
        <v>12650</v>
      </c>
    </row>
    <row r="2588" spans="2:5">
      <c r="B2588" s="431">
        <v>2406</v>
      </c>
      <c r="C2588" s="407">
        <v>14517</v>
      </c>
      <c r="D2588" s="432">
        <v>45464</v>
      </c>
      <c r="E2588" s="430" t="s">
        <v>12651</v>
      </c>
    </row>
    <row r="2589" spans="2:5">
      <c r="B2589" s="431">
        <v>2406</v>
      </c>
      <c r="C2589" s="407">
        <v>14515</v>
      </c>
      <c r="D2589" s="432">
        <v>45464</v>
      </c>
      <c r="E2589" s="430" t="s">
        <v>12652</v>
      </c>
    </row>
    <row r="2590" spans="2:5">
      <c r="B2590" s="431">
        <v>2406</v>
      </c>
      <c r="C2590" s="407">
        <v>14514</v>
      </c>
      <c r="D2590" s="432">
        <v>45464</v>
      </c>
      <c r="E2590" s="430" t="s">
        <v>12653</v>
      </c>
    </row>
    <row r="2591" spans="2:5">
      <c r="B2591" s="431">
        <v>2406</v>
      </c>
      <c r="C2591" s="407">
        <v>14511</v>
      </c>
      <c r="D2591" s="432">
        <v>45464</v>
      </c>
      <c r="E2591" s="430" t="s">
        <v>12654</v>
      </c>
    </row>
    <row r="2592" spans="2:5">
      <c r="B2592" s="431">
        <v>2406</v>
      </c>
      <c r="C2592" s="407">
        <v>14510</v>
      </c>
      <c r="D2592" s="432">
        <v>45464</v>
      </c>
      <c r="E2592" s="430" t="s">
        <v>12655</v>
      </c>
    </row>
    <row r="2593" spans="2:5">
      <c r="B2593" s="431">
        <v>2406</v>
      </c>
      <c r="C2593" s="407">
        <v>14508</v>
      </c>
      <c r="D2593" s="432">
        <v>45464</v>
      </c>
      <c r="E2593" s="430" t="s">
        <v>12656</v>
      </c>
    </row>
    <row r="2594" spans="2:5">
      <c r="B2594" s="431">
        <v>2406</v>
      </c>
      <c r="C2594" s="407">
        <v>14507</v>
      </c>
      <c r="D2594" s="432">
        <v>45464</v>
      </c>
      <c r="E2594" s="430" t="s">
        <v>12657</v>
      </c>
    </row>
    <row r="2595" spans="2:5">
      <c r="B2595" s="431">
        <v>2406</v>
      </c>
      <c r="C2595" s="407">
        <v>14506</v>
      </c>
      <c r="D2595" s="432">
        <v>45464</v>
      </c>
      <c r="E2595" s="430" t="s">
        <v>12658</v>
      </c>
    </row>
    <row r="2596" spans="2:5">
      <c r="B2596" s="431">
        <v>2406</v>
      </c>
      <c r="C2596" s="407">
        <v>14504</v>
      </c>
      <c r="D2596" s="432">
        <v>45464</v>
      </c>
      <c r="E2596" s="430" t="s">
        <v>12659</v>
      </c>
    </row>
    <row r="2597" spans="2:5">
      <c r="B2597" s="431">
        <v>2406</v>
      </c>
      <c r="C2597" s="407">
        <v>14503</v>
      </c>
      <c r="D2597" s="432">
        <v>45464</v>
      </c>
      <c r="E2597" s="430" t="s">
        <v>12660</v>
      </c>
    </row>
    <row r="2598" spans="2:5">
      <c r="B2598" s="431">
        <v>2406</v>
      </c>
      <c r="C2598" s="407">
        <v>14500</v>
      </c>
      <c r="D2598" s="432">
        <v>45464</v>
      </c>
      <c r="E2598" s="430" t="s">
        <v>12661</v>
      </c>
    </row>
    <row r="2599" spans="2:5">
      <c r="B2599" s="431">
        <v>2406</v>
      </c>
      <c r="C2599" s="407">
        <v>14498</v>
      </c>
      <c r="D2599" s="432">
        <v>45464</v>
      </c>
      <c r="E2599" s="430" t="s">
        <v>12662</v>
      </c>
    </row>
    <row r="2600" spans="2:5">
      <c r="B2600" s="431">
        <v>2406</v>
      </c>
      <c r="C2600" s="407">
        <v>14497</v>
      </c>
      <c r="D2600" s="432">
        <v>45464</v>
      </c>
      <c r="E2600" s="430" t="s">
        <v>12663</v>
      </c>
    </row>
    <row r="2601" spans="2:5">
      <c r="B2601" s="431">
        <v>2406</v>
      </c>
      <c r="C2601" s="407">
        <v>14496</v>
      </c>
      <c r="D2601" s="432">
        <v>45464</v>
      </c>
      <c r="E2601" s="430" t="s">
        <v>12664</v>
      </c>
    </row>
    <row r="2602" spans="2:5">
      <c r="B2602" s="431">
        <v>2406</v>
      </c>
      <c r="C2602" s="407">
        <v>14495</v>
      </c>
      <c r="D2602" s="432">
        <v>45464</v>
      </c>
      <c r="E2602" s="430" t="s">
        <v>12665</v>
      </c>
    </row>
    <row r="2603" spans="2:5">
      <c r="B2603" s="431">
        <v>2406</v>
      </c>
      <c r="C2603" s="407">
        <v>14494</v>
      </c>
      <c r="D2603" s="432">
        <v>45464</v>
      </c>
      <c r="E2603" s="430" t="s">
        <v>12666</v>
      </c>
    </row>
    <row r="2604" spans="2:5">
      <c r="B2604" s="431">
        <v>2406</v>
      </c>
      <c r="C2604" s="407">
        <v>14492</v>
      </c>
      <c r="D2604" s="432">
        <v>45464</v>
      </c>
      <c r="E2604" s="430" t="s">
        <v>12667</v>
      </c>
    </row>
    <row r="2605" spans="2:5">
      <c r="B2605" s="431">
        <v>2406</v>
      </c>
      <c r="C2605" s="407">
        <v>14491</v>
      </c>
      <c r="D2605" s="432">
        <v>45464</v>
      </c>
      <c r="E2605" s="430" t="s">
        <v>12668</v>
      </c>
    </row>
    <row r="2606" spans="2:5">
      <c r="B2606" s="431">
        <v>2406</v>
      </c>
      <c r="C2606" s="407">
        <v>14489</v>
      </c>
      <c r="D2606" s="432">
        <v>45464</v>
      </c>
      <c r="E2606" s="430" t="s">
        <v>12669</v>
      </c>
    </row>
    <row r="2607" spans="2:5">
      <c r="B2607" s="431">
        <v>2406</v>
      </c>
      <c r="C2607" s="407">
        <v>14485</v>
      </c>
      <c r="D2607" s="432">
        <v>45464</v>
      </c>
      <c r="E2607" s="430" t="s">
        <v>12670</v>
      </c>
    </row>
    <row r="2608" spans="2:5">
      <c r="B2608" s="431">
        <v>2406</v>
      </c>
      <c r="C2608" s="407">
        <v>14483</v>
      </c>
      <c r="D2608" s="432">
        <v>45464</v>
      </c>
      <c r="E2608" s="430" t="s">
        <v>12671</v>
      </c>
    </row>
    <row r="2609" spans="2:5">
      <c r="B2609" s="431">
        <v>2406</v>
      </c>
      <c r="C2609" s="407">
        <v>14482</v>
      </c>
      <c r="D2609" s="432">
        <v>45464</v>
      </c>
      <c r="E2609" s="430" t="s">
        <v>12672</v>
      </c>
    </row>
    <row r="2610" spans="2:5">
      <c r="B2610" s="431">
        <v>2406</v>
      </c>
      <c r="C2610" s="407">
        <v>14481</v>
      </c>
      <c r="D2610" s="432">
        <v>45464</v>
      </c>
      <c r="E2610" s="430" t="s">
        <v>12673</v>
      </c>
    </row>
    <row r="2611" spans="2:5">
      <c r="B2611" s="431">
        <v>2406</v>
      </c>
      <c r="C2611" s="407">
        <v>14479</v>
      </c>
      <c r="D2611" s="432">
        <v>45464</v>
      </c>
      <c r="E2611" s="430" t="s">
        <v>12674</v>
      </c>
    </row>
    <row r="2612" spans="2:5">
      <c r="B2612" s="431">
        <v>2406</v>
      </c>
      <c r="C2612" s="407">
        <v>14478</v>
      </c>
      <c r="D2612" s="432">
        <v>45464</v>
      </c>
      <c r="E2612" s="430" t="s">
        <v>12675</v>
      </c>
    </row>
    <row r="2613" spans="2:5">
      <c r="B2613" s="431">
        <v>2406</v>
      </c>
      <c r="C2613" s="407">
        <v>14477</v>
      </c>
      <c r="D2613" s="432">
        <v>45464</v>
      </c>
      <c r="E2613" s="430" t="s">
        <v>12676</v>
      </c>
    </row>
    <row r="2614" spans="2:5">
      <c r="B2614" s="431">
        <v>2406</v>
      </c>
      <c r="C2614" s="407">
        <v>14476</v>
      </c>
      <c r="D2614" s="432">
        <v>45464</v>
      </c>
      <c r="E2614" s="430" t="s">
        <v>12677</v>
      </c>
    </row>
    <row r="2615" spans="2:5">
      <c r="B2615" s="431">
        <v>2406</v>
      </c>
      <c r="C2615" s="407">
        <v>14473</v>
      </c>
      <c r="D2615" s="432">
        <v>45464</v>
      </c>
      <c r="E2615" s="430" t="s">
        <v>12678</v>
      </c>
    </row>
    <row r="2616" spans="2:5">
      <c r="B2616" s="431">
        <v>2406</v>
      </c>
      <c r="C2616" s="407">
        <v>14472</v>
      </c>
      <c r="D2616" s="432">
        <v>45464</v>
      </c>
      <c r="E2616" s="430" t="s">
        <v>12679</v>
      </c>
    </row>
    <row r="2617" spans="2:5">
      <c r="B2617" s="431">
        <v>2406</v>
      </c>
      <c r="C2617" s="407">
        <v>14470</v>
      </c>
      <c r="D2617" s="432">
        <v>45464</v>
      </c>
      <c r="E2617" s="430" t="s">
        <v>12680</v>
      </c>
    </row>
    <row r="2618" spans="2:5">
      <c r="B2618" s="431">
        <v>2406</v>
      </c>
      <c r="C2618" s="407">
        <v>14469</v>
      </c>
      <c r="D2618" s="432">
        <v>45464</v>
      </c>
      <c r="E2618" s="430" t="s">
        <v>12681</v>
      </c>
    </row>
    <row r="2619" spans="2:5">
      <c r="B2619" s="431">
        <v>2406</v>
      </c>
      <c r="C2619" s="407">
        <v>14464</v>
      </c>
      <c r="D2619" s="432">
        <v>45464</v>
      </c>
      <c r="E2619" s="430" t="s">
        <v>12682</v>
      </c>
    </row>
    <row r="2620" spans="2:5">
      <c r="B2620" s="431">
        <v>2406</v>
      </c>
      <c r="C2620" s="407">
        <v>14462</v>
      </c>
      <c r="D2620" s="432">
        <v>45464</v>
      </c>
      <c r="E2620" s="430" t="s">
        <v>12683</v>
      </c>
    </row>
    <row r="2621" spans="2:5">
      <c r="B2621" s="431">
        <v>2406</v>
      </c>
      <c r="C2621" s="407">
        <v>14460</v>
      </c>
      <c r="D2621" s="432">
        <v>45464</v>
      </c>
      <c r="E2621" s="430" t="s">
        <v>12684</v>
      </c>
    </row>
    <row r="2622" spans="2:5">
      <c r="B2622" s="431">
        <v>2406</v>
      </c>
      <c r="C2622" s="407">
        <v>14459</v>
      </c>
      <c r="D2622" s="432">
        <v>45464</v>
      </c>
      <c r="E2622" s="430" t="s">
        <v>12685</v>
      </c>
    </row>
    <row r="2623" spans="2:5">
      <c r="B2623" s="431">
        <v>2406</v>
      </c>
      <c r="C2623" s="407">
        <v>14458</v>
      </c>
      <c r="D2623" s="432">
        <v>45464</v>
      </c>
      <c r="E2623" s="430" t="s">
        <v>12686</v>
      </c>
    </row>
    <row r="2624" spans="2:5">
      <c r="B2624" s="431">
        <v>2406</v>
      </c>
      <c r="C2624" s="407">
        <v>14457</v>
      </c>
      <c r="D2624" s="432">
        <v>45464</v>
      </c>
      <c r="E2624" s="430" t="s">
        <v>12687</v>
      </c>
    </row>
    <row r="2625" spans="2:5">
      <c r="B2625" s="431">
        <v>2406</v>
      </c>
      <c r="C2625" s="407">
        <v>14456</v>
      </c>
      <c r="D2625" s="432">
        <v>45464</v>
      </c>
      <c r="E2625" s="430" t="s">
        <v>12688</v>
      </c>
    </row>
    <row r="2626" spans="2:5">
      <c r="B2626" s="431">
        <v>2406</v>
      </c>
      <c r="C2626" s="407">
        <v>14455</v>
      </c>
      <c r="D2626" s="432">
        <v>45464</v>
      </c>
      <c r="E2626" s="430" t="s">
        <v>12689</v>
      </c>
    </row>
    <row r="2627" spans="2:5">
      <c r="B2627" s="431">
        <v>2406</v>
      </c>
      <c r="C2627" s="407">
        <v>14452</v>
      </c>
      <c r="D2627" s="432">
        <v>45464</v>
      </c>
      <c r="E2627" s="430" t="s">
        <v>12690</v>
      </c>
    </row>
    <row r="2628" spans="2:5">
      <c r="B2628" s="431">
        <v>2406</v>
      </c>
      <c r="C2628" s="407">
        <v>14449</v>
      </c>
      <c r="D2628" s="432">
        <v>45464</v>
      </c>
      <c r="E2628" s="430" t="s">
        <v>12691</v>
      </c>
    </row>
    <row r="2629" spans="2:5">
      <c r="B2629" s="431">
        <v>2406</v>
      </c>
      <c r="C2629" s="407">
        <v>14441</v>
      </c>
      <c r="D2629" s="432">
        <v>45464</v>
      </c>
      <c r="E2629" s="430" t="s">
        <v>12692</v>
      </c>
    </row>
    <row r="2630" spans="2:5">
      <c r="B2630" s="431">
        <v>2406</v>
      </c>
      <c r="C2630" s="407">
        <v>14436</v>
      </c>
      <c r="D2630" s="432">
        <v>45464</v>
      </c>
      <c r="E2630" s="430" t="s">
        <v>12693</v>
      </c>
    </row>
    <row r="2631" spans="2:5">
      <c r="B2631" s="431">
        <v>2406</v>
      </c>
      <c r="C2631" s="407">
        <v>14434</v>
      </c>
      <c r="D2631" s="432">
        <v>45464</v>
      </c>
      <c r="E2631" s="430" t="s">
        <v>12694</v>
      </c>
    </row>
    <row r="2632" spans="2:5">
      <c r="B2632" s="431">
        <v>2406</v>
      </c>
      <c r="C2632" s="407">
        <v>14429</v>
      </c>
      <c r="D2632" s="432">
        <v>45464</v>
      </c>
      <c r="E2632" s="430" t="s">
        <v>12695</v>
      </c>
    </row>
    <row r="2633" spans="2:5">
      <c r="B2633" s="431">
        <v>2406</v>
      </c>
      <c r="C2633" s="407">
        <v>14427</v>
      </c>
      <c r="D2633" s="432">
        <v>45464</v>
      </c>
      <c r="E2633" s="430" t="s">
        <v>12696</v>
      </c>
    </row>
    <row r="2634" spans="2:5">
      <c r="B2634" s="431">
        <v>2406</v>
      </c>
      <c r="C2634" s="407">
        <v>14426</v>
      </c>
      <c r="D2634" s="432">
        <v>45464</v>
      </c>
      <c r="E2634" s="430" t="s">
        <v>12697</v>
      </c>
    </row>
    <row r="2635" spans="2:5">
      <c r="B2635" s="431">
        <v>2406</v>
      </c>
      <c r="C2635" s="407">
        <v>14425</v>
      </c>
      <c r="D2635" s="432">
        <v>45464</v>
      </c>
      <c r="E2635" s="430" t="s">
        <v>12698</v>
      </c>
    </row>
    <row r="2636" spans="2:5">
      <c r="B2636" s="431">
        <v>2406</v>
      </c>
      <c r="C2636" s="407">
        <v>14424</v>
      </c>
      <c r="D2636" s="432">
        <v>45464</v>
      </c>
      <c r="E2636" s="430" t="s">
        <v>12699</v>
      </c>
    </row>
    <row r="2637" spans="2:5">
      <c r="B2637" s="431">
        <v>2406</v>
      </c>
      <c r="C2637" s="407">
        <v>14422</v>
      </c>
      <c r="D2637" s="432">
        <v>45464</v>
      </c>
      <c r="E2637" s="430" t="s">
        <v>12700</v>
      </c>
    </row>
    <row r="2638" spans="2:5">
      <c r="B2638" s="431">
        <v>2406</v>
      </c>
      <c r="C2638" s="407">
        <v>14420</v>
      </c>
      <c r="D2638" s="432">
        <v>45464</v>
      </c>
      <c r="E2638" s="430" t="s">
        <v>12701</v>
      </c>
    </row>
    <row r="2639" spans="2:5">
      <c r="B2639" s="431">
        <v>2406</v>
      </c>
      <c r="C2639" s="407">
        <v>14415</v>
      </c>
      <c r="D2639" s="432">
        <v>45464</v>
      </c>
      <c r="E2639" s="430" t="s">
        <v>12702</v>
      </c>
    </row>
    <row r="2640" spans="2:5">
      <c r="B2640" s="431">
        <v>2406</v>
      </c>
      <c r="C2640" s="407">
        <v>14412</v>
      </c>
      <c r="D2640" s="432">
        <v>45464</v>
      </c>
      <c r="E2640" s="430" t="s">
        <v>12703</v>
      </c>
    </row>
    <row r="2641" spans="2:5">
      <c r="B2641" s="431">
        <v>2406</v>
      </c>
      <c r="C2641" s="407">
        <v>14408</v>
      </c>
      <c r="D2641" s="432">
        <v>45464</v>
      </c>
      <c r="E2641" s="430" t="s">
        <v>12704</v>
      </c>
    </row>
    <row r="2642" spans="2:5">
      <c r="B2642" s="431">
        <v>2406</v>
      </c>
      <c r="C2642" s="407">
        <v>14404</v>
      </c>
      <c r="D2642" s="432">
        <v>45464</v>
      </c>
      <c r="E2642" s="430" t="s">
        <v>12705</v>
      </c>
    </row>
    <row r="2643" spans="2:5">
      <c r="B2643" s="431">
        <v>2406</v>
      </c>
      <c r="C2643" s="407">
        <v>14402</v>
      </c>
      <c r="D2643" s="432">
        <v>45464</v>
      </c>
      <c r="E2643" s="430" t="s">
        <v>12706</v>
      </c>
    </row>
    <row r="2644" spans="2:5">
      <c r="B2644" s="431">
        <v>2406</v>
      </c>
      <c r="C2644" s="407">
        <v>14401</v>
      </c>
      <c r="D2644" s="432">
        <v>45464</v>
      </c>
      <c r="E2644" s="430" t="s">
        <v>12707</v>
      </c>
    </row>
    <row r="2645" spans="2:5">
      <c r="B2645" s="431">
        <v>2406</v>
      </c>
      <c r="C2645" s="407">
        <v>14399</v>
      </c>
      <c r="D2645" s="432">
        <v>45464</v>
      </c>
      <c r="E2645" s="430" t="s">
        <v>12708</v>
      </c>
    </row>
    <row r="2646" spans="2:5">
      <c r="B2646" s="431">
        <v>2406</v>
      </c>
      <c r="C2646" s="407">
        <v>14398</v>
      </c>
      <c r="D2646" s="432">
        <v>45464</v>
      </c>
      <c r="E2646" s="430" t="s">
        <v>12709</v>
      </c>
    </row>
    <row r="2647" spans="2:5">
      <c r="B2647" s="431">
        <v>2406</v>
      </c>
      <c r="C2647" s="407">
        <v>14397</v>
      </c>
      <c r="D2647" s="432">
        <v>45464</v>
      </c>
      <c r="E2647" s="430" t="s">
        <v>12710</v>
      </c>
    </row>
    <row r="2648" spans="2:5">
      <c r="B2648" s="431">
        <v>2406</v>
      </c>
      <c r="C2648" s="407">
        <v>14394</v>
      </c>
      <c r="D2648" s="432">
        <v>45464</v>
      </c>
      <c r="E2648" s="430" t="s">
        <v>12711</v>
      </c>
    </row>
    <row r="2649" spans="2:5">
      <c r="B2649" s="431">
        <v>2406</v>
      </c>
      <c r="C2649" s="407">
        <v>14393</v>
      </c>
      <c r="D2649" s="432">
        <v>45464</v>
      </c>
      <c r="E2649" s="430" t="s">
        <v>12712</v>
      </c>
    </row>
    <row r="2650" spans="2:5">
      <c r="B2650" s="431">
        <v>2406</v>
      </c>
      <c r="C2650" s="407">
        <v>14391</v>
      </c>
      <c r="D2650" s="432">
        <v>45464</v>
      </c>
      <c r="E2650" s="430" t="s">
        <v>12713</v>
      </c>
    </row>
    <row r="2651" spans="2:5">
      <c r="B2651" s="431">
        <v>2406</v>
      </c>
      <c r="C2651" s="407">
        <v>14388</v>
      </c>
      <c r="D2651" s="432">
        <v>45464</v>
      </c>
      <c r="E2651" s="430" t="s">
        <v>12714</v>
      </c>
    </row>
    <row r="2652" spans="2:5">
      <c r="B2652" s="431">
        <v>2406</v>
      </c>
      <c r="C2652" s="407">
        <v>14380</v>
      </c>
      <c r="D2652" s="432">
        <v>45464</v>
      </c>
      <c r="E2652" s="430" t="s">
        <v>12715</v>
      </c>
    </row>
    <row r="2653" spans="2:5">
      <c r="B2653" s="431">
        <v>2406</v>
      </c>
      <c r="C2653" s="407">
        <v>14377</v>
      </c>
      <c r="D2653" s="432">
        <v>45464</v>
      </c>
      <c r="E2653" s="430" t="s">
        <v>12716</v>
      </c>
    </row>
    <row r="2654" spans="2:5">
      <c r="B2654" s="431">
        <v>2406</v>
      </c>
      <c r="C2654" s="407">
        <v>14370</v>
      </c>
      <c r="D2654" s="432">
        <v>45464</v>
      </c>
      <c r="E2654" s="430" t="s">
        <v>12717</v>
      </c>
    </row>
    <row r="2655" spans="2:5">
      <c r="B2655" s="431">
        <v>2406</v>
      </c>
      <c r="C2655" s="407">
        <v>14367</v>
      </c>
      <c r="D2655" s="432">
        <v>45464</v>
      </c>
      <c r="E2655" s="430" t="s">
        <v>12718</v>
      </c>
    </row>
    <row r="2656" spans="2:5">
      <c r="B2656" s="431">
        <v>2406</v>
      </c>
      <c r="C2656" s="407">
        <v>14365</v>
      </c>
      <c r="D2656" s="432">
        <v>45464</v>
      </c>
      <c r="E2656" s="430" t="s">
        <v>12719</v>
      </c>
    </row>
    <row r="2657" spans="2:5">
      <c r="B2657" s="431">
        <v>2406</v>
      </c>
      <c r="C2657" s="407">
        <v>14362</v>
      </c>
      <c r="D2657" s="432">
        <v>45464</v>
      </c>
      <c r="E2657" s="430" t="s">
        <v>12720</v>
      </c>
    </row>
    <row r="2658" spans="2:5">
      <c r="B2658" s="431">
        <v>2406</v>
      </c>
      <c r="C2658" s="407">
        <v>14361</v>
      </c>
      <c r="D2658" s="432">
        <v>45464</v>
      </c>
      <c r="E2658" s="430" t="s">
        <v>12721</v>
      </c>
    </row>
    <row r="2659" spans="2:5">
      <c r="B2659" s="431">
        <v>2406</v>
      </c>
      <c r="C2659" s="407">
        <v>14360</v>
      </c>
      <c r="D2659" s="432">
        <v>45464</v>
      </c>
      <c r="E2659" s="430" t="s">
        <v>12722</v>
      </c>
    </row>
    <row r="2660" spans="2:5">
      <c r="B2660" s="431">
        <v>2406</v>
      </c>
      <c r="C2660" s="407">
        <v>14359</v>
      </c>
      <c r="D2660" s="432">
        <v>45464</v>
      </c>
      <c r="E2660" s="430" t="s">
        <v>12723</v>
      </c>
    </row>
    <row r="2661" spans="2:5">
      <c r="B2661" s="431">
        <v>2406</v>
      </c>
      <c r="C2661" s="407">
        <v>14358</v>
      </c>
      <c r="D2661" s="432">
        <v>45464</v>
      </c>
      <c r="E2661" s="430" t="s">
        <v>12724</v>
      </c>
    </row>
    <row r="2662" spans="2:5">
      <c r="B2662" s="431">
        <v>2406</v>
      </c>
      <c r="C2662" s="407">
        <v>14351</v>
      </c>
      <c r="D2662" s="432">
        <v>45464</v>
      </c>
      <c r="E2662" s="430" t="s">
        <v>12725</v>
      </c>
    </row>
    <row r="2663" spans="2:5">
      <c r="B2663" s="431">
        <v>2406</v>
      </c>
      <c r="C2663" s="407">
        <v>14349</v>
      </c>
      <c r="D2663" s="432">
        <v>45464</v>
      </c>
      <c r="E2663" s="430" t="s">
        <v>12726</v>
      </c>
    </row>
    <row r="2664" spans="2:5">
      <c r="B2664" s="431">
        <v>2406</v>
      </c>
      <c r="C2664" s="407">
        <v>14347</v>
      </c>
      <c r="D2664" s="432">
        <v>45464</v>
      </c>
      <c r="E2664" s="430" t="s">
        <v>12727</v>
      </c>
    </row>
    <row r="2665" spans="2:5">
      <c r="B2665" s="431">
        <v>2406</v>
      </c>
      <c r="C2665" s="407">
        <v>14341</v>
      </c>
      <c r="D2665" s="432">
        <v>45464</v>
      </c>
      <c r="E2665" s="430" t="s">
        <v>12728</v>
      </c>
    </row>
    <row r="2666" spans="2:5">
      <c r="B2666" s="431">
        <v>2406</v>
      </c>
      <c r="C2666" s="407">
        <v>14340</v>
      </c>
      <c r="D2666" s="432">
        <v>45464</v>
      </c>
      <c r="E2666" s="430" t="s">
        <v>12729</v>
      </c>
    </row>
    <row r="2667" spans="2:5">
      <c r="B2667" s="431">
        <v>2406</v>
      </c>
      <c r="C2667" s="407">
        <v>14338</v>
      </c>
      <c r="D2667" s="432">
        <v>45464</v>
      </c>
      <c r="E2667" s="430" t="s">
        <v>12730</v>
      </c>
    </row>
    <row r="2668" spans="2:5">
      <c r="B2668" s="431">
        <v>2406</v>
      </c>
      <c r="C2668" s="407">
        <v>14336</v>
      </c>
      <c r="D2668" s="432">
        <v>45464</v>
      </c>
      <c r="E2668" s="430" t="s">
        <v>12731</v>
      </c>
    </row>
    <row r="2669" spans="2:5">
      <c r="B2669" s="431">
        <v>2406</v>
      </c>
      <c r="C2669" s="407">
        <v>14335</v>
      </c>
      <c r="D2669" s="432">
        <v>45464</v>
      </c>
      <c r="E2669" s="430" t="s">
        <v>12732</v>
      </c>
    </row>
    <row r="2670" spans="2:5">
      <c r="B2670" s="431">
        <v>2406</v>
      </c>
      <c r="C2670" s="407">
        <v>14333</v>
      </c>
      <c r="D2670" s="432">
        <v>45464</v>
      </c>
      <c r="E2670" s="430" t="s">
        <v>12733</v>
      </c>
    </row>
    <row r="2671" spans="2:5">
      <c r="B2671" s="431">
        <v>2406</v>
      </c>
      <c r="C2671" s="407">
        <v>14326</v>
      </c>
      <c r="D2671" s="432">
        <v>45464</v>
      </c>
      <c r="E2671" s="430" t="s">
        <v>12734</v>
      </c>
    </row>
    <row r="2672" spans="2:5">
      <c r="B2672" s="431">
        <v>2406</v>
      </c>
      <c r="C2672" s="407">
        <v>14325</v>
      </c>
      <c r="D2672" s="432">
        <v>45464</v>
      </c>
      <c r="E2672" s="430" t="s">
        <v>12735</v>
      </c>
    </row>
    <row r="2673" spans="2:5">
      <c r="B2673" s="431">
        <v>2406</v>
      </c>
      <c r="C2673" s="407">
        <v>14324</v>
      </c>
      <c r="D2673" s="432">
        <v>45464</v>
      </c>
      <c r="E2673" s="430" t="s">
        <v>12736</v>
      </c>
    </row>
    <row r="2674" spans="2:5">
      <c r="B2674" s="431">
        <v>2406</v>
      </c>
      <c r="C2674" s="407">
        <v>14322</v>
      </c>
      <c r="D2674" s="432">
        <v>45464</v>
      </c>
      <c r="E2674" s="430" t="s">
        <v>12737</v>
      </c>
    </row>
    <row r="2675" spans="2:5">
      <c r="B2675" s="431">
        <v>2406</v>
      </c>
      <c r="C2675" s="407">
        <v>14319</v>
      </c>
      <c r="D2675" s="432">
        <v>45464</v>
      </c>
      <c r="E2675" s="430" t="s">
        <v>12738</v>
      </c>
    </row>
    <row r="2676" spans="2:5">
      <c r="B2676" s="431">
        <v>2406</v>
      </c>
      <c r="C2676" s="407">
        <v>14318</v>
      </c>
      <c r="D2676" s="432">
        <v>45464</v>
      </c>
      <c r="E2676" s="430" t="s">
        <v>12739</v>
      </c>
    </row>
    <row r="2677" spans="2:5">
      <c r="B2677" s="431">
        <v>2406</v>
      </c>
      <c r="C2677" s="407">
        <v>14315</v>
      </c>
      <c r="D2677" s="432">
        <v>45464</v>
      </c>
      <c r="E2677" s="430" t="s">
        <v>12740</v>
      </c>
    </row>
    <row r="2678" spans="2:5">
      <c r="B2678" s="431">
        <v>2406</v>
      </c>
      <c r="C2678" s="407">
        <v>14314</v>
      </c>
      <c r="D2678" s="432">
        <v>45464</v>
      </c>
      <c r="E2678" s="430" t="s">
        <v>12741</v>
      </c>
    </row>
    <row r="2679" spans="2:5">
      <c r="B2679" s="431">
        <v>2406</v>
      </c>
      <c r="C2679" s="407">
        <v>14313</v>
      </c>
      <c r="D2679" s="432">
        <v>45464</v>
      </c>
      <c r="E2679" s="430" t="s">
        <v>12742</v>
      </c>
    </row>
    <row r="2680" spans="2:5">
      <c r="B2680" s="431">
        <v>2406</v>
      </c>
      <c r="C2680" s="407">
        <v>14312</v>
      </c>
      <c r="D2680" s="432">
        <v>45464</v>
      </c>
      <c r="E2680" s="430" t="s">
        <v>12743</v>
      </c>
    </row>
    <row r="2681" spans="2:5">
      <c r="B2681" s="431">
        <v>2406</v>
      </c>
      <c r="C2681" s="407">
        <v>14310</v>
      </c>
      <c r="D2681" s="432">
        <v>45464</v>
      </c>
      <c r="E2681" s="430" t="s">
        <v>12744</v>
      </c>
    </row>
    <row r="2682" spans="2:5">
      <c r="B2682" s="431">
        <v>2406</v>
      </c>
      <c r="C2682" s="407">
        <v>14309</v>
      </c>
      <c r="D2682" s="432">
        <v>45464</v>
      </c>
      <c r="E2682" s="430" t="s">
        <v>12745</v>
      </c>
    </row>
    <row r="2683" spans="2:5">
      <c r="B2683" s="431">
        <v>2406</v>
      </c>
      <c r="C2683" s="407">
        <v>14308</v>
      </c>
      <c r="D2683" s="432">
        <v>45464</v>
      </c>
      <c r="E2683" s="430" t="s">
        <v>12746</v>
      </c>
    </row>
    <row r="2684" spans="2:5">
      <c r="B2684" s="431">
        <v>2406</v>
      </c>
      <c r="C2684" s="407">
        <v>14307</v>
      </c>
      <c r="D2684" s="432">
        <v>45464</v>
      </c>
      <c r="E2684" s="430" t="s">
        <v>12747</v>
      </c>
    </row>
    <row r="2685" spans="2:5">
      <c r="B2685" s="431">
        <v>2406</v>
      </c>
      <c r="C2685" s="407">
        <v>14302</v>
      </c>
      <c r="D2685" s="432">
        <v>45464</v>
      </c>
      <c r="E2685" s="430" t="s">
        <v>12748</v>
      </c>
    </row>
    <row r="2686" spans="2:5">
      <c r="B2686" s="431">
        <v>2406</v>
      </c>
      <c r="C2686" s="407">
        <v>14297</v>
      </c>
      <c r="D2686" s="432">
        <v>45464</v>
      </c>
      <c r="E2686" s="430" t="s">
        <v>12749</v>
      </c>
    </row>
    <row r="2687" spans="2:5">
      <c r="B2687" s="431">
        <v>2406</v>
      </c>
      <c r="C2687" s="407">
        <v>14295</v>
      </c>
      <c r="D2687" s="432">
        <v>45464</v>
      </c>
      <c r="E2687" s="430" t="s">
        <v>12750</v>
      </c>
    </row>
    <row r="2688" spans="2:5">
      <c r="B2688" s="431">
        <v>2406</v>
      </c>
      <c r="C2688" s="407">
        <v>14294</v>
      </c>
      <c r="D2688" s="432">
        <v>45464</v>
      </c>
      <c r="E2688" s="430" t="s">
        <v>12751</v>
      </c>
    </row>
    <row r="2689" spans="2:5">
      <c r="B2689" s="431">
        <v>2406</v>
      </c>
      <c r="C2689" s="407">
        <v>14287</v>
      </c>
      <c r="D2689" s="432">
        <v>45464</v>
      </c>
      <c r="E2689" s="430" t="s">
        <v>12752</v>
      </c>
    </row>
    <row r="2690" spans="2:5">
      <c r="B2690" s="431">
        <v>2406</v>
      </c>
      <c r="C2690" s="407">
        <v>14284</v>
      </c>
      <c r="D2690" s="432">
        <v>45464</v>
      </c>
      <c r="E2690" s="430" t="s">
        <v>12753</v>
      </c>
    </row>
    <row r="2691" spans="2:5">
      <c r="B2691" s="431">
        <v>2406</v>
      </c>
      <c r="C2691" s="407">
        <v>14283</v>
      </c>
      <c r="D2691" s="432">
        <v>45464</v>
      </c>
      <c r="E2691" s="430" t="s">
        <v>12754</v>
      </c>
    </row>
    <row r="2692" spans="2:5">
      <c r="B2692" s="431">
        <v>2406</v>
      </c>
      <c r="C2692" s="407">
        <v>14282</v>
      </c>
      <c r="D2692" s="432">
        <v>45464</v>
      </c>
      <c r="E2692" s="430" t="s">
        <v>12755</v>
      </c>
    </row>
    <row r="2693" spans="2:5">
      <c r="B2693" s="431">
        <v>2406</v>
      </c>
      <c r="C2693" s="407">
        <v>14281</v>
      </c>
      <c r="D2693" s="432">
        <v>45464</v>
      </c>
      <c r="E2693" s="430" t="s">
        <v>12756</v>
      </c>
    </row>
    <row r="2694" spans="2:5">
      <c r="B2694" s="431">
        <v>2406</v>
      </c>
      <c r="C2694" s="407">
        <v>14277</v>
      </c>
      <c r="D2694" s="432">
        <v>45464</v>
      </c>
      <c r="E2694" s="430" t="s">
        <v>12757</v>
      </c>
    </row>
    <row r="2695" spans="2:5">
      <c r="B2695" s="431">
        <v>2406</v>
      </c>
      <c r="C2695" s="407">
        <v>14275</v>
      </c>
      <c r="D2695" s="432">
        <v>45464</v>
      </c>
      <c r="E2695" s="430" t="s">
        <v>12758</v>
      </c>
    </row>
    <row r="2696" spans="2:5">
      <c r="B2696" s="431">
        <v>2406</v>
      </c>
      <c r="C2696" s="407">
        <v>14274</v>
      </c>
      <c r="D2696" s="432">
        <v>45464</v>
      </c>
      <c r="E2696" s="430" t="s">
        <v>12759</v>
      </c>
    </row>
    <row r="2697" spans="2:5">
      <c r="B2697" s="431">
        <v>2406</v>
      </c>
      <c r="C2697" s="407">
        <v>14273</v>
      </c>
      <c r="D2697" s="432">
        <v>45464</v>
      </c>
      <c r="E2697" s="430" t="s">
        <v>12760</v>
      </c>
    </row>
    <row r="2698" spans="2:5">
      <c r="B2698" s="431">
        <v>2406</v>
      </c>
      <c r="C2698" s="407">
        <v>14272</v>
      </c>
      <c r="D2698" s="432">
        <v>45464</v>
      </c>
      <c r="E2698" s="430" t="s">
        <v>12761</v>
      </c>
    </row>
    <row r="2699" spans="2:5">
      <c r="B2699" s="431">
        <v>2406</v>
      </c>
      <c r="C2699" s="407">
        <v>14267</v>
      </c>
      <c r="D2699" s="432">
        <v>45464</v>
      </c>
      <c r="E2699" s="430" t="s">
        <v>12762</v>
      </c>
    </row>
    <row r="2700" spans="2:5">
      <c r="B2700" s="431">
        <v>2406</v>
      </c>
      <c r="C2700" s="407">
        <v>14266</v>
      </c>
      <c r="D2700" s="432">
        <v>45464</v>
      </c>
      <c r="E2700" s="430" t="s">
        <v>12763</v>
      </c>
    </row>
    <row r="2701" spans="2:5">
      <c r="B2701" s="431">
        <v>2406</v>
      </c>
      <c r="C2701" s="407">
        <v>14265</v>
      </c>
      <c r="D2701" s="432">
        <v>45464</v>
      </c>
      <c r="E2701" s="430" t="s">
        <v>12764</v>
      </c>
    </row>
    <row r="2702" spans="2:5">
      <c r="B2702" s="431">
        <v>2406</v>
      </c>
      <c r="C2702" s="407">
        <v>14264</v>
      </c>
      <c r="D2702" s="432">
        <v>45464</v>
      </c>
      <c r="E2702" s="430" t="s">
        <v>12765</v>
      </c>
    </row>
    <row r="2703" spans="2:5">
      <c r="B2703" s="431">
        <v>2406</v>
      </c>
      <c r="C2703" s="407">
        <v>14261</v>
      </c>
      <c r="D2703" s="432">
        <v>45464</v>
      </c>
      <c r="E2703" s="430" t="s">
        <v>12766</v>
      </c>
    </row>
    <row r="2704" spans="2:5">
      <c r="B2704" s="431">
        <v>2406</v>
      </c>
      <c r="C2704" s="407">
        <v>14259</v>
      </c>
      <c r="D2704" s="432">
        <v>45464</v>
      </c>
      <c r="E2704" s="430" t="s">
        <v>12767</v>
      </c>
    </row>
    <row r="2705" spans="2:5">
      <c r="B2705" s="431">
        <v>2406</v>
      </c>
      <c r="C2705" s="433" t="s">
        <v>12768</v>
      </c>
      <c r="D2705" s="432">
        <v>45464</v>
      </c>
      <c r="E2705" s="430" t="s">
        <v>12769</v>
      </c>
    </row>
    <row r="2706" spans="2:5">
      <c r="B2706" s="431">
        <v>2406</v>
      </c>
      <c r="C2706" s="433">
        <v>14250</v>
      </c>
      <c r="D2706" s="432">
        <v>45464</v>
      </c>
      <c r="E2706" s="430" t="s">
        <v>12770</v>
      </c>
    </row>
    <row r="2707" spans="2:5">
      <c r="B2707" s="431">
        <v>2406</v>
      </c>
      <c r="C2707" s="433">
        <v>14243</v>
      </c>
      <c r="D2707" s="432">
        <v>45464</v>
      </c>
      <c r="E2707" s="430" t="s">
        <v>12771</v>
      </c>
    </row>
    <row r="2708" spans="2:5">
      <c r="B2708" s="431">
        <v>2406</v>
      </c>
      <c r="C2708" s="433">
        <v>14240</v>
      </c>
      <c r="D2708" s="432">
        <v>45464</v>
      </c>
      <c r="E2708" s="430" t="s">
        <v>12772</v>
      </c>
    </row>
    <row r="2709" spans="2:5">
      <c r="B2709" s="431">
        <v>2406</v>
      </c>
      <c r="C2709" s="433">
        <v>14239</v>
      </c>
      <c r="D2709" s="432">
        <v>45464</v>
      </c>
      <c r="E2709" s="430" t="s">
        <v>12773</v>
      </c>
    </row>
    <row r="2710" spans="2:5">
      <c r="B2710" s="431">
        <v>2406</v>
      </c>
      <c r="C2710" s="433">
        <v>13107</v>
      </c>
      <c r="D2710" s="432">
        <v>45472</v>
      </c>
      <c r="E2710" s="430" t="s">
        <v>12850</v>
      </c>
    </row>
    <row r="2711" spans="2:5">
      <c r="B2711" s="431">
        <v>2406</v>
      </c>
      <c r="C2711" s="433">
        <v>12909</v>
      </c>
      <c r="D2711" s="432">
        <v>45472</v>
      </c>
      <c r="E2711" s="430" t="s">
        <v>12809</v>
      </c>
    </row>
    <row r="2712" spans="2:5">
      <c r="B2712" s="431">
        <v>2406</v>
      </c>
      <c r="C2712" s="433">
        <v>12315</v>
      </c>
      <c r="D2712" s="432">
        <v>45472</v>
      </c>
      <c r="E2712" s="430" t="s">
        <v>12833</v>
      </c>
    </row>
    <row r="2713" spans="2:5">
      <c r="B2713" s="431">
        <v>2406</v>
      </c>
      <c r="C2713" s="433">
        <v>11252</v>
      </c>
      <c r="D2713" s="432">
        <v>45472</v>
      </c>
      <c r="E2713" s="430" t="s">
        <v>12922</v>
      </c>
    </row>
    <row r="2714" spans="2:5">
      <c r="B2714" s="431">
        <v>2406</v>
      </c>
      <c r="C2714" s="433">
        <v>9881</v>
      </c>
      <c r="D2714" s="432">
        <v>45472</v>
      </c>
      <c r="E2714" s="430" t="s">
        <v>12914</v>
      </c>
    </row>
    <row r="2715" spans="2:5">
      <c r="B2715" s="431">
        <v>2406</v>
      </c>
      <c r="C2715" s="407">
        <v>8488</v>
      </c>
      <c r="D2715" s="408">
        <v>41803</v>
      </c>
      <c r="E2715" s="428" t="s">
        <v>12592</v>
      </c>
    </row>
    <row r="2716" spans="2:5">
      <c r="B2716" s="407">
        <v>2406</v>
      </c>
      <c r="C2716" s="407">
        <v>8487</v>
      </c>
      <c r="D2716" s="408">
        <v>41803</v>
      </c>
      <c r="E2716" s="428" t="s">
        <v>12593</v>
      </c>
    </row>
    <row r="2717" spans="2:5">
      <c r="B2717" s="407">
        <v>2406</v>
      </c>
      <c r="C2717" s="407">
        <v>8486</v>
      </c>
      <c r="D2717" s="408">
        <v>41803</v>
      </c>
      <c r="E2717" s="428" t="s">
        <v>12594</v>
      </c>
    </row>
    <row r="2718" spans="2:5">
      <c r="B2718" s="407">
        <v>2406</v>
      </c>
      <c r="C2718" s="407">
        <v>8482</v>
      </c>
      <c r="D2718" s="408">
        <v>41803</v>
      </c>
      <c r="E2718" s="428" t="s">
        <v>12603</v>
      </c>
    </row>
    <row r="2719" spans="2:5">
      <c r="B2719" s="407">
        <v>2406</v>
      </c>
      <c r="C2719" s="407">
        <v>8481</v>
      </c>
      <c r="D2719" s="408">
        <v>41803</v>
      </c>
      <c r="E2719" s="428" t="s">
        <v>12602</v>
      </c>
    </row>
    <row r="2720" spans="2:5">
      <c r="B2720" s="407">
        <v>2406</v>
      </c>
      <c r="C2720" s="407">
        <v>8480</v>
      </c>
      <c r="D2720" s="408">
        <v>41803</v>
      </c>
      <c r="E2720" s="428" t="s">
        <v>12601</v>
      </c>
    </row>
    <row r="2721" spans="2:5">
      <c r="B2721" s="407">
        <v>2406</v>
      </c>
      <c r="C2721" s="407">
        <v>8479</v>
      </c>
      <c r="D2721" s="408">
        <v>41803</v>
      </c>
      <c r="E2721" s="428" t="s">
        <v>12600</v>
      </c>
    </row>
    <row r="2722" spans="2:5">
      <c r="B2722" s="407">
        <v>2406</v>
      </c>
      <c r="C2722" s="407">
        <v>8478</v>
      </c>
      <c r="D2722" s="408">
        <v>41803</v>
      </c>
      <c r="E2722" s="428" t="s">
        <v>12599</v>
      </c>
    </row>
    <row r="2723" spans="2:5">
      <c r="B2723" s="407">
        <v>2406</v>
      </c>
      <c r="C2723" s="407">
        <v>8477</v>
      </c>
      <c r="D2723" s="408">
        <v>41803</v>
      </c>
      <c r="E2723" s="428" t="s">
        <v>12598</v>
      </c>
    </row>
    <row r="2724" spans="2:5">
      <c r="B2724" s="407">
        <v>2406</v>
      </c>
      <c r="C2724" s="407">
        <v>8476</v>
      </c>
      <c r="D2724" s="408">
        <v>41803</v>
      </c>
      <c r="E2724" s="428" t="s">
        <v>12597</v>
      </c>
    </row>
    <row r="2725" spans="2:5">
      <c r="B2725" s="407">
        <v>2406</v>
      </c>
      <c r="C2725" s="407">
        <v>8475</v>
      </c>
      <c r="D2725" s="408">
        <v>41803</v>
      </c>
      <c r="E2725" s="428" t="s">
        <v>12596</v>
      </c>
    </row>
    <row r="2726" spans="2:5">
      <c r="B2726" s="407">
        <v>2406</v>
      </c>
      <c r="C2726" s="407">
        <v>8474</v>
      </c>
      <c r="D2726" s="408">
        <v>41803</v>
      </c>
      <c r="E2726" s="428" t="s">
        <v>12595</v>
      </c>
    </row>
    <row r="2727" spans="2:5">
      <c r="B2727" s="407">
        <v>2406</v>
      </c>
      <c r="C2727" s="407">
        <v>8473</v>
      </c>
      <c r="D2727" s="408">
        <v>41803</v>
      </c>
      <c r="E2727" s="427" t="s">
        <v>12608</v>
      </c>
    </row>
    <row r="2728" spans="2:5">
      <c r="B2728" s="407">
        <v>2406</v>
      </c>
      <c r="C2728" s="407">
        <v>8472</v>
      </c>
      <c r="D2728" s="408">
        <v>41803</v>
      </c>
      <c r="E2728" s="427" t="s">
        <v>12607</v>
      </c>
    </row>
    <row r="2729" spans="2:5">
      <c r="B2729" s="407">
        <v>2406</v>
      </c>
      <c r="C2729" s="407">
        <v>8471</v>
      </c>
      <c r="D2729" s="408">
        <v>41803</v>
      </c>
      <c r="E2729" s="427" t="s">
        <v>12606</v>
      </c>
    </row>
    <row r="2730" spans="2:5">
      <c r="B2730" s="407">
        <v>2406</v>
      </c>
      <c r="C2730" s="407">
        <v>8469</v>
      </c>
      <c r="D2730" s="408">
        <v>41803</v>
      </c>
      <c r="E2730" s="427" t="s">
        <v>12605</v>
      </c>
    </row>
    <row r="2731" spans="2:5">
      <c r="B2731" s="407">
        <v>2406</v>
      </c>
      <c r="C2731" s="407">
        <v>8467</v>
      </c>
      <c r="D2731" s="408">
        <v>41803</v>
      </c>
      <c r="E2731" s="427" t="s">
        <v>12604</v>
      </c>
    </row>
    <row r="2732" spans="2:5">
      <c r="B2732" s="407">
        <v>2406</v>
      </c>
      <c r="C2732" s="407">
        <v>8466</v>
      </c>
      <c r="D2732" s="408">
        <v>41803</v>
      </c>
      <c r="E2732" s="428" t="s">
        <v>12609</v>
      </c>
    </row>
    <row r="2733" spans="2:5">
      <c r="B2733" s="407">
        <v>2406</v>
      </c>
      <c r="C2733" s="407">
        <v>8465</v>
      </c>
      <c r="D2733" s="408">
        <v>41803</v>
      </c>
      <c r="E2733" s="428" t="s">
        <v>12616</v>
      </c>
    </row>
    <row r="2734" spans="2:5">
      <c r="B2734" s="407">
        <v>2406</v>
      </c>
      <c r="C2734" s="407">
        <v>8464</v>
      </c>
      <c r="D2734" s="408">
        <v>41803</v>
      </c>
      <c r="E2734" s="428" t="s">
        <v>12615</v>
      </c>
    </row>
    <row r="2735" spans="2:5">
      <c r="B2735" s="407">
        <v>2406</v>
      </c>
      <c r="C2735" s="407">
        <v>8463</v>
      </c>
      <c r="D2735" s="408">
        <v>41803</v>
      </c>
      <c r="E2735" s="428" t="s">
        <v>12614</v>
      </c>
    </row>
    <row r="2736" spans="2:5">
      <c r="B2736" s="407">
        <v>2406</v>
      </c>
      <c r="C2736" s="407">
        <v>8461</v>
      </c>
      <c r="D2736" s="408">
        <v>41803</v>
      </c>
      <c r="E2736" s="428" t="s">
        <v>12613</v>
      </c>
    </row>
    <row r="2737" spans="2:5">
      <c r="B2737" s="407">
        <v>2406</v>
      </c>
      <c r="C2737" s="407">
        <v>8457</v>
      </c>
      <c r="D2737" s="408">
        <v>41803</v>
      </c>
      <c r="E2737" s="428" t="s">
        <v>12612</v>
      </c>
    </row>
    <row r="2738" spans="2:5">
      <c r="B2738" s="407">
        <v>2406</v>
      </c>
      <c r="C2738" s="407">
        <v>8455</v>
      </c>
      <c r="D2738" s="408">
        <v>41803</v>
      </c>
      <c r="E2738" s="428" t="s">
        <v>12611</v>
      </c>
    </row>
    <row r="2739" spans="2:5">
      <c r="B2739" s="407">
        <v>2406</v>
      </c>
      <c r="C2739" s="407">
        <v>8454</v>
      </c>
      <c r="D2739" s="408">
        <v>41803</v>
      </c>
      <c r="E2739" s="428" t="s">
        <v>12610</v>
      </c>
    </row>
    <row r="2740" spans="2:5">
      <c r="B2740" s="407">
        <v>2406</v>
      </c>
      <c r="C2740" s="407">
        <v>8453</v>
      </c>
      <c r="D2740" s="408">
        <v>41803</v>
      </c>
      <c r="E2740" s="428" t="s">
        <v>12624</v>
      </c>
    </row>
    <row r="2741" spans="2:5">
      <c r="B2741" s="407">
        <v>2406</v>
      </c>
      <c r="C2741" s="407">
        <v>8451</v>
      </c>
      <c r="D2741" s="408">
        <v>41803</v>
      </c>
      <c r="E2741" s="428" t="s">
        <v>12623</v>
      </c>
    </row>
    <row r="2742" spans="2:5">
      <c r="B2742" s="407">
        <v>2406</v>
      </c>
      <c r="C2742" s="407">
        <v>8447</v>
      </c>
      <c r="D2742" s="408">
        <v>41803</v>
      </c>
      <c r="E2742" s="428" t="s">
        <v>12622</v>
      </c>
    </row>
    <row r="2743" spans="2:5">
      <c r="B2743" s="407">
        <v>2406</v>
      </c>
      <c r="C2743" s="407">
        <v>8446</v>
      </c>
      <c r="D2743" s="408">
        <v>41803</v>
      </c>
      <c r="E2743" s="428" t="s">
        <v>12621</v>
      </c>
    </row>
    <row r="2744" spans="2:5">
      <c r="B2744" s="407">
        <v>2406</v>
      </c>
      <c r="C2744" s="407">
        <v>8445</v>
      </c>
      <c r="D2744" s="408">
        <v>41803</v>
      </c>
      <c r="E2744" s="428" t="s">
        <v>12620</v>
      </c>
    </row>
    <row r="2745" spans="2:5">
      <c r="B2745" s="407">
        <v>2406</v>
      </c>
      <c r="C2745" s="407">
        <v>8444</v>
      </c>
      <c r="D2745" s="408">
        <v>41803</v>
      </c>
      <c r="E2745" s="428" t="s">
        <v>12619</v>
      </c>
    </row>
    <row r="2746" spans="2:5">
      <c r="B2746" s="407">
        <v>2406</v>
      </c>
      <c r="C2746" s="407">
        <v>8443</v>
      </c>
      <c r="D2746" s="408">
        <v>41803</v>
      </c>
      <c r="E2746" s="428" t="s">
        <v>12618</v>
      </c>
    </row>
    <row r="2747" spans="2:5">
      <c r="B2747" s="407">
        <v>2406</v>
      </c>
      <c r="C2747" s="407">
        <v>8440</v>
      </c>
      <c r="D2747" s="408">
        <v>41803</v>
      </c>
      <c r="E2747" s="428" t="s">
        <v>12617</v>
      </c>
    </row>
    <row r="2748" spans="2:5">
      <c r="B2748" s="409">
        <v>2406</v>
      </c>
      <c r="C2748" s="409">
        <v>6527</v>
      </c>
      <c r="D2748" s="410">
        <v>45454</v>
      </c>
      <c r="E2748" s="424" t="s">
        <v>12556</v>
      </c>
    </row>
    <row r="2749" spans="2:5">
      <c r="B2749" s="409">
        <v>2406</v>
      </c>
      <c r="C2749" s="409">
        <v>6526</v>
      </c>
      <c r="D2749" s="410">
        <v>45454</v>
      </c>
      <c r="E2749" s="424" t="s">
        <v>12557</v>
      </c>
    </row>
    <row r="2750" spans="2:5">
      <c r="B2750" s="409">
        <v>2406</v>
      </c>
      <c r="C2750" s="409">
        <v>6525</v>
      </c>
      <c r="D2750" s="410">
        <v>45454</v>
      </c>
      <c r="E2750" s="424" t="s">
        <v>12558</v>
      </c>
    </row>
    <row r="2751" spans="2:5">
      <c r="B2751" s="422">
        <v>2406</v>
      </c>
      <c r="C2751" s="407">
        <v>6523</v>
      </c>
      <c r="D2751" s="408">
        <v>45454</v>
      </c>
      <c r="E2751" s="427" t="s">
        <v>12559</v>
      </c>
    </row>
    <row r="2752" spans="2:5">
      <c r="B2752" s="422">
        <v>2406</v>
      </c>
      <c r="C2752" s="407">
        <v>6521</v>
      </c>
      <c r="D2752" s="408">
        <v>45454</v>
      </c>
      <c r="E2752" s="427" t="s">
        <v>12560</v>
      </c>
    </row>
    <row r="2753" spans="2:5">
      <c r="B2753" s="422">
        <v>2406</v>
      </c>
      <c r="C2753" s="407">
        <v>6520</v>
      </c>
      <c r="D2753" s="408">
        <v>45454</v>
      </c>
      <c r="E2753" s="427" t="s">
        <v>12561</v>
      </c>
    </row>
    <row r="2754" spans="2:5">
      <c r="B2754" s="422">
        <v>2406</v>
      </c>
      <c r="C2754" s="407">
        <v>6519</v>
      </c>
      <c r="D2754" s="408">
        <v>45454</v>
      </c>
      <c r="E2754" s="427" t="s">
        <v>12562</v>
      </c>
    </row>
    <row r="2755" spans="2:5">
      <c r="B2755" s="422">
        <v>2406</v>
      </c>
      <c r="C2755" s="407">
        <v>6518</v>
      </c>
      <c r="D2755" s="408">
        <v>45454</v>
      </c>
      <c r="E2755" s="427" t="s">
        <v>12563</v>
      </c>
    </row>
    <row r="2756" spans="2:5">
      <c r="B2756" s="422">
        <v>2406</v>
      </c>
      <c r="C2756" s="407">
        <v>6517</v>
      </c>
      <c r="D2756" s="408">
        <v>45454</v>
      </c>
      <c r="E2756" s="427" t="s">
        <v>12564</v>
      </c>
    </row>
    <row r="2757" spans="2:5">
      <c r="B2757" s="422">
        <v>2406</v>
      </c>
      <c r="C2757" s="407">
        <v>6516</v>
      </c>
      <c r="D2757" s="408">
        <v>45454</v>
      </c>
      <c r="E2757" s="427" t="s">
        <v>12565</v>
      </c>
    </row>
    <row r="2758" spans="2:5">
      <c r="B2758" s="422">
        <v>2406</v>
      </c>
      <c r="C2758" s="407">
        <v>6514</v>
      </c>
      <c r="D2758" s="408">
        <v>45454</v>
      </c>
      <c r="E2758" s="427" t="s">
        <v>12566</v>
      </c>
    </row>
    <row r="2759" spans="2:5">
      <c r="B2759" s="422">
        <v>2406</v>
      </c>
      <c r="C2759" s="407">
        <v>6512</v>
      </c>
      <c r="D2759" s="408">
        <v>45454</v>
      </c>
      <c r="E2759" s="427" t="s">
        <v>12567</v>
      </c>
    </row>
    <row r="2760" spans="2:5">
      <c r="B2760" s="422">
        <v>2406</v>
      </c>
      <c r="C2760" s="407">
        <v>6509</v>
      </c>
      <c r="D2760" s="408">
        <v>45454</v>
      </c>
      <c r="E2760" s="427" t="s">
        <v>12568</v>
      </c>
    </row>
    <row r="2761" spans="2:5">
      <c r="B2761" s="422">
        <v>2406</v>
      </c>
      <c r="C2761" s="407">
        <v>6508</v>
      </c>
      <c r="D2761" s="408">
        <v>45454</v>
      </c>
      <c r="E2761" s="427" t="s">
        <v>12569</v>
      </c>
    </row>
    <row r="2762" spans="2:5">
      <c r="B2762" s="422">
        <v>2406</v>
      </c>
      <c r="C2762" s="407">
        <v>6507</v>
      </c>
      <c r="D2762" s="408">
        <v>45454</v>
      </c>
      <c r="E2762" s="427" t="s">
        <v>12570</v>
      </c>
    </row>
    <row r="2763" spans="2:5">
      <c r="B2763" s="422">
        <v>2406</v>
      </c>
      <c r="C2763" s="407">
        <v>6504</v>
      </c>
      <c r="D2763" s="408">
        <v>45454</v>
      </c>
      <c r="E2763" s="427" t="s">
        <v>12571</v>
      </c>
    </row>
    <row r="2764" spans="2:5">
      <c r="B2764" s="422">
        <v>2406</v>
      </c>
      <c r="C2764" s="407">
        <v>6500</v>
      </c>
      <c r="D2764" s="408">
        <v>45454</v>
      </c>
      <c r="E2764" s="427" t="s">
        <v>12572</v>
      </c>
    </row>
    <row r="2765" spans="2:5">
      <c r="B2765" s="422">
        <v>2406</v>
      </c>
      <c r="C2765" s="407">
        <v>6499</v>
      </c>
      <c r="D2765" s="408">
        <v>45454</v>
      </c>
      <c r="E2765" s="427" t="s">
        <v>12573</v>
      </c>
    </row>
    <row r="2766" spans="2:5">
      <c r="B2766" s="422">
        <v>2406</v>
      </c>
      <c r="C2766" s="407">
        <v>6498</v>
      </c>
      <c r="D2766" s="408">
        <v>45454</v>
      </c>
      <c r="E2766" s="427" t="s">
        <v>12574</v>
      </c>
    </row>
    <row r="2767" spans="2:5">
      <c r="B2767" s="422">
        <v>2406</v>
      </c>
      <c r="C2767" s="407">
        <v>6496</v>
      </c>
      <c r="D2767" s="408">
        <v>45454</v>
      </c>
      <c r="E2767" s="427" t="s">
        <v>12575</v>
      </c>
    </row>
    <row r="2768" spans="2:5">
      <c r="B2768" s="422">
        <v>2406</v>
      </c>
      <c r="C2768" s="407">
        <v>6495</v>
      </c>
      <c r="D2768" s="408">
        <v>45454</v>
      </c>
      <c r="E2768" s="427" t="s">
        <v>12576</v>
      </c>
    </row>
    <row r="2769" spans="2:5">
      <c r="B2769" s="422">
        <v>2406</v>
      </c>
      <c r="C2769" s="407">
        <v>6494</v>
      </c>
      <c r="D2769" s="408">
        <v>45454</v>
      </c>
      <c r="E2769" s="427" t="s">
        <v>12577</v>
      </c>
    </row>
    <row r="2770" spans="2:5">
      <c r="B2770" s="422">
        <v>2406</v>
      </c>
      <c r="C2770" s="407">
        <v>6487</v>
      </c>
      <c r="D2770" s="408">
        <v>45454</v>
      </c>
      <c r="E2770" s="427" t="s">
        <v>12578</v>
      </c>
    </row>
    <row r="2771" spans="2:5">
      <c r="B2771" s="422">
        <v>2406</v>
      </c>
      <c r="C2771" s="407">
        <v>6486</v>
      </c>
      <c r="D2771" s="408">
        <v>45454</v>
      </c>
      <c r="E2771" s="427" t="s">
        <v>12579</v>
      </c>
    </row>
    <row r="2772" spans="2:5">
      <c r="B2772" s="422">
        <v>2406</v>
      </c>
      <c r="C2772" s="407">
        <v>6485</v>
      </c>
      <c r="D2772" s="408">
        <v>45454</v>
      </c>
      <c r="E2772" s="427" t="s">
        <v>12580</v>
      </c>
    </row>
    <row r="2773" spans="2:5">
      <c r="B2773" s="422">
        <v>2406</v>
      </c>
      <c r="C2773" s="407">
        <v>6484</v>
      </c>
      <c r="D2773" s="408">
        <v>45454</v>
      </c>
      <c r="E2773" s="427" t="s">
        <v>12581</v>
      </c>
    </row>
    <row r="2774" spans="2:5">
      <c r="B2774" s="422">
        <v>2406</v>
      </c>
      <c r="C2774" s="407">
        <v>6483</v>
      </c>
      <c r="D2774" s="408">
        <v>45454</v>
      </c>
      <c r="E2774" s="427" t="s">
        <v>12582</v>
      </c>
    </row>
    <row r="2775" spans="2:5">
      <c r="B2775" s="422">
        <v>2406</v>
      </c>
      <c r="C2775" s="407">
        <v>6483</v>
      </c>
      <c r="D2775" s="408">
        <v>45454</v>
      </c>
      <c r="E2775" s="427" t="s">
        <v>12583</v>
      </c>
    </row>
    <row r="2776" spans="2:5">
      <c r="B2776" s="422">
        <v>2406</v>
      </c>
      <c r="C2776" s="407">
        <v>6479</v>
      </c>
      <c r="D2776" s="408">
        <v>45454</v>
      </c>
      <c r="E2776" s="427" t="s">
        <v>12584</v>
      </c>
    </row>
    <row r="2777" spans="2:5">
      <c r="B2777" s="422">
        <v>2406</v>
      </c>
      <c r="C2777" s="407">
        <v>6477</v>
      </c>
      <c r="D2777" s="408">
        <v>45454</v>
      </c>
      <c r="E2777" s="427" t="s">
        <v>12585</v>
      </c>
    </row>
    <row r="2778" spans="2:5">
      <c r="B2778" s="422">
        <v>2406</v>
      </c>
      <c r="C2778" s="407">
        <v>6475</v>
      </c>
      <c r="D2778" s="408">
        <v>45454</v>
      </c>
      <c r="E2778" s="427" t="s">
        <v>12586</v>
      </c>
    </row>
    <row r="2779" spans="2:5">
      <c r="B2779" s="409">
        <v>2406</v>
      </c>
      <c r="C2779" s="409">
        <v>6474</v>
      </c>
      <c r="D2779" s="410">
        <v>45454</v>
      </c>
      <c r="E2779" s="424" t="s">
        <v>12587</v>
      </c>
    </row>
    <row r="2780" spans="2:5">
      <c r="B2780" s="422">
        <v>2406</v>
      </c>
      <c r="C2780" s="407">
        <v>6473</v>
      </c>
      <c r="D2780" s="408">
        <v>45454</v>
      </c>
      <c r="E2780" s="427" t="s">
        <v>12588</v>
      </c>
    </row>
    <row r="2781" spans="2:5">
      <c r="B2781" s="422">
        <v>2406</v>
      </c>
      <c r="C2781" s="407">
        <v>6470</v>
      </c>
      <c r="D2781" s="408">
        <v>45454</v>
      </c>
      <c r="E2781" s="427" t="s">
        <v>12589</v>
      </c>
    </row>
    <row r="2782" spans="2:5">
      <c r="B2782" s="422">
        <v>2406</v>
      </c>
      <c r="C2782" s="407">
        <v>6469</v>
      </c>
      <c r="D2782" s="408">
        <v>45454</v>
      </c>
      <c r="E2782" s="427" t="s">
        <v>12590</v>
      </c>
    </row>
    <row r="2783" spans="2:5">
      <c r="B2783" s="422">
        <v>2406</v>
      </c>
      <c r="C2783" s="407">
        <v>6467</v>
      </c>
      <c r="D2783" s="408">
        <v>45454</v>
      </c>
      <c r="E2783" s="427" t="s">
        <v>12591</v>
      </c>
    </row>
    <row r="2784" spans="2:5">
      <c r="B2784" s="422">
        <v>2406</v>
      </c>
      <c r="C2784" s="407">
        <v>5779</v>
      </c>
      <c r="D2784" s="408">
        <v>45472</v>
      </c>
      <c r="E2784" s="430" t="s">
        <v>12878</v>
      </c>
    </row>
    <row r="2785" spans="2:5">
      <c r="B2785" s="422">
        <v>2406</v>
      </c>
      <c r="C2785" s="407">
        <v>5132</v>
      </c>
      <c r="D2785" s="408">
        <v>45453</v>
      </c>
      <c r="E2785" s="420" t="s">
        <v>12367</v>
      </c>
    </row>
    <row r="2786" spans="2:5">
      <c r="B2786" s="422">
        <v>2406</v>
      </c>
      <c r="C2786" s="407">
        <v>5131</v>
      </c>
      <c r="D2786" s="408">
        <v>45453</v>
      </c>
      <c r="E2786" s="420" t="s">
        <v>12368</v>
      </c>
    </row>
    <row r="2787" spans="2:5">
      <c r="B2787" s="422">
        <v>2406</v>
      </c>
      <c r="C2787" s="407">
        <v>5130</v>
      </c>
      <c r="D2787" s="408">
        <v>45453</v>
      </c>
      <c r="E2787" s="420" t="s">
        <v>12369</v>
      </c>
    </row>
    <row r="2788" spans="2:5">
      <c r="B2788" s="422">
        <v>2406</v>
      </c>
      <c r="C2788" s="407">
        <v>5128</v>
      </c>
      <c r="D2788" s="408">
        <v>45453</v>
      </c>
      <c r="E2788" s="420" t="s">
        <v>12370</v>
      </c>
    </row>
    <row r="2789" spans="2:5">
      <c r="B2789" s="422">
        <v>2406</v>
      </c>
      <c r="C2789" s="407">
        <v>5127</v>
      </c>
      <c r="D2789" s="408">
        <v>45453</v>
      </c>
      <c r="E2789" s="420" t="s">
        <v>12371</v>
      </c>
    </row>
    <row r="2790" spans="2:5">
      <c r="B2790" s="422">
        <v>2406</v>
      </c>
      <c r="C2790" s="407">
        <v>5121</v>
      </c>
      <c r="D2790" s="408">
        <v>45453</v>
      </c>
      <c r="E2790" s="420" t="s">
        <v>12372</v>
      </c>
    </row>
    <row r="2791" spans="2:5">
      <c r="B2791" s="422">
        <v>2406</v>
      </c>
      <c r="C2791" s="407">
        <v>5120</v>
      </c>
      <c r="D2791" s="408">
        <v>45453</v>
      </c>
      <c r="E2791" s="420" t="s">
        <v>12373</v>
      </c>
    </row>
    <row r="2792" spans="2:5">
      <c r="B2792" s="422">
        <v>2406</v>
      </c>
      <c r="C2792" s="407">
        <v>5119</v>
      </c>
      <c r="D2792" s="408">
        <v>45453</v>
      </c>
      <c r="E2792" s="420" t="s">
        <v>12374</v>
      </c>
    </row>
    <row r="2793" spans="2:5">
      <c r="B2793" s="422">
        <v>2406</v>
      </c>
      <c r="C2793" s="407">
        <v>5114</v>
      </c>
      <c r="D2793" s="408">
        <v>45453</v>
      </c>
      <c r="E2793" s="420" t="s">
        <v>12375</v>
      </c>
    </row>
    <row r="2794" spans="2:5">
      <c r="B2794" s="422">
        <v>2406</v>
      </c>
      <c r="C2794" s="407">
        <v>5113</v>
      </c>
      <c r="D2794" s="408">
        <v>45453</v>
      </c>
      <c r="E2794" s="420" t="s">
        <v>12376</v>
      </c>
    </row>
    <row r="2795" spans="2:5">
      <c r="B2795" s="422">
        <v>2406</v>
      </c>
      <c r="C2795" s="407">
        <v>5111</v>
      </c>
      <c r="D2795" s="408">
        <v>45453</v>
      </c>
      <c r="E2795" s="420" t="s">
        <v>12377</v>
      </c>
    </row>
    <row r="2796" spans="2:5">
      <c r="B2796" s="422">
        <v>2406</v>
      </c>
      <c r="C2796" s="407">
        <v>5109</v>
      </c>
      <c r="D2796" s="408">
        <v>45453</v>
      </c>
      <c r="E2796" s="420" t="s">
        <v>12378</v>
      </c>
    </row>
    <row r="2797" spans="2:5">
      <c r="B2797" s="422">
        <v>2406</v>
      </c>
      <c r="C2797" s="407">
        <v>5108</v>
      </c>
      <c r="D2797" s="408">
        <v>45453</v>
      </c>
      <c r="E2797" s="420" t="s">
        <v>12379</v>
      </c>
    </row>
    <row r="2798" spans="2:5">
      <c r="B2798" s="422">
        <v>2406</v>
      </c>
      <c r="C2798" s="407">
        <v>5107</v>
      </c>
      <c r="D2798" s="408">
        <v>45453</v>
      </c>
      <c r="E2798" s="426" t="s">
        <v>12380</v>
      </c>
    </row>
    <row r="2799" spans="2:5">
      <c r="B2799" s="422">
        <v>2406</v>
      </c>
      <c r="C2799" s="407">
        <v>5096</v>
      </c>
      <c r="D2799" s="408">
        <v>45453</v>
      </c>
      <c r="E2799" s="420" t="s">
        <v>12381</v>
      </c>
    </row>
    <row r="2800" spans="2:5">
      <c r="B2800" s="422">
        <v>2406</v>
      </c>
      <c r="C2800" s="407">
        <v>5090</v>
      </c>
      <c r="D2800" s="408">
        <v>45453</v>
      </c>
      <c r="E2800" s="420" t="s">
        <v>12388</v>
      </c>
    </row>
    <row r="2801" spans="2:5">
      <c r="B2801" s="422">
        <v>2406</v>
      </c>
      <c r="C2801" s="407">
        <v>5088</v>
      </c>
      <c r="D2801" s="408">
        <v>45453</v>
      </c>
      <c r="E2801" s="420" t="s">
        <v>12389</v>
      </c>
    </row>
    <row r="2802" spans="2:5">
      <c r="B2802" s="422">
        <v>2406</v>
      </c>
      <c r="C2802" s="407">
        <v>5087</v>
      </c>
      <c r="D2802" s="408">
        <v>45453</v>
      </c>
      <c r="E2802" s="420" t="s">
        <v>12390</v>
      </c>
    </row>
    <row r="2803" spans="2:5">
      <c r="B2803" s="422">
        <v>2406</v>
      </c>
      <c r="C2803" s="407">
        <v>5086</v>
      </c>
      <c r="D2803" s="408">
        <v>45453</v>
      </c>
      <c r="E2803" s="420" t="s">
        <v>12391</v>
      </c>
    </row>
    <row r="2804" spans="2:5">
      <c r="B2804" s="422">
        <v>2406</v>
      </c>
      <c r="C2804" s="407">
        <v>5085</v>
      </c>
      <c r="D2804" s="408">
        <v>45453</v>
      </c>
      <c r="E2804" s="420" t="s">
        <v>12393</v>
      </c>
    </row>
    <row r="2805" spans="2:5">
      <c r="B2805" s="422">
        <v>2406</v>
      </c>
      <c r="C2805" s="407">
        <v>5082</v>
      </c>
      <c r="D2805" s="408">
        <v>45453</v>
      </c>
      <c r="E2805" s="420" t="s">
        <v>12394</v>
      </c>
    </row>
    <row r="2806" spans="2:5">
      <c r="B2806" s="422">
        <v>2406</v>
      </c>
      <c r="C2806" s="407">
        <v>5080</v>
      </c>
      <c r="D2806" s="408">
        <v>45453</v>
      </c>
      <c r="E2806" s="420" t="s">
        <v>12396</v>
      </c>
    </row>
    <row r="2807" spans="2:5">
      <c r="B2807" s="422">
        <v>2406</v>
      </c>
      <c r="C2807" s="407">
        <v>5079</v>
      </c>
      <c r="D2807" s="408">
        <v>45453</v>
      </c>
      <c r="E2807" s="420" t="s">
        <v>12397</v>
      </c>
    </row>
    <row r="2808" spans="2:5">
      <c r="B2808" s="422">
        <v>2406</v>
      </c>
      <c r="C2808" s="407">
        <v>5075</v>
      </c>
      <c r="D2808" s="408">
        <v>45453</v>
      </c>
      <c r="E2808" s="420" t="s">
        <v>12399</v>
      </c>
    </row>
    <row r="2809" spans="2:5">
      <c r="B2809" s="422">
        <v>2406</v>
      </c>
      <c r="C2809" s="407">
        <v>5074</v>
      </c>
      <c r="D2809" s="408">
        <v>45453</v>
      </c>
      <c r="E2809" s="420" t="s">
        <v>12400</v>
      </c>
    </row>
    <row r="2810" spans="2:5">
      <c r="B2810" s="422">
        <v>2406</v>
      </c>
      <c r="C2810" s="407">
        <v>5072</v>
      </c>
      <c r="D2810" s="408">
        <v>45453</v>
      </c>
      <c r="E2810" s="420" t="s">
        <v>12401</v>
      </c>
    </row>
    <row r="2811" spans="2:5">
      <c r="B2811" s="422">
        <v>2406</v>
      </c>
      <c r="C2811" s="407">
        <v>5071</v>
      </c>
      <c r="D2811" s="408">
        <v>45453</v>
      </c>
      <c r="E2811" s="420" t="s">
        <v>12402</v>
      </c>
    </row>
    <row r="2812" spans="2:5">
      <c r="B2812" s="422">
        <v>2406</v>
      </c>
      <c r="C2812" s="407">
        <v>5068</v>
      </c>
      <c r="D2812" s="408">
        <v>45453</v>
      </c>
      <c r="E2812" s="420" t="s">
        <v>12403</v>
      </c>
    </row>
    <row r="2813" spans="2:5">
      <c r="B2813" s="422">
        <v>2406</v>
      </c>
      <c r="C2813" s="407">
        <v>5064</v>
      </c>
      <c r="D2813" s="408">
        <v>45453</v>
      </c>
      <c r="E2813" s="420" t="s">
        <v>12404</v>
      </c>
    </row>
    <row r="2814" spans="2:5">
      <c r="B2814" s="422">
        <v>2406</v>
      </c>
      <c r="C2814" s="407">
        <v>5063</v>
      </c>
      <c r="D2814" s="408">
        <v>45453</v>
      </c>
      <c r="E2814" s="420" t="s">
        <v>12405</v>
      </c>
    </row>
    <row r="2815" spans="2:5">
      <c r="B2815" s="422">
        <v>2406</v>
      </c>
      <c r="C2815" s="407">
        <v>5059</v>
      </c>
      <c r="D2815" s="408">
        <v>45453</v>
      </c>
      <c r="E2815" s="420" t="s">
        <v>12406</v>
      </c>
    </row>
    <row r="2816" spans="2:5">
      <c r="B2816" s="422">
        <v>2406</v>
      </c>
      <c r="C2816" s="407">
        <v>5055</v>
      </c>
      <c r="D2816" s="408">
        <v>45453</v>
      </c>
      <c r="E2816" s="420" t="s">
        <v>12408</v>
      </c>
    </row>
    <row r="2817" spans="2:5">
      <c r="B2817" s="422">
        <v>2406</v>
      </c>
      <c r="C2817" s="407">
        <v>5054</v>
      </c>
      <c r="D2817" s="408">
        <v>45453</v>
      </c>
      <c r="E2817" s="420" t="s">
        <v>12409</v>
      </c>
    </row>
    <row r="2818" spans="2:5">
      <c r="B2818" s="422">
        <v>2406</v>
      </c>
      <c r="C2818" s="407">
        <v>5053</v>
      </c>
      <c r="D2818" s="408">
        <v>45453</v>
      </c>
      <c r="E2818" s="420" t="s">
        <v>12410</v>
      </c>
    </row>
    <row r="2819" spans="2:5">
      <c r="B2819" s="422">
        <v>2406</v>
      </c>
      <c r="C2819" s="407">
        <v>5045</v>
      </c>
      <c r="D2819" s="408">
        <v>45453</v>
      </c>
      <c r="E2819" s="420" t="s">
        <v>12411</v>
      </c>
    </row>
    <row r="2820" spans="2:5">
      <c r="B2820" s="422">
        <v>2406</v>
      </c>
      <c r="C2820" s="407">
        <v>5040</v>
      </c>
      <c r="D2820" s="408">
        <v>45453</v>
      </c>
      <c r="E2820" s="420" t="s">
        <v>12407</v>
      </c>
    </row>
    <row r="2821" spans="2:5">
      <c r="B2821" s="422">
        <v>2406</v>
      </c>
      <c r="C2821" s="407">
        <v>5039</v>
      </c>
      <c r="D2821" s="408">
        <v>45453</v>
      </c>
      <c r="E2821" s="420" t="s">
        <v>12415</v>
      </c>
    </row>
    <row r="2822" spans="2:5">
      <c r="B2822" s="422">
        <v>2406</v>
      </c>
      <c r="C2822" s="407">
        <v>5038</v>
      </c>
      <c r="D2822" s="408">
        <v>45453</v>
      </c>
      <c r="E2822" s="420" t="s">
        <v>12417</v>
      </c>
    </row>
    <row r="2823" spans="2:5">
      <c r="B2823" s="422">
        <v>2406</v>
      </c>
      <c r="C2823" s="407">
        <v>5036</v>
      </c>
      <c r="D2823" s="408">
        <v>45453</v>
      </c>
      <c r="E2823" s="420" t="s">
        <v>12418</v>
      </c>
    </row>
    <row r="2824" spans="2:5">
      <c r="B2824" s="422">
        <v>2406</v>
      </c>
      <c r="C2824" s="407">
        <v>5035</v>
      </c>
      <c r="D2824" s="408">
        <v>45453</v>
      </c>
      <c r="E2824" s="420" t="s">
        <v>12419</v>
      </c>
    </row>
    <row r="2825" spans="2:5">
      <c r="B2825" s="422">
        <v>2406</v>
      </c>
      <c r="C2825" s="407">
        <v>5033</v>
      </c>
      <c r="D2825" s="408">
        <v>45453</v>
      </c>
      <c r="E2825" s="420" t="s">
        <v>12420</v>
      </c>
    </row>
    <row r="2826" spans="2:5">
      <c r="B2826" s="422">
        <v>2406</v>
      </c>
      <c r="C2826" s="407">
        <v>5027</v>
      </c>
      <c r="D2826" s="408">
        <v>45453</v>
      </c>
      <c r="E2826" s="420" t="s">
        <v>12422</v>
      </c>
    </row>
    <row r="2827" spans="2:5">
      <c r="B2827" s="422">
        <v>2406</v>
      </c>
      <c r="C2827" s="407">
        <v>5026</v>
      </c>
      <c r="D2827" s="408">
        <v>45453</v>
      </c>
      <c r="E2827" s="420" t="s">
        <v>12423</v>
      </c>
    </row>
    <row r="2828" spans="2:5">
      <c r="B2828" s="422">
        <v>2406</v>
      </c>
      <c r="C2828" s="407">
        <v>5023</v>
      </c>
      <c r="D2828" s="408">
        <v>45453</v>
      </c>
      <c r="E2828" s="420" t="s">
        <v>12424</v>
      </c>
    </row>
    <row r="2829" spans="2:5">
      <c r="B2829" s="422">
        <v>2406</v>
      </c>
      <c r="C2829" s="407">
        <v>5020</v>
      </c>
      <c r="D2829" s="408">
        <v>45453</v>
      </c>
      <c r="E2829" s="420" t="s">
        <v>12426</v>
      </c>
    </row>
    <row r="2830" spans="2:5">
      <c r="B2830" s="422">
        <v>2406</v>
      </c>
      <c r="C2830" s="407">
        <v>5013</v>
      </c>
      <c r="D2830" s="408">
        <v>45453</v>
      </c>
      <c r="E2830" s="420" t="s">
        <v>12427</v>
      </c>
    </row>
    <row r="2831" spans="2:5">
      <c r="B2831" s="422">
        <v>2406</v>
      </c>
      <c r="C2831" s="407">
        <v>5006</v>
      </c>
      <c r="D2831" s="408">
        <v>45453</v>
      </c>
      <c r="E2831" s="420" t="s">
        <v>12429</v>
      </c>
    </row>
    <row r="2832" spans="2:5">
      <c r="B2832" s="422">
        <v>2406</v>
      </c>
      <c r="C2832" s="407">
        <v>5003</v>
      </c>
      <c r="D2832" s="408">
        <v>45453</v>
      </c>
      <c r="E2832" s="420" t="s">
        <v>12430</v>
      </c>
    </row>
    <row r="2833" spans="2:5">
      <c r="B2833" s="422">
        <v>2406</v>
      </c>
      <c r="C2833" s="407">
        <v>5002</v>
      </c>
      <c r="D2833" s="408">
        <v>45453</v>
      </c>
      <c r="E2833" s="420" t="s">
        <v>12431</v>
      </c>
    </row>
    <row r="2834" spans="2:5">
      <c r="B2834" s="409">
        <v>2406</v>
      </c>
      <c r="C2834" s="409">
        <v>5000</v>
      </c>
      <c r="D2834" s="410">
        <v>45453</v>
      </c>
      <c r="E2834" s="424" t="s">
        <v>12432</v>
      </c>
    </row>
    <row r="2835" spans="2:5">
      <c r="B2835" s="422">
        <v>2406</v>
      </c>
      <c r="C2835" s="422">
        <v>4998</v>
      </c>
      <c r="D2835" s="423">
        <v>45453</v>
      </c>
      <c r="E2835" s="420" t="s">
        <v>12436</v>
      </c>
    </row>
    <row r="2836" spans="2:5">
      <c r="B2836" s="422">
        <v>2406</v>
      </c>
      <c r="C2836" s="422">
        <v>4997</v>
      </c>
      <c r="D2836" s="423">
        <v>45453</v>
      </c>
      <c r="E2836" s="420" t="s">
        <v>12437</v>
      </c>
    </row>
    <row r="2837" spans="2:5">
      <c r="B2837" s="409">
        <v>2406</v>
      </c>
      <c r="C2837" s="409">
        <v>4993</v>
      </c>
      <c r="D2837" s="410">
        <v>45453</v>
      </c>
      <c r="E2837" s="424" t="s">
        <v>12438</v>
      </c>
    </row>
    <row r="2838" spans="2:5">
      <c r="B2838" s="422">
        <v>2406</v>
      </c>
      <c r="C2838" s="422">
        <v>4989</v>
      </c>
      <c r="D2838" s="423">
        <v>45453</v>
      </c>
      <c r="E2838" s="420" t="s">
        <v>12439</v>
      </c>
    </row>
    <row r="2839" spans="2:5">
      <c r="B2839" s="422">
        <v>2406</v>
      </c>
      <c r="C2839" s="422">
        <v>4988</v>
      </c>
      <c r="D2839" s="423">
        <v>45453</v>
      </c>
      <c r="E2839" s="420" t="s">
        <v>12440</v>
      </c>
    </row>
    <row r="2840" spans="2:5">
      <c r="B2840" s="422">
        <v>2406</v>
      </c>
      <c r="C2840" s="422">
        <v>4984</v>
      </c>
      <c r="D2840" s="423">
        <v>45453</v>
      </c>
      <c r="E2840" s="420" t="s">
        <v>12442</v>
      </c>
    </row>
    <row r="2841" spans="2:5">
      <c r="B2841" s="422">
        <v>2406</v>
      </c>
      <c r="C2841" s="422">
        <v>4983</v>
      </c>
      <c r="D2841" s="423">
        <v>45453</v>
      </c>
      <c r="E2841" s="420" t="s">
        <v>12443</v>
      </c>
    </row>
    <row r="2842" spans="2:5">
      <c r="B2842" s="422">
        <v>2406</v>
      </c>
      <c r="C2842" s="422">
        <v>4979</v>
      </c>
      <c r="D2842" s="423">
        <v>45453</v>
      </c>
      <c r="E2842" s="420" t="s">
        <v>12444</v>
      </c>
    </row>
    <row r="2843" spans="2:5">
      <c r="B2843" s="422">
        <v>2406</v>
      </c>
      <c r="C2843" s="422">
        <v>4975</v>
      </c>
      <c r="D2843" s="423">
        <v>45453</v>
      </c>
      <c r="E2843" s="420" t="s">
        <v>12446</v>
      </c>
    </row>
    <row r="2844" spans="2:5">
      <c r="B2844" s="422">
        <v>2406</v>
      </c>
      <c r="C2844" s="422">
        <v>4964</v>
      </c>
      <c r="D2844" s="423">
        <v>45453</v>
      </c>
      <c r="E2844" s="420" t="s">
        <v>12449</v>
      </c>
    </row>
    <row r="2845" spans="2:5">
      <c r="B2845" s="422">
        <v>2406</v>
      </c>
      <c r="C2845" s="422">
        <v>4963</v>
      </c>
      <c r="D2845" s="423">
        <v>45453</v>
      </c>
      <c r="E2845" s="420" t="s">
        <v>12450</v>
      </c>
    </row>
    <row r="2846" spans="2:5">
      <c r="B2846" s="422">
        <v>2406</v>
      </c>
      <c r="C2846" s="422">
        <v>4961</v>
      </c>
      <c r="D2846" s="423">
        <v>45453</v>
      </c>
      <c r="E2846" s="420" t="s">
        <v>12452</v>
      </c>
    </row>
    <row r="2847" spans="2:5">
      <c r="B2847" s="422">
        <v>2406</v>
      </c>
      <c r="C2847" s="422">
        <v>4960</v>
      </c>
      <c r="D2847" s="423">
        <v>45453</v>
      </c>
      <c r="E2847" s="420" t="s">
        <v>12453</v>
      </c>
    </row>
    <row r="2848" spans="2:5">
      <c r="B2848" s="422">
        <v>2406</v>
      </c>
      <c r="C2848" s="422">
        <v>4959</v>
      </c>
      <c r="D2848" s="423">
        <v>45453</v>
      </c>
      <c r="E2848" s="420" t="s">
        <v>12454</v>
      </c>
    </row>
    <row r="2849" spans="2:5">
      <c r="B2849" s="422">
        <v>2406</v>
      </c>
      <c r="C2849" s="422">
        <v>4956</v>
      </c>
      <c r="D2849" s="423">
        <v>45453</v>
      </c>
      <c r="E2849" s="420" t="s">
        <v>12455</v>
      </c>
    </row>
    <row r="2850" spans="2:5">
      <c r="B2850" s="422">
        <v>2406</v>
      </c>
      <c r="C2850" s="422">
        <v>4952</v>
      </c>
      <c r="D2850" s="423">
        <v>45453</v>
      </c>
      <c r="E2850" s="420" t="s">
        <v>12456</v>
      </c>
    </row>
    <row r="2851" spans="2:5">
      <c r="B2851" s="422">
        <v>2406</v>
      </c>
      <c r="C2851" s="422">
        <v>4947</v>
      </c>
      <c r="D2851" s="423">
        <v>45453</v>
      </c>
      <c r="E2851" s="420" t="s">
        <v>12459</v>
      </c>
    </row>
    <row r="2852" spans="2:5">
      <c r="B2852" s="422">
        <v>2406</v>
      </c>
      <c r="C2852" s="422">
        <v>4942</v>
      </c>
      <c r="D2852" s="423">
        <v>45453</v>
      </c>
      <c r="E2852" s="420" t="s">
        <v>12463</v>
      </c>
    </row>
    <row r="2853" spans="2:5">
      <c r="B2853" s="422">
        <v>2406</v>
      </c>
      <c r="C2853" s="422">
        <v>4941</v>
      </c>
      <c r="D2853" s="423">
        <v>45453</v>
      </c>
      <c r="E2853" s="420" t="s">
        <v>12464</v>
      </c>
    </row>
    <row r="2854" spans="2:5">
      <c r="B2854" s="422">
        <v>2406</v>
      </c>
      <c r="C2854" s="422">
        <v>4940</v>
      </c>
      <c r="D2854" s="423">
        <v>45453</v>
      </c>
      <c r="E2854" s="420" t="s">
        <v>12465</v>
      </c>
    </row>
    <row r="2855" spans="2:5">
      <c r="B2855" s="422">
        <v>2406</v>
      </c>
      <c r="C2855" s="422">
        <v>4938</v>
      </c>
      <c r="D2855" s="423">
        <v>45453</v>
      </c>
      <c r="E2855" s="420" t="s">
        <v>12466</v>
      </c>
    </row>
    <row r="2856" spans="2:5">
      <c r="B2856" s="422">
        <v>2406</v>
      </c>
      <c r="C2856" s="422">
        <v>4934</v>
      </c>
      <c r="D2856" s="423">
        <v>45453</v>
      </c>
      <c r="E2856" s="420" t="s">
        <v>12468</v>
      </c>
    </row>
    <row r="2857" spans="2:5">
      <c r="B2857" s="422">
        <v>2406</v>
      </c>
      <c r="C2857" s="422">
        <v>4933</v>
      </c>
      <c r="D2857" s="423">
        <v>45453</v>
      </c>
      <c r="E2857" s="420" t="s">
        <v>12469</v>
      </c>
    </row>
    <row r="2858" spans="2:5">
      <c r="B2858" s="422">
        <v>2406</v>
      </c>
      <c r="C2858" s="422">
        <v>4932</v>
      </c>
      <c r="D2858" s="423">
        <v>45453</v>
      </c>
      <c r="E2858" s="420" t="s">
        <v>12470</v>
      </c>
    </row>
    <row r="2859" spans="2:5">
      <c r="B2859" s="422">
        <v>2406</v>
      </c>
      <c r="C2859" s="422">
        <v>4930</v>
      </c>
      <c r="D2859" s="423">
        <v>45453</v>
      </c>
      <c r="E2859" s="420" t="s">
        <v>12471</v>
      </c>
    </row>
    <row r="2860" spans="2:5">
      <c r="B2860" s="422">
        <v>2406</v>
      </c>
      <c r="C2860" s="422">
        <v>4929</v>
      </c>
      <c r="D2860" s="423">
        <v>45453</v>
      </c>
      <c r="E2860" s="420" t="s">
        <v>12472</v>
      </c>
    </row>
    <row r="2861" spans="2:5">
      <c r="B2861" s="422">
        <v>2406</v>
      </c>
      <c r="C2861" s="422">
        <v>4927</v>
      </c>
      <c r="D2861" s="423">
        <v>45453</v>
      </c>
      <c r="E2861" s="420" t="s">
        <v>12473</v>
      </c>
    </row>
    <row r="2862" spans="2:5">
      <c r="B2862" s="422">
        <v>2406</v>
      </c>
      <c r="C2862" s="422">
        <v>4926</v>
      </c>
      <c r="D2862" s="423">
        <v>45453</v>
      </c>
      <c r="E2862" s="420" t="s">
        <v>12474</v>
      </c>
    </row>
    <row r="2863" spans="2:5">
      <c r="B2863" s="422">
        <v>2406</v>
      </c>
      <c r="C2863" s="422">
        <v>4920</v>
      </c>
      <c r="D2863" s="423">
        <v>45453</v>
      </c>
      <c r="E2863" s="420" t="s">
        <v>12475</v>
      </c>
    </row>
    <row r="2864" spans="2:5">
      <c r="B2864" s="422">
        <v>2406</v>
      </c>
      <c r="C2864" s="422">
        <v>4916</v>
      </c>
      <c r="D2864" s="423">
        <v>45453</v>
      </c>
      <c r="E2864" s="420" t="s">
        <v>12478</v>
      </c>
    </row>
    <row r="2865" spans="2:5">
      <c r="B2865" s="422">
        <v>2406</v>
      </c>
      <c r="C2865" s="422">
        <v>4913</v>
      </c>
      <c r="D2865" s="423">
        <v>45453</v>
      </c>
      <c r="E2865" s="420" t="s">
        <v>12481</v>
      </c>
    </row>
    <row r="2866" spans="2:5">
      <c r="B2866" s="422">
        <v>2406</v>
      </c>
      <c r="C2866" s="422">
        <v>4910</v>
      </c>
      <c r="D2866" s="423">
        <v>45453</v>
      </c>
      <c r="E2866" s="420" t="s">
        <v>12486</v>
      </c>
    </row>
    <row r="2867" spans="2:5">
      <c r="B2867" s="422">
        <v>2406</v>
      </c>
      <c r="C2867" s="422">
        <v>4906</v>
      </c>
      <c r="D2867" s="423">
        <v>45453</v>
      </c>
      <c r="E2867" s="420" t="s">
        <v>12488</v>
      </c>
    </row>
    <row r="2868" spans="2:5">
      <c r="B2868" s="409">
        <v>2406</v>
      </c>
      <c r="C2868" s="409">
        <v>4904</v>
      </c>
      <c r="D2868" s="410">
        <v>45453</v>
      </c>
      <c r="E2868" s="424" t="s">
        <v>12490</v>
      </c>
    </row>
    <row r="2869" spans="2:5">
      <c r="B2869" s="422">
        <v>2406</v>
      </c>
      <c r="C2869" s="422">
        <v>4903</v>
      </c>
      <c r="D2869" s="423">
        <v>45453</v>
      </c>
      <c r="E2869" s="420" t="s">
        <v>12491</v>
      </c>
    </row>
    <row r="2870" spans="2:5">
      <c r="B2870" s="422">
        <v>2406</v>
      </c>
      <c r="C2870" s="422">
        <v>4898</v>
      </c>
      <c r="D2870" s="423">
        <v>45453</v>
      </c>
      <c r="E2870" s="420" t="s">
        <v>12493</v>
      </c>
    </row>
    <row r="2871" spans="2:5">
      <c r="B2871" s="422">
        <v>2406</v>
      </c>
      <c r="C2871" s="422">
        <v>4897</v>
      </c>
      <c r="D2871" s="423">
        <v>45453</v>
      </c>
      <c r="E2871" s="420" t="s">
        <v>12494</v>
      </c>
    </row>
    <row r="2872" spans="2:5">
      <c r="B2872" s="422">
        <v>2406</v>
      </c>
      <c r="C2872" s="422">
        <v>4896</v>
      </c>
      <c r="D2872" s="423">
        <v>45453</v>
      </c>
      <c r="E2872" s="420" t="s">
        <v>12495</v>
      </c>
    </row>
    <row r="2873" spans="2:5">
      <c r="B2873" s="422">
        <v>2406</v>
      </c>
      <c r="C2873" s="422">
        <v>4888</v>
      </c>
      <c r="D2873" s="423">
        <v>45453</v>
      </c>
      <c r="E2873" s="420" t="s">
        <v>12499</v>
      </c>
    </row>
    <row r="2874" spans="2:5">
      <c r="B2874" s="422">
        <v>2406</v>
      </c>
      <c r="C2874" s="422">
        <v>4886</v>
      </c>
      <c r="D2874" s="423">
        <v>45453</v>
      </c>
      <c r="E2874" s="420" t="s">
        <v>12500</v>
      </c>
    </row>
    <row r="2875" spans="2:5">
      <c r="B2875" s="422">
        <v>2406</v>
      </c>
      <c r="C2875" s="422">
        <v>4879</v>
      </c>
      <c r="D2875" s="423">
        <v>45453</v>
      </c>
      <c r="E2875" s="420" t="s">
        <v>12501</v>
      </c>
    </row>
    <row r="2876" spans="2:5">
      <c r="B2876" s="422">
        <v>2406</v>
      </c>
      <c r="C2876" s="422">
        <v>4876</v>
      </c>
      <c r="D2876" s="423">
        <v>45453</v>
      </c>
      <c r="E2876" s="420" t="s">
        <v>12503</v>
      </c>
    </row>
    <row r="2877" spans="2:5">
      <c r="B2877" s="422">
        <v>2406</v>
      </c>
      <c r="C2877" s="422">
        <v>4875</v>
      </c>
      <c r="D2877" s="423">
        <v>45453</v>
      </c>
      <c r="E2877" s="420" t="s">
        <v>12504</v>
      </c>
    </row>
    <row r="2878" spans="2:5">
      <c r="B2878" s="422">
        <v>2406</v>
      </c>
      <c r="C2878" s="422">
        <v>4873</v>
      </c>
      <c r="D2878" s="423">
        <v>45453</v>
      </c>
      <c r="E2878" s="420" t="s">
        <v>12505</v>
      </c>
    </row>
    <row r="2879" spans="2:5">
      <c r="B2879" s="422">
        <v>2406</v>
      </c>
      <c r="C2879" s="422">
        <v>4872</v>
      </c>
      <c r="D2879" s="423">
        <v>45453</v>
      </c>
      <c r="E2879" s="420" t="s">
        <v>12506</v>
      </c>
    </row>
    <row r="2880" spans="2:5">
      <c r="B2880" s="422">
        <v>2406</v>
      </c>
      <c r="C2880" s="422">
        <v>4871</v>
      </c>
      <c r="D2880" s="423">
        <v>45453</v>
      </c>
      <c r="E2880" s="420" t="s">
        <v>12508</v>
      </c>
    </row>
    <row r="2881" spans="2:5">
      <c r="B2881" s="422">
        <v>2406</v>
      </c>
      <c r="C2881" s="422">
        <v>4867</v>
      </c>
      <c r="D2881" s="423">
        <v>45453</v>
      </c>
      <c r="E2881" s="420" t="s">
        <v>12509</v>
      </c>
    </row>
    <row r="2882" spans="2:5">
      <c r="B2882" s="422">
        <v>2406</v>
      </c>
      <c r="C2882" s="422">
        <v>4866</v>
      </c>
      <c r="D2882" s="423">
        <v>45453</v>
      </c>
      <c r="E2882" s="420" t="s">
        <v>12511</v>
      </c>
    </row>
    <row r="2883" spans="2:5">
      <c r="B2883" s="422">
        <v>2406</v>
      </c>
      <c r="C2883" s="422">
        <v>4861</v>
      </c>
      <c r="D2883" s="423">
        <v>45453</v>
      </c>
      <c r="E2883" s="420" t="s">
        <v>12514</v>
      </c>
    </row>
    <row r="2884" spans="2:5">
      <c r="B2884" s="422">
        <v>2406</v>
      </c>
      <c r="C2884" s="422">
        <v>4860</v>
      </c>
      <c r="D2884" s="423">
        <v>45453</v>
      </c>
      <c r="E2884" s="420" t="s">
        <v>12515</v>
      </c>
    </row>
    <row r="2885" spans="2:5">
      <c r="B2885" s="422">
        <v>2406</v>
      </c>
      <c r="C2885" s="422">
        <v>4859</v>
      </c>
      <c r="D2885" s="423">
        <v>45453</v>
      </c>
      <c r="E2885" s="420" t="s">
        <v>12516</v>
      </c>
    </row>
    <row r="2886" spans="2:5">
      <c r="B2886" s="422">
        <v>2406</v>
      </c>
      <c r="C2886" s="422">
        <v>4858</v>
      </c>
      <c r="D2886" s="423">
        <v>45453</v>
      </c>
      <c r="E2886" s="420" t="s">
        <v>12517</v>
      </c>
    </row>
    <row r="2887" spans="2:5">
      <c r="B2887" s="422">
        <v>2406</v>
      </c>
      <c r="C2887" s="422">
        <v>4855</v>
      </c>
      <c r="D2887" s="423">
        <v>45453</v>
      </c>
      <c r="E2887" s="420" t="s">
        <v>12518</v>
      </c>
    </row>
    <row r="2888" spans="2:5">
      <c r="B2888" s="422">
        <v>2406</v>
      </c>
      <c r="C2888" s="422">
        <v>4854</v>
      </c>
      <c r="D2888" s="423">
        <v>45453</v>
      </c>
      <c r="E2888" s="420" t="s">
        <v>12519</v>
      </c>
    </row>
    <row r="2889" spans="2:5">
      <c r="B2889" s="422">
        <v>2406</v>
      </c>
      <c r="C2889" s="422">
        <v>4853</v>
      </c>
      <c r="D2889" s="423">
        <v>45453</v>
      </c>
      <c r="E2889" s="420" t="s">
        <v>12520</v>
      </c>
    </row>
    <row r="2890" spans="2:5">
      <c r="B2890" s="422">
        <v>2406</v>
      </c>
      <c r="C2890" s="422">
        <v>4851</v>
      </c>
      <c r="D2890" s="423">
        <v>45453</v>
      </c>
      <c r="E2890" s="420" t="s">
        <v>12521</v>
      </c>
    </row>
    <row r="2891" spans="2:5">
      <c r="B2891" s="422">
        <v>2406</v>
      </c>
      <c r="C2891" s="422">
        <v>4848</v>
      </c>
      <c r="D2891" s="423">
        <v>45453</v>
      </c>
      <c r="E2891" s="420" t="s">
        <v>12522</v>
      </c>
    </row>
    <row r="2892" spans="2:5">
      <c r="B2892" s="422">
        <v>2406</v>
      </c>
      <c r="C2892" s="422">
        <v>4847</v>
      </c>
      <c r="D2892" s="423">
        <v>45453</v>
      </c>
      <c r="E2892" s="420" t="s">
        <v>12524</v>
      </c>
    </row>
    <row r="2893" spans="2:5">
      <c r="B2893" s="422">
        <v>2406</v>
      </c>
      <c r="C2893" s="422">
        <v>4845</v>
      </c>
      <c r="D2893" s="423">
        <v>45453</v>
      </c>
      <c r="E2893" s="420" t="s">
        <v>12525</v>
      </c>
    </row>
    <row r="2894" spans="2:5">
      <c r="B2894" s="422">
        <v>2406</v>
      </c>
      <c r="C2894" s="422">
        <v>4844</v>
      </c>
      <c r="D2894" s="423">
        <v>45453</v>
      </c>
      <c r="E2894" s="420" t="s">
        <v>12526</v>
      </c>
    </row>
    <row r="2895" spans="2:5">
      <c r="B2895" s="422">
        <v>2406</v>
      </c>
      <c r="C2895" s="422">
        <v>4843</v>
      </c>
      <c r="D2895" s="423">
        <v>45453</v>
      </c>
      <c r="E2895" s="420" t="s">
        <v>12527</v>
      </c>
    </row>
    <row r="2896" spans="2:5">
      <c r="B2896" s="422">
        <v>2406</v>
      </c>
      <c r="C2896" s="422">
        <v>4842</v>
      </c>
      <c r="D2896" s="423">
        <v>45453</v>
      </c>
      <c r="E2896" s="420" t="s">
        <v>12529</v>
      </c>
    </row>
    <row r="2897" spans="2:5">
      <c r="B2897" s="422">
        <v>2406</v>
      </c>
      <c r="C2897" s="422">
        <v>4841</v>
      </c>
      <c r="D2897" s="423">
        <v>45453</v>
      </c>
      <c r="E2897" s="420" t="s">
        <v>12530</v>
      </c>
    </row>
    <row r="2898" spans="2:5">
      <c r="B2898" s="422">
        <v>2406</v>
      </c>
      <c r="C2898" s="422">
        <v>4840</v>
      </c>
      <c r="D2898" s="423">
        <v>45453</v>
      </c>
      <c r="E2898" s="420" t="s">
        <v>12531</v>
      </c>
    </row>
    <row r="2899" spans="2:5">
      <c r="B2899" s="422">
        <v>2406</v>
      </c>
      <c r="C2899" s="422">
        <v>4836</v>
      </c>
      <c r="D2899" s="423">
        <v>45453</v>
      </c>
      <c r="E2899" s="420" t="s">
        <v>12534</v>
      </c>
    </row>
    <row r="2900" spans="2:5">
      <c r="B2900" s="422">
        <v>2406</v>
      </c>
      <c r="C2900" s="422">
        <v>4835</v>
      </c>
      <c r="D2900" s="423">
        <v>45453</v>
      </c>
      <c r="E2900" s="420" t="s">
        <v>12536</v>
      </c>
    </row>
    <row r="2901" spans="2:5">
      <c r="B2901" s="422">
        <v>2406</v>
      </c>
      <c r="C2901" s="422">
        <v>4834</v>
      </c>
      <c r="D2901" s="423">
        <v>45453</v>
      </c>
      <c r="E2901" s="420" t="s">
        <v>12537</v>
      </c>
    </row>
    <row r="2902" spans="2:5">
      <c r="B2902" s="422">
        <v>2406</v>
      </c>
      <c r="C2902" s="422">
        <v>4833</v>
      </c>
      <c r="D2902" s="423">
        <v>45453</v>
      </c>
      <c r="E2902" s="420" t="s">
        <v>12538</v>
      </c>
    </row>
    <row r="2903" spans="2:5">
      <c r="B2903" s="422">
        <v>2406</v>
      </c>
      <c r="C2903" s="422">
        <v>4829</v>
      </c>
      <c r="D2903" s="423">
        <v>45453</v>
      </c>
      <c r="E2903" s="420" t="s">
        <v>12539</v>
      </c>
    </row>
    <row r="2904" spans="2:5">
      <c r="B2904" s="422">
        <v>2406</v>
      </c>
      <c r="C2904" s="422">
        <v>4828</v>
      </c>
      <c r="D2904" s="423">
        <v>45453</v>
      </c>
      <c r="E2904" s="420" t="s">
        <v>12540</v>
      </c>
    </row>
    <row r="2905" spans="2:5">
      <c r="B2905" s="422">
        <v>2406</v>
      </c>
      <c r="C2905" s="422">
        <v>4827</v>
      </c>
      <c r="D2905" s="423">
        <v>45453</v>
      </c>
      <c r="E2905" s="420" t="s">
        <v>12542</v>
      </c>
    </row>
    <row r="2906" spans="2:5">
      <c r="B2906" s="422">
        <v>2406</v>
      </c>
      <c r="C2906" s="422">
        <v>4825</v>
      </c>
      <c r="D2906" s="423">
        <v>45453</v>
      </c>
      <c r="E2906" s="420" t="s">
        <v>12543</v>
      </c>
    </row>
    <row r="2907" spans="2:5">
      <c r="B2907" s="422">
        <v>2406</v>
      </c>
      <c r="C2907" s="422">
        <v>4824</v>
      </c>
      <c r="D2907" s="423">
        <v>45453</v>
      </c>
      <c r="E2907" s="420" t="s">
        <v>12546</v>
      </c>
    </row>
    <row r="2908" spans="2:5">
      <c r="B2908" s="422">
        <v>2406</v>
      </c>
      <c r="C2908" s="422">
        <v>4823</v>
      </c>
      <c r="D2908" s="423">
        <v>45453</v>
      </c>
      <c r="E2908" s="420" t="s">
        <v>12545</v>
      </c>
    </row>
    <row r="2909" spans="2:5">
      <c r="B2909" s="422">
        <v>2406</v>
      </c>
      <c r="C2909" s="422">
        <v>4822</v>
      </c>
      <c r="D2909" s="423">
        <v>45453</v>
      </c>
      <c r="E2909" s="420" t="s">
        <v>12544</v>
      </c>
    </row>
    <row r="2910" spans="2:5">
      <c r="B2910" s="422">
        <v>2406</v>
      </c>
      <c r="C2910" s="422">
        <v>4821</v>
      </c>
      <c r="D2910" s="423">
        <v>45453</v>
      </c>
      <c r="E2910" s="420" t="s">
        <v>12547</v>
      </c>
    </row>
    <row r="2911" spans="2:5">
      <c r="B2911" s="422">
        <v>2406</v>
      </c>
      <c r="C2911" s="422">
        <v>4820</v>
      </c>
      <c r="D2911" s="423">
        <v>45453</v>
      </c>
      <c r="E2911" s="420" t="s">
        <v>12548</v>
      </c>
    </row>
    <row r="2912" spans="2:5">
      <c r="B2912" s="422">
        <v>2406</v>
      </c>
      <c r="C2912" s="422">
        <v>4817</v>
      </c>
      <c r="D2912" s="423">
        <v>45453</v>
      </c>
      <c r="E2912" s="420" t="s">
        <v>12551</v>
      </c>
    </row>
    <row r="2913" spans="2:5">
      <c r="B2913" s="422">
        <v>2406</v>
      </c>
      <c r="C2913" s="422">
        <v>4815</v>
      </c>
      <c r="D2913" s="423">
        <v>45453</v>
      </c>
      <c r="E2913" s="420" t="s">
        <v>12552</v>
      </c>
    </row>
    <row r="2914" spans="2:5">
      <c r="B2914" s="422">
        <v>2406</v>
      </c>
      <c r="C2914" s="422">
        <v>4814</v>
      </c>
      <c r="D2914" s="423">
        <v>45453</v>
      </c>
      <c r="E2914" s="420" t="s">
        <v>12553</v>
      </c>
    </row>
    <row r="2915" spans="2:5">
      <c r="B2915" s="422">
        <v>2406</v>
      </c>
      <c r="C2915" s="407">
        <v>4344</v>
      </c>
      <c r="D2915" s="408">
        <v>45450</v>
      </c>
      <c r="E2915" s="419" t="s">
        <v>11575</v>
      </c>
    </row>
    <row r="2916" spans="2:5">
      <c r="B2916" s="422">
        <v>2406</v>
      </c>
      <c r="C2916" s="407">
        <v>4343</v>
      </c>
      <c r="D2916" s="408">
        <v>45449</v>
      </c>
      <c r="E2916" s="420" t="s">
        <v>12219</v>
      </c>
    </row>
    <row r="2917" spans="2:5">
      <c r="B2917" s="422">
        <v>2406</v>
      </c>
      <c r="C2917" s="407">
        <v>4342</v>
      </c>
      <c r="D2917" s="408">
        <v>45449</v>
      </c>
      <c r="E2917" s="420" t="s">
        <v>12220</v>
      </c>
    </row>
    <row r="2918" spans="2:5">
      <c r="B2918" s="422">
        <v>2406</v>
      </c>
      <c r="C2918" s="407">
        <v>4341</v>
      </c>
      <c r="D2918" s="408">
        <v>45449</v>
      </c>
      <c r="E2918" s="420" t="s">
        <v>12221</v>
      </c>
    </row>
    <row r="2919" spans="2:5">
      <c r="B2919" s="422">
        <v>2406</v>
      </c>
      <c r="C2919" s="407">
        <v>4339</v>
      </c>
      <c r="D2919" s="408">
        <v>45449</v>
      </c>
      <c r="E2919" s="420" t="s">
        <v>12222</v>
      </c>
    </row>
    <row r="2920" spans="2:5">
      <c r="B2920" s="422">
        <v>2406</v>
      </c>
      <c r="C2920" s="407">
        <v>4338</v>
      </c>
      <c r="D2920" s="408">
        <v>45449</v>
      </c>
      <c r="E2920" s="420" t="s">
        <v>12223</v>
      </c>
    </row>
    <row r="2921" spans="2:5">
      <c r="B2921" s="422">
        <v>2406</v>
      </c>
      <c r="C2921" s="407">
        <v>4337</v>
      </c>
      <c r="D2921" s="408">
        <v>45449</v>
      </c>
      <c r="E2921" s="420" t="s">
        <v>12224</v>
      </c>
    </row>
    <row r="2922" spans="2:5">
      <c r="B2922" s="422">
        <v>2406</v>
      </c>
      <c r="C2922" s="407">
        <v>4336</v>
      </c>
      <c r="D2922" s="408">
        <v>45450</v>
      </c>
      <c r="E2922" s="419" t="s">
        <v>11576</v>
      </c>
    </row>
    <row r="2923" spans="2:5">
      <c r="B2923" s="422">
        <v>2406</v>
      </c>
      <c r="C2923" s="407">
        <v>4334</v>
      </c>
      <c r="D2923" s="408">
        <v>45449</v>
      </c>
      <c r="E2923" s="420" t="s">
        <v>12225</v>
      </c>
    </row>
    <row r="2924" spans="2:5">
      <c r="B2924" s="422">
        <v>2406</v>
      </c>
      <c r="C2924" s="407">
        <v>4333</v>
      </c>
      <c r="D2924" s="408">
        <v>45449</v>
      </c>
      <c r="E2924" s="420" t="s">
        <v>12226</v>
      </c>
    </row>
    <row r="2925" spans="2:5">
      <c r="B2925" s="422">
        <v>2406</v>
      </c>
      <c r="C2925" s="421">
        <v>4332</v>
      </c>
      <c r="D2925" s="408">
        <v>45450</v>
      </c>
      <c r="E2925" s="420" t="s">
        <v>11697</v>
      </c>
    </row>
    <row r="2926" spans="2:5">
      <c r="B2926" s="422">
        <v>2406</v>
      </c>
      <c r="C2926" s="421">
        <v>4331</v>
      </c>
      <c r="D2926" s="408">
        <v>45450</v>
      </c>
      <c r="E2926" s="420" t="s">
        <v>11698</v>
      </c>
    </row>
    <row r="2927" spans="2:5">
      <c r="B2927" s="422">
        <v>2406</v>
      </c>
      <c r="C2927" s="407">
        <v>4329</v>
      </c>
      <c r="D2927" s="408">
        <v>45450</v>
      </c>
      <c r="E2927" s="419" t="s">
        <v>11577</v>
      </c>
    </row>
    <row r="2928" spans="2:5">
      <c r="B2928" s="422">
        <v>2406</v>
      </c>
      <c r="C2928" s="407">
        <v>4328</v>
      </c>
      <c r="D2928" s="408">
        <v>45450</v>
      </c>
      <c r="E2928" s="419" t="s">
        <v>11578</v>
      </c>
    </row>
    <row r="2929" spans="2:5">
      <c r="B2929" s="422">
        <v>2406</v>
      </c>
      <c r="C2929" s="407">
        <v>4327</v>
      </c>
      <c r="D2929" s="408">
        <v>45450</v>
      </c>
      <c r="E2929" s="419" t="s">
        <v>11579</v>
      </c>
    </row>
    <row r="2930" spans="2:5">
      <c r="B2930" s="422">
        <v>2406</v>
      </c>
      <c r="C2930" s="407">
        <v>4325</v>
      </c>
      <c r="D2930" s="408">
        <v>45449</v>
      </c>
      <c r="E2930" s="420" t="s">
        <v>12227</v>
      </c>
    </row>
    <row r="2931" spans="2:5">
      <c r="B2931" s="422">
        <v>2406</v>
      </c>
      <c r="C2931" s="407">
        <v>4324</v>
      </c>
      <c r="D2931" s="408">
        <v>45449</v>
      </c>
      <c r="E2931" s="420" t="s">
        <v>12228</v>
      </c>
    </row>
    <row r="2932" spans="2:5">
      <c r="B2932" s="422">
        <v>2406</v>
      </c>
      <c r="C2932" s="407">
        <v>4323</v>
      </c>
      <c r="D2932" s="408">
        <v>45450</v>
      </c>
      <c r="E2932" s="419" t="s">
        <v>11580</v>
      </c>
    </row>
    <row r="2933" spans="2:5">
      <c r="B2933" s="422">
        <v>2406</v>
      </c>
      <c r="C2933" s="407">
        <v>4322</v>
      </c>
      <c r="D2933" s="408">
        <v>45449</v>
      </c>
      <c r="E2933" s="420" t="s">
        <v>12229</v>
      </c>
    </row>
    <row r="2934" spans="2:5">
      <c r="B2934" s="422">
        <v>2406</v>
      </c>
      <c r="C2934" s="407">
        <v>4321</v>
      </c>
      <c r="D2934" s="408">
        <v>45450</v>
      </c>
      <c r="E2934" s="419" t="s">
        <v>11699</v>
      </c>
    </row>
    <row r="2935" spans="2:5">
      <c r="B2935" s="422">
        <v>2406</v>
      </c>
      <c r="C2935" s="407">
        <v>4320</v>
      </c>
      <c r="D2935" s="408">
        <v>45450</v>
      </c>
      <c r="E2935" s="419" t="s">
        <v>11581</v>
      </c>
    </row>
    <row r="2936" spans="2:5">
      <c r="B2936" s="422">
        <v>2406</v>
      </c>
      <c r="C2936" s="407">
        <v>4318</v>
      </c>
      <c r="D2936" s="408">
        <v>45450</v>
      </c>
      <c r="E2936" s="419" t="s">
        <v>11582</v>
      </c>
    </row>
    <row r="2937" spans="2:5">
      <c r="B2937" s="422">
        <v>2406</v>
      </c>
      <c r="C2937" s="407">
        <v>4317</v>
      </c>
      <c r="D2937" s="408">
        <v>45450</v>
      </c>
      <c r="E2937" s="419" t="s">
        <v>11583</v>
      </c>
    </row>
    <row r="2938" spans="2:5">
      <c r="B2938" s="422">
        <v>2406</v>
      </c>
      <c r="C2938" s="407">
        <v>4316</v>
      </c>
      <c r="D2938" s="408">
        <v>45449</v>
      </c>
      <c r="E2938" s="420" t="s">
        <v>12230</v>
      </c>
    </row>
    <row r="2939" spans="2:5">
      <c r="B2939" s="422">
        <v>2406</v>
      </c>
      <c r="C2939" s="407">
        <v>4314</v>
      </c>
      <c r="D2939" s="408">
        <v>45449</v>
      </c>
      <c r="E2939" s="420" t="s">
        <v>12231</v>
      </c>
    </row>
    <row r="2940" spans="2:5">
      <c r="B2940" s="422">
        <v>2406</v>
      </c>
      <c r="C2940" s="407">
        <v>4313</v>
      </c>
      <c r="D2940" s="408">
        <v>45450</v>
      </c>
      <c r="E2940" s="419" t="s">
        <v>11584</v>
      </c>
    </row>
    <row r="2941" spans="2:5">
      <c r="B2941" s="422">
        <v>2406</v>
      </c>
      <c r="C2941" s="407">
        <v>4312</v>
      </c>
      <c r="D2941" s="408">
        <v>45449</v>
      </c>
      <c r="E2941" s="420" t="s">
        <v>12232</v>
      </c>
    </row>
    <row r="2942" spans="2:5">
      <c r="B2942" s="422">
        <v>2406</v>
      </c>
      <c r="C2942" s="407">
        <v>4309</v>
      </c>
      <c r="D2942" s="408">
        <v>45450</v>
      </c>
      <c r="E2942" s="420" t="s">
        <v>11700</v>
      </c>
    </row>
    <row r="2943" spans="2:5">
      <c r="B2943" s="422">
        <v>2406</v>
      </c>
      <c r="C2943" s="407">
        <v>4308</v>
      </c>
      <c r="D2943" s="408">
        <v>45450</v>
      </c>
      <c r="E2943" s="419" t="s">
        <v>11585</v>
      </c>
    </row>
    <row r="2944" spans="2:5">
      <c r="B2944" s="422">
        <v>2406</v>
      </c>
      <c r="C2944" s="407">
        <v>4306</v>
      </c>
      <c r="D2944" s="408">
        <v>45450</v>
      </c>
      <c r="E2944" s="419" t="s">
        <v>11586</v>
      </c>
    </row>
    <row r="2945" spans="2:5">
      <c r="B2945" s="422">
        <v>2406</v>
      </c>
      <c r="C2945" s="407">
        <v>4303</v>
      </c>
      <c r="D2945" s="408">
        <v>45450</v>
      </c>
      <c r="E2945" s="419" t="s">
        <v>11701</v>
      </c>
    </row>
    <row r="2946" spans="2:5">
      <c r="B2946" s="422">
        <v>2406</v>
      </c>
      <c r="C2946" s="407">
        <v>4302</v>
      </c>
      <c r="D2946" s="408">
        <v>45450</v>
      </c>
      <c r="E2946" s="419" t="s">
        <v>11587</v>
      </c>
    </row>
    <row r="2947" spans="2:5">
      <c r="B2947" s="422">
        <v>2406</v>
      </c>
      <c r="C2947" s="407">
        <v>4301</v>
      </c>
      <c r="D2947" s="408">
        <v>45449</v>
      </c>
      <c r="E2947" s="419" t="s">
        <v>12233</v>
      </c>
    </row>
    <row r="2948" spans="2:5">
      <c r="B2948" s="422">
        <v>2406</v>
      </c>
      <c r="C2948" s="407">
        <v>4300</v>
      </c>
      <c r="D2948" s="408">
        <v>45449</v>
      </c>
      <c r="E2948" s="419" t="s">
        <v>12234</v>
      </c>
    </row>
    <row r="2949" spans="2:5">
      <c r="B2949" s="422">
        <v>2406</v>
      </c>
      <c r="C2949" s="407">
        <v>4299</v>
      </c>
      <c r="D2949" s="408">
        <v>45450</v>
      </c>
      <c r="E2949" s="419" t="s">
        <v>11588</v>
      </c>
    </row>
    <row r="2950" spans="2:5">
      <c r="B2950" s="422">
        <v>2406</v>
      </c>
      <c r="C2950" s="407">
        <v>4295</v>
      </c>
      <c r="D2950" s="408">
        <v>45449</v>
      </c>
      <c r="E2950" s="420" t="s">
        <v>12235</v>
      </c>
    </row>
    <row r="2951" spans="2:5">
      <c r="B2951" s="422">
        <v>2406</v>
      </c>
      <c r="C2951" s="407">
        <v>4292</v>
      </c>
      <c r="D2951" s="408">
        <v>45449</v>
      </c>
      <c r="E2951" s="420" t="s">
        <v>12236</v>
      </c>
    </row>
    <row r="2952" spans="2:5">
      <c r="B2952" s="422">
        <v>2406</v>
      </c>
      <c r="C2952" s="407">
        <v>4291</v>
      </c>
      <c r="D2952" s="408">
        <v>45450</v>
      </c>
      <c r="E2952" s="419" t="s">
        <v>11589</v>
      </c>
    </row>
    <row r="2953" spans="2:5">
      <c r="B2953" s="422">
        <v>2406</v>
      </c>
      <c r="C2953" s="407">
        <v>4289</v>
      </c>
      <c r="D2953" s="408">
        <v>45449</v>
      </c>
      <c r="E2953" s="420" t="s">
        <v>12237</v>
      </c>
    </row>
    <row r="2954" spans="2:5">
      <c r="B2954" s="422">
        <v>2406</v>
      </c>
      <c r="C2954" s="407">
        <v>4287</v>
      </c>
      <c r="D2954" s="408">
        <v>45449</v>
      </c>
      <c r="E2954" s="420" t="s">
        <v>12238</v>
      </c>
    </row>
    <row r="2955" spans="2:5">
      <c r="B2955" s="422">
        <v>2406</v>
      </c>
      <c r="C2955" s="407">
        <v>4286</v>
      </c>
      <c r="D2955" s="408">
        <v>45449</v>
      </c>
      <c r="E2955" s="420" t="s">
        <v>12239</v>
      </c>
    </row>
    <row r="2956" spans="2:5">
      <c r="B2956" s="422">
        <v>2406</v>
      </c>
      <c r="C2956" s="407">
        <v>4284</v>
      </c>
      <c r="D2956" s="408">
        <v>45450</v>
      </c>
      <c r="E2956" s="419" t="s">
        <v>11590</v>
      </c>
    </row>
    <row r="2957" spans="2:5">
      <c r="B2957" s="422">
        <v>2406</v>
      </c>
      <c r="C2957" s="407">
        <v>4280</v>
      </c>
      <c r="D2957" s="408">
        <v>45450</v>
      </c>
      <c r="E2957" s="419" t="s">
        <v>11591</v>
      </c>
    </row>
    <row r="2958" spans="2:5">
      <c r="B2958" s="422">
        <v>2406</v>
      </c>
      <c r="C2958" s="407">
        <v>4278</v>
      </c>
      <c r="D2958" s="408">
        <v>45449</v>
      </c>
      <c r="E2958" s="420" t="s">
        <v>12240</v>
      </c>
    </row>
    <row r="2959" spans="2:5">
      <c r="B2959" s="422">
        <v>2406</v>
      </c>
      <c r="C2959" s="407">
        <v>4277</v>
      </c>
      <c r="D2959" s="408">
        <v>45449</v>
      </c>
      <c r="E2959" s="420" t="s">
        <v>12241</v>
      </c>
    </row>
    <row r="2960" spans="2:5">
      <c r="B2960" s="422">
        <v>2406</v>
      </c>
      <c r="C2960" s="407">
        <v>4276</v>
      </c>
      <c r="D2960" s="408">
        <v>45450</v>
      </c>
      <c r="E2960" s="419" t="s">
        <v>11592</v>
      </c>
    </row>
    <row r="2961" spans="2:5">
      <c r="B2961" s="422">
        <v>2406</v>
      </c>
      <c r="C2961" s="407">
        <v>4274</v>
      </c>
      <c r="D2961" s="408">
        <v>45450</v>
      </c>
      <c r="E2961" s="419" t="s">
        <v>11593</v>
      </c>
    </row>
    <row r="2962" spans="2:5">
      <c r="B2962" s="422">
        <v>2406</v>
      </c>
      <c r="C2962" s="407">
        <v>4273</v>
      </c>
      <c r="D2962" s="423">
        <v>45449</v>
      </c>
      <c r="E2962" s="420" t="s">
        <v>12242</v>
      </c>
    </row>
    <row r="2963" spans="2:5">
      <c r="B2963" s="422">
        <v>2406</v>
      </c>
      <c r="C2963" s="407">
        <v>4271</v>
      </c>
      <c r="D2963" s="423">
        <v>45449</v>
      </c>
      <c r="E2963" s="420" t="s">
        <v>12243</v>
      </c>
    </row>
    <row r="2964" spans="2:5">
      <c r="B2964" s="422">
        <v>2406</v>
      </c>
      <c r="C2964" s="407">
        <v>4269</v>
      </c>
      <c r="D2964" s="423">
        <v>45449</v>
      </c>
      <c r="E2964" s="420" t="s">
        <v>12244</v>
      </c>
    </row>
    <row r="2965" spans="2:5">
      <c r="B2965" s="422">
        <v>2406</v>
      </c>
      <c r="C2965" s="407">
        <v>4268</v>
      </c>
      <c r="D2965" s="408">
        <v>45450</v>
      </c>
      <c r="E2965" s="419" t="s">
        <v>11594</v>
      </c>
    </row>
    <row r="2966" spans="2:5">
      <c r="B2966" s="422">
        <v>2406</v>
      </c>
      <c r="C2966" s="407">
        <v>4267</v>
      </c>
      <c r="D2966" s="408">
        <v>45450</v>
      </c>
      <c r="E2966" s="420" t="s">
        <v>11702</v>
      </c>
    </row>
    <row r="2967" spans="2:5">
      <c r="B2967" s="422">
        <v>2406</v>
      </c>
      <c r="C2967" s="407">
        <v>4264</v>
      </c>
      <c r="D2967" s="423">
        <v>45449</v>
      </c>
      <c r="E2967" s="420" t="s">
        <v>12245</v>
      </c>
    </row>
    <row r="2968" spans="2:5">
      <c r="B2968" s="422">
        <v>2406</v>
      </c>
      <c r="C2968" s="407">
        <v>4261</v>
      </c>
      <c r="D2968" s="408">
        <v>45450</v>
      </c>
      <c r="E2968" s="419" t="s">
        <v>11595</v>
      </c>
    </row>
    <row r="2969" spans="2:5">
      <c r="B2969" s="422">
        <v>2406</v>
      </c>
      <c r="C2969" s="407">
        <v>4257</v>
      </c>
      <c r="D2969" s="408">
        <v>45450</v>
      </c>
      <c r="E2969" s="419" t="s">
        <v>11596</v>
      </c>
    </row>
    <row r="2970" spans="2:5">
      <c r="B2970" s="422">
        <v>2406</v>
      </c>
      <c r="C2970" s="407">
        <v>4254</v>
      </c>
      <c r="D2970" s="408">
        <v>45449</v>
      </c>
      <c r="E2970" s="420" t="s">
        <v>12246</v>
      </c>
    </row>
    <row r="2971" spans="2:5">
      <c r="B2971" s="422">
        <v>2406</v>
      </c>
      <c r="C2971" s="407">
        <v>4253</v>
      </c>
      <c r="D2971" s="408">
        <v>45449</v>
      </c>
      <c r="E2971" s="420" t="s">
        <v>12247</v>
      </c>
    </row>
    <row r="2972" spans="2:5">
      <c r="B2972" s="422">
        <v>2406</v>
      </c>
      <c r="C2972" s="407">
        <v>4251</v>
      </c>
      <c r="D2972" s="408">
        <v>45449</v>
      </c>
      <c r="E2972" s="420" t="s">
        <v>12248</v>
      </c>
    </row>
    <row r="2973" spans="2:5">
      <c r="B2973" s="422">
        <v>2406</v>
      </c>
      <c r="C2973" s="407">
        <v>4250</v>
      </c>
      <c r="D2973" s="408">
        <v>45450</v>
      </c>
      <c r="E2973" s="419" t="s">
        <v>11703</v>
      </c>
    </row>
    <row r="2974" spans="2:5">
      <c r="B2974" s="422">
        <v>2406</v>
      </c>
      <c r="C2974" s="407">
        <v>4249</v>
      </c>
      <c r="D2974" s="408">
        <v>45449</v>
      </c>
      <c r="E2974" s="420" t="s">
        <v>12249</v>
      </c>
    </row>
    <row r="2975" spans="2:5">
      <c r="B2975" s="422">
        <v>2406</v>
      </c>
      <c r="C2975" s="407">
        <v>4245</v>
      </c>
      <c r="D2975" s="408">
        <v>45450</v>
      </c>
      <c r="E2975" s="420" t="s">
        <v>11704</v>
      </c>
    </row>
    <row r="2976" spans="2:5">
      <c r="B2976" s="422">
        <v>2406</v>
      </c>
      <c r="C2976" s="407">
        <v>4244</v>
      </c>
      <c r="D2976" s="408">
        <v>45449</v>
      </c>
      <c r="E2976" s="420" t="s">
        <v>12250</v>
      </c>
    </row>
    <row r="2977" spans="2:5">
      <c r="B2977" s="422">
        <v>2406</v>
      </c>
      <c r="C2977" s="409">
        <v>4240</v>
      </c>
      <c r="D2977" s="410">
        <v>45450</v>
      </c>
      <c r="E2977" s="49" t="s">
        <v>11597</v>
      </c>
    </row>
    <row r="2978" spans="2:5">
      <c r="B2978" s="422">
        <v>2406</v>
      </c>
      <c r="C2978" s="407">
        <v>4239</v>
      </c>
      <c r="D2978" s="408">
        <v>45450</v>
      </c>
      <c r="E2978" s="419" t="s">
        <v>11598</v>
      </c>
    </row>
    <row r="2979" spans="2:5">
      <c r="B2979" s="422">
        <v>2406</v>
      </c>
      <c r="C2979" s="407">
        <v>4236</v>
      </c>
      <c r="D2979" s="408">
        <v>45449</v>
      </c>
      <c r="E2979" s="420" t="s">
        <v>12251</v>
      </c>
    </row>
    <row r="2980" spans="2:5">
      <c r="B2980" s="422">
        <v>2406</v>
      </c>
      <c r="C2980" s="407">
        <v>4235</v>
      </c>
      <c r="D2980" s="408">
        <v>45449</v>
      </c>
      <c r="E2980" s="420" t="s">
        <v>12252</v>
      </c>
    </row>
    <row r="2981" spans="2:5">
      <c r="B2981" s="422">
        <v>2406</v>
      </c>
      <c r="C2981" s="407">
        <v>4233</v>
      </c>
      <c r="D2981" s="408">
        <v>45449</v>
      </c>
      <c r="E2981" s="420" t="s">
        <v>12253</v>
      </c>
    </row>
    <row r="2982" spans="2:5">
      <c r="B2982" s="422">
        <v>2406</v>
      </c>
      <c r="C2982" s="407">
        <v>4231</v>
      </c>
      <c r="D2982" s="408">
        <v>45449</v>
      </c>
      <c r="E2982" s="420" t="s">
        <v>12254</v>
      </c>
    </row>
    <row r="2983" spans="2:5">
      <c r="B2983" s="422">
        <v>2406</v>
      </c>
      <c r="C2983" s="407">
        <v>4230</v>
      </c>
      <c r="D2983" s="408">
        <v>45449</v>
      </c>
      <c r="E2983" s="420" t="s">
        <v>12255</v>
      </c>
    </row>
    <row r="2984" spans="2:5">
      <c r="B2984" s="422">
        <v>2406</v>
      </c>
      <c r="C2984" s="407">
        <v>4229</v>
      </c>
      <c r="D2984" s="408">
        <v>45450</v>
      </c>
      <c r="E2984" s="419" t="s">
        <v>11599</v>
      </c>
    </row>
    <row r="2985" spans="2:5">
      <c r="B2985" s="422">
        <v>2406</v>
      </c>
      <c r="C2985" s="407">
        <v>4227</v>
      </c>
      <c r="D2985" s="408">
        <v>45450</v>
      </c>
      <c r="E2985" s="420" t="s">
        <v>11600</v>
      </c>
    </row>
    <row r="2986" spans="2:5">
      <c r="B2986" s="422">
        <v>2406</v>
      </c>
      <c r="C2986" s="407">
        <v>4221</v>
      </c>
      <c r="D2986" s="408">
        <v>45449</v>
      </c>
      <c r="E2986" s="420" t="s">
        <v>12256</v>
      </c>
    </row>
    <row r="2987" spans="2:5">
      <c r="B2987" s="422">
        <v>2406</v>
      </c>
      <c r="C2987" s="407">
        <v>4220</v>
      </c>
      <c r="D2987" s="408">
        <v>45449</v>
      </c>
      <c r="E2987" s="420" t="s">
        <v>12257</v>
      </c>
    </row>
    <row r="2988" spans="2:5">
      <c r="B2988" s="422">
        <v>2406</v>
      </c>
      <c r="C2988" s="407">
        <v>4219</v>
      </c>
      <c r="D2988" s="408">
        <v>45450</v>
      </c>
      <c r="E2988" s="420" t="s">
        <v>11601</v>
      </c>
    </row>
    <row r="2989" spans="2:5">
      <c r="B2989" s="422">
        <v>2406</v>
      </c>
      <c r="C2989" s="407">
        <v>4218</v>
      </c>
      <c r="D2989" s="408">
        <v>45449</v>
      </c>
      <c r="E2989" s="420" t="s">
        <v>12258</v>
      </c>
    </row>
    <row r="2990" spans="2:5">
      <c r="B2990" s="422">
        <v>2406</v>
      </c>
      <c r="C2990" s="407">
        <v>4216</v>
      </c>
      <c r="D2990" s="408">
        <v>45450</v>
      </c>
      <c r="E2990" s="420" t="s">
        <v>11705</v>
      </c>
    </row>
    <row r="2991" spans="2:5">
      <c r="B2991" s="422">
        <v>2406</v>
      </c>
      <c r="C2991" s="407">
        <v>4215</v>
      </c>
      <c r="D2991" s="408">
        <v>45450</v>
      </c>
      <c r="E2991" s="420" t="s">
        <v>11706</v>
      </c>
    </row>
    <row r="2992" spans="2:5">
      <c r="B2992" s="422">
        <v>2406</v>
      </c>
      <c r="C2992" s="407">
        <v>4214</v>
      </c>
      <c r="D2992" s="408">
        <v>45449</v>
      </c>
      <c r="E2992" s="420" t="s">
        <v>12259</v>
      </c>
    </row>
    <row r="2993" spans="2:5">
      <c r="B2993" s="422">
        <v>2406</v>
      </c>
      <c r="C2993" s="407">
        <v>4212</v>
      </c>
      <c r="D2993" s="408">
        <v>45449</v>
      </c>
      <c r="E2993" s="420" t="s">
        <v>12260</v>
      </c>
    </row>
    <row r="2994" spans="2:5">
      <c r="B2994" s="422">
        <v>2406</v>
      </c>
      <c r="C2994" s="407">
        <v>4210</v>
      </c>
      <c r="D2994" s="408">
        <v>45449</v>
      </c>
      <c r="E2994" s="420" t="s">
        <v>12261</v>
      </c>
    </row>
    <row r="2995" spans="2:5">
      <c r="B2995" s="422">
        <v>2406</v>
      </c>
      <c r="C2995" s="407">
        <v>4208</v>
      </c>
      <c r="D2995" s="408">
        <v>45450</v>
      </c>
      <c r="E2995" s="420" t="s">
        <v>11602</v>
      </c>
    </row>
    <row r="2996" spans="2:5">
      <c r="B2996" s="422">
        <v>2406</v>
      </c>
      <c r="C2996" s="407">
        <v>4207</v>
      </c>
      <c r="D2996" s="408">
        <v>45449</v>
      </c>
      <c r="E2996" s="420" t="s">
        <v>12262</v>
      </c>
    </row>
    <row r="2997" spans="2:5">
      <c r="B2997" s="422">
        <v>2406</v>
      </c>
      <c r="C2997" s="407">
        <v>4206</v>
      </c>
      <c r="D2997" s="408">
        <v>45449</v>
      </c>
      <c r="E2997" s="420" t="s">
        <v>12263</v>
      </c>
    </row>
    <row r="2998" spans="2:5">
      <c r="B2998" s="422">
        <v>2406</v>
      </c>
      <c r="C2998" s="407">
        <v>4202</v>
      </c>
      <c r="D2998" s="408">
        <v>45449</v>
      </c>
      <c r="E2998" s="420" t="s">
        <v>12264</v>
      </c>
    </row>
    <row r="2999" spans="2:5">
      <c r="B2999" s="422">
        <v>2406</v>
      </c>
      <c r="C2999" s="407">
        <v>4201</v>
      </c>
      <c r="D2999" s="408">
        <v>45450</v>
      </c>
      <c r="E2999" s="420" t="s">
        <v>11603</v>
      </c>
    </row>
    <row r="3000" spans="2:5">
      <c r="B3000" s="422">
        <v>2406</v>
      </c>
      <c r="C3000" s="407">
        <v>4197</v>
      </c>
      <c r="D3000" s="408">
        <v>45449</v>
      </c>
      <c r="E3000" s="420" t="s">
        <v>12265</v>
      </c>
    </row>
    <row r="3001" spans="2:5">
      <c r="B3001" s="422">
        <v>2406</v>
      </c>
      <c r="C3001" s="407">
        <v>4184</v>
      </c>
      <c r="D3001" s="408">
        <v>45450</v>
      </c>
      <c r="E3001" s="420" t="s">
        <v>11707</v>
      </c>
    </row>
    <row r="3002" spans="2:5">
      <c r="B3002" s="422">
        <v>2406</v>
      </c>
      <c r="C3002" s="407">
        <v>4178</v>
      </c>
      <c r="D3002" s="408">
        <v>45449</v>
      </c>
      <c r="E3002" s="420" t="s">
        <v>12266</v>
      </c>
    </row>
    <row r="3003" spans="2:5">
      <c r="B3003" s="422">
        <v>2406</v>
      </c>
      <c r="C3003" s="407">
        <v>4175</v>
      </c>
      <c r="D3003" s="408">
        <v>45449</v>
      </c>
      <c r="E3003" s="420" t="s">
        <v>12267</v>
      </c>
    </row>
    <row r="3004" spans="2:5">
      <c r="B3004" s="422">
        <v>2406</v>
      </c>
      <c r="C3004" s="407">
        <v>4170</v>
      </c>
      <c r="D3004" s="408">
        <v>45450</v>
      </c>
      <c r="E3004" s="420" t="s">
        <v>11604</v>
      </c>
    </row>
    <row r="3005" spans="2:5">
      <c r="B3005" s="422">
        <v>2406</v>
      </c>
      <c r="C3005" s="407">
        <v>4165</v>
      </c>
      <c r="D3005" s="408">
        <v>45450</v>
      </c>
      <c r="E3005" s="420" t="s">
        <v>11605</v>
      </c>
    </row>
    <row r="3006" spans="2:5">
      <c r="B3006" s="422">
        <v>2406</v>
      </c>
      <c r="C3006" s="407">
        <v>4163</v>
      </c>
      <c r="D3006" s="408">
        <v>45450</v>
      </c>
      <c r="E3006" s="420" t="s">
        <v>11708</v>
      </c>
    </row>
    <row r="3007" spans="2:5">
      <c r="B3007" s="422">
        <v>2406</v>
      </c>
      <c r="C3007" s="407">
        <v>4159</v>
      </c>
      <c r="D3007" s="423">
        <v>45449</v>
      </c>
      <c r="E3007" s="420" t="s">
        <v>12268</v>
      </c>
    </row>
    <row r="3008" spans="2:5">
      <c r="B3008" s="422">
        <v>2406</v>
      </c>
      <c r="C3008" s="407">
        <v>4158</v>
      </c>
      <c r="D3008" s="423">
        <v>45449</v>
      </c>
      <c r="E3008" s="420" t="s">
        <v>12269</v>
      </c>
    </row>
    <row r="3009" spans="2:5">
      <c r="B3009" s="422">
        <v>2406</v>
      </c>
      <c r="C3009" s="407">
        <v>4156</v>
      </c>
      <c r="D3009" s="408">
        <v>45450</v>
      </c>
      <c r="E3009" s="420" t="s">
        <v>11709</v>
      </c>
    </row>
    <row r="3010" spans="2:5">
      <c r="B3010" s="422">
        <v>2406</v>
      </c>
      <c r="C3010" s="407">
        <v>4155</v>
      </c>
      <c r="D3010" s="408">
        <v>45450</v>
      </c>
      <c r="E3010" s="420" t="s">
        <v>11710</v>
      </c>
    </row>
    <row r="3011" spans="2:5">
      <c r="B3011" s="422">
        <v>2406</v>
      </c>
      <c r="C3011" s="407">
        <v>4153</v>
      </c>
      <c r="D3011" s="408">
        <v>45450</v>
      </c>
      <c r="E3011" s="420" t="s">
        <v>11606</v>
      </c>
    </row>
    <row r="3012" spans="2:5">
      <c r="B3012" s="422">
        <v>2406</v>
      </c>
      <c r="C3012" s="407">
        <v>4151</v>
      </c>
      <c r="D3012" s="408">
        <v>45449</v>
      </c>
      <c r="E3012" s="420" t="s">
        <v>12270</v>
      </c>
    </row>
    <row r="3013" spans="2:5">
      <c r="B3013" s="422">
        <v>2406</v>
      </c>
      <c r="C3013" s="407">
        <v>4149</v>
      </c>
      <c r="D3013" s="408">
        <v>45449</v>
      </c>
      <c r="E3013" s="420" t="s">
        <v>12271</v>
      </c>
    </row>
    <row r="3014" spans="2:5">
      <c r="B3014" s="422">
        <v>2406</v>
      </c>
      <c r="C3014" s="407">
        <v>4148</v>
      </c>
      <c r="D3014" s="408">
        <v>45450</v>
      </c>
      <c r="E3014" s="420" t="s">
        <v>11607</v>
      </c>
    </row>
    <row r="3015" spans="2:5">
      <c r="B3015" s="422">
        <v>2406</v>
      </c>
      <c r="C3015" s="407">
        <v>4146</v>
      </c>
      <c r="D3015" s="408">
        <v>45449</v>
      </c>
      <c r="E3015" s="420" t="s">
        <v>12272</v>
      </c>
    </row>
    <row r="3016" spans="2:5">
      <c r="B3016" s="422">
        <v>2406</v>
      </c>
      <c r="C3016" s="407">
        <v>4145</v>
      </c>
      <c r="D3016" s="408">
        <v>45449</v>
      </c>
      <c r="E3016" s="420" t="s">
        <v>12273</v>
      </c>
    </row>
    <row r="3017" spans="2:5">
      <c r="B3017" s="422">
        <v>2406</v>
      </c>
      <c r="C3017" s="407">
        <v>4144</v>
      </c>
      <c r="D3017" s="408">
        <v>45450</v>
      </c>
      <c r="E3017" s="420" t="s">
        <v>11711</v>
      </c>
    </row>
    <row r="3018" spans="2:5">
      <c r="B3018" s="422">
        <v>2406</v>
      </c>
      <c r="C3018" s="407">
        <v>4143</v>
      </c>
      <c r="D3018" s="408">
        <v>45450</v>
      </c>
      <c r="E3018" s="420" t="s">
        <v>11712</v>
      </c>
    </row>
    <row r="3019" spans="2:5">
      <c r="B3019" s="422">
        <v>2406</v>
      </c>
      <c r="C3019" s="407">
        <v>4142</v>
      </c>
      <c r="D3019" s="408">
        <v>45450</v>
      </c>
      <c r="E3019" s="420" t="s">
        <v>11713</v>
      </c>
    </row>
    <row r="3020" spans="2:5">
      <c r="B3020" s="422">
        <v>2406</v>
      </c>
      <c r="C3020" s="407">
        <v>4140</v>
      </c>
      <c r="D3020" s="408">
        <v>45449</v>
      </c>
      <c r="E3020" s="420" t="s">
        <v>12274</v>
      </c>
    </row>
    <row r="3021" spans="2:5">
      <c r="B3021" s="422">
        <v>2406</v>
      </c>
      <c r="C3021" s="407">
        <v>4138</v>
      </c>
      <c r="D3021" s="408">
        <v>45449</v>
      </c>
      <c r="E3021" s="420" t="s">
        <v>12275</v>
      </c>
    </row>
    <row r="3022" spans="2:5">
      <c r="B3022" s="422">
        <v>2406</v>
      </c>
      <c r="C3022" s="407">
        <v>4137</v>
      </c>
      <c r="D3022" s="408">
        <v>45450</v>
      </c>
      <c r="E3022" s="420" t="s">
        <v>11608</v>
      </c>
    </row>
    <row r="3023" spans="2:5">
      <c r="B3023" s="422">
        <v>2406</v>
      </c>
      <c r="C3023" s="407">
        <v>4136</v>
      </c>
      <c r="D3023" s="408">
        <v>45450</v>
      </c>
      <c r="E3023" s="420" t="s">
        <v>11714</v>
      </c>
    </row>
    <row r="3024" spans="2:5">
      <c r="B3024" s="422">
        <v>2406</v>
      </c>
      <c r="C3024" s="407">
        <v>4129</v>
      </c>
      <c r="D3024" s="408">
        <v>45449</v>
      </c>
      <c r="E3024" s="420" t="s">
        <v>12276</v>
      </c>
    </row>
    <row r="3025" spans="2:5">
      <c r="B3025" s="422">
        <v>2406</v>
      </c>
      <c r="C3025" s="407">
        <v>4127</v>
      </c>
      <c r="D3025" s="408">
        <v>45449</v>
      </c>
      <c r="E3025" s="420" t="s">
        <v>12277</v>
      </c>
    </row>
    <row r="3026" spans="2:5">
      <c r="B3026" s="422">
        <v>2406</v>
      </c>
      <c r="C3026" s="407">
        <v>4116</v>
      </c>
      <c r="D3026" s="408">
        <v>45449</v>
      </c>
      <c r="E3026" s="420" t="s">
        <v>12278</v>
      </c>
    </row>
    <row r="3027" spans="2:5">
      <c r="B3027" s="422">
        <v>2406</v>
      </c>
      <c r="C3027" s="407">
        <v>4113</v>
      </c>
      <c r="D3027" s="408">
        <v>45449</v>
      </c>
      <c r="E3027" s="420" t="s">
        <v>12279</v>
      </c>
    </row>
    <row r="3028" spans="2:5">
      <c r="B3028" s="422">
        <v>2406</v>
      </c>
      <c r="C3028" s="407">
        <v>4112</v>
      </c>
      <c r="D3028" s="408">
        <v>45450</v>
      </c>
      <c r="E3028" s="420" t="s">
        <v>11609</v>
      </c>
    </row>
    <row r="3029" spans="2:5">
      <c r="B3029" s="422">
        <v>2406</v>
      </c>
      <c r="C3029" s="407">
        <v>4109</v>
      </c>
      <c r="D3029" s="408">
        <v>45449</v>
      </c>
      <c r="E3029" s="420" t="s">
        <v>12280</v>
      </c>
    </row>
    <row r="3030" spans="2:5">
      <c r="B3030" s="422">
        <v>2406</v>
      </c>
      <c r="C3030" s="407">
        <v>4105</v>
      </c>
      <c r="D3030" s="408">
        <v>45450</v>
      </c>
      <c r="E3030" s="420" t="s">
        <v>11610</v>
      </c>
    </row>
    <row r="3031" spans="2:5">
      <c r="B3031" s="422">
        <v>2406</v>
      </c>
      <c r="C3031" s="407">
        <v>4103</v>
      </c>
      <c r="D3031" s="408">
        <v>45450</v>
      </c>
      <c r="E3031" s="420" t="s">
        <v>11611</v>
      </c>
    </row>
    <row r="3032" spans="2:5">
      <c r="B3032" s="422">
        <v>2406</v>
      </c>
      <c r="C3032" s="407">
        <v>4101</v>
      </c>
      <c r="D3032" s="408">
        <v>45449</v>
      </c>
      <c r="E3032" s="420" t="s">
        <v>12281</v>
      </c>
    </row>
    <row r="3033" spans="2:5">
      <c r="B3033" s="422">
        <v>2406</v>
      </c>
      <c r="C3033" s="407">
        <v>4099</v>
      </c>
      <c r="D3033" s="408">
        <v>45450</v>
      </c>
      <c r="E3033" s="420" t="s">
        <v>11612</v>
      </c>
    </row>
    <row r="3034" spans="2:5">
      <c r="B3034" s="422">
        <v>2406</v>
      </c>
      <c r="C3034" s="407">
        <v>4098</v>
      </c>
      <c r="D3034" s="408">
        <v>45450</v>
      </c>
      <c r="E3034" s="420" t="s">
        <v>11715</v>
      </c>
    </row>
    <row r="3035" spans="2:5">
      <c r="B3035" s="422">
        <v>2406</v>
      </c>
      <c r="C3035" s="407">
        <v>4094</v>
      </c>
      <c r="D3035" s="408">
        <v>45449</v>
      </c>
      <c r="E3035" s="420" t="s">
        <v>12282</v>
      </c>
    </row>
    <row r="3036" spans="2:5">
      <c r="B3036" s="422">
        <v>2406</v>
      </c>
      <c r="C3036" s="407">
        <v>4093</v>
      </c>
      <c r="D3036" s="408">
        <v>45450</v>
      </c>
      <c r="E3036" s="420" t="s">
        <v>11613</v>
      </c>
    </row>
    <row r="3037" spans="2:5">
      <c r="B3037" s="422">
        <v>2406</v>
      </c>
      <c r="C3037" s="407">
        <v>4090</v>
      </c>
      <c r="D3037" s="408">
        <v>45450</v>
      </c>
      <c r="E3037" s="420" t="s">
        <v>11614</v>
      </c>
    </row>
    <row r="3038" spans="2:5">
      <c r="B3038" s="422">
        <v>2406</v>
      </c>
      <c r="C3038" s="407">
        <v>4089</v>
      </c>
      <c r="D3038" s="408">
        <v>45450</v>
      </c>
      <c r="E3038" s="420" t="s">
        <v>11615</v>
      </c>
    </row>
    <row r="3039" spans="2:5">
      <c r="B3039" s="422">
        <v>2406</v>
      </c>
      <c r="C3039" s="407">
        <v>4088</v>
      </c>
      <c r="D3039" s="408">
        <v>45450</v>
      </c>
      <c r="E3039" s="420" t="s">
        <v>11616</v>
      </c>
    </row>
    <row r="3040" spans="2:5">
      <c r="B3040" s="422">
        <v>2406</v>
      </c>
      <c r="C3040" s="407">
        <v>4086</v>
      </c>
      <c r="D3040" s="408">
        <v>45449</v>
      </c>
      <c r="E3040" s="420" t="s">
        <v>12283</v>
      </c>
    </row>
    <row r="3041" spans="2:5">
      <c r="B3041" s="422">
        <v>2406</v>
      </c>
      <c r="C3041" s="407">
        <v>4082</v>
      </c>
      <c r="D3041" s="408">
        <v>45449</v>
      </c>
      <c r="E3041" s="420" t="s">
        <v>12284</v>
      </c>
    </row>
    <row r="3042" spans="2:5">
      <c r="B3042" s="422">
        <v>2406</v>
      </c>
      <c r="C3042" s="407">
        <v>4081</v>
      </c>
      <c r="D3042" s="408">
        <v>45450</v>
      </c>
      <c r="E3042" s="420" t="s">
        <v>11617</v>
      </c>
    </row>
    <row r="3043" spans="2:5">
      <c r="B3043" s="422">
        <v>2406</v>
      </c>
      <c r="C3043" s="407">
        <v>4076</v>
      </c>
      <c r="D3043" s="408">
        <v>45449</v>
      </c>
      <c r="E3043" s="420" t="s">
        <v>12285</v>
      </c>
    </row>
    <row r="3044" spans="2:5">
      <c r="B3044" s="422">
        <v>2406</v>
      </c>
      <c r="C3044" s="407">
        <v>4071</v>
      </c>
      <c r="D3044" s="408">
        <v>45450</v>
      </c>
      <c r="E3044" s="420" t="s">
        <v>11716</v>
      </c>
    </row>
    <row r="3045" spans="2:5">
      <c r="B3045" s="422">
        <v>2406</v>
      </c>
      <c r="C3045" s="407">
        <v>4070</v>
      </c>
      <c r="D3045" s="408">
        <v>45450</v>
      </c>
      <c r="E3045" s="420" t="s">
        <v>11618</v>
      </c>
    </row>
    <row r="3046" spans="2:5">
      <c r="B3046" s="422">
        <v>2406</v>
      </c>
      <c r="C3046" s="407">
        <v>4068</v>
      </c>
      <c r="D3046" s="408">
        <v>45450</v>
      </c>
      <c r="E3046" s="420" t="s">
        <v>11619</v>
      </c>
    </row>
    <row r="3047" spans="2:5">
      <c r="B3047" s="422">
        <v>2406</v>
      </c>
      <c r="C3047" s="407">
        <v>4064</v>
      </c>
      <c r="D3047" s="408">
        <v>45449</v>
      </c>
      <c r="E3047" s="420" t="s">
        <v>12286</v>
      </c>
    </row>
    <row r="3048" spans="2:5">
      <c r="B3048" s="422">
        <v>2406</v>
      </c>
      <c r="C3048" s="407">
        <v>4062</v>
      </c>
      <c r="D3048" s="408">
        <v>45449</v>
      </c>
      <c r="E3048" s="420" t="s">
        <v>12287</v>
      </c>
    </row>
    <row r="3049" spans="2:5">
      <c r="B3049" s="422">
        <v>2406</v>
      </c>
      <c r="C3049" s="407">
        <v>4056</v>
      </c>
      <c r="D3049" s="408">
        <v>45450</v>
      </c>
      <c r="E3049" s="420" t="s">
        <v>11620</v>
      </c>
    </row>
    <row r="3050" spans="2:5">
      <c r="B3050" s="422">
        <v>2406</v>
      </c>
      <c r="C3050" s="407">
        <v>4055</v>
      </c>
      <c r="D3050" s="408">
        <v>45450</v>
      </c>
      <c r="E3050" s="420" t="s">
        <v>11621</v>
      </c>
    </row>
    <row r="3051" spans="2:5">
      <c r="B3051" s="422">
        <v>2406</v>
      </c>
      <c r="C3051" s="407">
        <v>4052</v>
      </c>
      <c r="D3051" s="408">
        <v>45450</v>
      </c>
      <c r="E3051" s="420" t="s">
        <v>11622</v>
      </c>
    </row>
    <row r="3052" spans="2:5">
      <c r="B3052" s="422">
        <v>2406</v>
      </c>
      <c r="C3052" s="407">
        <v>4050</v>
      </c>
      <c r="D3052" s="408">
        <v>45449</v>
      </c>
      <c r="E3052" s="420" t="s">
        <v>12288</v>
      </c>
    </row>
    <row r="3053" spans="2:5">
      <c r="B3053" s="422">
        <v>2406</v>
      </c>
      <c r="C3053" s="407">
        <v>4047</v>
      </c>
      <c r="D3053" s="408">
        <v>45450</v>
      </c>
      <c r="E3053" s="420" t="s">
        <v>11717</v>
      </c>
    </row>
    <row r="3054" spans="2:5">
      <c r="B3054" s="422">
        <v>2406</v>
      </c>
      <c r="C3054" s="407">
        <v>4046</v>
      </c>
      <c r="D3054" s="408">
        <v>45449</v>
      </c>
      <c r="E3054" s="420" t="s">
        <v>12289</v>
      </c>
    </row>
    <row r="3055" spans="2:5">
      <c r="B3055" s="422">
        <v>2406</v>
      </c>
      <c r="C3055" s="407">
        <v>4043</v>
      </c>
      <c r="D3055" s="408">
        <v>45450</v>
      </c>
      <c r="E3055" s="420" t="s">
        <v>11623</v>
      </c>
    </row>
    <row r="3056" spans="2:5">
      <c r="B3056" s="422">
        <v>2406</v>
      </c>
      <c r="C3056" s="407">
        <v>4041</v>
      </c>
      <c r="D3056" s="408">
        <v>45450</v>
      </c>
      <c r="E3056" s="420" t="s">
        <v>11624</v>
      </c>
    </row>
    <row r="3057" spans="2:5">
      <c r="B3057" s="422">
        <v>2406</v>
      </c>
      <c r="C3057" s="407">
        <v>4039</v>
      </c>
      <c r="D3057" s="408">
        <v>45450</v>
      </c>
      <c r="E3057" s="420" t="s">
        <v>11718</v>
      </c>
    </row>
    <row r="3058" spans="2:5">
      <c r="B3058" s="422">
        <v>2406</v>
      </c>
      <c r="C3058" s="407">
        <v>4038</v>
      </c>
      <c r="D3058" s="408">
        <v>45450</v>
      </c>
      <c r="E3058" s="420" t="s">
        <v>11625</v>
      </c>
    </row>
    <row r="3059" spans="2:5">
      <c r="B3059" s="422">
        <v>2406</v>
      </c>
      <c r="C3059" s="407">
        <v>4035</v>
      </c>
      <c r="D3059" s="408">
        <v>45450</v>
      </c>
      <c r="E3059" s="420" t="s">
        <v>11626</v>
      </c>
    </row>
    <row r="3060" spans="2:5">
      <c r="B3060" s="422">
        <v>2406</v>
      </c>
      <c r="C3060" s="407">
        <v>4032</v>
      </c>
      <c r="D3060" s="408">
        <v>45449</v>
      </c>
      <c r="E3060" s="420" t="s">
        <v>12290</v>
      </c>
    </row>
    <row r="3061" spans="2:5">
      <c r="B3061" s="422">
        <v>2406</v>
      </c>
      <c r="C3061" s="407">
        <v>4031</v>
      </c>
      <c r="D3061" s="408">
        <v>45449</v>
      </c>
      <c r="E3061" s="420" t="s">
        <v>12291</v>
      </c>
    </row>
    <row r="3062" spans="2:5">
      <c r="B3062" s="422">
        <v>2406</v>
      </c>
      <c r="C3062" s="407">
        <v>4029</v>
      </c>
      <c r="D3062" s="408">
        <v>45450</v>
      </c>
      <c r="E3062" s="420" t="s">
        <v>11719</v>
      </c>
    </row>
    <row r="3063" spans="2:5">
      <c r="B3063" s="422">
        <v>2406</v>
      </c>
      <c r="C3063" s="407">
        <v>4028</v>
      </c>
      <c r="D3063" s="408">
        <v>45449</v>
      </c>
      <c r="E3063" s="420" t="s">
        <v>12292</v>
      </c>
    </row>
    <row r="3064" spans="2:5">
      <c r="B3064" s="422">
        <v>2406</v>
      </c>
      <c r="C3064" s="421" t="s">
        <v>11720</v>
      </c>
      <c r="D3064" s="408">
        <v>45450</v>
      </c>
      <c r="E3064" s="420" t="s">
        <v>11721</v>
      </c>
    </row>
    <row r="3065" spans="2:5">
      <c r="B3065" s="422">
        <v>2406</v>
      </c>
      <c r="C3065" s="421">
        <v>4002</v>
      </c>
      <c r="D3065" s="408">
        <v>45449</v>
      </c>
      <c r="E3065" s="420" t="s">
        <v>12293</v>
      </c>
    </row>
    <row r="3066" spans="2:5">
      <c r="B3066" s="422">
        <v>2406</v>
      </c>
      <c r="C3066" s="407">
        <v>3999</v>
      </c>
      <c r="D3066" s="408">
        <v>45450</v>
      </c>
      <c r="E3066" s="420" t="s">
        <v>11627</v>
      </c>
    </row>
    <row r="3067" spans="2:5">
      <c r="B3067" s="422">
        <v>2406</v>
      </c>
      <c r="C3067" s="407">
        <v>3997</v>
      </c>
      <c r="D3067" s="408">
        <v>45450</v>
      </c>
      <c r="E3067" s="420" t="s">
        <v>11722</v>
      </c>
    </row>
    <row r="3068" spans="2:5">
      <c r="B3068" s="422">
        <v>2406</v>
      </c>
      <c r="C3068" s="407">
        <v>3995</v>
      </c>
      <c r="D3068" s="408">
        <v>45449</v>
      </c>
      <c r="E3068" s="420" t="s">
        <v>12294</v>
      </c>
    </row>
    <row r="3069" spans="2:5">
      <c r="B3069" s="422">
        <v>2406</v>
      </c>
      <c r="C3069" s="407">
        <v>3993</v>
      </c>
      <c r="D3069" s="408">
        <v>45449</v>
      </c>
      <c r="E3069" s="420" t="s">
        <v>12295</v>
      </c>
    </row>
    <row r="3070" spans="2:5">
      <c r="B3070" s="422">
        <v>2406</v>
      </c>
      <c r="C3070" s="407">
        <v>3986</v>
      </c>
      <c r="D3070" s="408">
        <v>45449</v>
      </c>
      <c r="E3070" s="420" t="s">
        <v>12296</v>
      </c>
    </row>
    <row r="3071" spans="2:5">
      <c r="B3071" s="422">
        <v>2406</v>
      </c>
      <c r="C3071" s="407">
        <v>3984</v>
      </c>
      <c r="D3071" s="408">
        <v>45449</v>
      </c>
      <c r="E3071" s="420" t="s">
        <v>12297</v>
      </c>
    </row>
    <row r="3072" spans="2:5">
      <c r="B3072" s="422">
        <v>2406</v>
      </c>
      <c r="C3072" s="407">
        <v>3980</v>
      </c>
      <c r="D3072" s="408">
        <v>45450</v>
      </c>
      <c r="E3072" s="420" t="s">
        <v>11628</v>
      </c>
    </row>
    <row r="3073" spans="2:5">
      <c r="B3073" s="422">
        <v>2406</v>
      </c>
      <c r="C3073" s="407">
        <v>3978</v>
      </c>
      <c r="D3073" s="408">
        <v>45450</v>
      </c>
      <c r="E3073" s="420" t="s">
        <v>11723</v>
      </c>
    </row>
    <row r="3074" spans="2:5">
      <c r="B3074" s="422">
        <v>2406</v>
      </c>
      <c r="C3074" s="407">
        <v>3963</v>
      </c>
      <c r="D3074" s="408">
        <v>45449</v>
      </c>
      <c r="E3074" s="420" t="s">
        <v>12298</v>
      </c>
    </row>
    <row r="3075" spans="2:5">
      <c r="B3075" s="422">
        <v>2406</v>
      </c>
      <c r="C3075" s="407">
        <v>3961</v>
      </c>
      <c r="D3075" s="408">
        <v>45449</v>
      </c>
      <c r="E3075" s="420" t="s">
        <v>12299</v>
      </c>
    </row>
    <row r="3076" spans="2:5">
      <c r="B3076" s="422">
        <v>2406</v>
      </c>
      <c r="C3076" s="407">
        <v>3953</v>
      </c>
      <c r="D3076" s="408">
        <v>45449</v>
      </c>
      <c r="E3076" s="420" t="s">
        <v>12300</v>
      </c>
    </row>
    <row r="3077" spans="2:5">
      <c r="B3077" s="422">
        <v>2406</v>
      </c>
      <c r="C3077" s="407">
        <v>3949</v>
      </c>
      <c r="D3077" s="408">
        <v>45449</v>
      </c>
      <c r="E3077" s="420" t="s">
        <v>12301</v>
      </c>
    </row>
    <row r="3078" spans="2:5">
      <c r="B3078" s="422">
        <v>2406</v>
      </c>
      <c r="C3078" s="407">
        <v>3947</v>
      </c>
      <c r="D3078" s="408">
        <v>45450</v>
      </c>
      <c r="E3078" s="420" t="s">
        <v>11629</v>
      </c>
    </row>
    <row r="3079" spans="2:5">
      <c r="B3079" s="422">
        <v>2406</v>
      </c>
      <c r="C3079" s="407">
        <v>3946</v>
      </c>
      <c r="D3079" s="408">
        <v>45450</v>
      </c>
      <c r="E3079" s="420" t="s">
        <v>11632</v>
      </c>
    </row>
    <row r="3080" spans="2:5">
      <c r="B3080" s="422">
        <v>2406</v>
      </c>
      <c r="C3080" s="407">
        <v>3944</v>
      </c>
      <c r="D3080" s="408">
        <v>45450</v>
      </c>
      <c r="E3080" s="420" t="s">
        <v>11631</v>
      </c>
    </row>
    <row r="3081" spans="2:5">
      <c r="B3081" s="422">
        <v>2406</v>
      </c>
      <c r="C3081" s="407">
        <v>3933</v>
      </c>
      <c r="D3081" s="408">
        <v>45449</v>
      </c>
      <c r="E3081" s="420" t="s">
        <v>12302</v>
      </c>
    </row>
    <row r="3082" spans="2:5">
      <c r="B3082" s="422">
        <v>2406</v>
      </c>
      <c r="C3082" s="407">
        <v>3932</v>
      </c>
      <c r="D3082" s="408">
        <v>45450</v>
      </c>
      <c r="E3082" s="420" t="s">
        <v>11630</v>
      </c>
    </row>
    <row r="3083" spans="2:5">
      <c r="B3083" s="422">
        <v>2406</v>
      </c>
      <c r="C3083" s="407">
        <v>3930</v>
      </c>
      <c r="D3083" s="408">
        <v>45449</v>
      </c>
      <c r="E3083" s="420" t="s">
        <v>12303</v>
      </c>
    </row>
    <row r="3084" spans="2:5">
      <c r="B3084" s="422">
        <v>2406</v>
      </c>
      <c r="C3084" s="407">
        <v>3924</v>
      </c>
      <c r="D3084" s="408">
        <v>45450</v>
      </c>
      <c r="E3084" s="420" t="s">
        <v>11724</v>
      </c>
    </row>
    <row r="3085" spans="2:5">
      <c r="B3085" s="422">
        <v>2406</v>
      </c>
      <c r="C3085" s="407">
        <v>3923</v>
      </c>
      <c r="D3085" s="408">
        <v>45450</v>
      </c>
      <c r="E3085" s="420" t="s">
        <v>11633</v>
      </c>
    </row>
    <row r="3086" spans="2:5">
      <c r="B3086" s="422">
        <v>2406</v>
      </c>
      <c r="C3086" s="407">
        <v>3921</v>
      </c>
      <c r="D3086" s="408">
        <v>45449</v>
      </c>
      <c r="E3086" s="420" t="s">
        <v>12304</v>
      </c>
    </row>
    <row r="3087" spans="2:5">
      <c r="B3087" s="422">
        <v>2406</v>
      </c>
      <c r="C3087" s="407">
        <v>3920</v>
      </c>
      <c r="D3087" s="408">
        <v>45450</v>
      </c>
      <c r="E3087" s="420" t="s">
        <v>11634</v>
      </c>
    </row>
    <row r="3088" spans="2:5">
      <c r="B3088" s="422">
        <v>2406</v>
      </c>
      <c r="C3088" s="407">
        <v>3919</v>
      </c>
      <c r="D3088" s="408">
        <v>45450</v>
      </c>
      <c r="E3088" s="420" t="s">
        <v>11635</v>
      </c>
    </row>
    <row r="3089" spans="2:5">
      <c r="B3089" s="422">
        <v>2406</v>
      </c>
      <c r="C3089" s="407">
        <v>3917</v>
      </c>
      <c r="D3089" s="408">
        <v>45449</v>
      </c>
      <c r="E3089" s="420" t="s">
        <v>12305</v>
      </c>
    </row>
    <row r="3090" spans="2:5">
      <c r="B3090" s="422">
        <v>2406</v>
      </c>
      <c r="C3090" s="407">
        <v>3916</v>
      </c>
      <c r="D3090" s="408">
        <v>45449</v>
      </c>
      <c r="E3090" s="420" t="s">
        <v>12306</v>
      </c>
    </row>
    <row r="3091" spans="2:5">
      <c r="B3091" s="422">
        <v>2406</v>
      </c>
      <c r="C3091" s="407">
        <v>3914</v>
      </c>
      <c r="D3091" s="408">
        <v>45450</v>
      </c>
      <c r="E3091" s="420" t="s">
        <v>11636</v>
      </c>
    </row>
    <row r="3092" spans="2:5">
      <c r="B3092" s="422">
        <v>2406</v>
      </c>
      <c r="C3092" s="407">
        <v>3912</v>
      </c>
      <c r="D3092" s="408">
        <v>45450</v>
      </c>
      <c r="E3092" s="420" t="s">
        <v>11725</v>
      </c>
    </row>
    <row r="3093" spans="2:5">
      <c r="B3093" s="422">
        <v>2406</v>
      </c>
      <c r="C3093" s="407">
        <v>3907</v>
      </c>
      <c r="D3093" s="408">
        <v>45449</v>
      </c>
      <c r="E3093" s="420" t="s">
        <v>12307</v>
      </c>
    </row>
    <row r="3094" spans="2:5">
      <c r="B3094" s="422">
        <v>2406</v>
      </c>
      <c r="C3094" s="407">
        <v>3903</v>
      </c>
      <c r="D3094" s="408">
        <v>45450</v>
      </c>
      <c r="E3094" s="420" t="s">
        <v>11726</v>
      </c>
    </row>
    <row r="3095" spans="2:5">
      <c r="B3095" s="422">
        <v>2406</v>
      </c>
      <c r="C3095" s="407">
        <v>3901</v>
      </c>
      <c r="D3095" s="408">
        <v>45450</v>
      </c>
      <c r="E3095" s="420" t="s">
        <v>11727</v>
      </c>
    </row>
    <row r="3096" spans="2:5">
      <c r="B3096" s="422">
        <v>2406</v>
      </c>
      <c r="C3096" s="407">
        <v>3897</v>
      </c>
      <c r="D3096" s="408">
        <v>45449</v>
      </c>
      <c r="E3096" s="420" t="s">
        <v>12308</v>
      </c>
    </row>
    <row r="3097" spans="2:5">
      <c r="B3097" s="422">
        <v>2406</v>
      </c>
      <c r="C3097" s="407">
        <v>3896</v>
      </c>
      <c r="D3097" s="408">
        <v>45450</v>
      </c>
      <c r="E3097" s="420" t="s">
        <v>11728</v>
      </c>
    </row>
    <row r="3098" spans="2:5">
      <c r="B3098" s="422">
        <v>2406</v>
      </c>
      <c r="C3098" s="407">
        <v>3894</v>
      </c>
      <c r="D3098" s="408">
        <v>45450</v>
      </c>
      <c r="E3098" s="420" t="s">
        <v>11637</v>
      </c>
    </row>
    <row r="3099" spans="2:5">
      <c r="B3099" s="422">
        <v>2406</v>
      </c>
      <c r="C3099" s="407">
        <v>3893</v>
      </c>
      <c r="D3099" s="408">
        <v>45449</v>
      </c>
      <c r="E3099" s="420" t="s">
        <v>12309</v>
      </c>
    </row>
    <row r="3100" spans="2:5">
      <c r="B3100" s="422">
        <v>2406</v>
      </c>
      <c r="C3100" s="407">
        <v>3892</v>
      </c>
      <c r="D3100" s="408">
        <v>45450</v>
      </c>
      <c r="E3100" s="420" t="s">
        <v>11729</v>
      </c>
    </row>
    <row r="3101" spans="2:5">
      <c r="B3101" s="422">
        <v>2406</v>
      </c>
      <c r="C3101" s="407">
        <v>3890</v>
      </c>
      <c r="D3101" s="408">
        <v>45450</v>
      </c>
      <c r="E3101" s="420" t="s">
        <v>11638</v>
      </c>
    </row>
    <row r="3102" spans="2:5">
      <c r="B3102" s="422">
        <v>2406</v>
      </c>
      <c r="C3102" s="407">
        <v>3886</v>
      </c>
      <c r="D3102" s="408">
        <v>45450</v>
      </c>
      <c r="E3102" s="424" t="s">
        <v>11639</v>
      </c>
    </row>
    <row r="3103" spans="2:5">
      <c r="B3103" s="422">
        <v>2406</v>
      </c>
      <c r="C3103" s="407">
        <v>3882</v>
      </c>
      <c r="D3103" s="408">
        <v>45449</v>
      </c>
      <c r="E3103" s="424" t="s">
        <v>12310</v>
      </c>
    </row>
    <row r="3104" spans="2:5">
      <c r="B3104" s="422">
        <v>2406</v>
      </c>
      <c r="C3104" s="407">
        <v>3881</v>
      </c>
      <c r="D3104" s="408">
        <v>45449</v>
      </c>
      <c r="E3104" s="424" t="s">
        <v>12311</v>
      </c>
    </row>
    <row r="3105" spans="2:5">
      <c r="B3105" s="422">
        <v>2406</v>
      </c>
      <c r="C3105" s="407">
        <v>3880</v>
      </c>
      <c r="D3105" s="408">
        <v>45450</v>
      </c>
      <c r="E3105" s="420" t="s">
        <v>11640</v>
      </c>
    </row>
    <row r="3106" spans="2:5">
      <c r="B3106" s="422">
        <v>2406</v>
      </c>
      <c r="C3106" s="407">
        <v>3879</v>
      </c>
      <c r="D3106" s="408">
        <v>45450</v>
      </c>
      <c r="E3106" s="420" t="s">
        <v>11641</v>
      </c>
    </row>
    <row r="3107" spans="2:5">
      <c r="B3107" s="422">
        <v>2406</v>
      </c>
      <c r="C3107" s="407">
        <v>3878</v>
      </c>
      <c r="D3107" s="408">
        <v>45449</v>
      </c>
      <c r="E3107" s="424" t="s">
        <v>12312</v>
      </c>
    </row>
    <row r="3108" spans="2:5">
      <c r="B3108" s="422">
        <v>2406</v>
      </c>
      <c r="C3108" s="407">
        <v>3877</v>
      </c>
      <c r="D3108" s="408">
        <v>45449</v>
      </c>
      <c r="E3108" s="420" t="s">
        <v>12313</v>
      </c>
    </row>
    <row r="3109" spans="2:5">
      <c r="B3109" s="422">
        <v>2406</v>
      </c>
      <c r="C3109" s="407">
        <v>3873</v>
      </c>
      <c r="D3109" s="408">
        <v>45450</v>
      </c>
      <c r="E3109" s="420" t="s">
        <v>11642</v>
      </c>
    </row>
    <row r="3110" spans="2:5">
      <c r="B3110" s="422">
        <v>2406</v>
      </c>
      <c r="C3110" s="407">
        <v>3872</v>
      </c>
      <c r="D3110" s="408">
        <v>45449</v>
      </c>
      <c r="E3110" s="424" t="s">
        <v>12314</v>
      </c>
    </row>
    <row r="3111" spans="2:5">
      <c r="B3111" s="414" t="s">
        <v>11319</v>
      </c>
      <c r="C3111" s="407">
        <v>3870</v>
      </c>
      <c r="D3111" s="408">
        <v>45449</v>
      </c>
      <c r="E3111" s="420" t="s">
        <v>12315</v>
      </c>
    </row>
    <row r="3112" spans="2:5">
      <c r="B3112" s="414" t="s">
        <v>11319</v>
      </c>
      <c r="C3112" s="407">
        <v>3869</v>
      </c>
      <c r="D3112" s="408">
        <v>45449</v>
      </c>
      <c r="E3112" s="420" t="s">
        <v>12316</v>
      </c>
    </row>
    <row r="3113" spans="2:5">
      <c r="B3113" s="414" t="s">
        <v>11319</v>
      </c>
      <c r="C3113" s="407">
        <v>3868</v>
      </c>
      <c r="D3113" s="408">
        <v>45449</v>
      </c>
      <c r="E3113" s="420" t="s">
        <v>12317</v>
      </c>
    </row>
    <row r="3114" spans="2:5">
      <c r="B3114" s="414" t="s">
        <v>11319</v>
      </c>
      <c r="C3114" s="407">
        <v>3866</v>
      </c>
      <c r="D3114" s="408">
        <v>45449</v>
      </c>
      <c r="E3114" s="424" t="s">
        <v>12318</v>
      </c>
    </row>
    <row r="3115" spans="2:5">
      <c r="B3115" s="414" t="s">
        <v>11319</v>
      </c>
      <c r="C3115" s="407">
        <v>3865</v>
      </c>
      <c r="D3115" s="408">
        <v>45449</v>
      </c>
      <c r="E3115" s="420" t="s">
        <v>12319</v>
      </c>
    </row>
    <row r="3116" spans="2:5">
      <c r="B3116" s="414" t="s">
        <v>11319</v>
      </c>
      <c r="C3116" s="407">
        <v>3864</v>
      </c>
      <c r="D3116" s="408">
        <v>45450</v>
      </c>
      <c r="E3116" s="420" t="s">
        <v>11643</v>
      </c>
    </row>
    <row r="3117" spans="2:5">
      <c r="B3117" s="414" t="s">
        <v>11319</v>
      </c>
      <c r="C3117" s="407">
        <v>3862</v>
      </c>
      <c r="D3117" s="408">
        <v>45450</v>
      </c>
      <c r="E3117" s="420" t="s">
        <v>11644</v>
      </c>
    </row>
    <row r="3118" spans="2:5">
      <c r="B3118" s="414" t="s">
        <v>11319</v>
      </c>
      <c r="C3118" s="407">
        <v>3857</v>
      </c>
      <c r="D3118" s="408">
        <v>45450</v>
      </c>
      <c r="E3118" s="420" t="s">
        <v>11645</v>
      </c>
    </row>
    <row r="3119" spans="2:5">
      <c r="B3119" s="49" t="s">
        <v>11319</v>
      </c>
      <c r="C3119" s="409">
        <v>3855</v>
      </c>
      <c r="D3119" s="410">
        <v>45449</v>
      </c>
      <c r="E3119" s="424" t="s">
        <v>12320</v>
      </c>
    </row>
    <row r="3120" spans="2:5">
      <c r="B3120" s="414" t="s">
        <v>11319</v>
      </c>
      <c r="C3120" s="407">
        <v>3853</v>
      </c>
      <c r="D3120" s="408">
        <v>45449</v>
      </c>
      <c r="E3120" s="420" t="s">
        <v>12321</v>
      </c>
    </row>
    <row r="3121" spans="2:5">
      <c r="B3121" s="414" t="s">
        <v>11319</v>
      </c>
      <c r="C3121" s="407">
        <v>3852</v>
      </c>
      <c r="D3121" s="408">
        <v>45450</v>
      </c>
      <c r="E3121" s="420" t="s">
        <v>11730</v>
      </c>
    </row>
    <row r="3122" spans="2:5">
      <c r="B3122" s="414" t="s">
        <v>11319</v>
      </c>
      <c r="C3122" s="407">
        <v>3849</v>
      </c>
      <c r="D3122" s="408">
        <v>45450</v>
      </c>
      <c r="E3122" s="420" t="s">
        <v>11646</v>
      </c>
    </row>
    <row r="3123" spans="2:5">
      <c r="B3123" s="49" t="s">
        <v>11319</v>
      </c>
      <c r="C3123" s="409">
        <v>3847</v>
      </c>
      <c r="D3123" s="410">
        <v>45449</v>
      </c>
      <c r="E3123" s="424" t="s">
        <v>12322</v>
      </c>
    </row>
    <row r="3124" spans="2:5">
      <c r="B3124" s="414" t="s">
        <v>11319</v>
      </c>
      <c r="C3124" s="407">
        <v>3845</v>
      </c>
      <c r="D3124" s="408">
        <v>45450</v>
      </c>
      <c r="E3124" s="420" t="s">
        <v>11647</v>
      </c>
    </row>
    <row r="3125" spans="2:5">
      <c r="B3125" s="414" t="s">
        <v>11319</v>
      </c>
      <c r="C3125" s="407">
        <v>3843</v>
      </c>
      <c r="D3125" s="408">
        <v>45449</v>
      </c>
      <c r="E3125" s="420" t="s">
        <v>12323</v>
      </c>
    </row>
    <row r="3126" spans="2:5">
      <c r="B3126" s="414" t="s">
        <v>11319</v>
      </c>
      <c r="C3126" s="407">
        <v>3833</v>
      </c>
      <c r="D3126" s="408">
        <v>45450</v>
      </c>
      <c r="E3126" s="420" t="s">
        <v>11648</v>
      </c>
    </row>
    <row r="3127" spans="2:5">
      <c r="B3127" s="414" t="s">
        <v>11319</v>
      </c>
      <c r="C3127" s="407">
        <v>3831</v>
      </c>
      <c r="D3127" s="408">
        <v>45449</v>
      </c>
      <c r="E3127" s="420" t="s">
        <v>12324</v>
      </c>
    </row>
    <row r="3128" spans="2:5">
      <c r="B3128" s="414" t="s">
        <v>11319</v>
      </c>
      <c r="C3128" s="407">
        <v>3827</v>
      </c>
      <c r="D3128" s="408">
        <v>45449</v>
      </c>
      <c r="E3128" s="420" t="s">
        <v>12325</v>
      </c>
    </row>
    <row r="3129" spans="2:5">
      <c r="B3129" s="414" t="s">
        <v>11319</v>
      </c>
      <c r="C3129" s="407">
        <v>3824</v>
      </c>
      <c r="D3129" s="408">
        <v>45450</v>
      </c>
      <c r="E3129" s="420" t="s">
        <v>11649</v>
      </c>
    </row>
    <row r="3130" spans="2:5">
      <c r="B3130" s="414" t="s">
        <v>11319</v>
      </c>
      <c r="C3130" s="407">
        <v>3822</v>
      </c>
      <c r="D3130" s="408">
        <v>45449</v>
      </c>
      <c r="E3130" s="420" t="s">
        <v>12326</v>
      </c>
    </row>
    <row r="3131" spans="2:5">
      <c r="B3131" s="414" t="s">
        <v>11319</v>
      </c>
      <c r="C3131" s="407">
        <v>3820</v>
      </c>
      <c r="D3131" s="408">
        <v>45450</v>
      </c>
      <c r="E3131" s="420" t="s">
        <v>11731</v>
      </c>
    </row>
    <row r="3132" spans="2:5">
      <c r="B3132" s="414" t="s">
        <v>11319</v>
      </c>
      <c r="C3132" s="407">
        <v>3819</v>
      </c>
      <c r="D3132" s="408">
        <v>45450</v>
      </c>
      <c r="E3132" s="420" t="s">
        <v>11650</v>
      </c>
    </row>
    <row r="3133" spans="2:5">
      <c r="B3133" s="414" t="s">
        <v>11319</v>
      </c>
      <c r="C3133" s="407">
        <v>3818</v>
      </c>
      <c r="D3133" s="408">
        <v>45450</v>
      </c>
      <c r="E3133" s="420" t="s">
        <v>11732</v>
      </c>
    </row>
    <row r="3134" spans="2:5">
      <c r="B3134" s="414" t="s">
        <v>11319</v>
      </c>
      <c r="C3134" s="407">
        <v>3816</v>
      </c>
      <c r="D3134" s="408">
        <v>45449</v>
      </c>
      <c r="E3134" s="420" t="s">
        <v>12327</v>
      </c>
    </row>
    <row r="3135" spans="2:5">
      <c r="B3135" s="414" t="s">
        <v>11319</v>
      </c>
      <c r="C3135" s="407">
        <v>3814</v>
      </c>
      <c r="D3135" s="408">
        <v>45449</v>
      </c>
      <c r="E3135" s="420" t="s">
        <v>12328</v>
      </c>
    </row>
    <row r="3136" spans="2:5">
      <c r="B3136" s="414" t="s">
        <v>11319</v>
      </c>
      <c r="C3136" s="407">
        <v>3813</v>
      </c>
      <c r="D3136" s="408">
        <v>45449</v>
      </c>
      <c r="E3136" s="420" t="s">
        <v>12329</v>
      </c>
    </row>
    <row r="3137" spans="2:5">
      <c r="B3137" s="414" t="s">
        <v>11319</v>
      </c>
      <c r="C3137" s="407">
        <v>3812</v>
      </c>
      <c r="D3137" s="408">
        <v>45450</v>
      </c>
      <c r="E3137" s="420" t="s">
        <v>11651</v>
      </c>
    </row>
    <row r="3138" spans="2:5">
      <c r="B3138" s="414" t="s">
        <v>11319</v>
      </c>
      <c r="C3138" s="407">
        <v>3810</v>
      </c>
      <c r="D3138" s="408">
        <v>45450</v>
      </c>
      <c r="E3138" s="420" t="s">
        <v>11733</v>
      </c>
    </row>
    <row r="3139" spans="2:5">
      <c r="B3139" s="414" t="s">
        <v>11319</v>
      </c>
      <c r="C3139" s="407">
        <v>3808</v>
      </c>
      <c r="D3139" s="408">
        <v>45450</v>
      </c>
      <c r="E3139" s="420" t="s">
        <v>11652</v>
      </c>
    </row>
    <row r="3140" spans="2:5">
      <c r="B3140" s="414" t="s">
        <v>11319</v>
      </c>
      <c r="C3140" s="407">
        <v>3805</v>
      </c>
      <c r="D3140" s="408">
        <v>45449</v>
      </c>
      <c r="E3140" s="420" t="s">
        <v>12330</v>
      </c>
    </row>
    <row r="3141" spans="2:5">
      <c r="B3141" s="414" t="s">
        <v>11319</v>
      </c>
      <c r="C3141" s="421" t="s">
        <v>11653</v>
      </c>
      <c r="D3141" s="408">
        <v>45450</v>
      </c>
      <c r="E3141" s="420" t="s">
        <v>11654</v>
      </c>
    </row>
    <row r="3142" spans="2:5">
      <c r="B3142" s="414" t="s">
        <v>11319</v>
      </c>
      <c r="C3142" s="421">
        <v>3793</v>
      </c>
      <c r="D3142" s="408">
        <v>45450</v>
      </c>
      <c r="E3142" s="420" t="s">
        <v>11655</v>
      </c>
    </row>
    <row r="3143" spans="2:5">
      <c r="B3143" s="414" t="s">
        <v>11319</v>
      </c>
      <c r="C3143" s="425">
        <v>3792</v>
      </c>
      <c r="D3143" s="410">
        <v>45449</v>
      </c>
      <c r="E3143" s="424" t="s">
        <v>12331</v>
      </c>
    </row>
    <row r="3144" spans="2:5">
      <c r="B3144" s="414" t="s">
        <v>11319</v>
      </c>
      <c r="C3144" s="421">
        <v>3791</v>
      </c>
      <c r="D3144" s="408">
        <v>45450</v>
      </c>
      <c r="E3144" s="420" t="s">
        <v>11656</v>
      </c>
    </row>
    <row r="3145" spans="2:5">
      <c r="B3145" s="414" t="s">
        <v>11319</v>
      </c>
      <c r="C3145" s="421">
        <v>3790</v>
      </c>
      <c r="D3145" s="408">
        <v>45449</v>
      </c>
      <c r="E3145" s="420" t="s">
        <v>12332</v>
      </c>
    </row>
    <row r="3146" spans="2:5">
      <c r="B3146" s="414" t="s">
        <v>11319</v>
      </c>
      <c r="C3146" s="421">
        <v>3789</v>
      </c>
      <c r="D3146" s="408">
        <v>45450</v>
      </c>
      <c r="E3146" s="420" t="s">
        <v>11657</v>
      </c>
    </row>
    <row r="3147" spans="2:5">
      <c r="B3147" s="414" t="s">
        <v>11319</v>
      </c>
      <c r="C3147" s="421">
        <v>3787</v>
      </c>
      <c r="D3147" s="408">
        <v>45450</v>
      </c>
      <c r="E3147" s="420" t="s">
        <v>11734</v>
      </c>
    </row>
    <row r="3148" spans="2:5">
      <c r="B3148" s="414" t="s">
        <v>11319</v>
      </c>
      <c r="C3148" s="421">
        <v>3777</v>
      </c>
      <c r="D3148" s="408">
        <v>45450</v>
      </c>
      <c r="E3148" s="420" t="s">
        <v>11658</v>
      </c>
    </row>
    <row r="3149" spans="2:5">
      <c r="B3149" s="414" t="s">
        <v>11319</v>
      </c>
      <c r="C3149" s="421">
        <v>3776</v>
      </c>
      <c r="D3149" s="408">
        <v>45449</v>
      </c>
      <c r="E3149" s="420" t="s">
        <v>12333</v>
      </c>
    </row>
    <row r="3150" spans="2:5">
      <c r="B3150" s="414" t="s">
        <v>11319</v>
      </c>
      <c r="C3150" s="421">
        <v>3773</v>
      </c>
      <c r="D3150" s="408">
        <v>45449</v>
      </c>
      <c r="E3150" s="420" t="s">
        <v>12334</v>
      </c>
    </row>
    <row r="3151" spans="2:5">
      <c r="B3151" s="414" t="s">
        <v>11319</v>
      </c>
      <c r="C3151" s="421">
        <v>3772</v>
      </c>
      <c r="D3151" s="408">
        <v>45449</v>
      </c>
      <c r="E3151" s="420" t="s">
        <v>12335</v>
      </c>
    </row>
    <row r="3152" spans="2:5">
      <c r="B3152" s="414" t="s">
        <v>11319</v>
      </c>
      <c r="C3152" s="421">
        <v>3769</v>
      </c>
      <c r="D3152" s="408">
        <v>45450</v>
      </c>
      <c r="E3152" s="420" t="s">
        <v>11659</v>
      </c>
    </row>
    <row r="3153" spans="2:5">
      <c r="B3153" s="414" t="s">
        <v>11319</v>
      </c>
      <c r="C3153" s="421">
        <v>3768</v>
      </c>
      <c r="D3153" s="408">
        <v>45450</v>
      </c>
      <c r="E3153" s="420" t="s">
        <v>11660</v>
      </c>
    </row>
    <row r="3154" spans="2:5">
      <c r="B3154" s="414" t="s">
        <v>11319</v>
      </c>
      <c r="C3154" s="421">
        <v>3766</v>
      </c>
      <c r="D3154" s="408">
        <v>45450</v>
      </c>
      <c r="E3154" s="420" t="s">
        <v>11735</v>
      </c>
    </row>
    <row r="3155" spans="2:5">
      <c r="B3155" s="414" t="s">
        <v>11319</v>
      </c>
      <c r="C3155" s="421">
        <v>3762</v>
      </c>
      <c r="D3155" s="408">
        <v>45449</v>
      </c>
      <c r="E3155" s="420" t="s">
        <v>12336</v>
      </c>
    </row>
    <row r="3156" spans="2:5">
      <c r="B3156" s="414" t="s">
        <v>11319</v>
      </c>
      <c r="C3156" s="421">
        <v>3757</v>
      </c>
      <c r="D3156" s="408">
        <v>45450</v>
      </c>
      <c r="E3156" s="420" t="s">
        <v>11736</v>
      </c>
    </row>
    <row r="3157" spans="2:5">
      <c r="B3157" s="414" t="s">
        <v>11319</v>
      </c>
      <c r="C3157" s="421">
        <v>3753</v>
      </c>
      <c r="D3157" s="408">
        <v>45449</v>
      </c>
      <c r="E3157" s="420" t="s">
        <v>12337</v>
      </c>
    </row>
    <row r="3158" spans="2:5">
      <c r="B3158" s="414" t="s">
        <v>11319</v>
      </c>
      <c r="C3158" s="421">
        <v>3751</v>
      </c>
      <c r="D3158" s="408">
        <v>45450</v>
      </c>
      <c r="E3158" s="420" t="s">
        <v>11661</v>
      </c>
    </row>
    <row r="3159" spans="2:5">
      <c r="B3159" s="414" t="s">
        <v>11319</v>
      </c>
      <c r="C3159" s="421">
        <v>3749</v>
      </c>
      <c r="D3159" s="408">
        <v>45449</v>
      </c>
      <c r="E3159" s="420" t="s">
        <v>12338</v>
      </c>
    </row>
    <row r="3160" spans="2:5">
      <c r="B3160" s="414" t="s">
        <v>11319</v>
      </c>
      <c r="C3160" s="421">
        <v>3747</v>
      </c>
      <c r="D3160" s="408">
        <v>45450</v>
      </c>
      <c r="E3160" s="420" t="s">
        <v>11737</v>
      </c>
    </row>
    <row r="3161" spans="2:5">
      <c r="B3161" s="414" t="s">
        <v>11319</v>
      </c>
      <c r="C3161" s="421">
        <v>3746</v>
      </c>
      <c r="D3161" s="408">
        <v>45449</v>
      </c>
      <c r="E3161" s="420" t="s">
        <v>12339</v>
      </c>
    </row>
    <row r="3162" spans="2:5">
      <c r="B3162" s="414" t="s">
        <v>11319</v>
      </c>
      <c r="C3162" s="421">
        <v>3744</v>
      </c>
      <c r="D3162" s="408">
        <v>45450</v>
      </c>
      <c r="E3162" s="420" t="s">
        <v>11738</v>
      </c>
    </row>
    <row r="3163" spans="2:5">
      <c r="B3163" s="414" t="s">
        <v>11319</v>
      </c>
      <c r="C3163" s="421">
        <v>3736</v>
      </c>
      <c r="D3163" s="408">
        <v>45450</v>
      </c>
      <c r="E3163" s="420" t="s">
        <v>11662</v>
      </c>
    </row>
    <row r="3164" spans="2:5">
      <c r="B3164" s="414" t="s">
        <v>11319</v>
      </c>
      <c r="C3164" s="421">
        <v>3735</v>
      </c>
      <c r="D3164" s="408">
        <v>45450</v>
      </c>
      <c r="E3164" s="420" t="s">
        <v>11739</v>
      </c>
    </row>
    <row r="3165" spans="2:5">
      <c r="B3165" s="414" t="s">
        <v>11319</v>
      </c>
      <c r="C3165" s="421">
        <v>3733</v>
      </c>
      <c r="D3165" s="408">
        <v>45450</v>
      </c>
      <c r="E3165" s="420" t="s">
        <v>11663</v>
      </c>
    </row>
    <row r="3166" spans="2:5">
      <c r="B3166" s="414" t="s">
        <v>11319</v>
      </c>
      <c r="C3166" s="421">
        <v>3731</v>
      </c>
      <c r="D3166" s="408">
        <v>45450</v>
      </c>
      <c r="E3166" s="420" t="s">
        <v>11664</v>
      </c>
    </row>
    <row r="3167" spans="2:5">
      <c r="B3167" s="414" t="s">
        <v>11319</v>
      </c>
      <c r="C3167" s="421">
        <v>3730</v>
      </c>
      <c r="D3167" s="408">
        <v>45450</v>
      </c>
      <c r="E3167" s="420" t="s">
        <v>11665</v>
      </c>
    </row>
    <row r="3168" spans="2:5">
      <c r="B3168" s="414" t="s">
        <v>11319</v>
      </c>
      <c r="C3168" s="421">
        <v>3729</v>
      </c>
      <c r="D3168" s="408">
        <v>45450</v>
      </c>
      <c r="E3168" s="420" t="s">
        <v>11666</v>
      </c>
    </row>
    <row r="3169" spans="2:5">
      <c r="B3169" s="414" t="s">
        <v>11319</v>
      </c>
      <c r="C3169" s="421">
        <v>3728</v>
      </c>
      <c r="D3169" s="408">
        <v>45449</v>
      </c>
      <c r="E3169" s="420" t="s">
        <v>12340</v>
      </c>
    </row>
    <row r="3170" spans="2:5">
      <c r="B3170" s="414" t="s">
        <v>11319</v>
      </c>
      <c r="C3170" s="421">
        <v>3726</v>
      </c>
      <c r="D3170" s="408">
        <v>45450</v>
      </c>
      <c r="E3170" s="420" t="s">
        <v>11667</v>
      </c>
    </row>
    <row r="3171" spans="2:5">
      <c r="B3171" s="414" t="s">
        <v>11319</v>
      </c>
      <c r="C3171" s="421">
        <v>3725</v>
      </c>
      <c r="D3171" s="408">
        <v>45449</v>
      </c>
      <c r="E3171" s="420" t="s">
        <v>12341</v>
      </c>
    </row>
    <row r="3172" spans="2:5">
      <c r="B3172" s="414" t="s">
        <v>11319</v>
      </c>
      <c r="C3172" s="421">
        <v>3723</v>
      </c>
      <c r="D3172" s="408">
        <v>45449</v>
      </c>
      <c r="E3172" s="420" t="s">
        <v>12342</v>
      </c>
    </row>
    <row r="3173" spans="2:5">
      <c r="B3173" s="414" t="s">
        <v>11319</v>
      </c>
      <c r="C3173" s="421">
        <v>3722</v>
      </c>
      <c r="D3173" s="408">
        <v>45450</v>
      </c>
      <c r="E3173" s="420" t="s">
        <v>11668</v>
      </c>
    </row>
    <row r="3174" spans="2:5">
      <c r="B3174" s="414" t="s">
        <v>11319</v>
      </c>
      <c r="C3174" s="421">
        <v>3720</v>
      </c>
      <c r="D3174" s="408">
        <v>45449</v>
      </c>
      <c r="E3174" s="420" t="s">
        <v>12343</v>
      </c>
    </row>
    <row r="3175" spans="2:5">
      <c r="B3175" s="414" t="s">
        <v>11319</v>
      </c>
      <c r="C3175" s="421">
        <v>3718</v>
      </c>
      <c r="D3175" s="408">
        <v>45449</v>
      </c>
      <c r="E3175" s="420" t="s">
        <v>12344</v>
      </c>
    </row>
    <row r="3176" spans="2:5">
      <c r="B3176" s="49" t="s">
        <v>11319</v>
      </c>
      <c r="C3176" s="425">
        <v>3714</v>
      </c>
      <c r="D3176" s="410">
        <v>45449</v>
      </c>
      <c r="E3176" s="424" t="s">
        <v>12345</v>
      </c>
    </row>
    <row r="3177" spans="2:5">
      <c r="B3177" s="49" t="s">
        <v>11319</v>
      </c>
      <c r="C3177" s="425">
        <v>3712</v>
      </c>
      <c r="D3177" s="410">
        <v>45450</v>
      </c>
      <c r="E3177" s="424" t="s">
        <v>11740</v>
      </c>
    </row>
    <row r="3178" spans="2:5">
      <c r="B3178" s="414" t="s">
        <v>11319</v>
      </c>
      <c r="C3178" s="421">
        <v>3711</v>
      </c>
      <c r="D3178" s="408">
        <v>45449</v>
      </c>
      <c r="E3178" s="420" t="s">
        <v>12346</v>
      </c>
    </row>
    <row r="3179" spans="2:5">
      <c r="B3179" s="414" t="s">
        <v>11319</v>
      </c>
      <c r="C3179" s="421">
        <v>3710</v>
      </c>
      <c r="D3179" s="408">
        <v>45450</v>
      </c>
      <c r="E3179" s="420" t="s">
        <v>11669</v>
      </c>
    </row>
    <row r="3180" spans="2:5">
      <c r="B3180" s="414" t="s">
        <v>11319</v>
      </c>
      <c r="C3180" s="421">
        <v>3707</v>
      </c>
      <c r="D3180" s="408">
        <v>45450</v>
      </c>
      <c r="E3180" s="420" t="s">
        <v>11670</v>
      </c>
    </row>
    <row r="3181" spans="2:5">
      <c r="B3181" s="414" t="s">
        <v>11319</v>
      </c>
      <c r="C3181" s="421">
        <v>3706</v>
      </c>
      <c r="D3181" s="408">
        <v>45449</v>
      </c>
      <c r="E3181" s="420" t="s">
        <v>12347</v>
      </c>
    </row>
    <row r="3182" spans="2:5">
      <c r="B3182" s="414" t="s">
        <v>11319</v>
      </c>
      <c r="C3182" s="421">
        <v>3704</v>
      </c>
      <c r="D3182" s="408">
        <v>45450</v>
      </c>
      <c r="E3182" s="420" t="s">
        <v>11671</v>
      </c>
    </row>
    <row r="3183" spans="2:5">
      <c r="B3183" s="414" t="s">
        <v>11319</v>
      </c>
      <c r="C3183" s="421">
        <v>3703</v>
      </c>
      <c r="D3183" s="408">
        <v>45450</v>
      </c>
      <c r="E3183" s="420" t="s">
        <v>11741</v>
      </c>
    </row>
    <row r="3184" spans="2:5">
      <c r="B3184" s="414" t="s">
        <v>11319</v>
      </c>
      <c r="C3184" s="421">
        <v>3702</v>
      </c>
      <c r="D3184" s="408">
        <v>45449</v>
      </c>
      <c r="E3184" s="420" t="s">
        <v>12348</v>
      </c>
    </row>
    <row r="3185" spans="2:5">
      <c r="B3185" s="414" t="s">
        <v>11319</v>
      </c>
      <c r="C3185" s="421">
        <v>3701</v>
      </c>
      <c r="D3185" s="408">
        <v>45449</v>
      </c>
      <c r="E3185" s="420" t="s">
        <v>12349</v>
      </c>
    </row>
    <row r="3186" spans="2:5">
      <c r="B3186" s="414" t="s">
        <v>11319</v>
      </c>
      <c r="C3186" s="421">
        <v>3699</v>
      </c>
      <c r="D3186" s="408">
        <v>45449</v>
      </c>
      <c r="E3186" s="420" t="s">
        <v>12350</v>
      </c>
    </row>
    <row r="3187" spans="2:5">
      <c r="B3187" s="414" t="s">
        <v>11319</v>
      </c>
      <c r="C3187" s="421">
        <v>3697</v>
      </c>
      <c r="D3187" s="408">
        <v>45449</v>
      </c>
      <c r="E3187" s="420" t="s">
        <v>12351</v>
      </c>
    </row>
    <row r="3188" spans="2:5">
      <c r="B3188" s="414" t="s">
        <v>11319</v>
      </c>
      <c r="C3188" s="421">
        <v>3696</v>
      </c>
      <c r="D3188" s="408">
        <v>45450</v>
      </c>
      <c r="E3188" s="420" t="s">
        <v>11742</v>
      </c>
    </row>
    <row r="3189" spans="2:5">
      <c r="B3189" s="414" t="s">
        <v>11319</v>
      </c>
      <c r="C3189" s="421">
        <v>3694</v>
      </c>
      <c r="D3189" s="408">
        <v>45449</v>
      </c>
      <c r="E3189" s="420" t="s">
        <v>12352</v>
      </c>
    </row>
    <row r="3190" spans="2:5">
      <c r="B3190" s="414" t="s">
        <v>11319</v>
      </c>
      <c r="C3190" s="421">
        <v>3689</v>
      </c>
      <c r="D3190" s="408">
        <v>45449</v>
      </c>
      <c r="E3190" s="420" t="s">
        <v>12353</v>
      </c>
    </row>
    <row r="3191" spans="2:5">
      <c r="B3191" s="414" t="s">
        <v>11319</v>
      </c>
      <c r="C3191" s="421">
        <v>3688</v>
      </c>
      <c r="D3191" s="408">
        <v>45449</v>
      </c>
      <c r="E3191" s="420" t="s">
        <v>12354</v>
      </c>
    </row>
    <row r="3192" spans="2:5">
      <c r="B3192" s="414" t="s">
        <v>11319</v>
      </c>
      <c r="C3192" s="421">
        <v>3686</v>
      </c>
      <c r="D3192" s="408">
        <v>45450</v>
      </c>
      <c r="E3192" s="420" t="s">
        <v>11672</v>
      </c>
    </row>
    <row r="3193" spans="2:5">
      <c r="B3193" s="414" t="s">
        <v>11319</v>
      </c>
      <c r="C3193" s="421">
        <v>3684</v>
      </c>
      <c r="D3193" s="408">
        <v>45449</v>
      </c>
      <c r="E3193" s="420" t="s">
        <v>12355</v>
      </c>
    </row>
    <row r="3194" spans="2:5">
      <c r="B3194" s="414" t="s">
        <v>11319</v>
      </c>
      <c r="C3194" s="421">
        <v>3683</v>
      </c>
      <c r="D3194" s="408">
        <v>45450</v>
      </c>
      <c r="E3194" s="420" t="s">
        <v>11673</v>
      </c>
    </row>
    <row r="3195" spans="2:5">
      <c r="B3195" s="414" t="s">
        <v>11319</v>
      </c>
      <c r="C3195" s="421">
        <v>3682</v>
      </c>
      <c r="D3195" s="408">
        <v>45450</v>
      </c>
      <c r="E3195" s="420" t="s">
        <v>11674</v>
      </c>
    </row>
    <row r="3196" spans="2:5">
      <c r="B3196" s="414" t="s">
        <v>11319</v>
      </c>
      <c r="C3196" s="421">
        <v>3680</v>
      </c>
      <c r="D3196" s="408">
        <v>45450</v>
      </c>
      <c r="E3196" s="420" t="s">
        <v>11675</v>
      </c>
    </row>
    <row r="3197" spans="2:5">
      <c r="B3197" s="414" t="s">
        <v>11319</v>
      </c>
      <c r="C3197" s="421">
        <v>3679</v>
      </c>
      <c r="D3197" s="408">
        <v>45450</v>
      </c>
      <c r="E3197" s="420" t="s">
        <v>11743</v>
      </c>
    </row>
    <row r="3198" spans="2:5">
      <c r="B3198" s="414" t="s">
        <v>11319</v>
      </c>
      <c r="C3198" s="421">
        <v>3678</v>
      </c>
      <c r="D3198" s="408">
        <v>45450</v>
      </c>
      <c r="E3198" s="420" t="s">
        <v>11676</v>
      </c>
    </row>
    <row r="3199" spans="2:5">
      <c r="B3199" s="414" t="s">
        <v>11319</v>
      </c>
      <c r="C3199" s="421">
        <v>3673</v>
      </c>
      <c r="D3199" s="408">
        <v>45449</v>
      </c>
      <c r="E3199" s="420" t="s">
        <v>12356</v>
      </c>
    </row>
    <row r="3200" spans="2:5">
      <c r="B3200" s="414" t="s">
        <v>11319</v>
      </c>
      <c r="C3200" s="421">
        <v>3671</v>
      </c>
      <c r="D3200" s="408">
        <v>45450</v>
      </c>
      <c r="E3200" s="420" t="s">
        <v>11677</v>
      </c>
    </row>
    <row r="3201" spans="2:5">
      <c r="B3201" s="414" t="s">
        <v>11319</v>
      </c>
      <c r="C3201" s="421">
        <v>3668</v>
      </c>
      <c r="D3201" s="408">
        <v>45449</v>
      </c>
      <c r="E3201" s="420" t="s">
        <v>12357</v>
      </c>
    </row>
    <row r="3202" spans="2:5">
      <c r="B3202" s="414" t="s">
        <v>11319</v>
      </c>
      <c r="C3202" s="421">
        <v>3666</v>
      </c>
      <c r="D3202" s="408">
        <v>45449</v>
      </c>
      <c r="E3202" s="420" t="s">
        <v>12358</v>
      </c>
    </row>
    <row r="3203" spans="2:5">
      <c r="B3203" s="414" t="s">
        <v>11319</v>
      </c>
      <c r="C3203" s="421">
        <v>3665</v>
      </c>
      <c r="D3203" s="408">
        <v>45450</v>
      </c>
      <c r="E3203" s="420" t="s">
        <v>11678</v>
      </c>
    </row>
    <row r="3204" spans="2:5">
      <c r="B3204" s="414" t="s">
        <v>11319</v>
      </c>
      <c r="C3204" s="421">
        <v>3663</v>
      </c>
      <c r="D3204" s="408">
        <v>45450</v>
      </c>
      <c r="E3204" s="420" t="s">
        <v>11744</v>
      </c>
    </row>
    <row r="3205" spans="2:5">
      <c r="B3205" s="414" t="s">
        <v>11319</v>
      </c>
      <c r="C3205" s="421">
        <v>3662</v>
      </c>
      <c r="D3205" s="408">
        <v>45450</v>
      </c>
      <c r="E3205" s="420" t="s">
        <v>11679</v>
      </c>
    </row>
    <row r="3206" spans="2:5">
      <c r="B3206" s="414" t="s">
        <v>11319</v>
      </c>
      <c r="C3206" s="421">
        <v>3660</v>
      </c>
      <c r="D3206" s="408">
        <v>45449</v>
      </c>
      <c r="E3206" s="420" t="s">
        <v>12359</v>
      </c>
    </row>
    <row r="3207" spans="2:5">
      <c r="B3207" s="414" t="s">
        <v>11319</v>
      </c>
      <c r="C3207" s="421">
        <v>3653</v>
      </c>
      <c r="D3207" s="408">
        <v>45450</v>
      </c>
      <c r="E3207" s="420" t="s">
        <v>11745</v>
      </c>
    </row>
    <row r="3208" spans="2:5">
      <c r="B3208" s="414" t="s">
        <v>11319</v>
      </c>
      <c r="C3208" s="421">
        <v>3652</v>
      </c>
      <c r="D3208" s="408">
        <v>45450</v>
      </c>
      <c r="E3208" s="420" t="s">
        <v>11746</v>
      </c>
    </row>
    <row r="3209" spans="2:5">
      <c r="B3209" s="414" t="s">
        <v>11319</v>
      </c>
      <c r="C3209" s="421">
        <v>3651</v>
      </c>
      <c r="D3209" s="408">
        <v>45450</v>
      </c>
      <c r="E3209" s="420" t="s">
        <v>11680</v>
      </c>
    </row>
    <row r="3210" spans="2:5">
      <c r="B3210" s="414" t="s">
        <v>11319</v>
      </c>
      <c r="C3210" s="421">
        <v>3647</v>
      </c>
      <c r="D3210" s="408">
        <v>45450</v>
      </c>
      <c r="E3210" s="420" t="s">
        <v>11681</v>
      </c>
    </row>
    <row r="3211" spans="2:5">
      <c r="B3211" s="414" t="s">
        <v>11319</v>
      </c>
      <c r="C3211" s="421">
        <v>3642</v>
      </c>
      <c r="D3211" s="408">
        <v>45450</v>
      </c>
      <c r="E3211" s="420" t="s">
        <v>11747</v>
      </c>
    </row>
    <row r="3212" spans="2:5">
      <c r="B3212" s="414" t="s">
        <v>11319</v>
      </c>
      <c r="C3212" s="421">
        <v>3637</v>
      </c>
      <c r="D3212" s="408">
        <v>45450</v>
      </c>
      <c r="E3212" s="420" t="s">
        <v>11748</v>
      </c>
    </row>
    <row r="3213" spans="2:5">
      <c r="B3213" s="414" t="s">
        <v>11319</v>
      </c>
      <c r="C3213" s="421">
        <v>3636</v>
      </c>
      <c r="D3213" s="408">
        <v>45450</v>
      </c>
      <c r="E3213" s="420" t="s">
        <v>11749</v>
      </c>
    </row>
    <row r="3214" spans="2:5">
      <c r="B3214" s="414" t="s">
        <v>11319</v>
      </c>
      <c r="C3214" s="421">
        <v>3631</v>
      </c>
      <c r="D3214" s="408">
        <v>45450</v>
      </c>
      <c r="E3214" s="420" t="s">
        <v>11682</v>
      </c>
    </row>
    <row r="3215" spans="2:5">
      <c r="B3215" s="414" t="s">
        <v>11319</v>
      </c>
      <c r="C3215" s="421">
        <v>3630</v>
      </c>
      <c r="D3215" s="408">
        <v>45450</v>
      </c>
      <c r="E3215" s="420" t="s">
        <v>11750</v>
      </c>
    </row>
    <row r="3216" spans="2:5">
      <c r="B3216" s="414" t="s">
        <v>11319</v>
      </c>
      <c r="C3216" s="421">
        <v>3628</v>
      </c>
      <c r="D3216" s="408">
        <v>45450</v>
      </c>
      <c r="E3216" s="420" t="s">
        <v>11751</v>
      </c>
    </row>
    <row r="3217" spans="2:5">
      <c r="B3217" s="414" t="s">
        <v>11319</v>
      </c>
      <c r="C3217" s="421">
        <v>3625</v>
      </c>
      <c r="D3217" s="408">
        <v>45449</v>
      </c>
      <c r="E3217" s="420" t="s">
        <v>12360</v>
      </c>
    </row>
    <row r="3218" spans="2:5">
      <c r="B3218" s="414" t="s">
        <v>11319</v>
      </c>
      <c r="C3218" s="421">
        <v>3620</v>
      </c>
      <c r="D3218" s="408">
        <v>45450</v>
      </c>
      <c r="E3218" s="420" t="s">
        <v>11683</v>
      </c>
    </row>
    <row r="3219" spans="2:5">
      <c r="B3219" s="414" t="s">
        <v>11319</v>
      </c>
      <c r="C3219" s="421">
        <v>3619</v>
      </c>
      <c r="D3219" s="408">
        <v>45450</v>
      </c>
      <c r="E3219" s="420" t="s">
        <v>11684</v>
      </c>
    </row>
    <row r="3220" spans="2:5">
      <c r="B3220" s="414" t="s">
        <v>11319</v>
      </c>
      <c r="C3220" s="421">
        <v>3618</v>
      </c>
      <c r="D3220" s="408">
        <v>45449</v>
      </c>
      <c r="E3220" s="420" t="s">
        <v>12361</v>
      </c>
    </row>
    <row r="3221" spans="2:5">
      <c r="B3221" s="414" t="s">
        <v>11319</v>
      </c>
      <c r="C3221" s="421">
        <v>3616</v>
      </c>
      <c r="D3221" s="408">
        <v>45450</v>
      </c>
      <c r="E3221" s="420" t="s">
        <v>11752</v>
      </c>
    </row>
    <row r="3222" spans="2:5">
      <c r="B3222" s="414" t="s">
        <v>11319</v>
      </c>
      <c r="C3222" s="421">
        <v>3614</v>
      </c>
      <c r="D3222" s="408">
        <v>45450</v>
      </c>
      <c r="E3222" s="420" t="s">
        <v>11685</v>
      </c>
    </row>
    <row r="3223" spans="2:5">
      <c r="B3223" s="414" t="s">
        <v>11319</v>
      </c>
      <c r="C3223" s="421">
        <v>3611</v>
      </c>
      <c r="D3223" s="408">
        <v>45450</v>
      </c>
      <c r="E3223" s="420" t="s">
        <v>11686</v>
      </c>
    </row>
    <row r="3224" spans="2:5">
      <c r="B3224" s="414" t="s">
        <v>11319</v>
      </c>
      <c r="C3224" s="421">
        <v>3608</v>
      </c>
      <c r="D3224" s="408">
        <v>45449</v>
      </c>
      <c r="E3224" s="420" t="s">
        <v>12362</v>
      </c>
    </row>
    <row r="3225" spans="2:5">
      <c r="B3225" s="414" t="s">
        <v>11319</v>
      </c>
      <c r="C3225" s="421">
        <v>3603</v>
      </c>
      <c r="D3225" s="408">
        <v>45450</v>
      </c>
      <c r="E3225" s="420" t="s">
        <v>11687</v>
      </c>
    </row>
    <row r="3226" spans="2:5">
      <c r="B3226" s="414" t="s">
        <v>11319</v>
      </c>
      <c r="C3226" s="421">
        <v>3600</v>
      </c>
      <c r="D3226" s="408">
        <v>45449</v>
      </c>
      <c r="E3226" s="420" t="s">
        <v>12363</v>
      </c>
    </row>
    <row r="3227" spans="2:5">
      <c r="B3227" s="414" t="s">
        <v>11319</v>
      </c>
      <c r="C3227" s="421">
        <v>3599</v>
      </c>
      <c r="D3227" s="408">
        <v>45450</v>
      </c>
      <c r="E3227" s="420" t="s">
        <v>11753</v>
      </c>
    </row>
    <row r="3228" spans="2:5">
      <c r="B3228" s="414" t="s">
        <v>11319</v>
      </c>
      <c r="C3228" s="421">
        <v>3594</v>
      </c>
      <c r="D3228" s="408">
        <v>45450</v>
      </c>
      <c r="E3228" s="420" t="s">
        <v>11754</v>
      </c>
    </row>
    <row r="3229" spans="2:5">
      <c r="B3229" s="414" t="s">
        <v>11319</v>
      </c>
      <c r="C3229" s="421">
        <v>3592</v>
      </c>
      <c r="D3229" s="408">
        <v>45449</v>
      </c>
      <c r="E3229" s="420" t="s">
        <v>12364</v>
      </c>
    </row>
    <row r="3230" spans="2:5">
      <c r="B3230" s="414" t="s">
        <v>11319</v>
      </c>
      <c r="C3230" s="421">
        <v>3591</v>
      </c>
      <c r="D3230" s="408">
        <v>45450</v>
      </c>
      <c r="E3230" s="420" t="s">
        <v>11755</v>
      </c>
    </row>
    <row r="3231" spans="2:5">
      <c r="B3231" s="414" t="s">
        <v>11319</v>
      </c>
      <c r="C3231" s="421">
        <v>3589</v>
      </c>
      <c r="D3231" s="408">
        <v>45449</v>
      </c>
      <c r="E3231" s="420" t="s">
        <v>12365</v>
      </c>
    </row>
    <row r="3232" spans="2:5">
      <c r="B3232" s="414" t="s">
        <v>11319</v>
      </c>
      <c r="C3232" s="421">
        <v>3586</v>
      </c>
      <c r="D3232" s="408">
        <v>45450</v>
      </c>
      <c r="E3232" s="420" t="s">
        <v>11756</v>
      </c>
    </row>
    <row r="3233" spans="2:5">
      <c r="B3233" s="414" t="s">
        <v>11319</v>
      </c>
      <c r="C3233" s="421">
        <v>3585</v>
      </c>
      <c r="D3233" s="408">
        <v>45450</v>
      </c>
      <c r="E3233" s="420" t="s">
        <v>11688</v>
      </c>
    </row>
    <row r="3234" spans="2:5">
      <c r="B3234" s="414" t="s">
        <v>11319</v>
      </c>
      <c r="C3234" s="421">
        <v>3582</v>
      </c>
      <c r="D3234" s="408">
        <v>45449</v>
      </c>
      <c r="E3234" s="420" t="s">
        <v>12366</v>
      </c>
    </row>
    <row r="3235" spans="2:5">
      <c r="B3235" s="414" t="s">
        <v>11319</v>
      </c>
      <c r="C3235" s="421">
        <v>3575</v>
      </c>
      <c r="D3235" s="408">
        <v>45450</v>
      </c>
      <c r="E3235" s="420" t="s">
        <v>11689</v>
      </c>
    </row>
    <row r="3236" spans="2:5">
      <c r="B3236" s="414" t="s">
        <v>11319</v>
      </c>
      <c r="C3236" s="421">
        <v>3574</v>
      </c>
      <c r="D3236" s="408">
        <v>45450</v>
      </c>
      <c r="E3236" s="420" t="s">
        <v>11757</v>
      </c>
    </row>
    <row r="3237" spans="2:5">
      <c r="B3237" s="414" t="s">
        <v>11319</v>
      </c>
      <c r="C3237" s="421">
        <v>3569</v>
      </c>
      <c r="D3237" s="408">
        <v>45450</v>
      </c>
      <c r="E3237" s="420" t="s">
        <v>11758</v>
      </c>
    </row>
    <row r="3238" spans="2:5">
      <c r="B3238" s="414" t="s">
        <v>11319</v>
      </c>
      <c r="C3238" s="421">
        <v>3562</v>
      </c>
      <c r="D3238" s="408">
        <v>45450</v>
      </c>
      <c r="E3238" s="420" t="s">
        <v>11759</v>
      </c>
    </row>
    <row r="3239" spans="2:5">
      <c r="B3239" s="414" t="s">
        <v>11319</v>
      </c>
      <c r="C3239" s="421">
        <v>3548</v>
      </c>
      <c r="D3239" s="408">
        <v>45450</v>
      </c>
      <c r="E3239" s="420" t="s">
        <v>11760</v>
      </c>
    </row>
    <row r="3240" spans="2:5">
      <c r="B3240" s="414" t="s">
        <v>11319</v>
      </c>
      <c r="C3240" s="421">
        <v>3537</v>
      </c>
      <c r="D3240" s="408">
        <v>45450</v>
      </c>
      <c r="E3240" s="420" t="s">
        <v>11690</v>
      </c>
    </row>
    <row r="3241" spans="2:5">
      <c r="B3241" s="414" t="s">
        <v>11319</v>
      </c>
      <c r="C3241" s="421">
        <v>3520</v>
      </c>
      <c r="D3241" s="408">
        <v>45450</v>
      </c>
      <c r="E3241" s="420" t="s">
        <v>11761</v>
      </c>
    </row>
    <row r="3242" spans="2:5">
      <c r="B3242" s="414" t="s">
        <v>11319</v>
      </c>
      <c r="C3242" s="421">
        <v>3519</v>
      </c>
      <c r="D3242" s="408">
        <v>45450</v>
      </c>
      <c r="E3242" s="420" t="s">
        <v>11691</v>
      </c>
    </row>
    <row r="3243" spans="2:5">
      <c r="B3243" s="414" t="s">
        <v>11319</v>
      </c>
      <c r="C3243" s="421">
        <v>3516</v>
      </c>
      <c r="D3243" s="408">
        <v>45450</v>
      </c>
      <c r="E3243" s="420" t="s">
        <v>11762</v>
      </c>
    </row>
    <row r="3244" spans="2:5">
      <c r="B3244" s="414" t="s">
        <v>11319</v>
      </c>
      <c r="C3244" s="421">
        <v>3512</v>
      </c>
      <c r="D3244" s="408">
        <v>45453</v>
      </c>
      <c r="E3244" s="420" t="s">
        <v>12462</v>
      </c>
    </row>
    <row r="3245" spans="2:5">
      <c r="B3245" s="414" t="s">
        <v>11319</v>
      </c>
      <c r="C3245" s="421">
        <v>3511</v>
      </c>
      <c r="D3245" s="408">
        <v>45450</v>
      </c>
      <c r="E3245" s="420" t="s">
        <v>11692</v>
      </c>
    </row>
    <row r="3246" spans="2:5">
      <c r="B3246" s="414" t="s">
        <v>11319</v>
      </c>
      <c r="C3246" s="421">
        <v>3508</v>
      </c>
      <c r="D3246" s="408">
        <v>45450</v>
      </c>
      <c r="E3246" s="420" t="s">
        <v>11693</v>
      </c>
    </row>
    <row r="3247" spans="2:5">
      <c r="B3247" s="414" t="s">
        <v>11319</v>
      </c>
      <c r="C3247" s="421">
        <v>3507</v>
      </c>
      <c r="D3247" s="408">
        <v>45450</v>
      </c>
      <c r="E3247" s="420" t="s">
        <v>11694</v>
      </c>
    </row>
    <row r="3248" spans="2:5">
      <c r="B3248" s="414" t="s">
        <v>11319</v>
      </c>
      <c r="C3248" s="421">
        <v>3506</v>
      </c>
      <c r="D3248" s="408">
        <v>45450</v>
      </c>
      <c r="E3248" s="420" t="s">
        <v>11695</v>
      </c>
    </row>
    <row r="3249" spans="2:5">
      <c r="B3249" s="414" t="s">
        <v>11319</v>
      </c>
      <c r="C3249" s="421">
        <v>3505</v>
      </c>
      <c r="D3249" s="408">
        <v>45450</v>
      </c>
      <c r="E3249" s="420" t="s">
        <v>11696</v>
      </c>
    </row>
    <row r="3250" spans="2:5">
      <c r="B3250" s="414" t="s">
        <v>11319</v>
      </c>
      <c r="C3250" s="421">
        <v>3504</v>
      </c>
      <c r="D3250" s="408">
        <v>45450</v>
      </c>
      <c r="E3250" s="420" t="s">
        <v>11763</v>
      </c>
    </row>
    <row r="3251" spans="2:5">
      <c r="B3251" s="414" t="s">
        <v>11319</v>
      </c>
      <c r="C3251" s="421">
        <v>3503</v>
      </c>
      <c r="D3251" s="408">
        <v>45450</v>
      </c>
      <c r="E3251" s="420" t="s">
        <v>11764</v>
      </c>
    </row>
    <row r="3252" spans="2:5">
      <c r="B3252" s="414" t="s">
        <v>11319</v>
      </c>
      <c r="C3252" s="421">
        <v>3496</v>
      </c>
      <c r="D3252" s="408">
        <v>45449</v>
      </c>
      <c r="E3252" s="420" t="s">
        <v>11888</v>
      </c>
    </row>
    <row r="3253" spans="2:5">
      <c r="B3253" s="414" t="s">
        <v>11319</v>
      </c>
      <c r="C3253" s="407">
        <v>3495</v>
      </c>
      <c r="D3253" s="408">
        <v>45449</v>
      </c>
      <c r="E3253" s="415" t="s">
        <v>11546</v>
      </c>
    </row>
    <row r="3254" spans="2:5">
      <c r="B3254" s="414" t="s">
        <v>11319</v>
      </c>
      <c r="C3254" s="407">
        <v>3494</v>
      </c>
      <c r="D3254" s="408">
        <v>45449</v>
      </c>
      <c r="E3254" s="415" t="s">
        <v>11547</v>
      </c>
    </row>
    <row r="3255" spans="2:5">
      <c r="B3255" s="414" t="s">
        <v>11319</v>
      </c>
      <c r="C3255" s="407">
        <v>3485</v>
      </c>
      <c r="D3255" s="408">
        <v>45449</v>
      </c>
      <c r="E3255" s="415" t="s">
        <v>11548</v>
      </c>
    </row>
    <row r="3256" spans="2:5">
      <c r="B3256" s="414" t="s">
        <v>11319</v>
      </c>
      <c r="C3256" s="407">
        <v>3482</v>
      </c>
      <c r="D3256" s="408">
        <v>45449</v>
      </c>
      <c r="E3256" s="415" t="s">
        <v>11549</v>
      </c>
    </row>
    <row r="3257" spans="2:5">
      <c r="B3257" s="414" t="s">
        <v>11319</v>
      </c>
      <c r="C3257" s="407">
        <v>3478</v>
      </c>
      <c r="D3257" s="408">
        <v>45449</v>
      </c>
      <c r="E3257" s="420" t="s">
        <v>11889</v>
      </c>
    </row>
    <row r="3258" spans="2:5">
      <c r="B3258" s="414" t="s">
        <v>11319</v>
      </c>
      <c r="C3258" s="407">
        <v>3476</v>
      </c>
      <c r="D3258" s="408">
        <v>45449</v>
      </c>
      <c r="E3258" s="415" t="s">
        <v>11550</v>
      </c>
    </row>
    <row r="3259" spans="2:5">
      <c r="B3259" s="414" t="s">
        <v>11319</v>
      </c>
      <c r="C3259" s="407">
        <v>3472</v>
      </c>
      <c r="D3259" s="408">
        <v>45449</v>
      </c>
      <c r="E3259" s="415" t="s">
        <v>11551</v>
      </c>
    </row>
    <row r="3260" spans="2:5">
      <c r="B3260" s="414" t="s">
        <v>11319</v>
      </c>
      <c r="C3260" s="407">
        <v>3464</v>
      </c>
      <c r="D3260" s="408">
        <v>45449</v>
      </c>
      <c r="E3260" s="415" t="s">
        <v>11552</v>
      </c>
    </row>
    <row r="3261" spans="2:5">
      <c r="B3261" s="414" t="s">
        <v>11319</v>
      </c>
      <c r="C3261" s="407">
        <v>3460</v>
      </c>
      <c r="D3261" s="408">
        <v>45449</v>
      </c>
      <c r="E3261" s="420" t="s">
        <v>11890</v>
      </c>
    </row>
    <row r="3262" spans="2:5">
      <c r="B3262" s="414" t="s">
        <v>11319</v>
      </c>
      <c r="C3262" s="417" t="s">
        <v>11553</v>
      </c>
      <c r="D3262" s="408">
        <v>45449</v>
      </c>
      <c r="E3262" s="415" t="s">
        <v>11554</v>
      </c>
    </row>
    <row r="3263" spans="2:5">
      <c r="B3263" s="414" t="s">
        <v>11319</v>
      </c>
      <c r="C3263" s="417">
        <v>3447</v>
      </c>
      <c r="D3263" s="408">
        <v>45449</v>
      </c>
      <c r="E3263" s="420" t="s">
        <v>11891</v>
      </c>
    </row>
    <row r="3264" spans="2:5">
      <c r="B3264" s="414" t="s">
        <v>11319</v>
      </c>
      <c r="C3264" s="407">
        <v>3445</v>
      </c>
      <c r="D3264" s="408">
        <v>45449</v>
      </c>
      <c r="E3264" s="415" t="s">
        <v>11555</v>
      </c>
    </row>
    <row r="3265" spans="2:5">
      <c r="B3265" s="414" t="s">
        <v>11319</v>
      </c>
      <c r="C3265" s="407">
        <v>3441</v>
      </c>
      <c r="D3265" s="408">
        <v>45449</v>
      </c>
      <c r="E3265" s="420" t="s">
        <v>11892</v>
      </c>
    </row>
    <row r="3266" spans="2:5">
      <c r="B3266" s="414" t="s">
        <v>11319</v>
      </c>
      <c r="C3266" s="417" t="s">
        <v>11556</v>
      </c>
      <c r="D3266" s="408">
        <v>45449</v>
      </c>
      <c r="E3266" s="415" t="s">
        <v>11557</v>
      </c>
    </row>
    <row r="3267" spans="2:5">
      <c r="B3267" s="414" t="s">
        <v>11319</v>
      </c>
      <c r="C3267" s="417" t="s">
        <v>11558</v>
      </c>
      <c r="D3267" s="408">
        <v>45449</v>
      </c>
      <c r="E3267" s="415" t="s">
        <v>11559</v>
      </c>
    </row>
    <row r="3268" spans="2:5">
      <c r="B3268" s="414" t="s">
        <v>11319</v>
      </c>
      <c r="C3268" s="417">
        <v>3428</v>
      </c>
      <c r="D3268" s="408">
        <v>45449</v>
      </c>
      <c r="E3268" s="415" t="s">
        <v>11560</v>
      </c>
    </row>
    <row r="3269" spans="2:5">
      <c r="B3269" s="414" t="s">
        <v>11319</v>
      </c>
      <c r="C3269" s="417">
        <v>3409</v>
      </c>
      <c r="D3269" s="408">
        <v>45449</v>
      </c>
      <c r="E3269" s="415" t="s">
        <v>11561</v>
      </c>
    </row>
    <row r="3270" spans="2:5">
      <c r="B3270" s="414" t="s">
        <v>11319</v>
      </c>
      <c r="C3270" s="417">
        <v>3407</v>
      </c>
      <c r="D3270" s="408">
        <v>45449</v>
      </c>
      <c r="E3270" s="415" t="s">
        <v>11562</v>
      </c>
    </row>
    <row r="3271" spans="2:5">
      <c r="B3271" s="414" t="s">
        <v>11319</v>
      </c>
      <c r="C3271" s="417">
        <v>3406</v>
      </c>
      <c r="D3271" s="408">
        <v>45449</v>
      </c>
      <c r="E3271" s="415" t="s">
        <v>11563</v>
      </c>
    </row>
    <row r="3272" spans="2:5">
      <c r="B3272" s="414" t="s">
        <v>11319</v>
      </c>
      <c r="C3272" s="417">
        <v>3405</v>
      </c>
      <c r="D3272" s="408">
        <v>45449</v>
      </c>
      <c r="E3272" s="415" t="s">
        <v>11564</v>
      </c>
    </row>
    <row r="3273" spans="2:5">
      <c r="B3273" s="414" t="s">
        <v>11319</v>
      </c>
      <c r="C3273" s="417">
        <v>3404</v>
      </c>
      <c r="D3273" s="408">
        <v>45449</v>
      </c>
      <c r="E3273" s="415" t="s">
        <v>11565</v>
      </c>
    </row>
    <row r="3274" spans="2:5">
      <c r="B3274" s="414" t="s">
        <v>11319</v>
      </c>
      <c r="C3274" s="417">
        <v>3403</v>
      </c>
      <c r="D3274" s="408">
        <v>45449</v>
      </c>
      <c r="E3274" s="415" t="s">
        <v>11566</v>
      </c>
    </row>
    <row r="3275" spans="2:5">
      <c r="B3275" s="414" t="s">
        <v>11319</v>
      </c>
      <c r="C3275" s="417">
        <v>3402</v>
      </c>
      <c r="D3275" s="408">
        <v>45449</v>
      </c>
      <c r="E3275" s="415" t="s">
        <v>11567</v>
      </c>
    </row>
    <row r="3276" spans="2:5">
      <c r="B3276" s="414" t="s">
        <v>11319</v>
      </c>
      <c r="C3276" s="417">
        <v>3398</v>
      </c>
      <c r="D3276" s="408">
        <v>45449</v>
      </c>
      <c r="E3276" s="415" t="s">
        <v>11568</v>
      </c>
    </row>
    <row r="3277" spans="2:5">
      <c r="B3277" s="414" t="s">
        <v>11319</v>
      </c>
      <c r="C3277" s="417">
        <v>3396</v>
      </c>
      <c r="D3277" s="408">
        <v>45449</v>
      </c>
      <c r="E3277" s="415" t="s">
        <v>11569</v>
      </c>
    </row>
    <row r="3278" spans="2:5">
      <c r="B3278" s="414" t="s">
        <v>11319</v>
      </c>
      <c r="C3278" s="417">
        <v>3390</v>
      </c>
      <c r="D3278" s="408">
        <v>45449</v>
      </c>
      <c r="E3278" s="415" t="s">
        <v>11570</v>
      </c>
    </row>
    <row r="3279" spans="2:5">
      <c r="B3279" s="414" t="s">
        <v>11319</v>
      </c>
      <c r="C3279" s="417">
        <v>3386</v>
      </c>
      <c r="D3279" s="408">
        <v>45449</v>
      </c>
      <c r="E3279" s="415" t="s">
        <v>11571</v>
      </c>
    </row>
    <row r="3280" spans="2:5">
      <c r="B3280" s="414" t="s">
        <v>11319</v>
      </c>
      <c r="C3280" s="417">
        <v>3372</v>
      </c>
      <c r="D3280" s="408">
        <v>45449</v>
      </c>
      <c r="E3280" s="420" t="s">
        <v>11893</v>
      </c>
    </row>
    <row r="3281" spans="2:5">
      <c r="B3281" s="414" t="s">
        <v>11319</v>
      </c>
      <c r="C3281" s="417">
        <v>3369</v>
      </c>
      <c r="D3281" s="408">
        <v>45449</v>
      </c>
      <c r="E3281" s="420" t="s">
        <v>11894</v>
      </c>
    </row>
    <row r="3282" spans="2:5">
      <c r="B3282" s="414" t="s">
        <v>11319</v>
      </c>
      <c r="C3282" s="417">
        <v>3361</v>
      </c>
      <c r="D3282" s="408">
        <v>45449</v>
      </c>
      <c r="E3282" s="415" t="s">
        <v>11572</v>
      </c>
    </row>
    <row r="3283" spans="2:5">
      <c r="B3283" s="414" t="s">
        <v>11319</v>
      </c>
      <c r="C3283" s="417">
        <v>3356</v>
      </c>
      <c r="D3283" s="408">
        <v>45449</v>
      </c>
      <c r="E3283" s="415" t="s">
        <v>11573</v>
      </c>
    </row>
    <row r="3284" spans="2:5">
      <c r="B3284" s="414" t="s">
        <v>11319</v>
      </c>
      <c r="C3284" s="417">
        <v>3348</v>
      </c>
      <c r="D3284" s="408">
        <v>45449</v>
      </c>
      <c r="E3284" s="420" t="s">
        <v>11768</v>
      </c>
    </row>
    <row r="3285" spans="2:5">
      <c r="B3285" s="414" t="s">
        <v>11319</v>
      </c>
      <c r="C3285" s="417">
        <v>3346</v>
      </c>
      <c r="D3285" s="408">
        <v>45449</v>
      </c>
      <c r="E3285" s="420" t="s">
        <v>11769</v>
      </c>
    </row>
    <row r="3286" spans="2:5">
      <c r="B3286" s="414" t="s">
        <v>11319</v>
      </c>
      <c r="C3286" s="417">
        <v>3345</v>
      </c>
      <c r="D3286" s="408">
        <v>45449</v>
      </c>
      <c r="E3286" s="420" t="s">
        <v>11770</v>
      </c>
    </row>
    <row r="3287" spans="2:5">
      <c r="B3287" s="414" t="s">
        <v>11319</v>
      </c>
      <c r="C3287" s="417">
        <v>3341</v>
      </c>
      <c r="D3287" s="408">
        <v>45449</v>
      </c>
      <c r="E3287" s="420" t="s">
        <v>11771</v>
      </c>
    </row>
    <row r="3288" spans="2:5">
      <c r="B3288" s="414" t="s">
        <v>11319</v>
      </c>
      <c r="C3288" s="417">
        <v>3337</v>
      </c>
      <c r="D3288" s="408">
        <v>45449</v>
      </c>
      <c r="E3288" s="420" t="s">
        <v>11772</v>
      </c>
    </row>
    <row r="3289" spans="2:5">
      <c r="B3289" s="414" t="s">
        <v>11319</v>
      </c>
      <c r="C3289" s="417">
        <v>3334</v>
      </c>
      <c r="D3289" s="408">
        <v>45449</v>
      </c>
      <c r="E3289" s="420" t="s">
        <v>11773</v>
      </c>
    </row>
    <row r="3290" spans="2:5">
      <c r="B3290" s="414" t="s">
        <v>11319</v>
      </c>
      <c r="C3290" s="417">
        <v>3324</v>
      </c>
      <c r="D3290" s="408">
        <v>45449</v>
      </c>
      <c r="E3290" s="420" t="s">
        <v>11774</v>
      </c>
    </row>
    <row r="3291" spans="2:5">
      <c r="B3291" s="414" t="s">
        <v>11319</v>
      </c>
      <c r="C3291" s="417">
        <v>3314</v>
      </c>
      <c r="D3291" s="408">
        <v>45449</v>
      </c>
      <c r="E3291" s="420" t="s">
        <v>11775</v>
      </c>
    </row>
    <row r="3292" spans="2:5">
      <c r="B3292" s="414" t="s">
        <v>11319</v>
      </c>
      <c r="C3292" s="417">
        <v>3288</v>
      </c>
      <c r="D3292" s="408">
        <v>45449</v>
      </c>
      <c r="E3292" s="420" t="s">
        <v>11776</v>
      </c>
    </row>
    <row r="3293" spans="2:5">
      <c r="B3293" s="414" t="s">
        <v>11319</v>
      </c>
      <c r="C3293" s="417">
        <v>3287</v>
      </c>
      <c r="D3293" s="408">
        <v>45449</v>
      </c>
      <c r="E3293" s="420" t="s">
        <v>11895</v>
      </c>
    </row>
    <row r="3294" spans="2:5">
      <c r="B3294" s="414" t="s">
        <v>11319</v>
      </c>
      <c r="C3294" s="417">
        <v>3280</v>
      </c>
      <c r="D3294" s="408">
        <v>45449</v>
      </c>
      <c r="E3294" s="420" t="s">
        <v>11777</v>
      </c>
    </row>
    <row r="3295" spans="2:5">
      <c r="B3295" s="414" t="s">
        <v>11319</v>
      </c>
      <c r="C3295" s="417">
        <v>3278</v>
      </c>
      <c r="D3295" s="408">
        <v>45449</v>
      </c>
      <c r="E3295" s="420" t="s">
        <v>11778</v>
      </c>
    </row>
    <row r="3296" spans="2:5">
      <c r="B3296" s="414" t="s">
        <v>11319</v>
      </c>
      <c r="C3296" s="417">
        <v>3276</v>
      </c>
      <c r="D3296" s="408">
        <v>45449</v>
      </c>
      <c r="E3296" s="420" t="s">
        <v>11779</v>
      </c>
    </row>
    <row r="3297" spans="2:5">
      <c r="B3297" s="414" t="s">
        <v>11319</v>
      </c>
      <c r="C3297" s="417">
        <v>3272</v>
      </c>
      <c r="D3297" s="408">
        <v>45449</v>
      </c>
      <c r="E3297" s="420" t="s">
        <v>11896</v>
      </c>
    </row>
    <row r="3298" spans="2:5">
      <c r="B3298" s="414" t="s">
        <v>11319</v>
      </c>
      <c r="C3298" s="417">
        <v>3264</v>
      </c>
      <c r="D3298" s="408">
        <v>45449</v>
      </c>
      <c r="E3298" s="420" t="s">
        <v>11897</v>
      </c>
    </row>
    <row r="3299" spans="2:5">
      <c r="B3299" s="414" t="s">
        <v>11319</v>
      </c>
      <c r="C3299" s="417">
        <v>3263</v>
      </c>
      <c r="D3299" s="408">
        <v>45449</v>
      </c>
      <c r="E3299" s="420" t="s">
        <v>11780</v>
      </c>
    </row>
    <row r="3300" spans="2:5">
      <c r="B3300" s="414" t="s">
        <v>11319</v>
      </c>
      <c r="C3300" s="417">
        <v>3260</v>
      </c>
      <c r="D3300" s="408">
        <v>45449</v>
      </c>
      <c r="E3300" s="420" t="s">
        <v>11898</v>
      </c>
    </row>
    <row r="3301" spans="2:5">
      <c r="B3301" s="414" t="s">
        <v>11319</v>
      </c>
      <c r="C3301" s="417">
        <v>3258</v>
      </c>
      <c r="D3301" s="408">
        <v>45449</v>
      </c>
      <c r="E3301" s="420" t="s">
        <v>11899</v>
      </c>
    </row>
    <row r="3302" spans="2:5">
      <c r="B3302" s="414" t="s">
        <v>11319</v>
      </c>
      <c r="C3302" s="417">
        <v>3255</v>
      </c>
      <c r="D3302" s="408">
        <v>45449</v>
      </c>
      <c r="E3302" s="420" t="s">
        <v>11781</v>
      </c>
    </row>
    <row r="3303" spans="2:5">
      <c r="B3303" s="414" t="s">
        <v>11319</v>
      </c>
      <c r="C3303" s="417">
        <v>3253</v>
      </c>
      <c r="D3303" s="408">
        <v>45449</v>
      </c>
      <c r="E3303" s="420" t="s">
        <v>11782</v>
      </c>
    </row>
    <row r="3304" spans="2:5">
      <c r="B3304" s="414" t="s">
        <v>11319</v>
      </c>
      <c r="C3304" s="417">
        <v>3249</v>
      </c>
      <c r="D3304" s="408">
        <v>45449</v>
      </c>
      <c r="E3304" s="420" t="s">
        <v>11783</v>
      </c>
    </row>
    <row r="3305" spans="2:5">
      <c r="B3305" s="414" t="s">
        <v>11319</v>
      </c>
      <c r="C3305" s="417">
        <v>3243</v>
      </c>
      <c r="D3305" s="408">
        <v>45450</v>
      </c>
      <c r="E3305" s="420" t="s">
        <v>11765</v>
      </c>
    </row>
    <row r="3306" spans="2:5">
      <c r="B3306" s="414" t="s">
        <v>11319</v>
      </c>
      <c r="C3306" s="417">
        <v>3242</v>
      </c>
      <c r="D3306" s="408">
        <v>45449</v>
      </c>
      <c r="E3306" s="420" t="s">
        <v>11784</v>
      </c>
    </row>
    <row r="3307" spans="2:5">
      <c r="B3307" s="414" t="s">
        <v>11319</v>
      </c>
      <c r="C3307" s="417">
        <v>3234</v>
      </c>
      <c r="D3307" s="408">
        <v>45449</v>
      </c>
      <c r="E3307" s="420" t="s">
        <v>11785</v>
      </c>
    </row>
    <row r="3308" spans="2:5">
      <c r="B3308" s="414" t="s">
        <v>11319</v>
      </c>
      <c r="C3308" s="417">
        <v>3231</v>
      </c>
      <c r="D3308" s="408">
        <v>45449</v>
      </c>
      <c r="E3308" s="420" t="s">
        <v>11900</v>
      </c>
    </row>
    <row r="3309" spans="2:5">
      <c r="B3309" s="414" t="s">
        <v>11319</v>
      </c>
      <c r="C3309" s="417">
        <v>3230</v>
      </c>
      <c r="D3309" s="408">
        <v>45449</v>
      </c>
      <c r="E3309" s="420" t="s">
        <v>11901</v>
      </c>
    </row>
    <row r="3310" spans="2:5">
      <c r="B3310" s="414" t="s">
        <v>11319</v>
      </c>
      <c r="C3310" s="417">
        <v>3229</v>
      </c>
      <c r="D3310" s="408">
        <v>45449</v>
      </c>
      <c r="E3310" s="420" t="s">
        <v>11902</v>
      </c>
    </row>
    <row r="3311" spans="2:5">
      <c r="B3311" s="414" t="s">
        <v>11319</v>
      </c>
      <c r="C3311" s="417">
        <v>3216</v>
      </c>
      <c r="D3311" s="408">
        <v>45449</v>
      </c>
      <c r="E3311" s="420" t="s">
        <v>11786</v>
      </c>
    </row>
    <row r="3312" spans="2:5">
      <c r="B3312" s="414" t="s">
        <v>11319</v>
      </c>
      <c r="C3312" s="417">
        <v>3212</v>
      </c>
      <c r="D3312" s="408">
        <v>45449</v>
      </c>
      <c r="E3312" s="420" t="s">
        <v>11787</v>
      </c>
    </row>
    <row r="3313" spans="2:5">
      <c r="B3313" s="414" t="s">
        <v>11319</v>
      </c>
      <c r="C3313" s="417">
        <v>3209</v>
      </c>
      <c r="D3313" s="408">
        <v>45449</v>
      </c>
      <c r="E3313" s="420" t="s">
        <v>11788</v>
      </c>
    </row>
    <row r="3314" spans="2:5">
      <c r="B3314" s="414" t="s">
        <v>11319</v>
      </c>
      <c r="C3314" s="417">
        <v>3199</v>
      </c>
      <c r="D3314" s="408">
        <v>45449</v>
      </c>
      <c r="E3314" s="420" t="s">
        <v>11903</v>
      </c>
    </row>
    <row r="3315" spans="2:5">
      <c r="B3315" s="414" t="s">
        <v>11319</v>
      </c>
      <c r="C3315" s="417">
        <v>3198</v>
      </c>
      <c r="D3315" s="408">
        <v>45449</v>
      </c>
      <c r="E3315" s="420" t="s">
        <v>11904</v>
      </c>
    </row>
    <row r="3316" spans="2:5">
      <c r="B3316" s="414" t="s">
        <v>11319</v>
      </c>
      <c r="C3316" s="417">
        <v>3193</v>
      </c>
      <c r="D3316" s="408">
        <v>45449</v>
      </c>
      <c r="E3316" s="420" t="s">
        <v>11905</v>
      </c>
    </row>
    <row r="3317" spans="2:5">
      <c r="B3317" s="414" t="s">
        <v>11319</v>
      </c>
      <c r="C3317" s="417">
        <v>3172</v>
      </c>
      <c r="D3317" s="408">
        <v>45449</v>
      </c>
      <c r="E3317" s="420" t="s">
        <v>11789</v>
      </c>
    </row>
    <row r="3318" spans="2:5">
      <c r="B3318" s="414" t="s">
        <v>11319</v>
      </c>
      <c r="C3318" s="417">
        <v>3171</v>
      </c>
      <c r="D3318" s="408">
        <v>45449</v>
      </c>
      <c r="E3318" s="420" t="s">
        <v>11906</v>
      </c>
    </row>
    <row r="3319" spans="2:5">
      <c r="B3319" s="414" t="s">
        <v>11319</v>
      </c>
      <c r="C3319" s="417">
        <v>3164</v>
      </c>
      <c r="D3319" s="408">
        <v>45449</v>
      </c>
      <c r="E3319" s="420" t="s">
        <v>11790</v>
      </c>
    </row>
    <row r="3320" spans="2:5">
      <c r="B3320" s="414" t="s">
        <v>11319</v>
      </c>
      <c r="C3320" s="417">
        <v>3161</v>
      </c>
      <c r="D3320" s="408">
        <v>45449</v>
      </c>
      <c r="E3320" s="420" t="s">
        <v>11791</v>
      </c>
    </row>
    <row r="3321" spans="2:5">
      <c r="B3321" s="414" t="s">
        <v>11319</v>
      </c>
      <c r="C3321" s="417">
        <v>3157</v>
      </c>
      <c r="D3321" s="408">
        <v>45449</v>
      </c>
      <c r="E3321" s="420" t="s">
        <v>11907</v>
      </c>
    </row>
    <row r="3322" spans="2:5">
      <c r="B3322" s="414" t="s">
        <v>11319</v>
      </c>
      <c r="C3322" s="417">
        <v>3154</v>
      </c>
      <c r="D3322" s="408">
        <v>45449</v>
      </c>
      <c r="E3322" s="420" t="s">
        <v>11792</v>
      </c>
    </row>
    <row r="3323" spans="2:5">
      <c r="B3323" s="414" t="s">
        <v>11319</v>
      </c>
      <c r="C3323" s="417">
        <v>3152</v>
      </c>
      <c r="D3323" s="408">
        <v>45449</v>
      </c>
      <c r="E3323" s="420" t="s">
        <v>11908</v>
      </c>
    </row>
    <row r="3324" spans="2:5">
      <c r="B3324" s="414" t="s">
        <v>11319</v>
      </c>
      <c r="C3324" s="417">
        <v>3151</v>
      </c>
      <c r="D3324" s="408">
        <v>45449</v>
      </c>
      <c r="E3324" s="420" t="s">
        <v>11909</v>
      </c>
    </row>
    <row r="3325" spans="2:5">
      <c r="B3325" s="414" t="s">
        <v>11319</v>
      </c>
      <c r="C3325" s="417">
        <v>3150</v>
      </c>
      <c r="D3325" s="408">
        <v>45449</v>
      </c>
      <c r="E3325" s="420" t="s">
        <v>11793</v>
      </c>
    </row>
    <row r="3326" spans="2:5">
      <c r="B3326" s="414" t="s">
        <v>11319</v>
      </c>
      <c r="C3326" s="407">
        <v>3148</v>
      </c>
      <c r="D3326" s="408">
        <v>45449</v>
      </c>
      <c r="E3326" s="420" t="s">
        <v>11794</v>
      </c>
    </row>
    <row r="3327" spans="2:5">
      <c r="B3327" s="414" t="s">
        <v>11319</v>
      </c>
      <c r="C3327" s="407">
        <v>3146</v>
      </c>
      <c r="D3327" s="408">
        <v>45449</v>
      </c>
      <c r="E3327" s="420" t="s">
        <v>11910</v>
      </c>
    </row>
    <row r="3328" spans="2:5">
      <c r="B3328" s="414" t="s">
        <v>11319</v>
      </c>
      <c r="C3328" s="407">
        <v>3145</v>
      </c>
      <c r="D3328" s="408">
        <v>45449</v>
      </c>
      <c r="E3328" s="420" t="s">
        <v>11795</v>
      </c>
    </row>
    <row r="3329" spans="2:5">
      <c r="B3329" s="414" t="s">
        <v>11319</v>
      </c>
      <c r="C3329" s="407">
        <v>3144</v>
      </c>
      <c r="D3329" s="408">
        <v>45449</v>
      </c>
      <c r="E3329" s="420" t="s">
        <v>11911</v>
      </c>
    </row>
    <row r="3330" spans="2:5">
      <c r="B3330" s="414" t="s">
        <v>11319</v>
      </c>
      <c r="C3330" s="407">
        <v>3142</v>
      </c>
      <c r="D3330" s="408">
        <v>45449</v>
      </c>
      <c r="E3330" s="420" t="s">
        <v>11796</v>
      </c>
    </row>
    <row r="3331" spans="2:5">
      <c r="B3331" s="414" t="s">
        <v>11319</v>
      </c>
      <c r="C3331" s="407">
        <v>3141</v>
      </c>
      <c r="D3331" s="408">
        <v>45449</v>
      </c>
      <c r="E3331" s="420" t="s">
        <v>11912</v>
      </c>
    </row>
    <row r="3332" spans="2:5">
      <c r="B3332" s="414" t="s">
        <v>11319</v>
      </c>
      <c r="C3332" s="407">
        <v>3140</v>
      </c>
      <c r="D3332" s="408">
        <v>45449</v>
      </c>
      <c r="E3332" s="420" t="s">
        <v>11797</v>
      </c>
    </row>
    <row r="3333" spans="2:5">
      <c r="B3333" s="414" t="s">
        <v>11319</v>
      </c>
      <c r="C3333" s="407">
        <v>3136</v>
      </c>
      <c r="D3333" s="408">
        <v>45449</v>
      </c>
      <c r="E3333" s="420" t="s">
        <v>11798</v>
      </c>
    </row>
    <row r="3334" spans="2:5">
      <c r="B3334" s="414" t="s">
        <v>11319</v>
      </c>
      <c r="C3334" s="407">
        <v>3121</v>
      </c>
      <c r="D3334" s="408">
        <v>45449</v>
      </c>
      <c r="E3334" s="420" t="s">
        <v>11799</v>
      </c>
    </row>
    <row r="3335" spans="2:5">
      <c r="B3335" s="414" t="s">
        <v>11319</v>
      </c>
      <c r="C3335" s="407">
        <v>3120</v>
      </c>
      <c r="D3335" s="408">
        <v>45449</v>
      </c>
      <c r="E3335" s="420" t="s">
        <v>11913</v>
      </c>
    </row>
    <row r="3336" spans="2:5">
      <c r="B3336" s="414" t="s">
        <v>11319</v>
      </c>
      <c r="C3336" s="407">
        <v>3102</v>
      </c>
      <c r="D3336" s="408">
        <v>45449</v>
      </c>
      <c r="E3336" s="420" t="s">
        <v>11800</v>
      </c>
    </row>
    <row r="3337" spans="2:5">
      <c r="B3337" s="414" t="s">
        <v>11319</v>
      </c>
      <c r="C3337" s="407">
        <v>3099</v>
      </c>
      <c r="D3337" s="408">
        <v>45449</v>
      </c>
      <c r="E3337" s="420" t="s">
        <v>11801</v>
      </c>
    </row>
    <row r="3338" spans="2:5">
      <c r="B3338" s="414" t="s">
        <v>11319</v>
      </c>
      <c r="C3338" s="407">
        <v>3097</v>
      </c>
      <c r="D3338" s="408">
        <v>45449</v>
      </c>
      <c r="E3338" s="420" t="s">
        <v>11802</v>
      </c>
    </row>
    <row r="3339" spans="2:5">
      <c r="B3339" s="414" t="s">
        <v>11319</v>
      </c>
      <c r="C3339" s="407">
        <v>3095</v>
      </c>
      <c r="D3339" s="408">
        <v>45449</v>
      </c>
      <c r="E3339" s="420" t="s">
        <v>11914</v>
      </c>
    </row>
    <row r="3340" spans="2:5">
      <c r="B3340" s="414" t="s">
        <v>11319</v>
      </c>
      <c r="C3340" s="407">
        <v>3088</v>
      </c>
      <c r="D3340" s="408">
        <v>45449</v>
      </c>
      <c r="E3340" s="420" t="s">
        <v>11915</v>
      </c>
    </row>
    <row r="3341" spans="2:5">
      <c r="B3341" s="414" t="s">
        <v>11319</v>
      </c>
      <c r="C3341" s="407">
        <v>3087</v>
      </c>
      <c r="D3341" s="408">
        <v>45449</v>
      </c>
      <c r="E3341" s="420" t="s">
        <v>11916</v>
      </c>
    </row>
    <row r="3342" spans="2:5">
      <c r="B3342" s="414" t="s">
        <v>11319</v>
      </c>
      <c r="C3342" s="407">
        <v>3086</v>
      </c>
      <c r="D3342" s="408">
        <v>45449</v>
      </c>
      <c r="E3342" s="420" t="s">
        <v>11917</v>
      </c>
    </row>
    <row r="3343" spans="2:5">
      <c r="B3343" s="414" t="s">
        <v>11319</v>
      </c>
      <c r="C3343" s="407">
        <v>3085</v>
      </c>
      <c r="D3343" s="408">
        <v>45449</v>
      </c>
      <c r="E3343" s="420" t="s">
        <v>11803</v>
      </c>
    </row>
    <row r="3344" spans="2:5">
      <c r="B3344" s="414" t="s">
        <v>11319</v>
      </c>
      <c r="C3344" s="407">
        <v>3082</v>
      </c>
      <c r="D3344" s="408">
        <v>45449</v>
      </c>
      <c r="E3344" s="420" t="s">
        <v>11804</v>
      </c>
    </row>
    <row r="3345" spans="2:5">
      <c r="B3345" s="414" t="s">
        <v>11319</v>
      </c>
      <c r="C3345" s="407">
        <v>3078</v>
      </c>
      <c r="D3345" s="408">
        <v>45449</v>
      </c>
      <c r="E3345" s="420" t="s">
        <v>11805</v>
      </c>
    </row>
    <row r="3346" spans="2:5">
      <c r="B3346" s="414" t="s">
        <v>11319</v>
      </c>
      <c r="C3346" s="407">
        <v>3072</v>
      </c>
      <c r="D3346" s="408">
        <v>45449</v>
      </c>
      <c r="E3346" s="420" t="s">
        <v>11806</v>
      </c>
    </row>
    <row r="3347" spans="2:5">
      <c r="B3347" s="414" t="s">
        <v>11319</v>
      </c>
      <c r="C3347" s="407">
        <v>3068</v>
      </c>
      <c r="D3347" s="408">
        <v>45449</v>
      </c>
      <c r="E3347" s="420" t="s">
        <v>11807</v>
      </c>
    </row>
    <row r="3348" spans="2:5">
      <c r="B3348" s="414" t="s">
        <v>11319</v>
      </c>
      <c r="C3348" s="407">
        <v>3065</v>
      </c>
      <c r="D3348" s="408">
        <v>45449</v>
      </c>
      <c r="E3348" s="420" t="s">
        <v>11808</v>
      </c>
    </row>
    <row r="3349" spans="2:5">
      <c r="B3349" s="414" t="s">
        <v>11319</v>
      </c>
      <c r="C3349" s="407">
        <v>3064</v>
      </c>
      <c r="D3349" s="408">
        <v>45449</v>
      </c>
      <c r="E3349" s="420" t="s">
        <v>11809</v>
      </c>
    </row>
    <row r="3350" spans="2:5">
      <c r="B3350" s="414" t="s">
        <v>11319</v>
      </c>
      <c r="C3350" s="407">
        <v>3061</v>
      </c>
      <c r="D3350" s="408">
        <v>45449</v>
      </c>
      <c r="E3350" s="420" t="s">
        <v>11810</v>
      </c>
    </row>
    <row r="3351" spans="2:5">
      <c r="B3351" s="414" t="s">
        <v>11319</v>
      </c>
      <c r="C3351" s="407">
        <v>3059</v>
      </c>
      <c r="D3351" s="408">
        <v>45449</v>
      </c>
      <c r="E3351" s="420" t="s">
        <v>11811</v>
      </c>
    </row>
    <row r="3352" spans="2:5">
      <c r="B3352" s="414" t="s">
        <v>11319</v>
      </c>
      <c r="C3352" s="407">
        <v>3057</v>
      </c>
      <c r="D3352" s="408">
        <v>45449</v>
      </c>
      <c r="E3352" s="420" t="s">
        <v>11812</v>
      </c>
    </row>
    <row r="3353" spans="2:5">
      <c r="B3353" s="414" t="s">
        <v>11319</v>
      </c>
      <c r="C3353" s="407">
        <v>3052</v>
      </c>
      <c r="D3353" s="408">
        <v>45449</v>
      </c>
      <c r="E3353" s="420" t="s">
        <v>11813</v>
      </c>
    </row>
    <row r="3354" spans="2:5">
      <c r="B3354" s="414" t="s">
        <v>11319</v>
      </c>
      <c r="C3354" s="407">
        <v>3044</v>
      </c>
      <c r="D3354" s="408">
        <v>45449</v>
      </c>
      <c r="E3354" s="420" t="s">
        <v>11814</v>
      </c>
    </row>
    <row r="3355" spans="2:5">
      <c r="B3355" s="414" t="s">
        <v>11319</v>
      </c>
      <c r="C3355" s="407">
        <v>3033</v>
      </c>
      <c r="D3355" s="408">
        <v>45449</v>
      </c>
      <c r="E3355" s="420" t="s">
        <v>11815</v>
      </c>
    </row>
    <row r="3356" spans="2:5">
      <c r="B3356" s="414" t="s">
        <v>11319</v>
      </c>
      <c r="C3356" s="407">
        <v>3030</v>
      </c>
      <c r="D3356" s="408">
        <v>45449</v>
      </c>
      <c r="E3356" s="420" t="s">
        <v>11918</v>
      </c>
    </row>
    <row r="3357" spans="2:5">
      <c r="B3357" s="414" t="s">
        <v>11319</v>
      </c>
      <c r="C3357" s="407">
        <v>3012</v>
      </c>
      <c r="D3357" s="408">
        <v>45449</v>
      </c>
      <c r="E3357" s="420" t="s">
        <v>11816</v>
      </c>
    </row>
    <row r="3358" spans="2:5">
      <c r="B3358" s="414" t="s">
        <v>11319</v>
      </c>
      <c r="C3358" s="407">
        <v>3007</v>
      </c>
      <c r="D3358" s="408">
        <v>45449</v>
      </c>
      <c r="E3358" s="420" t="s">
        <v>11919</v>
      </c>
    </row>
    <row r="3359" spans="2:5">
      <c r="B3359" s="414" t="s">
        <v>11319</v>
      </c>
      <c r="C3359" s="407">
        <v>3006</v>
      </c>
      <c r="D3359" s="408">
        <v>45449</v>
      </c>
      <c r="E3359" s="420" t="s">
        <v>11920</v>
      </c>
    </row>
    <row r="3360" spans="2:5">
      <c r="B3360" s="414" t="s">
        <v>11319</v>
      </c>
      <c r="C3360" s="407">
        <v>2997</v>
      </c>
      <c r="D3360" s="408">
        <v>45449</v>
      </c>
      <c r="E3360" s="420" t="s">
        <v>11817</v>
      </c>
    </row>
    <row r="3361" spans="2:5">
      <c r="B3361" s="414" t="s">
        <v>11319</v>
      </c>
      <c r="C3361" s="422">
        <v>2996</v>
      </c>
      <c r="D3361" s="408">
        <v>45449</v>
      </c>
      <c r="E3361" s="420" t="s">
        <v>11818</v>
      </c>
    </row>
    <row r="3362" spans="2:5">
      <c r="B3362" s="414" t="s">
        <v>11319</v>
      </c>
      <c r="C3362" s="407">
        <v>2981</v>
      </c>
      <c r="D3362" s="408">
        <v>45449</v>
      </c>
      <c r="E3362" s="420" t="s">
        <v>11819</v>
      </c>
    </row>
    <row r="3363" spans="2:5">
      <c r="B3363" s="414" t="s">
        <v>11319</v>
      </c>
      <c r="C3363" s="407">
        <v>2980</v>
      </c>
      <c r="D3363" s="408">
        <v>45449</v>
      </c>
      <c r="E3363" s="420" t="s">
        <v>11820</v>
      </c>
    </row>
    <row r="3364" spans="2:5">
      <c r="B3364" s="414" t="s">
        <v>11319</v>
      </c>
      <c r="C3364" s="407">
        <v>2979</v>
      </c>
      <c r="D3364" s="408">
        <v>45449</v>
      </c>
      <c r="E3364" s="420" t="s">
        <v>11821</v>
      </c>
    </row>
    <row r="3365" spans="2:5">
      <c r="B3365" s="414" t="s">
        <v>11319</v>
      </c>
      <c r="C3365" s="407">
        <v>2970</v>
      </c>
      <c r="D3365" s="408">
        <v>45449</v>
      </c>
      <c r="E3365" s="420" t="s">
        <v>11921</v>
      </c>
    </row>
    <row r="3366" spans="2:5">
      <c r="B3366" s="414" t="s">
        <v>11319</v>
      </c>
      <c r="C3366" s="407">
        <v>2969</v>
      </c>
      <c r="D3366" s="408">
        <v>45449</v>
      </c>
      <c r="E3366" s="420" t="s">
        <v>11822</v>
      </c>
    </row>
    <row r="3367" spans="2:5">
      <c r="B3367" s="414" t="s">
        <v>11319</v>
      </c>
      <c r="C3367" s="407">
        <v>2959</v>
      </c>
      <c r="D3367" s="408">
        <v>45449</v>
      </c>
      <c r="E3367" s="420" t="s">
        <v>11922</v>
      </c>
    </row>
    <row r="3368" spans="2:5">
      <c r="B3368" s="414" t="s">
        <v>11319</v>
      </c>
      <c r="C3368" s="407">
        <v>2958</v>
      </c>
      <c r="D3368" s="408">
        <v>45449</v>
      </c>
      <c r="E3368" s="420" t="s">
        <v>11823</v>
      </c>
    </row>
    <row r="3369" spans="2:5">
      <c r="B3369" s="414" t="s">
        <v>11319</v>
      </c>
      <c r="C3369" s="407">
        <v>2953</v>
      </c>
      <c r="D3369" s="408">
        <v>45449</v>
      </c>
      <c r="E3369" s="420" t="s">
        <v>11824</v>
      </c>
    </row>
    <row r="3370" spans="2:5">
      <c r="B3370" s="414" t="s">
        <v>11319</v>
      </c>
      <c r="C3370" s="407">
        <v>2939</v>
      </c>
      <c r="D3370" s="408">
        <v>45449</v>
      </c>
      <c r="E3370" s="420" t="s">
        <v>11923</v>
      </c>
    </row>
    <row r="3371" spans="2:5">
      <c r="B3371" s="414" t="s">
        <v>11319</v>
      </c>
      <c r="C3371" s="407">
        <v>2929</v>
      </c>
      <c r="D3371" s="408">
        <v>45449</v>
      </c>
      <c r="E3371" s="420" t="s">
        <v>11924</v>
      </c>
    </row>
    <row r="3372" spans="2:5">
      <c r="B3372" s="414" t="s">
        <v>11319</v>
      </c>
      <c r="C3372" s="407">
        <v>2927</v>
      </c>
      <c r="D3372" s="408">
        <v>45449</v>
      </c>
      <c r="E3372" s="420" t="s">
        <v>11925</v>
      </c>
    </row>
    <row r="3373" spans="2:5">
      <c r="B3373" s="414" t="s">
        <v>11319</v>
      </c>
      <c r="C3373" s="407">
        <v>2925</v>
      </c>
      <c r="D3373" s="408">
        <v>45449</v>
      </c>
      <c r="E3373" s="420" t="s">
        <v>11926</v>
      </c>
    </row>
    <row r="3374" spans="2:5">
      <c r="B3374" s="414" t="s">
        <v>11319</v>
      </c>
      <c r="C3374" s="407">
        <v>2924</v>
      </c>
      <c r="D3374" s="408">
        <v>45449</v>
      </c>
      <c r="E3374" s="420" t="s">
        <v>11825</v>
      </c>
    </row>
    <row r="3375" spans="2:5">
      <c r="B3375" s="414" t="s">
        <v>11319</v>
      </c>
      <c r="C3375" s="407">
        <v>2921</v>
      </c>
      <c r="D3375" s="408">
        <v>45449</v>
      </c>
      <c r="E3375" s="420" t="s">
        <v>11927</v>
      </c>
    </row>
    <row r="3376" spans="2:5">
      <c r="B3376" s="414" t="s">
        <v>11319</v>
      </c>
      <c r="C3376" s="407">
        <v>2917</v>
      </c>
      <c r="D3376" s="408">
        <v>45449</v>
      </c>
      <c r="E3376" s="420" t="s">
        <v>11826</v>
      </c>
    </row>
    <row r="3377" spans="2:5">
      <c r="B3377" s="414" t="s">
        <v>11319</v>
      </c>
      <c r="C3377" s="407">
        <v>2915</v>
      </c>
      <c r="D3377" s="408">
        <v>45449</v>
      </c>
      <c r="E3377" s="420" t="s">
        <v>11928</v>
      </c>
    </row>
    <row r="3378" spans="2:5">
      <c r="B3378" s="414" t="s">
        <v>11319</v>
      </c>
      <c r="C3378" s="407">
        <v>2913</v>
      </c>
      <c r="D3378" s="408">
        <v>45449</v>
      </c>
      <c r="E3378" s="420" t="s">
        <v>11827</v>
      </c>
    </row>
    <row r="3379" spans="2:5">
      <c r="B3379" s="414" t="s">
        <v>11319</v>
      </c>
      <c r="C3379" s="407">
        <v>2900</v>
      </c>
      <c r="D3379" s="408">
        <v>45449</v>
      </c>
      <c r="E3379" s="420" t="s">
        <v>11828</v>
      </c>
    </row>
    <row r="3380" spans="2:5">
      <c r="B3380" s="414" t="s">
        <v>11319</v>
      </c>
      <c r="C3380" s="407">
        <v>2891</v>
      </c>
      <c r="D3380" s="408">
        <v>45449</v>
      </c>
      <c r="E3380" s="420" t="s">
        <v>11929</v>
      </c>
    </row>
    <row r="3381" spans="2:5">
      <c r="B3381" s="414" t="s">
        <v>11319</v>
      </c>
      <c r="C3381" s="407">
        <v>2890</v>
      </c>
      <c r="D3381" s="408">
        <v>45449</v>
      </c>
      <c r="E3381" s="420" t="s">
        <v>11930</v>
      </c>
    </row>
    <row r="3382" spans="2:5">
      <c r="B3382" s="414" t="s">
        <v>11319</v>
      </c>
      <c r="C3382" s="407">
        <v>2888</v>
      </c>
      <c r="D3382" s="408">
        <v>45449</v>
      </c>
      <c r="E3382" s="420" t="s">
        <v>11931</v>
      </c>
    </row>
    <row r="3383" spans="2:5">
      <c r="B3383" s="414" t="s">
        <v>11319</v>
      </c>
      <c r="C3383" s="407">
        <v>2883</v>
      </c>
      <c r="D3383" s="408">
        <v>45449</v>
      </c>
      <c r="E3383" s="420" t="s">
        <v>11829</v>
      </c>
    </row>
    <row r="3384" spans="2:5">
      <c r="B3384" s="414" t="s">
        <v>11319</v>
      </c>
      <c r="C3384" s="407">
        <v>2877</v>
      </c>
      <c r="D3384" s="408">
        <v>45449</v>
      </c>
      <c r="E3384" s="420" t="s">
        <v>11830</v>
      </c>
    </row>
    <row r="3385" spans="2:5">
      <c r="B3385" s="414" t="s">
        <v>11319</v>
      </c>
      <c r="C3385" s="407">
        <v>2875</v>
      </c>
      <c r="D3385" s="408">
        <v>45449</v>
      </c>
      <c r="E3385" s="420" t="s">
        <v>11831</v>
      </c>
    </row>
    <row r="3386" spans="2:5">
      <c r="B3386" s="414" t="s">
        <v>11319</v>
      </c>
      <c r="C3386" s="407">
        <v>2873</v>
      </c>
      <c r="D3386" s="408">
        <v>45449</v>
      </c>
      <c r="E3386" s="420" t="s">
        <v>11932</v>
      </c>
    </row>
    <row r="3387" spans="2:5">
      <c r="B3387" s="414" t="s">
        <v>11319</v>
      </c>
      <c r="C3387" s="407">
        <v>2872</v>
      </c>
      <c r="D3387" s="408">
        <v>45449</v>
      </c>
      <c r="E3387" s="420" t="s">
        <v>11832</v>
      </c>
    </row>
    <row r="3388" spans="2:5">
      <c r="B3388" s="414" t="s">
        <v>11319</v>
      </c>
      <c r="C3388" s="407">
        <v>2867</v>
      </c>
      <c r="D3388" s="408">
        <v>45449</v>
      </c>
      <c r="E3388" s="420" t="s">
        <v>11833</v>
      </c>
    </row>
    <row r="3389" spans="2:5">
      <c r="B3389" s="414" t="s">
        <v>11319</v>
      </c>
      <c r="C3389" s="407">
        <v>2858</v>
      </c>
      <c r="D3389" s="408">
        <v>45449</v>
      </c>
      <c r="E3389" s="420" t="s">
        <v>11933</v>
      </c>
    </row>
    <row r="3390" spans="2:5">
      <c r="B3390" s="414" t="s">
        <v>11319</v>
      </c>
      <c r="C3390" s="407">
        <v>2847</v>
      </c>
      <c r="D3390" s="408">
        <v>45449</v>
      </c>
      <c r="E3390" s="420" t="s">
        <v>11834</v>
      </c>
    </row>
    <row r="3391" spans="2:5">
      <c r="B3391" s="414" t="s">
        <v>11319</v>
      </c>
      <c r="C3391" s="407">
        <v>2841</v>
      </c>
      <c r="D3391" s="408">
        <v>45449</v>
      </c>
      <c r="E3391" s="420" t="s">
        <v>11835</v>
      </c>
    </row>
    <row r="3392" spans="2:5">
      <c r="B3392" s="414" t="s">
        <v>11319</v>
      </c>
      <c r="C3392" s="407">
        <v>2838</v>
      </c>
      <c r="D3392" s="408">
        <v>45449</v>
      </c>
      <c r="E3392" s="420" t="s">
        <v>11934</v>
      </c>
    </row>
    <row r="3393" spans="2:5">
      <c r="B3393" s="414" t="s">
        <v>11319</v>
      </c>
      <c r="C3393" s="407">
        <v>2832</v>
      </c>
      <c r="D3393" s="408">
        <v>45449</v>
      </c>
      <c r="E3393" s="420" t="s">
        <v>11935</v>
      </c>
    </row>
    <row r="3394" spans="2:5">
      <c r="B3394" s="414" t="s">
        <v>11319</v>
      </c>
      <c r="C3394" s="407">
        <v>2827</v>
      </c>
      <c r="D3394" s="408">
        <v>45449</v>
      </c>
      <c r="E3394" s="420" t="s">
        <v>11836</v>
      </c>
    </row>
    <row r="3395" spans="2:5">
      <c r="B3395" s="414" t="s">
        <v>11319</v>
      </c>
      <c r="C3395" s="407">
        <v>2826</v>
      </c>
      <c r="D3395" s="408">
        <v>45449</v>
      </c>
      <c r="E3395" s="420" t="s">
        <v>11936</v>
      </c>
    </row>
    <row r="3396" spans="2:5">
      <c r="B3396" s="414" t="s">
        <v>11319</v>
      </c>
      <c r="C3396" s="407">
        <v>2820</v>
      </c>
      <c r="D3396" s="408">
        <v>45449</v>
      </c>
      <c r="E3396" s="420" t="s">
        <v>11937</v>
      </c>
    </row>
    <row r="3397" spans="2:5">
      <c r="B3397" s="414" t="s">
        <v>11319</v>
      </c>
      <c r="C3397" s="407">
        <v>2806</v>
      </c>
      <c r="D3397" s="408">
        <v>45449</v>
      </c>
      <c r="E3397" s="420" t="s">
        <v>11837</v>
      </c>
    </row>
    <row r="3398" spans="2:5">
      <c r="B3398" s="414" t="s">
        <v>11319</v>
      </c>
      <c r="C3398" s="407">
        <v>2804</v>
      </c>
      <c r="D3398" s="408">
        <v>45449</v>
      </c>
      <c r="E3398" s="420" t="s">
        <v>11938</v>
      </c>
    </row>
    <row r="3399" spans="2:5">
      <c r="B3399" s="414" t="s">
        <v>11319</v>
      </c>
      <c r="C3399" s="407">
        <v>2797</v>
      </c>
      <c r="D3399" s="408">
        <v>45449</v>
      </c>
      <c r="E3399" s="420" t="s">
        <v>11838</v>
      </c>
    </row>
    <row r="3400" spans="2:5">
      <c r="B3400" s="414" t="s">
        <v>11319</v>
      </c>
      <c r="C3400" s="407">
        <v>2790</v>
      </c>
      <c r="D3400" s="408">
        <v>45449</v>
      </c>
      <c r="E3400" s="420" t="s">
        <v>11839</v>
      </c>
    </row>
    <row r="3401" spans="2:5">
      <c r="B3401" s="414" t="s">
        <v>11319</v>
      </c>
      <c r="C3401" s="407">
        <v>2789</v>
      </c>
      <c r="D3401" s="408">
        <v>45449</v>
      </c>
      <c r="E3401" s="420" t="s">
        <v>11939</v>
      </c>
    </row>
    <row r="3402" spans="2:5">
      <c r="B3402" s="414" t="s">
        <v>11319</v>
      </c>
      <c r="C3402" s="407">
        <v>2787</v>
      </c>
      <c r="D3402" s="408">
        <v>45449</v>
      </c>
      <c r="E3402" s="420" t="s">
        <v>11940</v>
      </c>
    </row>
    <row r="3403" spans="2:5">
      <c r="B3403" s="414" t="s">
        <v>11319</v>
      </c>
      <c r="C3403" s="407">
        <v>2785</v>
      </c>
      <c r="D3403" s="408">
        <v>45449</v>
      </c>
      <c r="E3403" s="420" t="s">
        <v>11941</v>
      </c>
    </row>
    <row r="3404" spans="2:5">
      <c r="B3404" s="414" t="s">
        <v>11319</v>
      </c>
      <c r="C3404" s="407">
        <v>2780</v>
      </c>
      <c r="D3404" s="408">
        <v>45449</v>
      </c>
      <c r="E3404" s="420" t="s">
        <v>11942</v>
      </c>
    </row>
    <row r="3405" spans="2:5">
      <c r="B3405" s="414" t="s">
        <v>11319</v>
      </c>
      <c r="C3405" s="407">
        <v>2778</v>
      </c>
      <c r="D3405" s="408">
        <v>45449</v>
      </c>
      <c r="E3405" s="420" t="s">
        <v>11840</v>
      </c>
    </row>
    <row r="3406" spans="2:5">
      <c r="B3406" s="414" t="s">
        <v>11319</v>
      </c>
      <c r="C3406" s="407">
        <v>2775</v>
      </c>
      <c r="D3406" s="408">
        <v>45449</v>
      </c>
      <c r="E3406" s="420" t="s">
        <v>11841</v>
      </c>
    </row>
    <row r="3407" spans="2:5">
      <c r="B3407" s="414" t="s">
        <v>11319</v>
      </c>
      <c r="C3407" s="407">
        <v>2773</v>
      </c>
      <c r="D3407" s="408">
        <v>45449</v>
      </c>
      <c r="E3407" s="420" t="s">
        <v>11842</v>
      </c>
    </row>
    <row r="3408" spans="2:5">
      <c r="B3408" s="414" t="s">
        <v>11319</v>
      </c>
      <c r="C3408" s="407">
        <v>2772</v>
      </c>
      <c r="D3408" s="408">
        <v>45449</v>
      </c>
      <c r="E3408" s="420" t="s">
        <v>11843</v>
      </c>
    </row>
    <row r="3409" spans="2:5">
      <c r="B3409" s="414" t="s">
        <v>11319</v>
      </c>
      <c r="C3409" s="407">
        <v>2771</v>
      </c>
      <c r="D3409" s="408">
        <v>45449</v>
      </c>
      <c r="E3409" s="420" t="s">
        <v>11844</v>
      </c>
    </row>
    <row r="3410" spans="2:5">
      <c r="B3410" s="414" t="s">
        <v>11319</v>
      </c>
      <c r="C3410" s="407">
        <v>2770</v>
      </c>
      <c r="D3410" s="408">
        <v>45449</v>
      </c>
      <c r="E3410" s="420" t="s">
        <v>11845</v>
      </c>
    </row>
    <row r="3411" spans="2:5">
      <c r="B3411" s="414" t="s">
        <v>11319</v>
      </c>
      <c r="C3411" s="407">
        <v>2769</v>
      </c>
      <c r="D3411" s="408">
        <v>45449</v>
      </c>
      <c r="E3411" s="420" t="s">
        <v>11943</v>
      </c>
    </row>
    <row r="3412" spans="2:5">
      <c r="B3412" s="414" t="s">
        <v>11319</v>
      </c>
      <c r="C3412" s="407">
        <v>2767</v>
      </c>
      <c r="D3412" s="408">
        <v>45449</v>
      </c>
      <c r="E3412" s="420" t="s">
        <v>11846</v>
      </c>
    </row>
    <row r="3413" spans="2:5">
      <c r="B3413" s="414" t="s">
        <v>11319</v>
      </c>
      <c r="C3413" s="407">
        <v>2765</v>
      </c>
      <c r="D3413" s="408">
        <v>45449</v>
      </c>
      <c r="E3413" s="420" t="s">
        <v>11944</v>
      </c>
    </row>
    <row r="3414" spans="2:5">
      <c r="B3414" s="414" t="s">
        <v>11319</v>
      </c>
      <c r="C3414" s="407">
        <v>2764</v>
      </c>
      <c r="D3414" s="408">
        <v>45449</v>
      </c>
      <c r="E3414" s="420" t="s">
        <v>11847</v>
      </c>
    </row>
    <row r="3415" spans="2:5">
      <c r="B3415" s="414" t="s">
        <v>11319</v>
      </c>
      <c r="C3415" s="407">
        <v>2761</v>
      </c>
      <c r="D3415" s="408">
        <v>45449</v>
      </c>
      <c r="E3415" s="420" t="s">
        <v>11945</v>
      </c>
    </row>
    <row r="3416" spans="2:5">
      <c r="B3416" s="414" t="s">
        <v>11319</v>
      </c>
      <c r="C3416" s="407">
        <v>2756</v>
      </c>
      <c r="D3416" s="408">
        <v>45449</v>
      </c>
      <c r="E3416" s="420" t="s">
        <v>11946</v>
      </c>
    </row>
    <row r="3417" spans="2:5">
      <c r="B3417" s="414" t="s">
        <v>11319</v>
      </c>
      <c r="C3417" s="407">
        <v>2745</v>
      </c>
      <c r="D3417" s="408">
        <v>45449</v>
      </c>
      <c r="E3417" s="420" t="s">
        <v>11848</v>
      </c>
    </row>
    <row r="3418" spans="2:5">
      <c r="B3418" s="414" t="s">
        <v>11319</v>
      </c>
      <c r="C3418" s="407">
        <v>2744</v>
      </c>
      <c r="D3418" s="408">
        <v>45449</v>
      </c>
      <c r="E3418" s="420" t="s">
        <v>11947</v>
      </c>
    </row>
    <row r="3419" spans="2:5">
      <c r="B3419" s="414" t="s">
        <v>11319</v>
      </c>
      <c r="C3419" s="407">
        <v>2742</v>
      </c>
      <c r="D3419" s="408">
        <v>45449</v>
      </c>
      <c r="E3419" s="420" t="s">
        <v>11948</v>
      </c>
    </row>
    <row r="3420" spans="2:5">
      <c r="B3420" s="414" t="s">
        <v>11319</v>
      </c>
      <c r="C3420" s="407">
        <v>2740</v>
      </c>
      <c r="D3420" s="408">
        <v>45449</v>
      </c>
      <c r="E3420" s="420" t="s">
        <v>11849</v>
      </c>
    </row>
    <row r="3421" spans="2:5">
      <c r="B3421" s="414" t="s">
        <v>11319</v>
      </c>
      <c r="C3421" s="407">
        <v>2736</v>
      </c>
      <c r="D3421" s="408">
        <v>45449</v>
      </c>
      <c r="E3421" s="420" t="s">
        <v>11850</v>
      </c>
    </row>
    <row r="3422" spans="2:5">
      <c r="B3422" s="414" t="s">
        <v>11319</v>
      </c>
      <c r="C3422" s="407">
        <v>2732</v>
      </c>
      <c r="D3422" s="408">
        <v>45449</v>
      </c>
      <c r="E3422" s="420" t="s">
        <v>11851</v>
      </c>
    </row>
    <row r="3423" spans="2:5">
      <c r="B3423" s="414" t="s">
        <v>11319</v>
      </c>
      <c r="C3423" s="407">
        <v>2726</v>
      </c>
      <c r="D3423" s="408">
        <v>45449</v>
      </c>
      <c r="E3423" s="420" t="s">
        <v>11852</v>
      </c>
    </row>
    <row r="3424" spans="2:5">
      <c r="B3424" s="414" t="s">
        <v>11319</v>
      </c>
      <c r="C3424" s="407">
        <v>2716</v>
      </c>
      <c r="D3424" s="408">
        <v>45449</v>
      </c>
      <c r="E3424" s="420" t="s">
        <v>11853</v>
      </c>
    </row>
    <row r="3425" spans="2:5">
      <c r="B3425" s="414" t="s">
        <v>11319</v>
      </c>
      <c r="C3425" s="407">
        <v>2711</v>
      </c>
      <c r="D3425" s="408">
        <v>45449</v>
      </c>
      <c r="E3425" s="420" t="s">
        <v>11854</v>
      </c>
    </row>
    <row r="3426" spans="2:5">
      <c r="B3426" s="414" t="s">
        <v>11319</v>
      </c>
      <c r="C3426" s="407">
        <v>2706</v>
      </c>
      <c r="D3426" s="408">
        <v>45449</v>
      </c>
      <c r="E3426" s="420" t="s">
        <v>11949</v>
      </c>
    </row>
    <row r="3427" spans="2:5">
      <c r="B3427" s="414" t="s">
        <v>11319</v>
      </c>
      <c r="C3427" s="407">
        <v>2699</v>
      </c>
      <c r="D3427" s="408">
        <v>45449</v>
      </c>
      <c r="E3427" s="420" t="s">
        <v>11855</v>
      </c>
    </row>
    <row r="3428" spans="2:5">
      <c r="B3428" s="414" t="s">
        <v>11319</v>
      </c>
      <c r="C3428" s="407">
        <v>2696</v>
      </c>
      <c r="D3428" s="408">
        <v>45449</v>
      </c>
      <c r="E3428" s="420" t="s">
        <v>11856</v>
      </c>
    </row>
    <row r="3429" spans="2:5">
      <c r="B3429" s="414" t="s">
        <v>11319</v>
      </c>
      <c r="C3429" s="407">
        <v>2663</v>
      </c>
      <c r="D3429" s="408">
        <v>45449</v>
      </c>
      <c r="E3429" s="420" t="s">
        <v>11950</v>
      </c>
    </row>
    <row r="3430" spans="2:5">
      <c r="B3430" s="414" t="s">
        <v>11319</v>
      </c>
      <c r="C3430" s="407">
        <v>2657</v>
      </c>
      <c r="D3430" s="408">
        <v>45449</v>
      </c>
      <c r="E3430" s="420" t="s">
        <v>11951</v>
      </c>
    </row>
    <row r="3431" spans="2:5">
      <c r="B3431" s="414" t="s">
        <v>11319</v>
      </c>
      <c r="C3431" s="407">
        <v>2654</v>
      </c>
      <c r="D3431" s="408">
        <v>45449</v>
      </c>
      <c r="E3431" s="420" t="s">
        <v>11952</v>
      </c>
    </row>
    <row r="3432" spans="2:5">
      <c r="B3432" s="414" t="s">
        <v>11319</v>
      </c>
      <c r="C3432" s="407">
        <v>2653</v>
      </c>
      <c r="D3432" s="408">
        <v>45449</v>
      </c>
      <c r="E3432" s="420" t="s">
        <v>11953</v>
      </c>
    </row>
    <row r="3433" spans="2:5">
      <c r="B3433" s="414" t="s">
        <v>11319</v>
      </c>
      <c r="C3433" s="407">
        <v>2652</v>
      </c>
      <c r="D3433" s="408">
        <v>45449</v>
      </c>
      <c r="E3433" s="420" t="s">
        <v>11954</v>
      </c>
    </row>
    <row r="3434" spans="2:5">
      <c r="B3434" s="414" t="s">
        <v>11319</v>
      </c>
      <c r="C3434" s="407">
        <v>2651</v>
      </c>
      <c r="D3434" s="408">
        <v>45449</v>
      </c>
      <c r="E3434" s="420" t="s">
        <v>11857</v>
      </c>
    </row>
    <row r="3435" spans="2:5">
      <c r="B3435" s="414" t="s">
        <v>11319</v>
      </c>
      <c r="C3435" s="407">
        <v>2650</v>
      </c>
      <c r="D3435" s="408">
        <v>45449</v>
      </c>
      <c r="E3435" s="420" t="s">
        <v>11858</v>
      </c>
    </row>
    <row r="3436" spans="2:5">
      <c r="B3436" s="414" t="s">
        <v>11319</v>
      </c>
      <c r="C3436" s="407">
        <v>2649</v>
      </c>
      <c r="D3436" s="408">
        <v>45449</v>
      </c>
      <c r="E3436" s="420" t="s">
        <v>11955</v>
      </c>
    </row>
    <row r="3437" spans="2:5">
      <c r="B3437" s="414" t="s">
        <v>11319</v>
      </c>
      <c r="C3437" s="407">
        <v>2648</v>
      </c>
      <c r="D3437" s="408">
        <v>45449</v>
      </c>
      <c r="E3437" s="420" t="s">
        <v>11859</v>
      </c>
    </row>
    <row r="3438" spans="2:5">
      <c r="B3438" s="414" t="s">
        <v>11319</v>
      </c>
      <c r="C3438" s="407">
        <v>2645</v>
      </c>
      <c r="D3438" s="408">
        <v>45449</v>
      </c>
      <c r="E3438" s="420" t="s">
        <v>11956</v>
      </c>
    </row>
    <row r="3439" spans="2:5">
      <c r="B3439" s="414" t="s">
        <v>11319</v>
      </c>
      <c r="C3439" s="407">
        <v>2642</v>
      </c>
      <c r="D3439" s="408">
        <v>45449</v>
      </c>
      <c r="E3439" s="420" t="s">
        <v>11860</v>
      </c>
    </row>
    <row r="3440" spans="2:5">
      <c r="B3440" s="414" t="s">
        <v>11319</v>
      </c>
      <c r="C3440" s="407">
        <v>2638</v>
      </c>
      <c r="D3440" s="408">
        <v>45449</v>
      </c>
      <c r="E3440" s="420" t="s">
        <v>11861</v>
      </c>
    </row>
    <row r="3441" spans="2:5">
      <c r="B3441" s="414" t="s">
        <v>11319</v>
      </c>
      <c r="C3441" s="407">
        <v>2635</v>
      </c>
      <c r="D3441" s="408">
        <v>45449</v>
      </c>
      <c r="E3441" s="420" t="s">
        <v>11862</v>
      </c>
    </row>
    <row r="3442" spans="2:5">
      <c r="B3442" s="414" t="s">
        <v>11319</v>
      </c>
      <c r="C3442" s="407">
        <v>2633</v>
      </c>
      <c r="D3442" s="408">
        <v>45449</v>
      </c>
      <c r="E3442" s="420" t="s">
        <v>11957</v>
      </c>
    </row>
    <row r="3443" spans="2:5">
      <c r="B3443" s="414" t="s">
        <v>11319</v>
      </c>
      <c r="C3443" s="407">
        <v>2632</v>
      </c>
      <c r="D3443" s="408">
        <v>45449</v>
      </c>
      <c r="E3443" s="420" t="s">
        <v>11958</v>
      </c>
    </row>
    <row r="3444" spans="2:5">
      <c r="B3444" s="414" t="s">
        <v>11319</v>
      </c>
      <c r="C3444" s="407">
        <v>2629</v>
      </c>
      <c r="D3444" s="408">
        <v>45449</v>
      </c>
      <c r="E3444" s="420" t="s">
        <v>11959</v>
      </c>
    </row>
    <row r="3445" spans="2:5">
      <c r="B3445" s="414" t="s">
        <v>11319</v>
      </c>
      <c r="C3445" s="407">
        <v>2628</v>
      </c>
      <c r="D3445" s="408">
        <v>45449</v>
      </c>
      <c r="E3445" s="420" t="s">
        <v>11960</v>
      </c>
    </row>
    <row r="3446" spans="2:5">
      <c r="B3446" s="414" t="s">
        <v>11319</v>
      </c>
      <c r="C3446" s="407">
        <v>2625</v>
      </c>
      <c r="D3446" s="408">
        <v>45449</v>
      </c>
      <c r="E3446" s="420" t="s">
        <v>11863</v>
      </c>
    </row>
    <row r="3447" spans="2:5">
      <c r="B3447" s="414" t="s">
        <v>11319</v>
      </c>
      <c r="C3447" s="407">
        <v>2619</v>
      </c>
      <c r="D3447" s="408">
        <v>45449</v>
      </c>
      <c r="E3447" s="420" t="s">
        <v>11961</v>
      </c>
    </row>
    <row r="3448" spans="2:5">
      <c r="B3448" s="414" t="s">
        <v>11319</v>
      </c>
      <c r="C3448" s="407">
        <v>2616</v>
      </c>
      <c r="D3448" s="408">
        <v>45449</v>
      </c>
      <c r="E3448" s="420" t="s">
        <v>11864</v>
      </c>
    </row>
    <row r="3449" spans="2:5">
      <c r="B3449" s="414" t="s">
        <v>11319</v>
      </c>
      <c r="C3449" s="407">
        <v>2615</v>
      </c>
      <c r="D3449" s="408">
        <v>45449</v>
      </c>
      <c r="E3449" s="420" t="s">
        <v>11865</v>
      </c>
    </row>
    <row r="3450" spans="2:5">
      <c r="B3450" s="414" t="s">
        <v>11319</v>
      </c>
      <c r="C3450" s="407">
        <v>2614</v>
      </c>
      <c r="D3450" s="408">
        <v>45449</v>
      </c>
      <c r="E3450" s="420" t="s">
        <v>11866</v>
      </c>
    </row>
    <row r="3451" spans="2:5">
      <c r="B3451" s="414" t="s">
        <v>11319</v>
      </c>
      <c r="C3451" s="407">
        <v>2613</v>
      </c>
      <c r="D3451" s="408">
        <v>45449</v>
      </c>
      <c r="E3451" s="420" t="s">
        <v>11869</v>
      </c>
    </row>
    <row r="3452" spans="2:5">
      <c r="B3452" s="414" t="s">
        <v>11319</v>
      </c>
      <c r="C3452" s="407">
        <v>2612</v>
      </c>
      <c r="D3452" s="408">
        <v>45449</v>
      </c>
      <c r="E3452" s="420" t="s">
        <v>11868</v>
      </c>
    </row>
    <row r="3453" spans="2:5">
      <c r="B3453" s="414" t="s">
        <v>11319</v>
      </c>
      <c r="C3453" s="407">
        <v>2611</v>
      </c>
      <c r="D3453" s="408">
        <v>45449</v>
      </c>
      <c r="E3453" s="420" t="s">
        <v>11867</v>
      </c>
    </row>
    <row r="3454" spans="2:5">
      <c r="B3454" s="414" t="s">
        <v>11319</v>
      </c>
      <c r="C3454" s="407">
        <v>2610</v>
      </c>
      <c r="D3454" s="408">
        <v>45449</v>
      </c>
      <c r="E3454" s="420" t="s">
        <v>11962</v>
      </c>
    </row>
    <row r="3455" spans="2:5">
      <c r="B3455" s="414" t="s">
        <v>11319</v>
      </c>
      <c r="C3455" s="407">
        <v>2609</v>
      </c>
      <c r="D3455" s="408">
        <v>45449</v>
      </c>
      <c r="E3455" s="420" t="s">
        <v>11870</v>
      </c>
    </row>
    <row r="3456" spans="2:5">
      <c r="B3456" s="414" t="s">
        <v>11319</v>
      </c>
      <c r="C3456" s="407">
        <v>2608</v>
      </c>
      <c r="D3456" s="408">
        <v>45449</v>
      </c>
      <c r="E3456" s="420" t="s">
        <v>11963</v>
      </c>
    </row>
    <row r="3457" spans="2:5">
      <c r="B3457" s="414" t="s">
        <v>11319</v>
      </c>
      <c r="C3457" s="407">
        <v>2606</v>
      </c>
      <c r="D3457" s="408">
        <v>45449</v>
      </c>
      <c r="E3457" s="420" t="s">
        <v>11964</v>
      </c>
    </row>
    <row r="3458" spans="2:5">
      <c r="B3458" s="414" t="s">
        <v>11319</v>
      </c>
      <c r="C3458" s="407">
        <v>2605</v>
      </c>
      <c r="D3458" s="408">
        <v>45449</v>
      </c>
      <c r="E3458" s="420" t="s">
        <v>11965</v>
      </c>
    </row>
    <row r="3459" spans="2:5">
      <c r="B3459" s="414" t="s">
        <v>11319</v>
      </c>
      <c r="C3459" s="407">
        <v>2604</v>
      </c>
      <c r="D3459" s="408">
        <v>45449</v>
      </c>
      <c r="E3459" s="420" t="s">
        <v>11873</v>
      </c>
    </row>
    <row r="3460" spans="2:5">
      <c r="B3460" s="414" t="s">
        <v>11319</v>
      </c>
      <c r="C3460" s="407">
        <v>2603</v>
      </c>
      <c r="D3460" s="408">
        <v>45449</v>
      </c>
      <c r="E3460" s="420" t="s">
        <v>11966</v>
      </c>
    </row>
    <row r="3461" spans="2:5">
      <c r="B3461" s="414" t="s">
        <v>11319</v>
      </c>
      <c r="C3461" s="407">
        <v>2602</v>
      </c>
      <c r="D3461" s="408">
        <v>45449</v>
      </c>
      <c r="E3461" s="420" t="s">
        <v>11872</v>
      </c>
    </row>
    <row r="3462" spans="2:5">
      <c r="B3462" s="414" t="s">
        <v>11319</v>
      </c>
      <c r="C3462" s="407">
        <v>2601</v>
      </c>
      <c r="D3462" s="408">
        <v>45449</v>
      </c>
      <c r="E3462" s="420" t="s">
        <v>11871</v>
      </c>
    </row>
    <row r="3463" spans="2:5">
      <c r="B3463" s="414" t="s">
        <v>11319</v>
      </c>
      <c r="C3463" s="407">
        <v>2600</v>
      </c>
      <c r="D3463" s="408">
        <v>45449</v>
      </c>
      <c r="E3463" s="420" t="s">
        <v>11874</v>
      </c>
    </row>
    <row r="3464" spans="2:5">
      <c r="B3464" s="414" t="s">
        <v>11319</v>
      </c>
      <c r="C3464" s="407">
        <v>2598</v>
      </c>
      <c r="D3464" s="408">
        <v>45449</v>
      </c>
      <c r="E3464" s="420" t="s">
        <v>11875</v>
      </c>
    </row>
    <row r="3465" spans="2:5">
      <c r="B3465" s="414" t="s">
        <v>11319</v>
      </c>
      <c r="C3465" s="407">
        <v>2597</v>
      </c>
      <c r="D3465" s="408">
        <v>45449</v>
      </c>
      <c r="E3465" s="420" t="s">
        <v>11876</v>
      </c>
    </row>
    <row r="3466" spans="2:5">
      <c r="B3466" s="414" t="s">
        <v>11319</v>
      </c>
      <c r="C3466" s="407">
        <v>2596</v>
      </c>
      <c r="D3466" s="408">
        <v>45449</v>
      </c>
      <c r="E3466" s="420" t="s">
        <v>11877</v>
      </c>
    </row>
    <row r="3467" spans="2:5">
      <c r="B3467" s="414" t="s">
        <v>11319</v>
      </c>
      <c r="C3467" s="407">
        <v>2594</v>
      </c>
      <c r="D3467" s="408">
        <v>45449</v>
      </c>
      <c r="E3467" s="420" t="s">
        <v>11878</v>
      </c>
    </row>
    <row r="3468" spans="2:5">
      <c r="B3468" s="414" t="s">
        <v>11319</v>
      </c>
      <c r="C3468" s="407">
        <v>2592</v>
      </c>
      <c r="D3468" s="408">
        <v>45449</v>
      </c>
      <c r="E3468" s="420" t="s">
        <v>11879</v>
      </c>
    </row>
    <row r="3469" spans="2:5">
      <c r="B3469" s="414" t="s">
        <v>11319</v>
      </c>
      <c r="C3469" s="407">
        <v>2591</v>
      </c>
      <c r="D3469" s="408">
        <v>45449</v>
      </c>
      <c r="E3469" s="420" t="s">
        <v>11880</v>
      </c>
    </row>
    <row r="3470" spans="2:5">
      <c r="B3470" s="414" t="s">
        <v>11319</v>
      </c>
      <c r="C3470" s="407">
        <v>2587</v>
      </c>
      <c r="D3470" s="408">
        <v>45449</v>
      </c>
      <c r="E3470" s="420" t="s">
        <v>11881</v>
      </c>
    </row>
    <row r="3471" spans="2:5">
      <c r="B3471" s="414" t="s">
        <v>11319</v>
      </c>
      <c r="C3471" s="407">
        <v>2585</v>
      </c>
      <c r="D3471" s="408">
        <v>45449</v>
      </c>
      <c r="E3471" s="420" t="s">
        <v>11882</v>
      </c>
    </row>
    <row r="3472" spans="2:5">
      <c r="B3472" s="414" t="s">
        <v>11319</v>
      </c>
      <c r="C3472" s="407">
        <v>2584</v>
      </c>
      <c r="D3472" s="408">
        <v>45449</v>
      </c>
      <c r="E3472" s="420" t="s">
        <v>11883</v>
      </c>
    </row>
    <row r="3473" spans="2:5">
      <c r="B3473" s="414" t="s">
        <v>11319</v>
      </c>
      <c r="C3473" s="407">
        <v>2583</v>
      </c>
      <c r="D3473" s="408">
        <v>45449</v>
      </c>
      <c r="E3473" s="420" t="s">
        <v>11884</v>
      </c>
    </row>
    <row r="3474" spans="2:5">
      <c r="B3474" s="414" t="s">
        <v>11319</v>
      </c>
      <c r="C3474" s="407">
        <v>2582</v>
      </c>
      <c r="D3474" s="408">
        <v>45449</v>
      </c>
      <c r="E3474" s="420" t="s">
        <v>11885</v>
      </c>
    </row>
    <row r="3475" spans="2:5">
      <c r="B3475" s="414" t="s">
        <v>11319</v>
      </c>
      <c r="C3475" s="407">
        <v>2581</v>
      </c>
      <c r="D3475" s="408">
        <v>45449</v>
      </c>
      <c r="E3475" s="420" t="s">
        <v>11886</v>
      </c>
    </row>
    <row r="3476" spans="2:5">
      <c r="B3476" s="414" t="s">
        <v>11319</v>
      </c>
      <c r="C3476" s="407">
        <v>2580</v>
      </c>
      <c r="D3476" s="408">
        <v>45449</v>
      </c>
      <c r="E3476" s="420" t="s">
        <v>11967</v>
      </c>
    </row>
    <row r="3477" spans="2:5">
      <c r="B3477" s="414" t="s">
        <v>11319</v>
      </c>
      <c r="C3477" s="407">
        <v>2579</v>
      </c>
      <c r="D3477" s="408">
        <v>45449</v>
      </c>
      <c r="E3477" s="420" t="s">
        <v>11968</v>
      </c>
    </row>
    <row r="3478" spans="2:5">
      <c r="B3478" s="414" t="s">
        <v>11319</v>
      </c>
      <c r="C3478" s="407">
        <v>2578</v>
      </c>
      <c r="D3478" s="408">
        <v>45449</v>
      </c>
      <c r="E3478" s="420" t="s">
        <v>11887</v>
      </c>
    </row>
    <row r="3479" spans="2:5">
      <c r="B3479" s="414" t="s">
        <v>11319</v>
      </c>
      <c r="C3479" s="407">
        <v>2577</v>
      </c>
      <c r="D3479" s="408">
        <v>45449</v>
      </c>
      <c r="E3479" s="420" t="s">
        <v>11969</v>
      </c>
    </row>
    <row r="3480" spans="2:5">
      <c r="B3480" s="414" t="s">
        <v>11319</v>
      </c>
      <c r="C3480" s="407">
        <v>2575</v>
      </c>
      <c r="D3480" s="408">
        <v>45449</v>
      </c>
      <c r="E3480" s="420" t="s">
        <v>11970</v>
      </c>
    </row>
    <row r="3481" spans="2:5">
      <c r="B3481" s="414" t="s">
        <v>11319</v>
      </c>
      <c r="C3481" s="407">
        <v>2572</v>
      </c>
      <c r="D3481" s="408">
        <v>45449</v>
      </c>
      <c r="E3481" s="420" t="s">
        <v>11971</v>
      </c>
    </row>
    <row r="3482" spans="2:5">
      <c r="B3482" s="414" t="s">
        <v>11319</v>
      </c>
      <c r="C3482" s="407">
        <v>2566</v>
      </c>
      <c r="D3482" s="408">
        <v>45449</v>
      </c>
      <c r="E3482" s="420" t="s">
        <v>11972</v>
      </c>
    </row>
    <row r="3483" spans="2:5">
      <c r="B3483" s="414" t="s">
        <v>11319</v>
      </c>
      <c r="C3483" s="407">
        <v>2560</v>
      </c>
      <c r="D3483" s="408">
        <v>45449</v>
      </c>
      <c r="E3483" s="420" t="s">
        <v>11973</v>
      </c>
    </row>
    <row r="3484" spans="2:5">
      <c r="B3484" s="414" t="s">
        <v>11319</v>
      </c>
      <c r="C3484" s="407">
        <v>2554</v>
      </c>
      <c r="D3484" s="408">
        <v>45449</v>
      </c>
      <c r="E3484" s="424" t="s">
        <v>11974</v>
      </c>
    </row>
    <row r="3485" spans="2:5">
      <c r="B3485" s="414" t="s">
        <v>11319</v>
      </c>
      <c r="C3485" s="407">
        <v>2550</v>
      </c>
      <c r="D3485" s="408">
        <v>45448</v>
      </c>
      <c r="E3485" s="414" t="s">
        <v>11320</v>
      </c>
    </row>
    <row r="3486" spans="2:5">
      <c r="B3486" s="414" t="s">
        <v>11319</v>
      </c>
      <c r="C3486" s="407">
        <v>2545</v>
      </c>
      <c r="D3486" s="408">
        <v>45448</v>
      </c>
      <c r="E3486" s="414" t="s">
        <v>11321</v>
      </c>
    </row>
    <row r="3487" spans="2:5">
      <c r="B3487" s="414" t="s">
        <v>11319</v>
      </c>
      <c r="C3487" s="407">
        <v>2543</v>
      </c>
      <c r="D3487" s="408">
        <v>45448</v>
      </c>
      <c r="E3487" s="414" t="s">
        <v>11322</v>
      </c>
    </row>
    <row r="3488" spans="2:5">
      <c r="B3488" s="414" t="s">
        <v>11319</v>
      </c>
      <c r="C3488" s="407">
        <v>2542</v>
      </c>
      <c r="D3488" s="408">
        <v>45448</v>
      </c>
      <c r="E3488" s="414" t="s">
        <v>11323</v>
      </c>
    </row>
    <row r="3489" spans="2:5">
      <c r="B3489" s="414" t="s">
        <v>11319</v>
      </c>
      <c r="C3489" s="407">
        <v>2539</v>
      </c>
      <c r="D3489" s="408">
        <v>45448</v>
      </c>
      <c r="E3489" s="414" t="s">
        <v>11432</v>
      </c>
    </row>
    <row r="3490" spans="2:5">
      <c r="B3490" s="414" t="s">
        <v>11319</v>
      </c>
      <c r="C3490" s="407">
        <v>2537</v>
      </c>
      <c r="D3490" s="408">
        <v>45448</v>
      </c>
      <c r="E3490" s="414" t="s">
        <v>11433</v>
      </c>
    </row>
    <row r="3491" spans="2:5">
      <c r="B3491" s="414" t="s">
        <v>11319</v>
      </c>
      <c r="C3491" s="407">
        <v>2536</v>
      </c>
      <c r="D3491" s="408">
        <v>45448</v>
      </c>
      <c r="E3491" s="415" t="s">
        <v>11434</v>
      </c>
    </row>
    <row r="3492" spans="2:5">
      <c r="B3492" s="414" t="s">
        <v>11319</v>
      </c>
      <c r="C3492" s="407">
        <v>2534</v>
      </c>
      <c r="D3492" s="408">
        <v>45448</v>
      </c>
      <c r="E3492" s="415" t="s">
        <v>11435</v>
      </c>
    </row>
    <row r="3493" spans="2:5">
      <c r="B3493" s="414" t="s">
        <v>11319</v>
      </c>
      <c r="C3493" s="407">
        <v>2529</v>
      </c>
      <c r="D3493" s="408">
        <v>45448</v>
      </c>
      <c r="E3493" s="415" t="s">
        <v>11436</v>
      </c>
    </row>
    <row r="3494" spans="2:5">
      <c r="B3494" s="414" t="s">
        <v>11319</v>
      </c>
      <c r="C3494" s="407">
        <v>2524</v>
      </c>
      <c r="D3494" s="408">
        <v>45453</v>
      </c>
      <c r="E3494" s="420" t="s">
        <v>12382</v>
      </c>
    </row>
    <row r="3495" spans="2:5">
      <c r="B3495" s="414" t="s">
        <v>11319</v>
      </c>
      <c r="C3495" s="407">
        <v>2523</v>
      </c>
      <c r="D3495" s="408">
        <v>45448</v>
      </c>
      <c r="E3495" s="415" t="s">
        <v>11437</v>
      </c>
    </row>
    <row r="3496" spans="2:5">
      <c r="B3496" s="414" t="s">
        <v>11319</v>
      </c>
      <c r="C3496" s="407">
        <v>2515</v>
      </c>
      <c r="D3496" s="408">
        <v>45448</v>
      </c>
      <c r="E3496" s="414" t="s">
        <v>11324</v>
      </c>
    </row>
    <row r="3497" spans="2:5">
      <c r="B3497" s="414" t="s">
        <v>11319</v>
      </c>
      <c r="C3497" s="407">
        <v>2510</v>
      </c>
      <c r="D3497" s="408">
        <v>45448</v>
      </c>
      <c r="E3497" s="414" t="s">
        <v>11325</v>
      </c>
    </row>
    <row r="3498" spans="2:5">
      <c r="B3498" s="414" t="s">
        <v>11319</v>
      </c>
      <c r="C3498" s="407">
        <v>2507</v>
      </c>
      <c r="D3498" s="408">
        <v>45448</v>
      </c>
      <c r="E3498" s="414" t="s">
        <v>11438</v>
      </c>
    </row>
    <row r="3499" spans="2:5">
      <c r="B3499" s="414" t="s">
        <v>11319</v>
      </c>
      <c r="C3499" s="407">
        <v>2500</v>
      </c>
      <c r="D3499" s="408">
        <v>45448</v>
      </c>
      <c r="E3499" s="414" t="s">
        <v>11326</v>
      </c>
    </row>
    <row r="3500" spans="2:5">
      <c r="B3500" s="414" t="s">
        <v>11319</v>
      </c>
      <c r="C3500" s="407">
        <v>2497</v>
      </c>
      <c r="D3500" s="408">
        <v>45448</v>
      </c>
      <c r="E3500" s="414" t="s">
        <v>11439</v>
      </c>
    </row>
    <row r="3501" spans="2:5">
      <c r="B3501" s="414" t="s">
        <v>11319</v>
      </c>
      <c r="C3501" s="407">
        <v>2496</v>
      </c>
      <c r="D3501" s="408">
        <v>45448</v>
      </c>
      <c r="E3501" s="414" t="s">
        <v>11327</v>
      </c>
    </row>
    <row r="3502" spans="2:5">
      <c r="B3502" s="414" t="s">
        <v>11319</v>
      </c>
      <c r="C3502" s="407">
        <v>2490</v>
      </c>
      <c r="D3502" s="408">
        <v>45448</v>
      </c>
      <c r="E3502" s="414" t="s">
        <v>11328</v>
      </c>
    </row>
    <row r="3503" spans="2:5">
      <c r="B3503" s="414" t="s">
        <v>11319</v>
      </c>
      <c r="C3503" s="407">
        <v>2486</v>
      </c>
      <c r="D3503" s="408">
        <v>45448</v>
      </c>
      <c r="E3503" s="414" t="s">
        <v>11329</v>
      </c>
    </row>
    <row r="3504" spans="2:5">
      <c r="B3504" s="414" t="s">
        <v>11319</v>
      </c>
      <c r="C3504" s="407">
        <v>2479</v>
      </c>
      <c r="D3504" s="408">
        <v>45448</v>
      </c>
      <c r="E3504" s="414" t="s">
        <v>11330</v>
      </c>
    </row>
    <row r="3505" spans="2:5">
      <c r="B3505" s="414" t="s">
        <v>11319</v>
      </c>
      <c r="C3505" s="407">
        <v>2477</v>
      </c>
      <c r="D3505" s="408">
        <v>45448</v>
      </c>
      <c r="E3505" s="414" t="s">
        <v>11440</v>
      </c>
    </row>
    <row r="3506" spans="2:5">
      <c r="B3506" s="414" t="s">
        <v>11319</v>
      </c>
      <c r="C3506" s="407">
        <v>2470</v>
      </c>
      <c r="D3506" s="408">
        <v>45448</v>
      </c>
      <c r="E3506" s="414" t="s">
        <v>11441</v>
      </c>
    </row>
    <row r="3507" spans="2:5">
      <c r="B3507" s="414" t="s">
        <v>11319</v>
      </c>
      <c r="C3507" s="407">
        <v>2469</v>
      </c>
      <c r="D3507" s="408">
        <v>45448</v>
      </c>
      <c r="E3507" s="414" t="s">
        <v>11331</v>
      </c>
    </row>
    <row r="3508" spans="2:5">
      <c r="B3508" s="414" t="s">
        <v>11319</v>
      </c>
      <c r="C3508" s="407">
        <v>2465</v>
      </c>
      <c r="D3508" s="408">
        <v>45448</v>
      </c>
      <c r="E3508" s="414" t="s">
        <v>11332</v>
      </c>
    </row>
    <row r="3509" spans="2:5">
      <c r="B3509" s="414" t="s">
        <v>11319</v>
      </c>
      <c r="C3509" s="407">
        <v>2464</v>
      </c>
      <c r="D3509" s="408">
        <v>45448</v>
      </c>
      <c r="E3509" s="414" t="s">
        <v>11333</v>
      </c>
    </row>
    <row r="3510" spans="2:5">
      <c r="B3510" s="414" t="s">
        <v>11319</v>
      </c>
      <c r="C3510" s="407">
        <v>2457</v>
      </c>
      <c r="D3510" s="408">
        <v>45448</v>
      </c>
      <c r="E3510" s="414" t="s">
        <v>11442</v>
      </c>
    </row>
    <row r="3511" spans="2:5">
      <c r="B3511" s="414" t="s">
        <v>11319</v>
      </c>
      <c r="C3511" s="407">
        <v>2456</v>
      </c>
      <c r="D3511" s="408">
        <v>45448</v>
      </c>
      <c r="E3511" s="414" t="s">
        <v>11334</v>
      </c>
    </row>
    <row r="3512" spans="2:5">
      <c r="B3512" s="414" t="s">
        <v>11319</v>
      </c>
      <c r="C3512" s="407">
        <v>2450</v>
      </c>
      <c r="D3512" s="408">
        <v>45448</v>
      </c>
      <c r="E3512" s="414" t="s">
        <v>11337</v>
      </c>
    </row>
    <row r="3513" spans="2:5">
      <c r="B3513" s="414" t="s">
        <v>11319</v>
      </c>
      <c r="C3513" s="407">
        <v>2447</v>
      </c>
      <c r="D3513" s="408">
        <v>45448</v>
      </c>
      <c r="E3513" s="414" t="s">
        <v>11336</v>
      </c>
    </row>
    <row r="3514" spans="2:5">
      <c r="B3514" s="414" t="s">
        <v>11319</v>
      </c>
      <c r="C3514" s="407">
        <v>2432</v>
      </c>
      <c r="D3514" s="408">
        <v>45448</v>
      </c>
      <c r="E3514" s="414" t="s">
        <v>11443</v>
      </c>
    </row>
    <row r="3515" spans="2:5">
      <c r="B3515" s="414" t="s">
        <v>11319</v>
      </c>
      <c r="C3515" s="407">
        <v>2431</v>
      </c>
      <c r="D3515" s="408">
        <v>45448</v>
      </c>
      <c r="E3515" s="414" t="s">
        <v>11444</v>
      </c>
    </row>
    <row r="3516" spans="2:5">
      <c r="B3516" s="414" t="s">
        <v>11319</v>
      </c>
      <c r="C3516" s="407">
        <v>2428</v>
      </c>
      <c r="D3516" s="408">
        <v>45448</v>
      </c>
      <c r="E3516" s="414" t="s">
        <v>11335</v>
      </c>
    </row>
    <row r="3517" spans="2:5">
      <c r="B3517" s="414" t="s">
        <v>11319</v>
      </c>
      <c r="C3517" s="407">
        <v>2426</v>
      </c>
      <c r="D3517" s="408">
        <v>45448</v>
      </c>
      <c r="E3517" s="414" t="s">
        <v>11445</v>
      </c>
    </row>
    <row r="3518" spans="2:5">
      <c r="B3518" s="414" t="s">
        <v>11319</v>
      </c>
      <c r="C3518" s="407">
        <v>2424</v>
      </c>
      <c r="D3518" s="408">
        <v>45448</v>
      </c>
      <c r="E3518" s="414" t="s">
        <v>11338</v>
      </c>
    </row>
    <row r="3519" spans="2:5">
      <c r="B3519" s="414" t="s">
        <v>11319</v>
      </c>
      <c r="C3519" s="407">
        <v>2422</v>
      </c>
      <c r="D3519" s="408">
        <v>45448</v>
      </c>
      <c r="E3519" s="414" t="s">
        <v>11446</v>
      </c>
    </row>
    <row r="3520" spans="2:5">
      <c r="B3520" s="414" t="s">
        <v>11319</v>
      </c>
      <c r="C3520" s="407">
        <v>2421</v>
      </c>
      <c r="D3520" s="408">
        <v>45448</v>
      </c>
      <c r="E3520" s="414" t="s">
        <v>11447</v>
      </c>
    </row>
    <row r="3521" spans="2:5">
      <c r="B3521" s="414" t="s">
        <v>11319</v>
      </c>
      <c r="C3521" s="407">
        <v>2416</v>
      </c>
      <c r="D3521" s="408">
        <v>45448</v>
      </c>
      <c r="E3521" s="414" t="s">
        <v>11339</v>
      </c>
    </row>
    <row r="3522" spans="2:5">
      <c r="B3522" s="414" t="s">
        <v>11319</v>
      </c>
      <c r="C3522" s="407">
        <v>2395</v>
      </c>
      <c r="D3522" s="408">
        <v>45448</v>
      </c>
      <c r="E3522" s="414" t="s">
        <v>11340</v>
      </c>
    </row>
    <row r="3523" spans="2:5">
      <c r="B3523" s="414" t="s">
        <v>11319</v>
      </c>
      <c r="C3523" s="407">
        <v>2394</v>
      </c>
      <c r="D3523" s="408">
        <v>45448</v>
      </c>
      <c r="E3523" s="414" t="s">
        <v>11448</v>
      </c>
    </row>
    <row r="3524" spans="2:5">
      <c r="B3524" s="414" t="s">
        <v>11319</v>
      </c>
      <c r="C3524" s="407">
        <v>2383</v>
      </c>
      <c r="D3524" s="408">
        <v>45448</v>
      </c>
      <c r="E3524" s="414" t="s">
        <v>11449</v>
      </c>
    </row>
    <row r="3525" spans="2:5">
      <c r="B3525" s="414" t="s">
        <v>11319</v>
      </c>
      <c r="C3525" s="407">
        <v>2366</v>
      </c>
      <c r="D3525" s="408">
        <v>45448</v>
      </c>
      <c r="E3525" s="414" t="s">
        <v>11341</v>
      </c>
    </row>
    <row r="3526" spans="2:5">
      <c r="B3526" s="414" t="s">
        <v>11319</v>
      </c>
      <c r="C3526" s="407">
        <v>2362</v>
      </c>
      <c r="D3526" s="408">
        <v>45448</v>
      </c>
      <c r="E3526" s="414" t="s">
        <v>11342</v>
      </c>
    </row>
    <row r="3527" spans="2:5">
      <c r="B3527" s="414" t="s">
        <v>11319</v>
      </c>
      <c r="C3527" s="407">
        <v>2361</v>
      </c>
      <c r="D3527" s="408">
        <v>45448</v>
      </c>
      <c r="E3527" s="414" t="s">
        <v>11343</v>
      </c>
    </row>
    <row r="3528" spans="2:5">
      <c r="B3528" s="414" t="s">
        <v>11319</v>
      </c>
      <c r="C3528" s="407">
        <v>2357</v>
      </c>
      <c r="D3528" s="408">
        <v>45448</v>
      </c>
      <c r="E3528" s="414" t="s">
        <v>11450</v>
      </c>
    </row>
    <row r="3529" spans="2:5">
      <c r="B3529" s="414" t="s">
        <v>11319</v>
      </c>
      <c r="C3529" s="407">
        <v>2356</v>
      </c>
      <c r="D3529" s="408">
        <v>45448</v>
      </c>
      <c r="E3529" s="414" t="s">
        <v>11344</v>
      </c>
    </row>
    <row r="3530" spans="2:5">
      <c r="B3530" s="414" t="s">
        <v>11319</v>
      </c>
      <c r="C3530" s="407">
        <v>2355</v>
      </c>
      <c r="D3530" s="408">
        <v>45448</v>
      </c>
      <c r="E3530" s="414" t="s">
        <v>11451</v>
      </c>
    </row>
    <row r="3531" spans="2:5">
      <c r="B3531" s="414" t="s">
        <v>11319</v>
      </c>
      <c r="C3531" s="407">
        <v>2354</v>
      </c>
      <c r="D3531" s="408">
        <v>45448</v>
      </c>
      <c r="E3531" s="414" t="s">
        <v>11345</v>
      </c>
    </row>
    <row r="3532" spans="2:5">
      <c r="B3532" s="414" t="s">
        <v>11319</v>
      </c>
      <c r="C3532" s="407">
        <v>2352</v>
      </c>
      <c r="D3532" s="408">
        <v>45448</v>
      </c>
      <c r="E3532" s="414" t="s">
        <v>11346</v>
      </c>
    </row>
    <row r="3533" spans="2:5">
      <c r="B3533" s="414" t="s">
        <v>11319</v>
      </c>
      <c r="C3533" s="407">
        <v>2348</v>
      </c>
      <c r="D3533" s="408">
        <v>45448</v>
      </c>
      <c r="E3533" s="414" t="s">
        <v>11347</v>
      </c>
    </row>
    <row r="3534" spans="2:5">
      <c r="B3534" s="49" t="s">
        <v>11319</v>
      </c>
      <c r="C3534" s="409">
        <v>2347</v>
      </c>
      <c r="D3534" s="410">
        <v>45448</v>
      </c>
      <c r="E3534" s="49" t="s">
        <v>11452</v>
      </c>
    </row>
    <row r="3535" spans="2:5">
      <c r="B3535" s="414" t="s">
        <v>11319</v>
      </c>
      <c r="C3535" s="407">
        <v>2345</v>
      </c>
      <c r="D3535" s="408">
        <v>45448</v>
      </c>
      <c r="E3535" s="414" t="s">
        <v>11453</v>
      </c>
    </row>
    <row r="3536" spans="2:5">
      <c r="B3536" s="414" t="s">
        <v>11319</v>
      </c>
      <c r="C3536" s="407">
        <v>2344</v>
      </c>
      <c r="D3536" s="408">
        <v>45448</v>
      </c>
      <c r="E3536" s="414" t="s">
        <v>11348</v>
      </c>
    </row>
    <row r="3537" spans="2:5">
      <c r="B3537" s="414" t="s">
        <v>11319</v>
      </c>
      <c r="C3537" s="407">
        <v>2343</v>
      </c>
      <c r="D3537" s="408">
        <v>45448</v>
      </c>
      <c r="E3537" s="414" t="s">
        <v>11349</v>
      </c>
    </row>
    <row r="3538" spans="2:5">
      <c r="B3538" s="414" t="s">
        <v>11319</v>
      </c>
      <c r="C3538" s="407">
        <v>2336</v>
      </c>
      <c r="D3538" s="408">
        <v>45448</v>
      </c>
      <c r="E3538" s="414" t="s">
        <v>11350</v>
      </c>
    </row>
    <row r="3539" spans="2:5">
      <c r="B3539" s="414" t="s">
        <v>11319</v>
      </c>
      <c r="C3539" s="407">
        <v>2333</v>
      </c>
      <c r="D3539" s="408">
        <v>45448</v>
      </c>
      <c r="E3539" s="414" t="s">
        <v>11454</v>
      </c>
    </row>
    <row r="3540" spans="2:5">
      <c r="B3540" s="414" t="s">
        <v>11319</v>
      </c>
      <c r="C3540" s="407">
        <v>2332</v>
      </c>
      <c r="D3540" s="408">
        <v>45448</v>
      </c>
      <c r="E3540" s="414" t="s">
        <v>11351</v>
      </c>
    </row>
    <row r="3541" spans="2:5">
      <c r="B3541" s="414" t="s">
        <v>11319</v>
      </c>
      <c r="C3541" s="407">
        <v>2329</v>
      </c>
      <c r="D3541" s="408">
        <v>45448</v>
      </c>
      <c r="E3541" s="414" t="s">
        <v>11455</v>
      </c>
    </row>
    <row r="3542" spans="2:5">
      <c r="B3542" s="414" t="s">
        <v>11319</v>
      </c>
      <c r="C3542" s="407">
        <v>2327</v>
      </c>
      <c r="D3542" s="408">
        <v>45448</v>
      </c>
      <c r="E3542" s="414" t="s">
        <v>11456</v>
      </c>
    </row>
    <row r="3543" spans="2:5">
      <c r="B3543" s="414" t="s">
        <v>11319</v>
      </c>
      <c r="C3543" s="407">
        <v>2322</v>
      </c>
      <c r="D3543" s="408">
        <v>45448</v>
      </c>
      <c r="E3543" s="414" t="s">
        <v>11352</v>
      </c>
    </row>
    <row r="3544" spans="2:5">
      <c r="B3544" s="414" t="s">
        <v>11319</v>
      </c>
      <c r="C3544" s="407">
        <v>2318</v>
      </c>
      <c r="D3544" s="408">
        <v>45448</v>
      </c>
      <c r="E3544" s="414" t="s">
        <v>11353</v>
      </c>
    </row>
    <row r="3545" spans="2:5">
      <c r="B3545" s="414" t="s">
        <v>11319</v>
      </c>
      <c r="C3545" s="407">
        <v>2317</v>
      </c>
      <c r="D3545" s="408">
        <v>45448</v>
      </c>
      <c r="E3545" s="414" t="s">
        <v>11354</v>
      </c>
    </row>
    <row r="3546" spans="2:5">
      <c r="B3546" s="414" t="s">
        <v>11319</v>
      </c>
      <c r="C3546" s="407">
        <v>2315</v>
      </c>
      <c r="D3546" s="408">
        <v>45448</v>
      </c>
      <c r="E3546" s="414" t="s">
        <v>11457</v>
      </c>
    </row>
    <row r="3547" spans="2:5">
      <c r="B3547" s="414" t="s">
        <v>11319</v>
      </c>
      <c r="C3547" s="407">
        <v>2313</v>
      </c>
      <c r="D3547" s="408">
        <v>45448</v>
      </c>
      <c r="E3547" s="414" t="s">
        <v>11458</v>
      </c>
    </row>
    <row r="3548" spans="2:5">
      <c r="B3548" s="414" t="s">
        <v>11319</v>
      </c>
      <c r="C3548" s="407">
        <v>2310</v>
      </c>
      <c r="D3548" s="408">
        <v>45448</v>
      </c>
      <c r="E3548" s="414" t="s">
        <v>11355</v>
      </c>
    </row>
    <row r="3549" spans="2:5">
      <c r="B3549" s="414" t="s">
        <v>11319</v>
      </c>
      <c r="C3549" s="407">
        <v>2309</v>
      </c>
      <c r="D3549" s="408">
        <v>45448</v>
      </c>
      <c r="E3549" s="414" t="s">
        <v>11356</v>
      </c>
    </row>
    <row r="3550" spans="2:5">
      <c r="B3550" s="414" t="s">
        <v>11319</v>
      </c>
      <c r="C3550" s="407">
        <v>2300</v>
      </c>
      <c r="D3550" s="408">
        <v>45448</v>
      </c>
      <c r="E3550" s="414" t="s">
        <v>11459</v>
      </c>
    </row>
    <row r="3551" spans="2:5">
      <c r="B3551" s="414" t="s">
        <v>11319</v>
      </c>
      <c r="C3551" s="407">
        <v>2298</v>
      </c>
      <c r="D3551" s="408">
        <v>45448</v>
      </c>
      <c r="E3551" s="419" t="s">
        <v>11460</v>
      </c>
    </row>
    <row r="3552" spans="2:5">
      <c r="B3552" s="414" t="s">
        <v>11319</v>
      </c>
      <c r="C3552" s="407">
        <v>2296</v>
      </c>
      <c r="D3552" s="408">
        <v>45448</v>
      </c>
      <c r="E3552" s="414" t="s">
        <v>11357</v>
      </c>
    </row>
    <row r="3553" spans="2:5">
      <c r="B3553" s="414" t="s">
        <v>11319</v>
      </c>
      <c r="C3553" s="407">
        <v>2295</v>
      </c>
      <c r="D3553" s="408">
        <v>45448</v>
      </c>
      <c r="E3553" s="414" t="s">
        <v>11358</v>
      </c>
    </row>
    <row r="3554" spans="2:5">
      <c r="B3554" s="414" t="s">
        <v>11319</v>
      </c>
      <c r="C3554" s="407">
        <v>2294</v>
      </c>
      <c r="D3554" s="408">
        <v>45448</v>
      </c>
      <c r="E3554" s="414" t="s">
        <v>11359</v>
      </c>
    </row>
    <row r="3555" spans="2:5">
      <c r="B3555" s="414" t="s">
        <v>11319</v>
      </c>
      <c r="C3555" s="407">
        <v>2293</v>
      </c>
      <c r="D3555" s="408">
        <v>45448</v>
      </c>
      <c r="E3555" s="414" t="s">
        <v>11461</v>
      </c>
    </row>
    <row r="3556" spans="2:5">
      <c r="B3556" s="414" t="s">
        <v>11319</v>
      </c>
      <c r="C3556" s="407">
        <v>2292</v>
      </c>
      <c r="D3556" s="408">
        <v>45448</v>
      </c>
      <c r="E3556" s="414" t="s">
        <v>11360</v>
      </c>
    </row>
    <row r="3557" spans="2:5">
      <c r="B3557" s="414" t="s">
        <v>11319</v>
      </c>
      <c r="C3557" s="407">
        <v>2290</v>
      </c>
      <c r="D3557" s="408">
        <v>45448</v>
      </c>
      <c r="E3557" s="414" t="s">
        <v>11361</v>
      </c>
    </row>
    <row r="3558" spans="2:5">
      <c r="B3558" s="414" t="s">
        <v>11319</v>
      </c>
      <c r="C3558" s="407">
        <v>2285</v>
      </c>
      <c r="D3558" s="408">
        <v>45448</v>
      </c>
      <c r="E3558" s="414" t="s">
        <v>11462</v>
      </c>
    </row>
    <row r="3559" spans="2:5">
      <c r="B3559" s="414" t="s">
        <v>11319</v>
      </c>
      <c r="C3559" s="407">
        <v>2282</v>
      </c>
      <c r="D3559" s="408">
        <v>45448</v>
      </c>
      <c r="E3559" s="414" t="s">
        <v>11362</v>
      </c>
    </row>
    <row r="3560" spans="2:5">
      <c r="B3560" s="414" t="s">
        <v>11319</v>
      </c>
      <c r="C3560" s="407">
        <v>2273</v>
      </c>
      <c r="D3560" s="408">
        <v>45448</v>
      </c>
      <c r="E3560" s="414" t="s">
        <v>11463</v>
      </c>
    </row>
    <row r="3561" spans="2:5">
      <c r="B3561" s="414" t="s">
        <v>11319</v>
      </c>
      <c r="C3561" s="407">
        <v>2269</v>
      </c>
      <c r="D3561" s="408">
        <v>45448</v>
      </c>
      <c r="E3561" s="414" t="s">
        <v>11464</v>
      </c>
    </row>
    <row r="3562" spans="2:5">
      <c r="B3562" s="414" t="s">
        <v>11319</v>
      </c>
      <c r="C3562" s="407">
        <v>2268</v>
      </c>
      <c r="D3562" s="408">
        <v>45448</v>
      </c>
      <c r="E3562" s="414" t="s">
        <v>11363</v>
      </c>
    </row>
    <row r="3563" spans="2:5">
      <c r="B3563" s="414" t="s">
        <v>11319</v>
      </c>
      <c r="C3563" s="407">
        <v>2258</v>
      </c>
      <c r="D3563" s="408">
        <v>45448</v>
      </c>
      <c r="E3563" s="414" t="s">
        <v>11364</v>
      </c>
    </row>
    <row r="3564" spans="2:5">
      <c r="B3564" s="414" t="s">
        <v>11319</v>
      </c>
      <c r="C3564" s="407">
        <v>2255</v>
      </c>
      <c r="D3564" s="408">
        <v>45448</v>
      </c>
      <c r="E3564" s="415" t="s">
        <v>11465</v>
      </c>
    </row>
    <row r="3565" spans="2:5">
      <c r="B3565" s="414" t="s">
        <v>11319</v>
      </c>
      <c r="C3565" s="407">
        <v>2245</v>
      </c>
      <c r="D3565" s="408">
        <v>45448</v>
      </c>
      <c r="E3565" s="415" t="s">
        <v>11466</v>
      </c>
    </row>
    <row r="3566" spans="2:5">
      <c r="B3566" s="414" t="s">
        <v>11319</v>
      </c>
      <c r="C3566" s="407">
        <v>2234</v>
      </c>
      <c r="D3566" s="408">
        <v>45448</v>
      </c>
      <c r="E3566" s="414" t="s">
        <v>11366</v>
      </c>
    </row>
    <row r="3567" spans="2:5">
      <c r="B3567" s="414" t="s">
        <v>11319</v>
      </c>
      <c r="C3567" s="407">
        <v>2225</v>
      </c>
      <c r="D3567" s="408">
        <v>45448</v>
      </c>
      <c r="E3567" s="414" t="s">
        <v>11467</v>
      </c>
    </row>
    <row r="3568" spans="2:5">
      <c r="B3568" s="414" t="s">
        <v>11319</v>
      </c>
      <c r="C3568" s="407">
        <v>2223</v>
      </c>
      <c r="D3568" s="408">
        <v>45448</v>
      </c>
      <c r="E3568" s="414" t="s">
        <v>11468</v>
      </c>
    </row>
    <row r="3569" spans="2:5">
      <c r="B3569" s="414" t="s">
        <v>11319</v>
      </c>
      <c r="C3569" s="407">
        <v>2214</v>
      </c>
      <c r="D3569" s="408">
        <v>45448</v>
      </c>
      <c r="E3569" s="414" t="s">
        <v>11365</v>
      </c>
    </row>
    <row r="3570" spans="2:5">
      <c r="B3570" s="414" t="s">
        <v>11319</v>
      </c>
      <c r="C3570" s="407">
        <v>2213</v>
      </c>
      <c r="D3570" s="408">
        <v>45448</v>
      </c>
      <c r="E3570" s="414" t="s">
        <v>11369</v>
      </c>
    </row>
    <row r="3571" spans="2:5">
      <c r="B3571" s="414" t="s">
        <v>11319</v>
      </c>
      <c r="C3571" s="407">
        <v>2204</v>
      </c>
      <c r="D3571" s="408">
        <v>45448</v>
      </c>
      <c r="E3571" s="414" t="s">
        <v>11469</v>
      </c>
    </row>
    <row r="3572" spans="2:5">
      <c r="B3572" s="414" t="s">
        <v>11319</v>
      </c>
      <c r="C3572" s="407">
        <v>2191</v>
      </c>
      <c r="D3572" s="408">
        <v>45448</v>
      </c>
      <c r="E3572" s="414" t="s">
        <v>11470</v>
      </c>
    </row>
    <row r="3573" spans="2:5">
      <c r="B3573" s="414" t="s">
        <v>11319</v>
      </c>
      <c r="C3573" s="407">
        <v>2189</v>
      </c>
      <c r="D3573" s="408">
        <v>45448</v>
      </c>
      <c r="E3573" s="414" t="s">
        <v>11368</v>
      </c>
    </row>
    <row r="3574" spans="2:5">
      <c r="B3574" s="414" t="s">
        <v>11319</v>
      </c>
      <c r="C3574" s="407">
        <v>2187</v>
      </c>
      <c r="D3574" s="408">
        <v>45448</v>
      </c>
      <c r="E3574" s="414" t="s">
        <v>11367</v>
      </c>
    </row>
    <row r="3575" spans="2:5">
      <c r="B3575" s="414" t="s">
        <v>11319</v>
      </c>
      <c r="C3575" s="407">
        <v>2180</v>
      </c>
      <c r="D3575" s="408">
        <v>45448</v>
      </c>
      <c r="E3575" s="414" t="s">
        <v>11370</v>
      </c>
    </row>
    <row r="3576" spans="2:5">
      <c r="B3576" s="414" t="s">
        <v>11319</v>
      </c>
      <c r="C3576" s="407">
        <v>2177</v>
      </c>
      <c r="D3576" s="408">
        <v>45448</v>
      </c>
      <c r="E3576" s="414" t="s">
        <v>11371</v>
      </c>
    </row>
    <row r="3577" spans="2:5">
      <c r="B3577" s="414" t="s">
        <v>11319</v>
      </c>
      <c r="C3577" s="407">
        <v>2176</v>
      </c>
      <c r="D3577" s="408">
        <v>45448</v>
      </c>
      <c r="E3577" s="414" t="s">
        <v>11372</v>
      </c>
    </row>
    <row r="3578" spans="2:5">
      <c r="B3578" s="414" t="s">
        <v>11319</v>
      </c>
      <c r="C3578" s="407">
        <v>2175</v>
      </c>
      <c r="D3578" s="408">
        <v>45448</v>
      </c>
      <c r="E3578" s="414" t="s">
        <v>11373</v>
      </c>
    </row>
    <row r="3579" spans="2:5">
      <c r="B3579" s="414" t="s">
        <v>11319</v>
      </c>
      <c r="C3579" s="407">
        <v>2173</v>
      </c>
      <c r="D3579" s="408">
        <v>45448</v>
      </c>
      <c r="E3579" s="414" t="s">
        <v>11471</v>
      </c>
    </row>
    <row r="3580" spans="2:5">
      <c r="B3580" s="414" t="s">
        <v>11319</v>
      </c>
      <c r="C3580" s="407">
        <v>2165</v>
      </c>
      <c r="D3580" s="408">
        <v>45448</v>
      </c>
      <c r="E3580" s="414" t="s">
        <v>11374</v>
      </c>
    </row>
    <row r="3581" spans="2:5">
      <c r="B3581" s="414" t="s">
        <v>11319</v>
      </c>
      <c r="C3581" s="407">
        <v>2158</v>
      </c>
      <c r="D3581" s="408">
        <v>45448</v>
      </c>
      <c r="E3581" s="414" t="s">
        <v>11472</v>
      </c>
    </row>
    <row r="3582" spans="2:5">
      <c r="B3582" s="414" t="s">
        <v>11319</v>
      </c>
      <c r="C3582" s="407">
        <v>2157</v>
      </c>
      <c r="D3582" s="408">
        <v>45448</v>
      </c>
      <c r="E3582" s="414" t="s">
        <v>11473</v>
      </c>
    </row>
    <row r="3583" spans="2:5">
      <c r="B3583" s="414" t="s">
        <v>11319</v>
      </c>
      <c r="C3583" s="407">
        <v>2156</v>
      </c>
      <c r="D3583" s="408">
        <v>45448</v>
      </c>
      <c r="E3583" s="414" t="s">
        <v>11474</v>
      </c>
    </row>
    <row r="3584" spans="2:5">
      <c r="B3584" s="414" t="s">
        <v>11319</v>
      </c>
      <c r="C3584" s="407">
        <v>2154</v>
      </c>
      <c r="D3584" s="408">
        <v>45448</v>
      </c>
      <c r="E3584" s="414" t="s">
        <v>11475</v>
      </c>
    </row>
    <row r="3585" spans="2:5">
      <c r="B3585" s="414" t="s">
        <v>11319</v>
      </c>
      <c r="C3585" s="407">
        <v>2146</v>
      </c>
      <c r="D3585" s="408">
        <v>45448</v>
      </c>
      <c r="E3585" s="414" t="s">
        <v>11375</v>
      </c>
    </row>
    <row r="3586" spans="2:5">
      <c r="B3586" s="414" t="s">
        <v>11319</v>
      </c>
      <c r="C3586" s="407">
        <v>2140</v>
      </c>
      <c r="D3586" s="408">
        <v>45448</v>
      </c>
      <c r="E3586" s="414" t="s">
        <v>11476</v>
      </c>
    </row>
    <row r="3587" spans="2:5">
      <c r="B3587" s="49" t="s">
        <v>11319</v>
      </c>
      <c r="C3587" s="409">
        <v>2133</v>
      </c>
      <c r="D3587" s="410">
        <v>45448</v>
      </c>
      <c r="E3587" s="49" t="s">
        <v>11477</v>
      </c>
    </row>
    <row r="3588" spans="2:5">
      <c r="B3588" s="414" t="s">
        <v>11319</v>
      </c>
      <c r="C3588" s="407">
        <v>2131</v>
      </c>
      <c r="D3588" s="408">
        <v>45448</v>
      </c>
      <c r="E3588" s="414" t="s">
        <v>11376</v>
      </c>
    </row>
    <row r="3589" spans="2:5">
      <c r="B3589" s="414" t="s">
        <v>11319</v>
      </c>
      <c r="C3589" s="407">
        <v>2128</v>
      </c>
      <c r="D3589" s="408">
        <v>45448</v>
      </c>
      <c r="E3589" s="414" t="s">
        <v>11377</v>
      </c>
    </row>
    <row r="3590" spans="2:5">
      <c r="B3590" s="414" t="s">
        <v>11319</v>
      </c>
      <c r="C3590" s="407">
        <v>2126</v>
      </c>
      <c r="D3590" s="408">
        <v>45448</v>
      </c>
      <c r="E3590" s="414" t="s">
        <v>11478</v>
      </c>
    </row>
    <row r="3591" spans="2:5">
      <c r="B3591" s="414" t="s">
        <v>11319</v>
      </c>
      <c r="C3591" s="407">
        <v>2105</v>
      </c>
      <c r="D3591" s="408">
        <v>45448</v>
      </c>
      <c r="E3591" s="414" t="s">
        <v>11378</v>
      </c>
    </row>
    <row r="3592" spans="2:5">
      <c r="B3592" s="414" t="s">
        <v>11319</v>
      </c>
      <c r="C3592" s="407">
        <v>2092</v>
      </c>
      <c r="D3592" s="408">
        <v>45448</v>
      </c>
      <c r="E3592" s="414" t="s">
        <v>11479</v>
      </c>
    </row>
    <row r="3593" spans="2:5">
      <c r="B3593" s="414" t="s">
        <v>11319</v>
      </c>
      <c r="C3593" s="407">
        <v>2081</v>
      </c>
      <c r="D3593" s="408">
        <v>45448</v>
      </c>
      <c r="E3593" s="414" t="s">
        <v>11480</v>
      </c>
    </row>
    <row r="3594" spans="2:5">
      <c r="B3594" s="414" t="s">
        <v>11319</v>
      </c>
      <c r="C3594" s="407">
        <v>2080</v>
      </c>
      <c r="D3594" s="408">
        <v>45448</v>
      </c>
      <c r="E3594" s="414" t="s">
        <v>11481</v>
      </c>
    </row>
    <row r="3595" spans="2:5">
      <c r="B3595" s="414" t="s">
        <v>11319</v>
      </c>
      <c r="C3595" s="407">
        <v>2077</v>
      </c>
      <c r="D3595" s="408">
        <v>45453</v>
      </c>
      <c r="E3595" s="420" t="s">
        <v>12482</v>
      </c>
    </row>
    <row r="3596" spans="2:5">
      <c r="B3596" s="414" t="s">
        <v>11319</v>
      </c>
      <c r="C3596" s="407">
        <v>2075</v>
      </c>
      <c r="D3596" s="408">
        <v>45448</v>
      </c>
      <c r="E3596" s="414" t="s">
        <v>11379</v>
      </c>
    </row>
    <row r="3597" spans="2:5">
      <c r="B3597" s="414" t="s">
        <v>11319</v>
      </c>
      <c r="C3597" s="407">
        <v>2066</v>
      </c>
      <c r="D3597" s="408">
        <v>45448</v>
      </c>
      <c r="E3597" s="414" t="s">
        <v>11380</v>
      </c>
    </row>
    <row r="3598" spans="2:5">
      <c r="B3598" s="414" t="s">
        <v>11319</v>
      </c>
      <c r="C3598" s="407">
        <v>2064</v>
      </c>
      <c r="D3598" s="408">
        <v>45448</v>
      </c>
      <c r="E3598" s="414" t="s">
        <v>11381</v>
      </c>
    </row>
    <row r="3599" spans="2:5">
      <c r="B3599" s="414" t="s">
        <v>11319</v>
      </c>
      <c r="C3599" s="407">
        <v>2061</v>
      </c>
      <c r="D3599" s="408">
        <v>45448</v>
      </c>
      <c r="E3599" s="414" t="s">
        <v>11382</v>
      </c>
    </row>
    <row r="3600" spans="2:5">
      <c r="B3600" s="414" t="s">
        <v>11319</v>
      </c>
      <c r="C3600" s="407">
        <v>2059</v>
      </c>
      <c r="D3600" s="408">
        <v>45448</v>
      </c>
      <c r="E3600" s="414" t="s">
        <v>11383</v>
      </c>
    </row>
    <row r="3601" spans="2:5">
      <c r="B3601" s="414" t="s">
        <v>11319</v>
      </c>
      <c r="C3601" s="407">
        <v>2057</v>
      </c>
      <c r="D3601" s="408">
        <v>45448</v>
      </c>
      <c r="E3601" s="414" t="s">
        <v>11482</v>
      </c>
    </row>
    <row r="3602" spans="2:5">
      <c r="B3602" s="414" t="s">
        <v>11319</v>
      </c>
      <c r="C3602" s="407">
        <v>2056</v>
      </c>
      <c r="D3602" s="408">
        <v>45448</v>
      </c>
      <c r="E3602" s="414" t="s">
        <v>11384</v>
      </c>
    </row>
    <row r="3603" spans="2:5">
      <c r="B3603" s="414" t="s">
        <v>11319</v>
      </c>
      <c r="C3603" s="407">
        <v>2052</v>
      </c>
      <c r="D3603" s="408">
        <v>45448</v>
      </c>
      <c r="E3603" s="414" t="s">
        <v>11385</v>
      </c>
    </row>
    <row r="3604" spans="2:5">
      <c r="B3604" s="414" t="s">
        <v>11319</v>
      </c>
      <c r="C3604" s="407">
        <v>2049</v>
      </c>
      <c r="D3604" s="408">
        <v>45448</v>
      </c>
      <c r="E3604" s="414" t="s">
        <v>11483</v>
      </c>
    </row>
    <row r="3605" spans="2:5">
      <c r="B3605" s="414" t="s">
        <v>11319</v>
      </c>
      <c r="C3605" s="407">
        <v>2044</v>
      </c>
      <c r="D3605" s="408">
        <v>45448</v>
      </c>
      <c r="E3605" s="414" t="s">
        <v>11484</v>
      </c>
    </row>
    <row r="3606" spans="2:5">
      <c r="B3606" s="414" t="s">
        <v>11319</v>
      </c>
      <c r="C3606" s="407">
        <v>2040</v>
      </c>
      <c r="D3606" s="408">
        <v>45448</v>
      </c>
      <c r="E3606" s="414" t="s">
        <v>11386</v>
      </c>
    </row>
    <row r="3607" spans="2:5">
      <c r="B3607" s="414" t="s">
        <v>11319</v>
      </c>
      <c r="C3607" s="407">
        <v>2035</v>
      </c>
      <c r="D3607" s="408">
        <v>45448</v>
      </c>
      <c r="E3607" s="414" t="s">
        <v>11387</v>
      </c>
    </row>
    <row r="3608" spans="2:5">
      <c r="B3608" s="414" t="s">
        <v>11319</v>
      </c>
      <c r="C3608" s="407">
        <v>2027</v>
      </c>
      <c r="D3608" s="408">
        <v>45448</v>
      </c>
      <c r="E3608" s="414" t="s">
        <v>11388</v>
      </c>
    </row>
    <row r="3609" spans="2:5">
      <c r="B3609" s="414" t="s">
        <v>11319</v>
      </c>
      <c r="C3609" s="407">
        <v>2024</v>
      </c>
      <c r="D3609" s="408">
        <v>45448</v>
      </c>
      <c r="E3609" s="414" t="s">
        <v>11390</v>
      </c>
    </row>
    <row r="3610" spans="2:5">
      <c r="B3610" s="414" t="s">
        <v>11319</v>
      </c>
      <c r="C3610" s="407">
        <v>2021</v>
      </c>
      <c r="D3610" s="408">
        <v>45448</v>
      </c>
      <c r="E3610" s="414" t="s">
        <v>11485</v>
      </c>
    </row>
    <row r="3611" spans="2:5">
      <c r="B3611" s="414" t="s">
        <v>11319</v>
      </c>
      <c r="C3611" s="407">
        <v>2017</v>
      </c>
      <c r="D3611" s="408">
        <v>45448</v>
      </c>
      <c r="E3611" s="414" t="s">
        <v>11389</v>
      </c>
    </row>
    <row r="3612" spans="2:5">
      <c r="B3612" s="414" t="s">
        <v>11319</v>
      </c>
      <c r="C3612" s="407">
        <v>2016</v>
      </c>
      <c r="D3612" s="408">
        <v>45448</v>
      </c>
      <c r="E3612" s="414" t="s">
        <v>11486</v>
      </c>
    </row>
    <row r="3613" spans="2:5">
      <c r="B3613" s="414" t="s">
        <v>11319</v>
      </c>
      <c r="C3613" s="407">
        <v>2015</v>
      </c>
      <c r="D3613" s="408">
        <v>45448</v>
      </c>
      <c r="E3613" s="414" t="s">
        <v>11393</v>
      </c>
    </row>
    <row r="3614" spans="2:5">
      <c r="B3614" s="414" t="s">
        <v>11319</v>
      </c>
      <c r="C3614" s="407">
        <v>2014</v>
      </c>
      <c r="D3614" s="408">
        <v>45448</v>
      </c>
      <c r="E3614" s="414" t="s">
        <v>11487</v>
      </c>
    </row>
    <row r="3615" spans="2:5">
      <c r="B3615" s="414" t="s">
        <v>11319</v>
      </c>
      <c r="C3615" s="407">
        <v>2013</v>
      </c>
      <c r="D3615" s="408">
        <v>45448</v>
      </c>
      <c r="E3615" s="414" t="s">
        <v>11392</v>
      </c>
    </row>
    <row r="3616" spans="2:5">
      <c r="B3616" s="414" t="s">
        <v>11319</v>
      </c>
      <c r="C3616" s="407">
        <v>1996</v>
      </c>
      <c r="D3616" s="408">
        <v>45448</v>
      </c>
      <c r="E3616" s="414" t="s">
        <v>11391</v>
      </c>
    </row>
    <row r="3617" spans="2:5">
      <c r="B3617" s="414" t="s">
        <v>11319</v>
      </c>
      <c r="C3617" s="407">
        <v>1977</v>
      </c>
      <c r="D3617" s="408">
        <v>45448</v>
      </c>
      <c r="E3617" s="414" t="s">
        <v>11394</v>
      </c>
    </row>
    <row r="3618" spans="2:5">
      <c r="B3618" s="414" t="s">
        <v>11319</v>
      </c>
      <c r="C3618" s="407">
        <v>1975</v>
      </c>
      <c r="D3618" s="408">
        <v>45448</v>
      </c>
      <c r="E3618" s="414" t="s">
        <v>11395</v>
      </c>
    </row>
    <row r="3619" spans="2:5">
      <c r="B3619" s="414" t="s">
        <v>11319</v>
      </c>
      <c r="C3619" s="407">
        <v>1969</v>
      </c>
      <c r="D3619" s="408">
        <v>45448</v>
      </c>
      <c r="E3619" s="414" t="s">
        <v>11396</v>
      </c>
    </row>
    <row r="3620" spans="2:5">
      <c r="B3620" s="414" t="s">
        <v>11319</v>
      </c>
      <c r="C3620" s="407">
        <v>1967</v>
      </c>
      <c r="D3620" s="408">
        <v>45448</v>
      </c>
      <c r="E3620" s="415" t="s">
        <v>11488</v>
      </c>
    </row>
    <row r="3621" spans="2:5">
      <c r="B3621" s="414" t="s">
        <v>11319</v>
      </c>
      <c r="C3621" s="407">
        <v>1960</v>
      </c>
      <c r="D3621" s="408">
        <v>45448</v>
      </c>
      <c r="E3621" s="414" t="s">
        <v>11397</v>
      </c>
    </row>
    <row r="3622" spans="2:5">
      <c r="B3622" s="414" t="s">
        <v>11319</v>
      </c>
      <c r="C3622" s="407">
        <v>1959</v>
      </c>
      <c r="D3622" s="408">
        <v>45448</v>
      </c>
      <c r="E3622" s="414" t="s">
        <v>11489</v>
      </c>
    </row>
    <row r="3623" spans="2:5">
      <c r="B3623" s="414" t="s">
        <v>11319</v>
      </c>
      <c r="C3623" s="407">
        <v>1950</v>
      </c>
      <c r="D3623" s="408">
        <v>45448</v>
      </c>
      <c r="E3623" s="414" t="s">
        <v>11398</v>
      </c>
    </row>
    <row r="3624" spans="2:5">
      <c r="B3624" s="414" t="s">
        <v>11319</v>
      </c>
      <c r="C3624" s="407">
        <v>1947</v>
      </c>
      <c r="D3624" s="408">
        <v>45448</v>
      </c>
      <c r="E3624" s="414" t="s">
        <v>11490</v>
      </c>
    </row>
    <row r="3625" spans="2:5">
      <c r="B3625" s="414" t="s">
        <v>11319</v>
      </c>
      <c r="C3625" s="407">
        <v>1940</v>
      </c>
      <c r="D3625" s="408">
        <v>45448</v>
      </c>
      <c r="E3625" s="414" t="s">
        <v>11491</v>
      </c>
    </row>
    <row r="3626" spans="2:5">
      <c r="B3626" s="414" t="s">
        <v>11319</v>
      </c>
      <c r="C3626" s="407">
        <v>1939</v>
      </c>
      <c r="D3626" s="408">
        <v>45448</v>
      </c>
      <c r="E3626" s="414" t="s">
        <v>11492</v>
      </c>
    </row>
    <row r="3627" spans="2:5">
      <c r="B3627" s="414" t="s">
        <v>11319</v>
      </c>
      <c r="C3627" s="407">
        <v>1933</v>
      </c>
      <c r="D3627" s="408">
        <v>45448</v>
      </c>
      <c r="E3627" s="414" t="s">
        <v>11493</v>
      </c>
    </row>
    <row r="3628" spans="2:5">
      <c r="B3628" s="414" t="s">
        <v>11319</v>
      </c>
      <c r="C3628" s="407">
        <v>1913</v>
      </c>
      <c r="D3628" s="408">
        <v>45448</v>
      </c>
      <c r="E3628" s="414" t="s">
        <v>11399</v>
      </c>
    </row>
    <row r="3629" spans="2:5">
      <c r="B3629" s="414" t="s">
        <v>11319</v>
      </c>
      <c r="C3629" s="407">
        <v>1909</v>
      </c>
      <c r="D3629" s="408">
        <v>45448</v>
      </c>
      <c r="E3629" s="414" t="s">
        <v>11400</v>
      </c>
    </row>
    <row r="3630" spans="2:5">
      <c r="B3630" s="414" t="s">
        <v>11319</v>
      </c>
      <c r="C3630" s="407">
        <v>1908</v>
      </c>
      <c r="D3630" s="408">
        <v>45448</v>
      </c>
      <c r="E3630" s="414" t="s">
        <v>11401</v>
      </c>
    </row>
    <row r="3631" spans="2:5">
      <c r="B3631" s="414" t="s">
        <v>11319</v>
      </c>
      <c r="C3631" s="407">
        <v>1901</v>
      </c>
      <c r="D3631" s="408">
        <v>45448</v>
      </c>
      <c r="E3631" s="414" t="s">
        <v>11402</v>
      </c>
    </row>
    <row r="3632" spans="2:5">
      <c r="B3632" s="414" t="s">
        <v>11319</v>
      </c>
      <c r="C3632" s="407">
        <v>1899</v>
      </c>
      <c r="D3632" s="408">
        <v>45448</v>
      </c>
      <c r="E3632" s="414" t="s">
        <v>11403</v>
      </c>
    </row>
    <row r="3633" spans="2:5">
      <c r="B3633" s="414" t="s">
        <v>11319</v>
      </c>
      <c r="C3633" s="407">
        <v>1895</v>
      </c>
      <c r="D3633" s="408">
        <v>45448</v>
      </c>
      <c r="E3633" s="414" t="s">
        <v>11404</v>
      </c>
    </row>
    <row r="3634" spans="2:5">
      <c r="B3634" s="414" t="s">
        <v>11319</v>
      </c>
      <c r="C3634" s="407">
        <v>1876</v>
      </c>
      <c r="D3634" s="408">
        <v>45448</v>
      </c>
      <c r="E3634" s="414" t="s">
        <v>11494</v>
      </c>
    </row>
    <row r="3635" spans="2:5">
      <c r="B3635" s="414" t="s">
        <v>11319</v>
      </c>
      <c r="C3635" s="407">
        <v>1873</v>
      </c>
      <c r="D3635" s="408">
        <v>45448</v>
      </c>
      <c r="E3635" s="414" t="s">
        <v>11495</v>
      </c>
    </row>
    <row r="3636" spans="2:5">
      <c r="B3636" s="414" t="s">
        <v>11319</v>
      </c>
      <c r="C3636" s="407">
        <v>1870</v>
      </c>
      <c r="D3636" s="408">
        <v>45448</v>
      </c>
      <c r="E3636" s="414" t="s">
        <v>11405</v>
      </c>
    </row>
    <row r="3637" spans="2:5">
      <c r="B3637" s="414" t="s">
        <v>11319</v>
      </c>
      <c r="C3637" s="407">
        <v>1857</v>
      </c>
      <c r="D3637" s="408">
        <v>45448</v>
      </c>
      <c r="E3637" s="414" t="s">
        <v>11406</v>
      </c>
    </row>
    <row r="3638" spans="2:5">
      <c r="B3638" s="414" t="s">
        <v>11319</v>
      </c>
      <c r="C3638" s="407">
        <v>1853</v>
      </c>
      <c r="D3638" s="408">
        <v>45448</v>
      </c>
      <c r="E3638" s="414" t="s">
        <v>11407</v>
      </c>
    </row>
    <row r="3639" spans="2:5">
      <c r="B3639" s="414" t="s">
        <v>11319</v>
      </c>
      <c r="C3639" s="407">
        <v>1852</v>
      </c>
      <c r="D3639" s="408">
        <v>45448</v>
      </c>
      <c r="E3639" s="414" t="s">
        <v>11496</v>
      </c>
    </row>
    <row r="3640" spans="2:5">
      <c r="B3640" s="414" t="s">
        <v>11319</v>
      </c>
      <c r="C3640" s="407">
        <v>1838</v>
      </c>
      <c r="D3640" s="408">
        <v>45448</v>
      </c>
      <c r="E3640" s="414" t="s">
        <v>11408</v>
      </c>
    </row>
    <row r="3641" spans="2:5">
      <c r="B3641" s="414" t="s">
        <v>11319</v>
      </c>
      <c r="C3641" s="407">
        <v>1833</v>
      </c>
      <c r="D3641" s="408">
        <v>45448</v>
      </c>
      <c r="E3641" s="414" t="s">
        <v>11409</v>
      </c>
    </row>
    <row r="3642" spans="2:5">
      <c r="B3642" s="49" t="s">
        <v>11319</v>
      </c>
      <c r="C3642" s="409">
        <v>1829</v>
      </c>
      <c r="D3642" s="410">
        <v>45448</v>
      </c>
      <c r="E3642" s="49" t="s">
        <v>11497</v>
      </c>
    </row>
    <row r="3643" spans="2:5">
      <c r="B3643" s="414" t="s">
        <v>11319</v>
      </c>
      <c r="C3643" s="407">
        <v>1825</v>
      </c>
      <c r="D3643" s="408">
        <v>45448</v>
      </c>
      <c r="E3643" s="414" t="s">
        <v>11410</v>
      </c>
    </row>
    <row r="3644" spans="2:5">
      <c r="B3644" s="414" t="s">
        <v>11319</v>
      </c>
      <c r="C3644" s="407">
        <v>1823</v>
      </c>
      <c r="D3644" s="408">
        <v>45448</v>
      </c>
      <c r="E3644" s="414" t="s">
        <v>11411</v>
      </c>
    </row>
    <row r="3645" spans="2:5">
      <c r="B3645" s="414" t="s">
        <v>11319</v>
      </c>
      <c r="C3645" s="407">
        <v>1813</v>
      </c>
      <c r="D3645" s="408">
        <v>45448</v>
      </c>
      <c r="E3645" s="414" t="s">
        <v>11498</v>
      </c>
    </row>
    <row r="3646" spans="2:5">
      <c r="B3646" s="414" t="s">
        <v>11319</v>
      </c>
      <c r="C3646" s="407">
        <v>1808</v>
      </c>
      <c r="D3646" s="408">
        <v>45448</v>
      </c>
      <c r="E3646" s="414" t="s">
        <v>11412</v>
      </c>
    </row>
    <row r="3647" spans="2:5">
      <c r="B3647" s="414" t="s">
        <v>11319</v>
      </c>
      <c r="C3647" s="407">
        <v>1805</v>
      </c>
      <c r="D3647" s="408">
        <v>45448</v>
      </c>
      <c r="E3647" s="414" t="s">
        <v>11413</v>
      </c>
    </row>
    <row r="3648" spans="2:5">
      <c r="B3648" s="414" t="s">
        <v>11319</v>
      </c>
      <c r="C3648" s="407">
        <v>1801</v>
      </c>
      <c r="D3648" s="408">
        <v>45448</v>
      </c>
      <c r="E3648" s="414" t="s">
        <v>11499</v>
      </c>
    </row>
    <row r="3649" spans="2:5">
      <c r="B3649" s="414" t="s">
        <v>11319</v>
      </c>
      <c r="C3649" s="407">
        <v>1799</v>
      </c>
      <c r="D3649" s="408">
        <v>45448</v>
      </c>
      <c r="E3649" s="414" t="s">
        <v>11414</v>
      </c>
    </row>
    <row r="3650" spans="2:5">
      <c r="B3650" s="414" t="s">
        <v>11319</v>
      </c>
      <c r="C3650" s="407">
        <v>1793</v>
      </c>
      <c r="D3650" s="408">
        <v>45448</v>
      </c>
      <c r="E3650" s="414" t="s">
        <v>11415</v>
      </c>
    </row>
    <row r="3651" spans="2:5">
      <c r="B3651" s="414" t="s">
        <v>11319</v>
      </c>
      <c r="C3651" s="407">
        <v>1789</v>
      </c>
      <c r="D3651" s="408">
        <v>45448</v>
      </c>
      <c r="E3651" s="414" t="s">
        <v>11416</v>
      </c>
    </row>
    <row r="3652" spans="2:5">
      <c r="B3652" s="414" t="s">
        <v>11319</v>
      </c>
      <c r="C3652" s="407">
        <v>1782</v>
      </c>
      <c r="D3652" s="408">
        <v>45448</v>
      </c>
      <c r="E3652" s="414" t="s">
        <v>11500</v>
      </c>
    </row>
    <row r="3653" spans="2:5">
      <c r="B3653" s="414" t="s">
        <v>11319</v>
      </c>
      <c r="C3653" s="407">
        <v>1781</v>
      </c>
      <c r="D3653" s="408">
        <v>45448</v>
      </c>
      <c r="E3653" s="414" t="s">
        <v>11417</v>
      </c>
    </row>
    <row r="3654" spans="2:5">
      <c r="B3654" s="414" t="s">
        <v>11319</v>
      </c>
      <c r="C3654" s="407">
        <v>1774</v>
      </c>
      <c r="D3654" s="408">
        <v>45448</v>
      </c>
      <c r="E3654" s="414" t="s">
        <v>11501</v>
      </c>
    </row>
    <row r="3655" spans="2:5">
      <c r="B3655" s="414" t="s">
        <v>11319</v>
      </c>
      <c r="C3655" s="407">
        <v>1766</v>
      </c>
      <c r="D3655" s="408">
        <v>45448</v>
      </c>
      <c r="E3655" s="414" t="s">
        <v>11418</v>
      </c>
    </row>
    <row r="3656" spans="2:5">
      <c r="B3656" s="414" t="s">
        <v>11319</v>
      </c>
      <c r="C3656" s="407">
        <v>1762</v>
      </c>
      <c r="D3656" s="408">
        <v>45448</v>
      </c>
      <c r="E3656" s="414" t="s">
        <v>11419</v>
      </c>
    </row>
    <row r="3657" spans="2:5">
      <c r="B3657" s="414" t="s">
        <v>11319</v>
      </c>
      <c r="C3657" s="407">
        <v>1757</v>
      </c>
      <c r="D3657" s="408">
        <v>45448</v>
      </c>
      <c r="E3657" s="414" t="s">
        <v>11420</v>
      </c>
    </row>
    <row r="3658" spans="2:5">
      <c r="B3658" s="414" t="s">
        <v>11319</v>
      </c>
      <c r="C3658" s="407">
        <v>1755</v>
      </c>
      <c r="D3658" s="408">
        <v>45448</v>
      </c>
      <c r="E3658" s="415" t="s">
        <v>11421</v>
      </c>
    </row>
    <row r="3659" spans="2:5">
      <c r="B3659" s="414" t="s">
        <v>11319</v>
      </c>
      <c r="C3659" s="407">
        <v>1753</v>
      </c>
      <c r="D3659" s="408">
        <v>45448</v>
      </c>
      <c r="E3659" s="415" t="s">
        <v>11422</v>
      </c>
    </row>
    <row r="3660" spans="2:5">
      <c r="B3660" s="414" t="s">
        <v>11319</v>
      </c>
      <c r="C3660" s="407">
        <v>1733</v>
      </c>
      <c r="D3660" s="408">
        <v>45448</v>
      </c>
      <c r="E3660" s="415" t="s">
        <v>11423</v>
      </c>
    </row>
    <row r="3661" spans="2:5">
      <c r="B3661" s="414" t="s">
        <v>11319</v>
      </c>
      <c r="C3661" s="407">
        <v>1727</v>
      </c>
      <c r="D3661" s="408">
        <v>45448</v>
      </c>
      <c r="E3661" s="415" t="s">
        <v>11424</v>
      </c>
    </row>
    <row r="3662" spans="2:5">
      <c r="B3662" s="414" t="s">
        <v>11319</v>
      </c>
      <c r="C3662" s="407">
        <v>1708</v>
      </c>
      <c r="D3662" s="408">
        <v>45448</v>
      </c>
      <c r="E3662" s="415" t="s">
        <v>11502</v>
      </c>
    </row>
    <row r="3663" spans="2:5">
      <c r="B3663" s="414" t="s">
        <v>11319</v>
      </c>
      <c r="C3663" s="407">
        <v>1698</v>
      </c>
      <c r="D3663" s="408">
        <v>45448</v>
      </c>
      <c r="E3663" s="415" t="s">
        <v>11503</v>
      </c>
    </row>
    <row r="3664" spans="2:5">
      <c r="B3664" s="414" t="s">
        <v>11319</v>
      </c>
      <c r="C3664" s="407">
        <v>1663</v>
      </c>
      <c r="D3664" s="408">
        <v>45448</v>
      </c>
      <c r="E3664" s="415" t="s">
        <v>11504</v>
      </c>
    </row>
    <row r="3665" spans="2:5">
      <c r="B3665" s="414" t="s">
        <v>11319</v>
      </c>
      <c r="C3665" s="407">
        <v>1661</v>
      </c>
      <c r="D3665" s="408">
        <v>45448</v>
      </c>
      <c r="E3665" s="415" t="s">
        <v>11425</v>
      </c>
    </row>
    <row r="3666" spans="2:5">
      <c r="B3666" s="414" t="s">
        <v>11319</v>
      </c>
      <c r="C3666" s="407">
        <v>1660</v>
      </c>
      <c r="D3666" s="408">
        <v>45448</v>
      </c>
      <c r="E3666" s="415" t="s">
        <v>11426</v>
      </c>
    </row>
    <row r="3667" spans="2:5">
      <c r="B3667" s="414" t="s">
        <v>11319</v>
      </c>
      <c r="C3667" s="407">
        <v>1655</v>
      </c>
      <c r="D3667" s="408">
        <v>45448</v>
      </c>
      <c r="E3667" s="415" t="s">
        <v>11505</v>
      </c>
    </row>
    <row r="3668" spans="2:5">
      <c r="B3668" s="414" t="s">
        <v>11319</v>
      </c>
      <c r="C3668" s="407">
        <v>1653</v>
      </c>
      <c r="D3668" s="408">
        <v>45448</v>
      </c>
      <c r="E3668" s="415" t="s">
        <v>11506</v>
      </c>
    </row>
    <row r="3669" spans="2:5">
      <c r="B3669" s="414" t="s">
        <v>11319</v>
      </c>
      <c r="C3669" s="407">
        <v>1652</v>
      </c>
      <c r="D3669" s="408">
        <v>45448</v>
      </c>
      <c r="E3669" s="415" t="s">
        <v>11507</v>
      </c>
    </row>
    <row r="3670" spans="2:5">
      <c r="B3670" s="414" t="s">
        <v>11319</v>
      </c>
      <c r="C3670" s="407">
        <v>1651</v>
      </c>
      <c r="D3670" s="408">
        <v>45448</v>
      </c>
      <c r="E3670" s="415" t="s">
        <v>11508</v>
      </c>
    </row>
    <row r="3671" spans="2:5">
      <c r="B3671" s="414" t="s">
        <v>11319</v>
      </c>
      <c r="C3671" s="407">
        <v>1650</v>
      </c>
      <c r="D3671" s="408">
        <v>45448</v>
      </c>
      <c r="E3671" s="415" t="s">
        <v>11509</v>
      </c>
    </row>
    <row r="3672" spans="2:5">
      <c r="B3672" s="414" t="s">
        <v>11319</v>
      </c>
      <c r="C3672" s="407">
        <v>1649</v>
      </c>
      <c r="D3672" s="408">
        <v>45448</v>
      </c>
      <c r="E3672" s="415" t="s">
        <v>11427</v>
      </c>
    </row>
    <row r="3673" spans="2:5">
      <c r="B3673" s="414" t="s">
        <v>11319</v>
      </c>
      <c r="C3673" s="407">
        <v>1647</v>
      </c>
      <c r="D3673" s="408">
        <v>45448</v>
      </c>
      <c r="E3673" s="415" t="s">
        <v>11428</v>
      </c>
    </row>
    <row r="3674" spans="2:5">
      <c r="B3674" s="414" t="s">
        <v>11319</v>
      </c>
      <c r="C3674" s="407">
        <v>1646</v>
      </c>
      <c r="D3674" s="408">
        <v>45448</v>
      </c>
      <c r="E3674" s="415" t="s">
        <v>11429</v>
      </c>
    </row>
    <row r="3675" spans="2:5">
      <c r="B3675" s="414" t="s">
        <v>11319</v>
      </c>
      <c r="C3675" s="407">
        <v>1645</v>
      </c>
      <c r="D3675" s="408">
        <v>45448</v>
      </c>
      <c r="E3675" s="415" t="s">
        <v>11430</v>
      </c>
    </row>
    <row r="3676" spans="2:5">
      <c r="B3676" s="414" t="s">
        <v>11319</v>
      </c>
      <c r="C3676" s="407">
        <v>1638</v>
      </c>
      <c r="D3676" s="408">
        <v>45448</v>
      </c>
      <c r="E3676" s="415" t="s">
        <v>11431</v>
      </c>
    </row>
    <row r="3677" spans="2:5">
      <c r="B3677" s="414" t="s">
        <v>11319</v>
      </c>
      <c r="C3677" s="407">
        <v>1633</v>
      </c>
      <c r="D3677" s="408">
        <v>45448</v>
      </c>
      <c r="E3677" s="415" t="s">
        <v>11510</v>
      </c>
    </row>
    <row r="3678" spans="2:5">
      <c r="B3678" s="414" t="s">
        <v>11319</v>
      </c>
      <c r="C3678" s="407">
        <v>1631</v>
      </c>
      <c r="D3678" s="408">
        <v>45448</v>
      </c>
      <c r="E3678" s="415" t="s">
        <v>11511</v>
      </c>
    </row>
    <row r="3679" spans="2:5">
      <c r="B3679" s="414" t="s">
        <v>11319</v>
      </c>
      <c r="C3679" s="407">
        <v>1630</v>
      </c>
      <c r="D3679" s="408">
        <v>45448</v>
      </c>
      <c r="E3679" s="415" t="s">
        <v>11512</v>
      </c>
    </row>
    <row r="3680" spans="2:5">
      <c r="B3680" s="414" t="s">
        <v>11319</v>
      </c>
      <c r="C3680" s="407">
        <v>1627</v>
      </c>
      <c r="D3680" s="408">
        <v>45448</v>
      </c>
      <c r="E3680" s="415" t="s">
        <v>11513</v>
      </c>
    </row>
    <row r="3681" spans="2:5">
      <c r="B3681" s="414" t="s">
        <v>11319</v>
      </c>
      <c r="C3681" s="407">
        <v>1624</v>
      </c>
      <c r="D3681" s="408">
        <v>45448</v>
      </c>
      <c r="E3681" s="415" t="s">
        <v>11514</v>
      </c>
    </row>
    <row r="3682" spans="2:5">
      <c r="B3682" s="414" t="s">
        <v>11319</v>
      </c>
      <c r="C3682" s="407">
        <v>1622</v>
      </c>
      <c r="D3682" s="408">
        <v>45448</v>
      </c>
      <c r="E3682" s="415" t="s">
        <v>11515</v>
      </c>
    </row>
    <row r="3683" spans="2:5">
      <c r="B3683" s="414" t="s">
        <v>11319</v>
      </c>
      <c r="C3683" s="407">
        <v>1617</v>
      </c>
      <c r="D3683" s="408">
        <v>45448</v>
      </c>
      <c r="E3683" s="415" t="s">
        <v>11516</v>
      </c>
    </row>
    <row r="3684" spans="2:5">
      <c r="B3684" s="414" t="s">
        <v>11319</v>
      </c>
      <c r="C3684" s="407">
        <v>1611</v>
      </c>
      <c r="D3684" s="408">
        <v>45448</v>
      </c>
      <c r="E3684" s="415" t="s">
        <v>11517</v>
      </c>
    </row>
    <row r="3685" spans="2:5">
      <c r="B3685" s="414" t="s">
        <v>11319</v>
      </c>
      <c r="C3685" s="407">
        <v>1609</v>
      </c>
      <c r="D3685" s="408">
        <v>45448</v>
      </c>
      <c r="E3685" s="415" t="s">
        <v>11518</v>
      </c>
    </row>
    <row r="3686" spans="2:5">
      <c r="B3686" s="414" t="s">
        <v>11319</v>
      </c>
      <c r="C3686" s="407">
        <v>1603</v>
      </c>
      <c r="D3686" s="408">
        <v>45448</v>
      </c>
      <c r="E3686" s="415" t="s">
        <v>11519</v>
      </c>
    </row>
    <row r="3687" spans="2:5">
      <c r="B3687" s="414" t="s">
        <v>11319</v>
      </c>
      <c r="C3687" s="407">
        <v>1601</v>
      </c>
      <c r="D3687" s="408">
        <v>45448</v>
      </c>
      <c r="E3687" s="415" t="s">
        <v>11520</v>
      </c>
    </row>
    <row r="3688" spans="2:5">
      <c r="B3688" s="414" t="s">
        <v>11319</v>
      </c>
      <c r="C3688" s="407">
        <v>1599</v>
      </c>
      <c r="D3688" s="408">
        <v>45448</v>
      </c>
      <c r="E3688" s="415" t="s">
        <v>11521</v>
      </c>
    </row>
    <row r="3689" spans="2:5">
      <c r="B3689" s="414" t="s">
        <v>11319</v>
      </c>
      <c r="C3689" s="407">
        <v>1594</v>
      </c>
      <c r="D3689" s="408">
        <v>45447</v>
      </c>
      <c r="E3689" s="420" t="s">
        <v>12129</v>
      </c>
    </row>
    <row r="3690" spans="2:5">
      <c r="B3690" s="414" t="s">
        <v>11319</v>
      </c>
      <c r="C3690" s="407">
        <v>1592</v>
      </c>
      <c r="D3690" s="408">
        <v>45447</v>
      </c>
      <c r="E3690" s="420" t="s">
        <v>12130</v>
      </c>
    </row>
    <row r="3691" spans="2:5">
      <c r="B3691" s="414" t="s">
        <v>11319</v>
      </c>
      <c r="C3691" s="407">
        <v>1589</v>
      </c>
      <c r="D3691" s="408">
        <v>45447</v>
      </c>
      <c r="E3691" s="420" t="s">
        <v>12131</v>
      </c>
    </row>
    <row r="3692" spans="2:5">
      <c r="B3692" s="414" t="s">
        <v>11319</v>
      </c>
      <c r="C3692" s="407">
        <v>1588</v>
      </c>
      <c r="D3692" s="408">
        <v>45447</v>
      </c>
      <c r="E3692" s="415" t="s">
        <v>11528</v>
      </c>
    </row>
    <row r="3693" spans="2:5">
      <c r="B3693" s="414" t="s">
        <v>11319</v>
      </c>
      <c r="C3693" s="407">
        <v>1583</v>
      </c>
      <c r="D3693" s="408">
        <v>45447</v>
      </c>
      <c r="E3693" s="420" t="s">
        <v>12132</v>
      </c>
    </row>
    <row r="3694" spans="2:5">
      <c r="B3694" s="414" t="s">
        <v>11319</v>
      </c>
      <c r="C3694" s="407">
        <v>1581</v>
      </c>
      <c r="D3694" s="408">
        <v>45447</v>
      </c>
      <c r="E3694" s="415" t="s">
        <v>11529</v>
      </c>
    </row>
    <row r="3695" spans="2:5">
      <c r="B3695" s="414" t="s">
        <v>11319</v>
      </c>
      <c r="C3695" s="407">
        <v>1577</v>
      </c>
      <c r="D3695" s="408">
        <v>45447</v>
      </c>
      <c r="E3695" s="415" t="s">
        <v>11530</v>
      </c>
    </row>
    <row r="3696" spans="2:5">
      <c r="B3696" s="414" t="s">
        <v>11319</v>
      </c>
      <c r="C3696" s="407">
        <v>1575</v>
      </c>
      <c r="D3696" s="408">
        <v>45447</v>
      </c>
      <c r="E3696" s="420" t="s">
        <v>12133</v>
      </c>
    </row>
    <row r="3697" spans="2:5">
      <c r="B3697" s="49" t="s">
        <v>11319</v>
      </c>
      <c r="C3697" s="409">
        <v>1572</v>
      </c>
      <c r="D3697" s="410">
        <v>45447</v>
      </c>
      <c r="E3697" s="424" t="s">
        <v>11531</v>
      </c>
    </row>
    <row r="3698" spans="2:5">
      <c r="B3698" s="414" t="s">
        <v>11319</v>
      </c>
      <c r="C3698" s="407">
        <v>1570</v>
      </c>
      <c r="D3698" s="408">
        <v>45447</v>
      </c>
      <c r="E3698" s="415" t="s">
        <v>11532</v>
      </c>
    </row>
    <row r="3699" spans="2:5">
      <c r="B3699" s="414" t="s">
        <v>11319</v>
      </c>
      <c r="C3699" s="407">
        <v>1566</v>
      </c>
      <c r="D3699" s="408">
        <v>45447</v>
      </c>
      <c r="E3699" s="420" t="s">
        <v>12134</v>
      </c>
    </row>
    <row r="3700" spans="2:5">
      <c r="B3700" s="414" t="s">
        <v>11319</v>
      </c>
      <c r="C3700" s="407">
        <v>1562</v>
      </c>
      <c r="D3700" s="408">
        <v>45447</v>
      </c>
      <c r="E3700" s="415" t="s">
        <v>11533</v>
      </c>
    </row>
    <row r="3701" spans="2:5">
      <c r="B3701" s="49" t="s">
        <v>11319</v>
      </c>
      <c r="C3701" s="409">
        <v>1561</v>
      </c>
      <c r="D3701" s="410">
        <v>45447</v>
      </c>
      <c r="E3701" s="424" t="s">
        <v>12135</v>
      </c>
    </row>
    <row r="3702" spans="2:5">
      <c r="B3702" s="419" t="s">
        <v>11319</v>
      </c>
      <c r="C3702" s="422">
        <v>1552</v>
      </c>
      <c r="D3702" s="423">
        <v>45447</v>
      </c>
      <c r="E3702" s="420" t="s">
        <v>12136</v>
      </c>
    </row>
    <row r="3703" spans="2:5">
      <c r="B3703" s="419" t="s">
        <v>11319</v>
      </c>
      <c r="C3703" s="422">
        <v>1544</v>
      </c>
      <c r="D3703" s="423">
        <v>45447</v>
      </c>
      <c r="E3703" s="420" t="s">
        <v>12137</v>
      </c>
    </row>
    <row r="3704" spans="2:5">
      <c r="B3704" s="414" t="s">
        <v>11319</v>
      </c>
      <c r="C3704" s="407">
        <v>1539</v>
      </c>
      <c r="D3704" s="408">
        <v>45447</v>
      </c>
      <c r="E3704" s="415" t="s">
        <v>11534</v>
      </c>
    </row>
    <row r="3705" spans="2:5">
      <c r="B3705" s="414" t="s">
        <v>11319</v>
      </c>
      <c r="C3705" s="407">
        <v>1529</v>
      </c>
      <c r="D3705" s="408">
        <v>45447</v>
      </c>
      <c r="E3705" s="415" t="s">
        <v>11535</v>
      </c>
    </row>
    <row r="3706" spans="2:5">
      <c r="B3706" s="414" t="s">
        <v>11319</v>
      </c>
      <c r="C3706" s="407">
        <v>1528</v>
      </c>
      <c r="D3706" s="408">
        <v>45447</v>
      </c>
      <c r="E3706" s="415" t="s">
        <v>11536</v>
      </c>
    </row>
    <row r="3707" spans="2:5">
      <c r="B3707" s="414" t="s">
        <v>11319</v>
      </c>
      <c r="C3707" s="407">
        <v>1521</v>
      </c>
      <c r="D3707" s="408">
        <v>45447</v>
      </c>
      <c r="E3707" s="415" t="s">
        <v>11537</v>
      </c>
    </row>
    <row r="3708" spans="2:5">
      <c r="B3708" s="414" t="s">
        <v>11319</v>
      </c>
      <c r="C3708" s="407">
        <v>1517</v>
      </c>
      <c r="D3708" s="408">
        <v>45447</v>
      </c>
      <c r="E3708" s="420" t="s">
        <v>12138</v>
      </c>
    </row>
    <row r="3709" spans="2:5">
      <c r="B3709" s="414" t="s">
        <v>11319</v>
      </c>
      <c r="C3709" s="407">
        <v>1506</v>
      </c>
      <c r="D3709" s="408">
        <v>45447</v>
      </c>
      <c r="E3709" s="420" t="s">
        <v>12139</v>
      </c>
    </row>
    <row r="3710" spans="2:5">
      <c r="B3710" s="414" t="s">
        <v>11319</v>
      </c>
      <c r="C3710" s="407">
        <v>1494</v>
      </c>
      <c r="D3710" s="408">
        <v>45447</v>
      </c>
      <c r="E3710" s="420" t="s">
        <v>12140</v>
      </c>
    </row>
    <row r="3711" spans="2:5">
      <c r="B3711" s="414" t="s">
        <v>11319</v>
      </c>
      <c r="C3711" s="407">
        <v>1484</v>
      </c>
      <c r="D3711" s="408">
        <v>45447</v>
      </c>
      <c r="E3711" s="420" t="s">
        <v>12141</v>
      </c>
    </row>
    <row r="3712" spans="2:5">
      <c r="B3712" s="414" t="s">
        <v>11319</v>
      </c>
      <c r="C3712" s="407">
        <v>1481</v>
      </c>
      <c r="D3712" s="408">
        <v>45447</v>
      </c>
      <c r="E3712" s="415" t="s">
        <v>11538</v>
      </c>
    </row>
    <row r="3713" spans="2:5">
      <c r="B3713" s="414" t="s">
        <v>11319</v>
      </c>
      <c r="C3713" s="407">
        <v>1478</v>
      </c>
      <c r="D3713" s="408">
        <v>45447</v>
      </c>
      <c r="E3713" s="420" t="s">
        <v>12142</v>
      </c>
    </row>
    <row r="3714" spans="2:5">
      <c r="B3714" s="414" t="s">
        <v>11319</v>
      </c>
      <c r="C3714" s="407">
        <v>1477</v>
      </c>
      <c r="D3714" s="408">
        <v>45447</v>
      </c>
      <c r="E3714" s="415" t="s">
        <v>11539</v>
      </c>
    </row>
    <row r="3715" spans="2:5">
      <c r="B3715" s="414" t="s">
        <v>11319</v>
      </c>
      <c r="C3715" s="407">
        <v>1471</v>
      </c>
      <c r="D3715" s="408">
        <v>45447</v>
      </c>
      <c r="E3715" s="415" t="s">
        <v>11540</v>
      </c>
    </row>
    <row r="3716" spans="2:5">
      <c r="B3716" s="414" t="s">
        <v>11319</v>
      </c>
      <c r="C3716" s="407">
        <v>1468</v>
      </c>
      <c r="D3716" s="408">
        <v>45447</v>
      </c>
      <c r="E3716" s="420" t="s">
        <v>12143</v>
      </c>
    </row>
    <row r="3717" spans="2:5">
      <c r="B3717" s="414" t="s">
        <v>11319</v>
      </c>
      <c r="C3717" s="407">
        <v>1462</v>
      </c>
      <c r="D3717" s="408">
        <v>45447</v>
      </c>
      <c r="E3717" s="415" t="s">
        <v>11541</v>
      </c>
    </row>
    <row r="3718" spans="2:5">
      <c r="B3718" s="414" t="s">
        <v>11319</v>
      </c>
      <c r="C3718" s="417" t="s">
        <v>11542</v>
      </c>
      <c r="D3718" s="408">
        <v>45447</v>
      </c>
      <c r="E3718" s="415" t="s">
        <v>11543</v>
      </c>
    </row>
    <row r="3719" spans="2:5">
      <c r="B3719" s="414" t="s">
        <v>11319</v>
      </c>
      <c r="C3719" s="417">
        <v>1457</v>
      </c>
      <c r="D3719" s="408">
        <v>45447</v>
      </c>
      <c r="E3719" s="415" t="s">
        <v>11544</v>
      </c>
    </row>
    <row r="3720" spans="2:5">
      <c r="B3720" s="414" t="s">
        <v>11319</v>
      </c>
      <c r="C3720" s="417">
        <v>1455</v>
      </c>
      <c r="D3720" s="408">
        <v>45447</v>
      </c>
      <c r="E3720" s="420" t="s">
        <v>12144</v>
      </c>
    </row>
    <row r="3721" spans="2:5">
      <c r="B3721" s="414" t="s">
        <v>11319</v>
      </c>
      <c r="C3721" s="417">
        <v>1446</v>
      </c>
      <c r="D3721" s="408">
        <v>45447</v>
      </c>
      <c r="E3721" s="420" t="s">
        <v>12145</v>
      </c>
    </row>
    <row r="3722" spans="2:5">
      <c r="B3722" s="414" t="s">
        <v>11319</v>
      </c>
      <c r="C3722" s="417">
        <v>1439</v>
      </c>
      <c r="D3722" s="408">
        <v>45447</v>
      </c>
      <c r="E3722" s="415" t="s">
        <v>11545</v>
      </c>
    </row>
    <row r="3723" spans="2:5">
      <c r="B3723" s="414" t="s">
        <v>11319</v>
      </c>
      <c r="C3723" s="417">
        <v>1438</v>
      </c>
      <c r="D3723" s="408">
        <v>45447</v>
      </c>
      <c r="E3723" s="420" t="s">
        <v>11976</v>
      </c>
    </row>
    <row r="3724" spans="2:5">
      <c r="B3724" s="414" t="s">
        <v>11319</v>
      </c>
      <c r="C3724" s="417">
        <v>1435</v>
      </c>
      <c r="D3724" s="408">
        <v>45447</v>
      </c>
      <c r="E3724" s="420" t="s">
        <v>11977</v>
      </c>
    </row>
    <row r="3725" spans="2:5">
      <c r="B3725" s="414" t="s">
        <v>11319</v>
      </c>
      <c r="C3725" s="417">
        <v>1424</v>
      </c>
      <c r="D3725" s="408">
        <v>45447</v>
      </c>
      <c r="E3725" s="420" t="s">
        <v>11978</v>
      </c>
    </row>
    <row r="3726" spans="2:5">
      <c r="B3726" s="414" t="s">
        <v>11319</v>
      </c>
      <c r="C3726" s="417">
        <v>1423</v>
      </c>
      <c r="D3726" s="408">
        <v>45447</v>
      </c>
      <c r="E3726" s="420" t="s">
        <v>11979</v>
      </c>
    </row>
    <row r="3727" spans="2:5">
      <c r="B3727" s="414" t="s">
        <v>11319</v>
      </c>
      <c r="C3727" s="417">
        <v>1421</v>
      </c>
      <c r="D3727" s="408">
        <v>45447</v>
      </c>
      <c r="E3727" s="420" t="s">
        <v>12146</v>
      </c>
    </row>
    <row r="3728" spans="2:5">
      <c r="B3728" s="414" t="s">
        <v>11319</v>
      </c>
      <c r="C3728" s="417">
        <v>1417</v>
      </c>
      <c r="D3728" s="408">
        <v>45447</v>
      </c>
      <c r="E3728" s="420" t="s">
        <v>11980</v>
      </c>
    </row>
    <row r="3729" spans="2:5">
      <c r="B3729" s="414" t="s">
        <v>11319</v>
      </c>
      <c r="C3729" s="417">
        <v>1416</v>
      </c>
      <c r="D3729" s="408">
        <v>45447</v>
      </c>
      <c r="E3729" s="420" t="s">
        <v>11981</v>
      </c>
    </row>
    <row r="3730" spans="2:5">
      <c r="B3730" s="414" t="s">
        <v>11319</v>
      </c>
      <c r="C3730" s="417">
        <v>1414</v>
      </c>
      <c r="D3730" s="408">
        <v>45447</v>
      </c>
      <c r="E3730" s="420" t="s">
        <v>11982</v>
      </c>
    </row>
    <row r="3731" spans="2:5">
      <c r="B3731" s="414" t="s">
        <v>11319</v>
      </c>
      <c r="C3731" s="417">
        <v>1411</v>
      </c>
      <c r="D3731" s="408">
        <v>45447</v>
      </c>
      <c r="E3731" s="420" t="s">
        <v>11983</v>
      </c>
    </row>
    <row r="3732" spans="2:5">
      <c r="B3732" s="414" t="s">
        <v>11319</v>
      </c>
      <c r="C3732" s="417">
        <v>1402</v>
      </c>
      <c r="D3732" s="408">
        <v>45447</v>
      </c>
      <c r="E3732" s="420" t="s">
        <v>12147</v>
      </c>
    </row>
    <row r="3733" spans="2:5">
      <c r="B3733" s="414" t="s">
        <v>11319</v>
      </c>
      <c r="C3733" s="417">
        <v>1400</v>
      </c>
      <c r="D3733" s="408">
        <v>45447</v>
      </c>
      <c r="E3733" s="420" t="s">
        <v>12148</v>
      </c>
    </row>
    <row r="3734" spans="2:5">
      <c r="B3734" s="414" t="s">
        <v>11319</v>
      </c>
      <c r="C3734" s="417">
        <v>1389</v>
      </c>
      <c r="D3734" s="408">
        <v>45447</v>
      </c>
      <c r="E3734" s="420" t="s">
        <v>11984</v>
      </c>
    </row>
    <row r="3735" spans="2:5">
      <c r="B3735" s="414" t="s">
        <v>11319</v>
      </c>
      <c r="C3735" s="417">
        <v>1386</v>
      </c>
      <c r="D3735" s="408">
        <v>45447</v>
      </c>
      <c r="E3735" s="420" t="s">
        <v>11985</v>
      </c>
    </row>
    <row r="3736" spans="2:5">
      <c r="B3736" s="414" t="s">
        <v>11319</v>
      </c>
      <c r="C3736" s="417">
        <v>1378</v>
      </c>
      <c r="D3736" s="408">
        <v>45447</v>
      </c>
      <c r="E3736" s="420" t="s">
        <v>11986</v>
      </c>
    </row>
    <row r="3737" spans="2:5">
      <c r="B3737" s="414" t="s">
        <v>11319</v>
      </c>
      <c r="C3737" s="417">
        <v>1365</v>
      </c>
      <c r="D3737" s="408">
        <v>45447</v>
      </c>
      <c r="E3737" s="420" t="s">
        <v>12149</v>
      </c>
    </row>
    <row r="3738" spans="2:5">
      <c r="B3738" s="414" t="s">
        <v>11319</v>
      </c>
      <c r="C3738" s="417">
        <v>1361</v>
      </c>
      <c r="D3738" s="408">
        <v>45447</v>
      </c>
      <c r="E3738" s="420" t="s">
        <v>11987</v>
      </c>
    </row>
    <row r="3739" spans="2:5">
      <c r="B3739" s="414" t="s">
        <v>11319</v>
      </c>
      <c r="C3739" s="417">
        <v>1345</v>
      </c>
      <c r="D3739" s="408">
        <v>45447</v>
      </c>
      <c r="E3739" s="420" t="s">
        <v>11988</v>
      </c>
    </row>
    <row r="3740" spans="2:5">
      <c r="B3740" s="49" t="s">
        <v>11319</v>
      </c>
      <c r="C3740" s="425">
        <v>1321</v>
      </c>
      <c r="D3740" s="410">
        <v>45447</v>
      </c>
      <c r="E3740" s="424" t="s">
        <v>12150</v>
      </c>
    </row>
    <row r="3741" spans="2:5">
      <c r="B3741" s="414" t="s">
        <v>11319</v>
      </c>
      <c r="C3741" s="417">
        <v>1317</v>
      </c>
      <c r="D3741" s="408">
        <v>45447</v>
      </c>
      <c r="E3741" s="420" t="s">
        <v>11989</v>
      </c>
    </row>
    <row r="3742" spans="2:5">
      <c r="B3742" s="414" t="s">
        <v>11319</v>
      </c>
      <c r="C3742" s="417">
        <v>1315</v>
      </c>
      <c r="D3742" s="408">
        <v>45447</v>
      </c>
      <c r="E3742" s="420" t="s">
        <v>12151</v>
      </c>
    </row>
    <row r="3743" spans="2:5">
      <c r="B3743" s="414" t="s">
        <v>11319</v>
      </c>
      <c r="C3743" s="417">
        <v>1304</v>
      </c>
      <c r="D3743" s="408">
        <v>45453</v>
      </c>
      <c r="E3743" s="420" t="s">
        <v>12541</v>
      </c>
    </row>
    <row r="3744" spans="2:5">
      <c r="B3744" s="414" t="s">
        <v>11319</v>
      </c>
      <c r="C3744" s="417">
        <v>1290</v>
      </c>
      <c r="D3744" s="408">
        <v>45447</v>
      </c>
      <c r="E3744" s="420" t="s">
        <v>11990</v>
      </c>
    </row>
    <row r="3745" spans="2:5">
      <c r="B3745" s="414" t="s">
        <v>11319</v>
      </c>
      <c r="C3745" s="417">
        <v>1288</v>
      </c>
      <c r="D3745" s="408">
        <v>45447</v>
      </c>
      <c r="E3745" s="420" t="s">
        <v>12152</v>
      </c>
    </row>
    <row r="3746" spans="2:5">
      <c r="B3746" s="414" t="s">
        <v>11319</v>
      </c>
      <c r="C3746" s="417">
        <v>1285</v>
      </c>
      <c r="D3746" s="408">
        <v>45447</v>
      </c>
      <c r="E3746" s="420" t="s">
        <v>12153</v>
      </c>
    </row>
    <row r="3747" spans="2:5">
      <c r="B3747" s="414" t="s">
        <v>11319</v>
      </c>
      <c r="C3747" s="417">
        <v>1282</v>
      </c>
      <c r="D3747" s="408">
        <v>45447</v>
      </c>
      <c r="E3747" s="420" t="s">
        <v>11991</v>
      </c>
    </row>
    <row r="3748" spans="2:5">
      <c r="B3748" s="414" t="s">
        <v>11319</v>
      </c>
      <c r="C3748" s="417">
        <v>1278</v>
      </c>
      <c r="D3748" s="408">
        <v>45447</v>
      </c>
      <c r="E3748" s="420" t="s">
        <v>12154</v>
      </c>
    </row>
    <row r="3749" spans="2:5">
      <c r="B3749" s="414" t="s">
        <v>11319</v>
      </c>
      <c r="C3749" s="417">
        <v>1275</v>
      </c>
      <c r="D3749" s="408">
        <v>45447</v>
      </c>
      <c r="E3749" s="420" t="s">
        <v>12155</v>
      </c>
    </row>
    <row r="3750" spans="2:5">
      <c r="B3750" s="414" t="s">
        <v>11319</v>
      </c>
      <c r="C3750" s="417">
        <v>1274</v>
      </c>
      <c r="D3750" s="408">
        <v>45447</v>
      </c>
      <c r="E3750" s="420" t="s">
        <v>11992</v>
      </c>
    </row>
    <row r="3751" spans="2:5">
      <c r="B3751" s="414" t="s">
        <v>11319</v>
      </c>
      <c r="C3751" s="417">
        <v>1257</v>
      </c>
      <c r="D3751" s="408">
        <v>45447</v>
      </c>
      <c r="E3751" s="420" t="s">
        <v>11993</v>
      </c>
    </row>
    <row r="3752" spans="2:5">
      <c r="B3752" s="414" t="s">
        <v>11319</v>
      </c>
      <c r="C3752" s="417">
        <v>1255</v>
      </c>
      <c r="D3752" s="408">
        <v>45447</v>
      </c>
      <c r="E3752" s="420" t="s">
        <v>11994</v>
      </c>
    </row>
    <row r="3753" spans="2:5">
      <c r="B3753" s="414" t="s">
        <v>11319</v>
      </c>
      <c r="C3753" s="417">
        <v>1250</v>
      </c>
      <c r="D3753" s="408">
        <v>45447</v>
      </c>
      <c r="E3753" s="420" t="s">
        <v>12156</v>
      </c>
    </row>
    <row r="3754" spans="2:5">
      <c r="B3754" s="414" t="s">
        <v>11319</v>
      </c>
      <c r="C3754" s="417">
        <v>1249</v>
      </c>
      <c r="D3754" s="408">
        <v>45447</v>
      </c>
      <c r="E3754" s="420" t="s">
        <v>11995</v>
      </c>
    </row>
    <row r="3755" spans="2:5">
      <c r="B3755" s="414" t="s">
        <v>11319</v>
      </c>
      <c r="C3755" s="417">
        <v>1234</v>
      </c>
      <c r="D3755" s="408">
        <v>45447</v>
      </c>
      <c r="E3755" s="420" t="s">
        <v>11996</v>
      </c>
    </row>
    <row r="3756" spans="2:5">
      <c r="B3756" s="414" t="s">
        <v>11319</v>
      </c>
      <c r="C3756" s="417">
        <v>1229</v>
      </c>
      <c r="D3756" s="408">
        <v>45447</v>
      </c>
      <c r="E3756" s="420" t="s">
        <v>11997</v>
      </c>
    </row>
    <row r="3757" spans="2:5">
      <c r="B3757" s="414" t="s">
        <v>11319</v>
      </c>
      <c r="C3757" s="417">
        <v>1205</v>
      </c>
      <c r="D3757" s="408">
        <v>45447</v>
      </c>
      <c r="E3757" s="420" t="s">
        <v>12157</v>
      </c>
    </row>
    <row r="3758" spans="2:5">
      <c r="B3758" s="414" t="s">
        <v>11319</v>
      </c>
      <c r="C3758" s="417">
        <v>1203</v>
      </c>
      <c r="D3758" s="408">
        <v>45447</v>
      </c>
      <c r="E3758" s="420" t="s">
        <v>12158</v>
      </c>
    </row>
    <row r="3759" spans="2:5">
      <c r="B3759" s="414" t="s">
        <v>11319</v>
      </c>
      <c r="C3759" s="417">
        <v>1192</v>
      </c>
      <c r="D3759" s="408">
        <v>45447</v>
      </c>
      <c r="E3759" s="420" t="s">
        <v>11998</v>
      </c>
    </row>
    <row r="3760" spans="2:5">
      <c r="B3760" s="414" t="s">
        <v>11319</v>
      </c>
      <c r="C3760" s="417">
        <v>1191</v>
      </c>
      <c r="D3760" s="408">
        <v>45447</v>
      </c>
      <c r="E3760" s="420" t="s">
        <v>12159</v>
      </c>
    </row>
    <row r="3761" spans="2:5">
      <c r="B3761" s="414" t="s">
        <v>11319</v>
      </c>
      <c r="C3761" s="417">
        <v>1189</v>
      </c>
      <c r="D3761" s="408">
        <v>45447</v>
      </c>
      <c r="E3761" s="420" t="s">
        <v>11999</v>
      </c>
    </row>
    <row r="3762" spans="2:5">
      <c r="B3762" s="414" t="s">
        <v>11319</v>
      </c>
      <c r="C3762" s="417">
        <v>1187</v>
      </c>
      <c r="D3762" s="408">
        <v>45447</v>
      </c>
      <c r="E3762" s="420" t="s">
        <v>12160</v>
      </c>
    </row>
    <row r="3763" spans="2:5">
      <c r="B3763" s="414" t="s">
        <v>11319</v>
      </c>
      <c r="C3763" s="417">
        <v>1183</v>
      </c>
      <c r="D3763" s="408">
        <v>45447</v>
      </c>
      <c r="E3763" s="420" t="s">
        <v>12000</v>
      </c>
    </row>
    <row r="3764" spans="2:5">
      <c r="B3764" s="414" t="s">
        <v>11319</v>
      </c>
      <c r="C3764" s="417">
        <v>1178</v>
      </c>
      <c r="D3764" s="408">
        <v>45447</v>
      </c>
      <c r="E3764" s="420" t="s">
        <v>12001</v>
      </c>
    </row>
    <row r="3765" spans="2:5">
      <c r="B3765" s="414" t="s">
        <v>11319</v>
      </c>
      <c r="C3765" s="417">
        <v>1175</v>
      </c>
      <c r="D3765" s="408">
        <v>45447</v>
      </c>
      <c r="E3765" s="420" t="s">
        <v>12002</v>
      </c>
    </row>
    <row r="3766" spans="2:5">
      <c r="B3766" s="414" t="s">
        <v>11319</v>
      </c>
      <c r="C3766" s="417">
        <v>1163</v>
      </c>
      <c r="D3766" s="408">
        <v>45447</v>
      </c>
      <c r="E3766" s="420" t="s">
        <v>12003</v>
      </c>
    </row>
    <row r="3767" spans="2:5">
      <c r="B3767" s="414" t="s">
        <v>11319</v>
      </c>
      <c r="C3767" s="417">
        <v>1162</v>
      </c>
      <c r="D3767" s="408">
        <v>45447</v>
      </c>
      <c r="E3767" s="420" t="s">
        <v>12004</v>
      </c>
    </row>
    <row r="3768" spans="2:5">
      <c r="B3768" s="414" t="s">
        <v>11319</v>
      </c>
      <c r="C3768" s="407">
        <v>1157</v>
      </c>
      <c r="D3768" s="408">
        <v>45448</v>
      </c>
      <c r="E3768" s="415" t="s">
        <v>11522</v>
      </c>
    </row>
    <row r="3769" spans="2:5">
      <c r="B3769" s="414" t="s">
        <v>11319</v>
      </c>
      <c r="C3769" s="407">
        <v>1150</v>
      </c>
      <c r="D3769" s="408">
        <v>45447</v>
      </c>
      <c r="E3769" s="420" t="s">
        <v>12005</v>
      </c>
    </row>
    <row r="3770" spans="2:5">
      <c r="B3770" s="414" t="s">
        <v>11319</v>
      </c>
      <c r="C3770" s="407">
        <v>1149</v>
      </c>
      <c r="D3770" s="408">
        <v>45447</v>
      </c>
      <c r="E3770" s="420" t="s">
        <v>12161</v>
      </c>
    </row>
    <row r="3771" spans="2:5">
      <c r="B3771" s="414" t="s">
        <v>11319</v>
      </c>
      <c r="C3771" s="407">
        <v>1136</v>
      </c>
      <c r="D3771" s="408">
        <v>45449</v>
      </c>
      <c r="E3771" s="420" t="s">
        <v>11975</v>
      </c>
    </row>
    <row r="3772" spans="2:5">
      <c r="B3772" s="414" t="s">
        <v>11319</v>
      </c>
      <c r="C3772" s="407">
        <v>1130</v>
      </c>
      <c r="D3772" s="408">
        <v>45447</v>
      </c>
      <c r="E3772" s="420" t="s">
        <v>12006</v>
      </c>
    </row>
    <row r="3773" spans="2:5">
      <c r="B3773" s="414" t="s">
        <v>11319</v>
      </c>
      <c r="C3773" s="407">
        <v>1124</v>
      </c>
      <c r="D3773" s="408">
        <v>45447</v>
      </c>
      <c r="E3773" s="420" t="s">
        <v>12007</v>
      </c>
    </row>
    <row r="3774" spans="2:5">
      <c r="B3774" s="414" t="s">
        <v>11319</v>
      </c>
      <c r="C3774" s="407">
        <v>1116</v>
      </c>
      <c r="D3774" s="408">
        <v>45447</v>
      </c>
      <c r="E3774" s="420" t="s">
        <v>12008</v>
      </c>
    </row>
    <row r="3775" spans="2:5">
      <c r="B3775" s="414" t="s">
        <v>11319</v>
      </c>
      <c r="C3775" s="407">
        <v>1115</v>
      </c>
      <c r="D3775" s="408">
        <v>45447</v>
      </c>
      <c r="E3775" s="420" t="s">
        <v>12009</v>
      </c>
    </row>
    <row r="3776" spans="2:5">
      <c r="B3776" s="414" t="s">
        <v>11319</v>
      </c>
      <c r="C3776" s="421" t="s">
        <v>12010</v>
      </c>
      <c r="D3776" s="408">
        <v>45447</v>
      </c>
      <c r="E3776" s="420" t="s">
        <v>12011</v>
      </c>
    </row>
    <row r="3777" spans="2:5">
      <c r="B3777" s="414" t="s">
        <v>11319</v>
      </c>
      <c r="C3777" s="421">
        <v>1099</v>
      </c>
      <c r="D3777" s="408">
        <v>45447</v>
      </c>
      <c r="E3777" s="420" t="s">
        <v>12012</v>
      </c>
    </row>
    <row r="3778" spans="2:5">
      <c r="B3778" s="414" t="s">
        <v>11319</v>
      </c>
      <c r="C3778" s="421">
        <v>1098</v>
      </c>
      <c r="D3778" s="408">
        <v>45447</v>
      </c>
      <c r="E3778" s="420" t="s">
        <v>12013</v>
      </c>
    </row>
    <row r="3779" spans="2:5">
      <c r="B3779" s="414" t="s">
        <v>11319</v>
      </c>
      <c r="C3779" s="421">
        <v>1096</v>
      </c>
      <c r="D3779" s="408">
        <v>45447</v>
      </c>
      <c r="E3779" s="420" t="s">
        <v>12162</v>
      </c>
    </row>
    <row r="3780" spans="2:5">
      <c r="B3780" s="414" t="s">
        <v>11319</v>
      </c>
      <c r="C3780" s="421" t="s">
        <v>12014</v>
      </c>
      <c r="D3780" s="408">
        <v>45447</v>
      </c>
      <c r="E3780" s="420" t="s">
        <v>12015</v>
      </c>
    </row>
    <row r="3781" spans="2:5">
      <c r="B3781" s="414" t="s">
        <v>11319</v>
      </c>
      <c r="C3781" s="421">
        <v>1080</v>
      </c>
      <c r="D3781" s="408">
        <v>45447</v>
      </c>
      <c r="E3781" s="420" t="s">
        <v>12163</v>
      </c>
    </row>
    <row r="3782" spans="2:5">
      <c r="B3782" s="414" t="s">
        <v>11319</v>
      </c>
      <c r="C3782" s="421">
        <v>1076</v>
      </c>
      <c r="D3782" s="408">
        <v>45447</v>
      </c>
      <c r="E3782" s="420" t="s">
        <v>12164</v>
      </c>
    </row>
    <row r="3783" spans="2:5">
      <c r="B3783" s="414" t="s">
        <v>11319</v>
      </c>
      <c r="C3783" s="421">
        <v>1071</v>
      </c>
      <c r="D3783" s="408">
        <v>45447</v>
      </c>
      <c r="E3783" s="420" t="s">
        <v>12165</v>
      </c>
    </row>
    <row r="3784" spans="2:5">
      <c r="B3784" s="414" t="s">
        <v>11319</v>
      </c>
      <c r="C3784" s="421">
        <v>1066</v>
      </c>
      <c r="D3784" s="408">
        <v>45447</v>
      </c>
      <c r="E3784" s="420" t="s">
        <v>12016</v>
      </c>
    </row>
    <row r="3785" spans="2:5">
      <c r="B3785" s="414" t="s">
        <v>11319</v>
      </c>
      <c r="C3785" s="421">
        <v>1065</v>
      </c>
      <c r="D3785" s="408">
        <v>45447</v>
      </c>
      <c r="E3785" s="420" t="s">
        <v>12017</v>
      </c>
    </row>
    <row r="3786" spans="2:5">
      <c r="B3786" s="414" t="s">
        <v>11319</v>
      </c>
      <c r="C3786" s="421">
        <v>1056</v>
      </c>
      <c r="D3786" s="408">
        <v>45447</v>
      </c>
      <c r="E3786" s="420" t="s">
        <v>12166</v>
      </c>
    </row>
    <row r="3787" spans="2:5">
      <c r="B3787" s="414" t="s">
        <v>11319</v>
      </c>
      <c r="C3787" s="421">
        <v>1054</v>
      </c>
      <c r="D3787" s="408">
        <v>45447</v>
      </c>
      <c r="E3787" s="420" t="s">
        <v>12018</v>
      </c>
    </row>
    <row r="3788" spans="2:5">
      <c r="B3788" s="414" t="s">
        <v>11319</v>
      </c>
      <c r="C3788" s="421">
        <v>1047</v>
      </c>
      <c r="D3788" s="408">
        <v>45447</v>
      </c>
      <c r="E3788" s="420" t="s">
        <v>12167</v>
      </c>
    </row>
    <row r="3789" spans="2:5">
      <c r="B3789" s="414" t="s">
        <v>11319</v>
      </c>
      <c r="C3789" s="421">
        <v>1033</v>
      </c>
      <c r="D3789" s="408">
        <v>45447</v>
      </c>
      <c r="E3789" s="420" t="s">
        <v>12168</v>
      </c>
    </row>
    <row r="3790" spans="2:5">
      <c r="B3790" s="414" t="s">
        <v>11319</v>
      </c>
      <c r="C3790" s="421">
        <v>1032</v>
      </c>
      <c r="D3790" s="408">
        <v>45447</v>
      </c>
      <c r="E3790" s="420" t="s">
        <v>12019</v>
      </c>
    </row>
    <row r="3791" spans="2:5">
      <c r="B3791" s="414" t="s">
        <v>11319</v>
      </c>
      <c r="C3791" s="421">
        <v>1027</v>
      </c>
      <c r="D3791" s="408">
        <v>45447</v>
      </c>
      <c r="E3791" s="420" t="s">
        <v>12169</v>
      </c>
    </row>
    <row r="3792" spans="2:5">
      <c r="B3792" s="414" t="s">
        <v>11319</v>
      </c>
      <c r="C3792" s="421">
        <v>1018</v>
      </c>
      <c r="D3792" s="408">
        <v>45447</v>
      </c>
      <c r="E3792" s="420" t="s">
        <v>12170</v>
      </c>
    </row>
    <row r="3793" spans="2:5">
      <c r="B3793" s="414" t="s">
        <v>11319</v>
      </c>
      <c r="C3793" s="421">
        <v>1013</v>
      </c>
      <c r="D3793" s="408">
        <v>45447</v>
      </c>
      <c r="E3793" s="420" t="s">
        <v>12020</v>
      </c>
    </row>
    <row r="3794" spans="2:5">
      <c r="B3794" s="414" t="s">
        <v>11319</v>
      </c>
      <c r="C3794" s="421">
        <v>1012</v>
      </c>
      <c r="D3794" s="408">
        <v>45447</v>
      </c>
      <c r="E3794" s="420" t="s">
        <v>12021</v>
      </c>
    </row>
    <row r="3795" spans="2:5">
      <c r="B3795" s="414" t="s">
        <v>11319</v>
      </c>
      <c r="C3795" s="421">
        <v>999</v>
      </c>
      <c r="D3795" s="408">
        <v>45447</v>
      </c>
      <c r="E3795" s="420" t="s">
        <v>12022</v>
      </c>
    </row>
    <row r="3796" spans="2:5">
      <c r="B3796" s="414" t="s">
        <v>11319</v>
      </c>
      <c r="C3796" s="421">
        <v>998</v>
      </c>
      <c r="D3796" s="408">
        <v>45447</v>
      </c>
      <c r="E3796" s="420" t="s">
        <v>12171</v>
      </c>
    </row>
    <row r="3797" spans="2:5">
      <c r="B3797" s="49" t="s">
        <v>11319</v>
      </c>
      <c r="C3797" s="425">
        <v>990</v>
      </c>
      <c r="D3797" s="410">
        <v>45447</v>
      </c>
      <c r="E3797" s="424" t="s">
        <v>12023</v>
      </c>
    </row>
    <row r="3798" spans="2:5">
      <c r="B3798" s="414" t="s">
        <v>11319</v>
      </c>
      <c r="C3798" s="421">
        <v>987</v>
      </c>
      <c r="D3798" s="423">
        <v>45447</v>
      </c>
      <c r="E3798" s="420" t="s">
        <v>12024</v>
      </c>
    </row>
    <row r="3799" spans="2:5">
      <c r="B3799" s="414" t="s">
        <v>11319</v>
      </c>
      <c r="C3799" s="421">
        <v>973</v>
      </c>
      <c r="D3799" s="423">
        <v>45447</v>
      </c>
      <c r="E3799" s="420" t="s">
        <v>12172</v>
      </c>
    </row>
    <row r="3800" spans="2:5">
      <c r="B3800" s="414" t="s">
        <v>11319</v>
      </c>
      <c r="C3800" s="421">
        <v>958</v>
      </c>
      <c r="D3800" s="423">
        <v>45447</v>
      </c>
      <c r="E3800" s="420" t="s">
        <v>12025</v>
      </c>
    </row>
    <row r="3801" spans="2:5">
      <c r="B3801" s="414" t="s">
        <v>11319</v>
      </c>
      <c r="C3801" s="421">
        <v>956</v>
      </c>
      <c r="D3801" s="423">
        <v>45447</v>
      </c>
      <c r="E3801" s="420" t="s">
        <v>12173</v>
      </c>
    </row>
    <row r="3802" spans="2:5">
      <c r="B3802" s="414" t="s">
        <v>11319</v>
      </c>
      <c r="C3802" s="421">
        <v>943</v>
      </c>
      <c r="D3802" s="423">
        <v>45447</v>
      </c>
      <c r="E3802" s="420" t="s">
        <v>12026</v>
      </c>
    </row>
    <row r="3803" spans="2:5">
      <c r="B3803" s="414" t="s">
        <v>11319</v>
      </c>
      <c r="C3803" s="421">
        <v>924</v>
      </c>
      <c r="D3803" s="423">
        <v>45447</v>
      </c>
      <c r="E3803" s="420" t="s">
        <v>12027</v>
      </c>
    </row>
    <row r="3804" spans="2:5">
      <c r="B3804" s="414" t="s">
        <v>11319</v>
      </c>
      <c r="C3804" s="421">
        <v>920</v>
      </c>
      <c r="D3804" s="423">
        <v>45447</v>
      </c>
      <c r="E3804" s="420" t="s">
        <v>12174</v>
      </c>
    </row>
    <row r="3805" spans="2:5">
      <c r="B3805" s="414" t="s">
        <v>11319</v>
      </c>
      <c r="C3805" s="421">
        <v>918</v>
      </c>
      <c r="D3805" s="423">
        <v>45447</v>
      </c>
      <c r="E3805" s="420" t="s">
        <v>12175</v>
      </c>
    </row>
    <row r="3806" spans="2:5">
      <c r="B3806" s="414" t="s">
        <v>11319</v>
      </c>
      <c r="C3806" s="421">
        <v>907</v>
      </c>
      <c r="D3806" s="423">
        <v>45447</v>
      </c>
      <c r="E3806" s="420" t="s">
        <v>12176</v>
      </c>
    </row>
    <row r="3807" spans="2:5">
      <c r="B3807" s="414" t="s">
        <v>11319</v>
      </c>
      <c r="C3807" s="421">
        <v>901</v>
      </c>
      <c r="D3807" s="423">
        <v>45447</v>
      </c>
      <c r="E3807" s="420" t="s">
        <v>12177</v>
      </c>
    </row>
    <row r="3808" spans="2:5">
      <c r="B3808" s="414" t="s">
        <v>11319</v>
      </c>
      <c r="C3808" s="421">
        <v>894</v>
      </c>
      <c r="D3808" s="423">
        <v>45447</v>
      </c>
      <c r="E3808" s="420" t="s">
        <v>12028</v>
      </c>
    </row>
    <row r="3809" spans="1:5">
      <c r="B3809" s="414" t="s">
        <v>11319</v>
      </c>
      <c r="C3809" s="421" t="s">
        <v>12029</v>
      </c>
      <c r="D3809" s="423">
        <v>45447</v>
      </c>
      <c r="E3809" s="420" t="s">
        <v>12030</v>
      </c>
    </row>
    <row r="3810" spans="1:5">
      <c r="B3810" s="414" t="s">
        <v>11319</v>
      </c>
      <c r="C3810" s="421">
        <v>879</v>
      </c>
      <c r="D3810" s="423">
        <v>45447</v>
      </c>
      <c r="E3810" s="420" t="s">
        <v>12178</v>
      </c>
    </row>
    <row r="3811" spans="1:5">
      <c r="B3811" s="414" t="s">
        <v>11319</v>
      </c>
      <c r="C3811" s="421">
        <v>877</v>
      </c>
      <c r="D3811" s="423">
        <v>45447</v>
      </c>
      <c r="E3811" s="420" t="s">
        <v>12031</v>
      </c>
    </row>
    <row r="3812" spans="1:5">
      <c r="B3812" s="414" t="s">
        <v>11319</v>
      </c>
      <c r="C3812" s="421">
        <v>873</v>
      </c>
      <c r="D3812" s="423">
        <v>45447</v>
      </c>
      <c r="E3812" s="420" t="s">
        <v>12179</v>
      </c>
    </row>
    <row r="3813" spans="1:5">
      <c r="B3813" s="414" t="s">
        <v>11319</v>
      </c>
      <c r="C3813" s="421">
        <v>868</v>
      </c>
      <c r="D3813" s="423">
        <v>45447</v>
      </c>
      <c r="E3813" s="420" t="s">
        <v>12032</v>
      </c>
    </row>
    <row r="3814" spans="1:5">
      <c r="B3814" s="414" t="s">
        <v>11319</v>
      </c>
      <c r="C3814" s="421">
        <v>856</v>
      </c>
      <c r="D3814" s="423">
        <v>45447</v>
      </c>
      <c r="E3814" s="420" t="s">
        <v>12180</v>
      </c>
    </row>
    <row r="3815" spans="1:5">
      <c r="B3815" s="414" t="s">
        <v>11319</v>
      </c>
      <c r="C3815" s="421">
        <v>855</v>
      </c>
      <c r="D3815" s="423">
        <v>45447</v>
      </c>
      <c r="E3815" s="420" t="s">
        <v>12033</v>
      </c>
    </row>
    <row r="3816" spans="1:5">
      <c r="B3816" s="414" t="s">
        <v>11319</v>
      </c>
      <c r="C3816" s="421">
        <v>853</v>
      </c>
      <c r="D3816" s="423">
        <v>45447</v>
      </c>
      <c r="E3816" s="420" t="s">
        <v>12181</v>
      </c>
    </row>
    <row r="3817" spans="1:5">
      <c r="B3817" s="414" t="s">
        <v>11319</v>
      </c>
      <c r="C3817" s="421">
        <v>846</v>
      </c>
      <c r="D3817" s="423">
        <v>45447</v>
      </c>
      <c r="E3817" s="420" t="s">
        <v>12034</v>
      </c>
    </row>
    <row r="3818" spans="1:5">
      <c r="B3818" s="414" t="s">
        <v>11319</v>
      </c>
      <c r="C3818" s="421">
        <v>843</v>
      </c>
      <c r="D3818" s="423">
        <v>45447</v>
      </c>
      <c r="E3818" s="420" t="s">
        <v>12182</v>
      </c>
    </row>
    <row r="3819" spans="1:5">
      <c r="B3819" s="414" t="s">
        <v>11319</v>
      </c>
      <c r="C3819" s="421">
        <v>832</v>
      </c>
      <c r="D3819" s="423">
        <v>45447</v>
      </c>
      <c r="E3819" s="420" t="s">
        <v>12183</v>
      </c>
    </row>
    <row r="3820" spans="1:5">
      <c r="B3820" s="414" t="s">
        <v>11319</v>
      </c>
      <c r="C3820" s="421">
        <v>826</v>
      </c>
      <c r="D3820" s="423">
        <v>45447</v>
      </c>
      <c r="E3820" s="420" t="s">
        <v>12035</v>
      </c>
    </row>
    <row r="3821" spans="1:5">
      <c r="B3821" s="414" t="s">
        <v>11319</v>
      </c>
      <c r="C3821" s="421">
        <v>823</v>
      </c>
      <c r="D3821" s="423">
        <v>45447</v>
      </c>
      <c r="E3821" s="420" t="s">
        <v>12184</v>
      </c>
    </row>
    <row r="3822" spans="1:5">
      <c r="A3822" s="49"/>
      <c r="B3822" s="49" t="s">
        <v>11319</v>
      </c>
      <c r="C3822" s="425">
        <v>816</v>
      </c>
      <c r="D3822" s="410">
        <v>45447</v>
      </c>
      <c r="E3822" s="424" t="s">
        <v>12036</v>
      </c>
    </row>
    <row r="3823" spans="1:5">
      <c r="B3823" s="414" t="s">
        <v>11319</v>
      </c>
      <c r="C3823" s="421">
        <v>814</v>
      </c>
      <c r="D3823" s="423">
        <v>45447</v>
      </c>
      <c r="E3823" s="420" t="s">
        <v>12037</v>
      </c>
    </row>
    <row r="3824" spans="1:5">
      <c r="B3824" s="414" t="s">
        <v>11319</v>
      </c>
      <c r="C3824" s="421">
        <v>812</v>
      </c>
      <c r="D3824" s="423">
        <v>45447</v>
      </c>
      <c r="E3824" s="420" t="s">
        <v>12185</v>
      </c>
    </row>
    <row r="3825" spans="2:5">
      <c r="B3825" s="414" t="s">
        <v>11319</v>
      </c>
      <c r="C3825" s="421">
        <v>809</v>
      </c>
      <c r="D3825" s="423">
        <v>45447</v>
      </c>
      <c r="E3825" s="420" t="s">
        <v>12186</v>
      </c>
    </row>
    <row r="3826" spans="2:5">
      <c r="B3826" s="414" t="s">
        <v>11319</v>
      </c>
      <c r="C3826" s="421">
        <v>806</v>
      </c>
      <c r="D3826" s="423">
        <v>45447</v>
      </c>
      <c r="E3826" s="420" t="s">
        <v>12038</v>
      </c>
    </row>
    <row r="3827" spans="2:5">
      <c r="B3827" s="414" t="s">
        <v>11319</v>
      </c>
      <c r="C3827" s="421">
        <v>805</v>
      </c>
      <c r="D3827" s="423">
        <v>45447</v>
      </c>
      <c r="E3827" s="420" t="s">
        <v>12039</v>
      </c>
    </row>
    <row r="3828" spans="2:5">
      <c r="B3828" s="414" t="s">
        <v>11319</v>
      </c>
      <c r="C3828" s="421">
        <v>801</v>
      </c>
      <c r="D3828" s="423">
        <v>45447</v>
      </c>
      <c r="E3828" s="420" t="s">
        <v>12040</v>
      </c>
    </row>
    <row r="3829" spans="2:5">
      <c r="B3829" s="414" t="s">
        <v>11319</v>
      </c>
      <c r="C3829" s="421">
        <v>800</v>
      </c>
      <c r="D3829" s="423">
        <v>45447</v>
      </c>
      <c r="E3829" s="420" t="s">
        <v>12041</v>
      </c>
    </row>
    <row r="3830" spans="2:5">
      <c r="B3830" s="414" t="s">
        <v>11319</v>
      </c>
      <c r="C3830" s="421">
        <v>793</v>
      </c>
      <c r="D3830" s="423">
        <v>45447</v>
      </c>
      <c r="E3830" s="420" t="s">
        <v>12187</v>
      </c>
    </row>
    <row r="3831" spans="2:5">
      <c r="B3831" s="414" t="s">
        <v>11319</v>
      </c>
      <c r="C3831" s="421">
        <v>779</v>
      </c>
      <c r="D3831" s="423">
        <v>45447</v>
      </c>
      <c r="E3831" s="420" t="s">
        <v>12042</v>
      </c>
    </row>
    <row r="3832" spans="2:5">
      <c r="B3832" s="414" t="s">
        <v>11319</v>
      </c>
      <c r="C3832" s="421">
        <v>778</v>
      </c>
      <c r="D3832" s="423">
        <v>45447</v>
      </c>
      <c r="E3832" s="420" t="s">
        <v>12188</v>
      </c>
    </row>
    <row r="3833" spans="2:5">
      <c r="B3833" s="414" t="s">
        <v>11319</v>
      </c>
      <c r="C3833" s="421">
        <v>775</v>
      </c>
      <c r="D3833" s="423">
        <v>45447</v>
      </c>
      <c r="E3833" s="420" t="s">
        <v>12043</v>
      </c>
    </row>
    <row r="3834" spans="2:5">
      <c r="B3834" s="414" t="s">
        <v>11319</v>
      </c>
      <c r="C3834" s="421">
        <v>773</v>
      </c>
      <c r="D3834" s="423">
        <v>45447</v>
      </c>
      <c r="E3834" s="420" t="s">
        <v>12044</v>
      </c>
    </row>
    <row r="3835" spans="2:5">
      <c r="B3835" s="414" t="s">
        <v>11319</v>
      </c>
      <c r="C3835" s="421">
        <v>766</v>
      </c>
      <c r="D3835" s="423">
        <v>45447</v>
      </c>
      <c r="E3835" s="420" t="s">
        <v>12045</v>
      </c>
    </row>
    <row r="3836" spans="2:5">
      <c r="B3836" s="414" t="s">
        <v>11319</v>
      </c>
      <c r="C3836" s="421">
        <v>764</v>
      </c>
      <c r="D3836" s="423">
        <v>45447</v>
      </c>
      <c r="E3836" s="420" t="s">
        <v>12046</v>
      </c>
    </row>
    <row r="3837" spans="2:5">
      <c r="B3837" s="414" t="s">
        <v>11319</v>
      </c>
      <c r="C3837" s="421">
        <v>761</v>
      </c>
      <c r="D3837" s="423">
        <v>45447</v>
      </c>
      <c r="E3837" s="420" t="s">
        <v>12047</v>
      </c>
    </row>
    <row r="3838" spans="2:5">
      <c r="B3838" s="414" t="s">
        <v>11319</v>
      </c>
      <c r="C3838" s="421">
        <v>755</v>
      </c>
      <c r="D3838" s="423">
        <v>45447</v>
      </c>
      <c r="E3838" s="420" t="s">
        <v>12189</v>
      </c>
    </row>
    <row r="3839" spans="2:5">
      <c r="B3839" s="414" t="s">
        <v>11319</v>
      </c>
      <c r="C3839" s="421">
        <v>750</v>
      </c>
      <c r="D3839" s="423">
        <v>45447</v>
      </c>
      <c r="E3839" s="420" t="s">
        <v>12190</v>
      </c>
    </row>
    <row r="3840" spans="2:5">
      <c r="B3840" s="414" t="s">
        <v>11319</v>
      </c>
      <c r="C3840" s="421">
        <v>748</v>
      </c>
      <c r="D3840" s="423">
        <v>45447</v>
      </c>
      <c r="E3840" s="420" t="s">
        <v>12048</v>
      </c>
    </row>
    <row r="3841" spans="1:5">
      <c r="B3841" s="414" t="s">
        <v>11319</v>
      </c>
      <c r="C3841" s="421">
        <v>741</v>
      </c>
      <c r="D3841" s="423">
        <v>45447</v>
      </c>
      <c r="E3841" s="420" t="s">
        <v>12191</v>
      </c>
    </row>
    <row r="3842" spans="1:5">
      <c r="B3842" s="414" t="s">
        <v>11319</v>
      </c>
      <c r="C3842" s="421">
        <v>738</v>
      </c>
      <c r="D3842" s="423">
        <v>45447</v>
      </c>
      <c r="E3842" s="420" t="s">
        <v>12049</v>
      </c>
    </row>
    <row r="3843" spans="1:5">
      <c r="B3843" s="414" t="s">
        <v>11319</v>
      </c>
      <c r="C3843" s="421">
        <v>735</v>
      </c>
      <c r="D3843" s="423">
        <v>45447</v>
      </c>
      <c r="E3843" s="420" t="s">
        <v>12192</v>
      </c>
    </row>
    <row r="3844" spans="1:5">
      <c r="B3844" s="414" t="s">
        <v>11319</v>
      </c>
      <c r="C3844" s="421">
        <v>734</v>
      </c>
      <c r="D3844" s="423">
        <v>45447</v>
      </c>
      <c r="E3844" s="420" t="s">
        <v>12050</v>
      </c>
    </row>
    <row r="3845" spans="1:5">
      <c r="B3845" s="414" t="s">
        <v>11319</v>
      </c>
      <c r="C3845" s="421">
        <v>713</v>
      </c>
      <c r="D3845" s="423">
        <v>45447</v>
      </c>
      <c r="E3845" s="420" t="s">
        <v>12193</v>
      </c>
    </row>
    <row r="3846" spans="1:5">
      <c r="B3846" s="414" t="s">
        <v>11319</v>
      </c>
      <c r="C3846" s="421">
        <v>704</v>
      </c>
      <c r="D3846" s="423">
        <v>45447</v>
      </c>
      <c r="E3846" s="420" t="s">
        <v>12194</v>
      </c>
    </row>
    <row r="3847" spans="1:5">
      <c r="B3847" s="414" t="s">
        <v>11319</v>
      </c>
      <c r="C3847" s="421">
        <v>695</v>
      </c>
      <c r="D3847" s="423">
        <v>45447</v>
      </c>
      <c r="E3847" s="420" t="s">
        <v>12195</v>
      </c>
    </row>
    <row r="3848" spans="1:5">
      <c r="B3848" s="414" t="s">
        <v>11319</v>
      </c>
      <c r="C3848" s="421">
        <v>685</v>
      </c>
      <c r="D3848" s="423">
        <v>45447</v>
      </c>
      <c r="E3848" s="420" t="s">
        <v>12196</v>
      </c>
    </row>
    <row r="3849" spans="1:5">
      <c r="B3849" s="414" t="s">
        <v>11319</v>
      </c>
      <c r="C3849" s="421">
        <v>681</v>
      </c>
      <c r="D3849" s="423">
        <v>45447</v>
      </c>
      <c r="E3849" s="420" t="s">
        <v>12051</v>
      </c>
    </row>
    <row r="3850" spans="1:5">
      <c r="B3850" s="414" t="s">
        <v>11319</v>
      </c>
      <c r="C3850" s="421">
        <v>667</v>
      </c>
      <c r="D3850" s="423">
        <v>45447</v>
      </c>
      <c r="E3850" s="420" t="s">
        <v>12197</v>
      </c>
    </row>
    <row r="3851" spans="1:5">
      <c r="B3851" s="414" t="s">
        <v>11319</v>
      </c>
      <c r="C3851" s="421">
        <v>663</v>
      </c>
      <c r="D3851" s="423">
        <v>45447</v>
      </c>
      <c r="E3851" s="420" t="s">
        <v>12198</v>
      </c>
    </row>
    <row r="3852" spans="1:5">
      <c r="B3852" s="414" t="s">
        <v>11319</v>
      </c>
      <c r="C3852" s="421">
        <v>661</v>
      </c>
      <c r="D3852" s="423">
        <v>45447</v>
      </c>
      <c r="E3852" s="420" t="s">
        <v>12052</v>
      </c>
    </row>
    <row r="3853" spans="1:5">
      <c r="B3853" s="414" t="s">
        <v>11319</v>
      </c>
      <c r="C3853" s="421">
        <v>655</v>
      </c>
      <c r="D3853" s="423">
        <v>45447</v>
      </c>
      <c r="E3853" s="420" t="s">
        <v>12053</v>
      </c>
    </row>
    <row r="3854" spans="1:5">
      <c r="B3854" s="414" t="s">
        <v>11319</v>
      </c>
      <c r="C3854" s="421">
        <v>645</v>
      </c>
      <c r="D3854" s="423">
        <v>45447</v>
      </c>
      <c r="E3854" s="420" t="s">
        <v>12054</v>
      </c>
    </row>
    <row r="3855" spans="1:5">
      <c r="A3855" s="49"/>
      <c r="B3855" s="49" t="s">
        <v>11319</v>
      </c>
      <c r="C3855" s="425">
        <v>633</v>
      </c>
      <c r="D3855" s="410">
        <v>45447</v>
      </c>
      <c r="E3855" s="424" t="s">
        <v>12055</v>
      </c>
    </row>
    <row r="3856" spans="1:5">
      <c r="A3856" s="49"/>
      <c r="B3856" s="414" t="s">
        <v>11319</v>
      </c>
      <c r="C3856" s="421">
        <v>630</v>
      </c>
      <c r="D3856" s="423">
        <v>45447</v>
      </c>
      <c r="E3856" s="420" t="s">
        <v>12199</v>
      </c>
    </row>
    <row r="3857" spans="1:5">
      <c r="A3857" s="49"/>
      <c r="B3857" s="414" t="s">
        <v>11319</v>
      </c>
      <c r="C3857" s="421">
        <v>628</v>
      </c>
      <c r="D3857" s="423">
        <v>45447</v>
      </c>
      <c r="E3857" s="420" t="s">
        <v>12200</v>
      </c>
    </row>
    <row r="3858" spans="1:5">
      <c r="B3858" s="414" t="s">
        <v>11319</v>
      </c>
      <c r="C3858" s="421">
        <v>619</v>
      </c>
      <c r="D3858" s="423">
        <v>45447</v>
      </c>
      <c r="E3858" s="420" t="s">
        <v>12056</v>
      </c>
    </row>
    <row r="3859" spans="1:5">
      <c r="B3859" s="414" t="s">
        <v>11319</v>
      </c>
      <c r="C3859" s="421">
        <v>615</v>
      </c>
      <c r="D3859" s="423">
        <v>45447</v>
      </c>
      <c r="E3859" s="420" t="s">
        <v>12201</v>
      </c>
    </row>
    <row r="3860" spans="1:5">
      <c r="B3860" s="414" t="s">
        <v>11319</v>
      </c>
      <c r="C3860" s="421">
        <v>614</v>
      </c>
      <c r="D3860" s="423">
        <v>45447</v>
      </c>
      <c r="E3860" s="420" t="s">
        <v>12057</v>
      </c>
    </row>
    <row r="3861" spans="1:5">
      <c r="B3861" s="414" t="s">
        <v>11319</v>
      </c>
      <c r="C3861" s="421">
        <v>611</v>
      </c>
      <c r="D3861" s="423">
        <v>45447</v>
      </c>
      <c r="E3861" s="420" t="s">
        <v>12058</v>
      </c>
    </row>
    <row r="3862" spans="1:5">
      <c r="B3862" s="414" t="s">
        <v>11319</v>
      </c>
      <c r="C3862" s="421">
        <v>599</v>
      </c>
      <c r="D3862" s="423">
        <v>45447</v>
      </c>
      <c r="E3862" s="420" t="s">
        <v>12059</v>
      </c>
    </row>
    <row r="3863" spans="1:5">
      <c r="B3863" s="414" t="s">
        <v>11319</v>
      </c>
      <c r="C3863" s="421">
        <v>596</v>
      </c>
      <c r="D3863" s="423">
        <v>45447</v>
      </c>
      <c r="E3863" s="420" t="s">
        <v>12060</v>
      </c>
    </row>
    <row r="3864" spans="1:5">
      <c r="B3864" s="414" t="s">
        <v>11319</v>
      </c>
      <c r="C3864" s="421">
        <v>588</v>
      </c>
      <c r="D3864" s="423">
        <v>45447</v>
      </c>
      <c r="E3864" s="420" t="s">
        <v>12061</v>
      </c>
    </row>
    <row r="3865" spans="1:5">
      <c r="B3865" s="414" t="s">
        <v>11319</v>
      </c>
      <c r="C3865" s="421">
        <v>578</v>
      </c>
      <c r="D3865" s="423">
        <v>45447</v>
      </c>
      <c r="E3865" s="420" t="s">
        <v>12062</v>
      </c>
    </row>
    <row r="3866" spans="1:5">
      <c r="B3866" s="414" t="s">
        <v>11319</v>
      </c>
      <c r="C3866" s="421">
        <v>573</v>
      </c>
      <c r="D3866" s="423">
        <v>45447</v>
      </c>
      <c r="E3866" s="420" t="s">
        <v>12063</v>
      </c>
    </row>
    <row r="3867" spans="1:5">
      <c r="B3867" s="414" t="s">
        <v>11319</v>
      </c>
      <c r="C3867" s="421">
        <v>570</v>
      </c>
      <c r="D3867" s="423">
        <v>45447</v>
      </c>
      <c r="E3867" s="420" t="s">
        <v>12064</v>
      </c>
    </row>
    <row r="3868" spans="1:5">
      <c r="B3868" s="414" t="s">
        <v>11319</v>
      </c>
      <c r="C3868" s="421">
        <v>569</v>
      </c>
      <c r="D3868" s="423">
        <v>45447</v>
      </c>
      <c r="E3868" s="420" t="s">
        <v>12065</v>
      </c>
    </row>
    <row r="3869" spans="1:5">
      <c r="B3869" s="414" t="s">
        <v>11319</v>
      </c>
      <c r="C3869" s="421">
        <v>566</v>
      </c>
      <c r="D3869" s="423">
        <v>45447</v>
      </c>
      <c r="E3869" s="420" t="s">
        <v>12066</v>
      </c>
    </row>
    <row r="3870" spans="1:5">
      <c r="B3870" s="49" t="s">
        <v>11319</v>
      </c>
      <c r="C3870" s="425">
        <v>561</v>
      </c>
      <c r="D3870" s="410">
        <v>45447</v>
      </c>
      <c r="E3870" s="424" t="s">
        <v>12067</v>
      </c>
    </row>
    <row r="3871" spans="1:5">
      <c r="B3871" s="414" t="s">
        <v>11319</v>
      </c>
      <c r="C3871" s="421">
        <v>552</v>
      </c>
      <c r="D3871" s="423">
        <v>45447</v>
      </c>
      <c r="E3871" s="420" t="s">
        <v>12068</v>
      </c>
    </row>
    <row r="3872" spans="1:5">
      <c r="B3872" s="414" t="s">
        <v>11319</v>
      </c>
      <c r="C3872" s="421">
        <v>551</v>
      </c>
      <c r="D3872" s="423">
        <v>45447</v>
      </c>
      <c r="E3872" s="420" t="s">
        <v>12069</v>
      </c>
    </row>
    <row r="3873" spans="2:5">
      <c r="B3873" s="414" t="s">
        <v>11319</v>
      </c>
      <c r="C3873" s="421">
        <v>548</v>
      </c>
      <c r="D3873" s="423">
        <v>45447</v>
      </c>
      <c r="E3873" s="420" t="s">
        <v>12070</v>
      </c>
    </row>
    <row r="3874" spans="2:5">
      <c r="B3874" s="414" t="s">
        <v>11319</v>
      </c>
      <c r="C3874" s="421">
        <v>544</v>
      </c>
      <c r="D3874" s="423">
        <v>45447</v>
      </c>
      <c r="E3874" s="420" t="s">
        <v>12071</v>
      </c>
    </row>
    <row r="3875" spans="2:5">
      <c r="B3875" s="414" t="s">
        <v>11319</v>
      </c>
      <c r="C3875" s="421">
        <v>539</v>
      </c>
      <c r="D3875" s="423">
        <v>45447</v>
      </c>
      <c r="E3875" s="420" t="s">
        <v>12072</v>
      </c>
    </row>
    <row r="3876" spans="2:5">
      <c r="B3876" s="414" t="s">
        <v>11319</v>
      </c>
      <c r="C3876" s="421">
        <v>535</v>
      </c>
      <c r="D3876" s="423">
        <v>45447</v>
      </c>
      <c r="E3876" s="420" t="s">
        <v>12073</v>
      </c>
    </row>
    <row r="3877" spans="2:5">
      <c r="B3877" s="414" t="s">
        <v>11319</v>
      </c>
      <c r="C3877" s="421">
        <v>532</v>
      </c>
      <c r="D3877" s="423">
        <v>45447</v>
      </c>
      <c r="E3877" s="420" t="s">
        <v>12202</v>
      </c>
    </row>
    <row r="3878" spans="2:5">
      <c r="B3878" s="414" t="s">
        <v>11319</v>
      </c>
      <c r="C3878" s="421">
        <v>529</v>
      </c>
      <c r="D3878" s="423">
        <v>45447</v>
      </c>
      <c r="E3878" s="420" t="s">
        <v>12074</v>
      </c>
    </row>
    <row r="3879" spans="2:5">
      <c r="B3879" s="414" t="s">
        <v>11319</v>
      </c>
      <c r="C3879" s="421">
        <v>524</v>
      </c>
      <c r="D3879" s="423">
        <v>45447</v>
      </c>
      <c r="E3879" s="420" t="s">
        <v>12075</v>
      </c>
    </row>
    <row r="3880" spans="2:5">
      <c r="B3880" s="414" t="s">
        <v>11319</v>
      </c>
      <c r="C3880" s="421">
        <v>519</v>
      </c>
      <c r="D3880" s="423">
        <v>45447</v>
      </c>
      <c r="E3880" s="420" t="s">
        <v>12076</v>
      </c>
    </row>
    <row r="3881" spans="2:5">
      <c r="B3881" s="414" t="s">
        <v>11319</v>
      </c>
      <c r="C3881" s="421">
        <v>518</v>
      </c>
      <c r="D3881" s="423">
        <v>45447</v>
      </c>
      <c r="E3881" s="420" t="s">
        <v>12203</v>
      </c>
    </row>
    <row r="3882" spans="2:5">
      <c r="B3882" s="414" t="s">
        <v>11319</v>
      </c>
      <c r="C3882" s="421">
        <v>509</v>
      </c>
      <c r="D3882" s="423">
        <v>45447</v>
      </c>
      <c r="E3882" s="420" t="s">
        <v>12077</v>
      </c>
    </row>
    <row r="3883" spans="2:5">
      <c r="B3883" s="414" t="s">
        <v>11319</v>
      </c>
      <c r="C3883" s="407">
        <v>503</v>
      </c>
      <c r="D3883" s="408">
        <v>45448</v>
      </c>
      <c r="E3883" s="415" t="s">
        <v>11523</v>
      </c>
    </row>
    <row r="3884" spans="2:5">
      <c r="B3884" s="414" t="s">
        <v>11319</v>
      </c>
      <c r="C3884" s="407">
        <v>502</v>
      </c>
      <c r="D3884" s="408">
        <v>45447</v>
      </c>
      <c r="E3884" s="420" t="s">
        <v>12204</v>
      </c>
    </row>
    <row r="3885" spans="2:5">
      <c r="B3885" s="414" t="s">
        <v>11319</v>
      </c>
      <c r="C3885" s="407">
        <v>501</v>
      </c>
      <c r="D3885" s="408">
        <v>45447</v>
      </c>
      <c r="E3885" s="420" t="s">
        <v>12205</v>
      </c>
    </row>
    <row r="3886" spans="2:5">
      <c r="B3886" s="414" t="s">
        <v>11319</v>
      </c>
      <c r="C3886" s="407">
        <v>499</v>
      </c>
      <c r="D3886" s="408">
        <v>45447</v>
      </c>
      <c r="E3886" s="420" t="s">
        <v>12078</v>
      </c>
    </row>
    <row r="3887" spans="2:5">
      <c r="B3887" s="414" t="s">
        <v>11319</v>
      </c>
      <c r="C3887" s="407">
        <v>494</v>
      </c>
      <c r="D3887" s="408">
        <v>45447</v>
      </c>
      <c r="E3887" s="420" t="s">
        <v>12079</v>
      </c>
    </row>
    <row r="3888" spans="2:5">
      <c r="B3888" s="414" t="s">
        <v>11319</v>
      </c>
      <c r="C3888" s="407">
        <v>492</v>
      </c>
      <c r="D3888" s="408">
        <v>45447</v>
      </c>
      <c r="E3888" s="420" t="s">
        <v>12206</v>
      </c>
    </row>
    <row r="3889" spans="2:5">
      <c r="B3889" s="414" t="s">
        <v>11319</v>
      </c>
      <c r="C3889" s="407">
        <v>489</v>
      </c>
      <c r="D3889" s="408">
        <v>45447</v>
      </c>
      <c r="E3889" s="420" t="s">
        <v>12080</v>
      </c>
    </row>
    <row r="3890" spans="2:5">
      <c r="B3890" s="414" t="s">
        <v>11319</v>
      </c>
      <c r="C3890" s="407">
        <v>488</v>
      </c>
      <c r="D3890" s="408">
        <v>45447</v>
      </c>
      <c r="E3890" s="420" t="s">
        <v>12081</v>
      </c>
    </row>
    <row r="3891" spans="2:5">
      <c r="B3891" s="414" t="s">
        <v>11319</v>
      </c>
      <c r="C3891" s="407">
        <v>487</v>
      </c>
      <c r="D3891" s="408">
        <v>45447</v>
      </c>
      <c r="E3891" s="420" t="s">
        <v>12082</v>
      </c>
    </row>
    <row r="3892" spans="2:5">
      <c r="B3892" s="414" t="s">
        <v>11319</v>
      </c>
      <c r="C3892" s="407">
        <v>483</v>
      </c>
      <c r="D3892" s="408">
        <v>45447</v>
      </c>
      <c r="E3892" s="420" t="s">
        <v>12083</v>
      </c>
    </row>
    <row r="3893" spans="2:5">
      <c r="B3893" s="414" t="s">
        <v>11319</v>
      </c>
      <c r="C3893" s="407">
        <v>469</v>
      </c>
      <c r="D3893" s="408">
        <v>45447</v>
      </c>
      <c r="E3893" s="420" t="s">
        <v>12084</v>
      </c>
    </row>
    <row r="3894" spans="2:5">
      <c r="B3894" s="414" t="s">
        <v>11319</v>
      </c>
      <c r="C3894" s="407">
        <v>456</v>
      </c>
      <c r="D3894" s="408">
        <v>45447</v>
      </c>
      <c r="E3894" s="420" t="s">
        <v>12085</v>
      </c>
    </row>
    <row r="3895" spans="2:5">
      <c r="B3895" s="414" t="s">
        <v>11319</v>
      </c>
      <c r="C3895" s="407">
        <v>452</v>
      </c>
      <c r="D3895" s="408">
        <v>45447</v>
      </c>
      <c r="E3895" s="420" t="s">
        <v>12086</v>
      </c>
    </row>
    <row r="3896" spans="2:5">
      <c r="B3896" s="414" t="s">
        <v>11319</v>
      </c>
      <c r="C3896" s="407">
        <v>447</v>
      </c>
      <c r="D3896" s="408">
        <v>45447</v>
      </c>
      <c r="E3896" s="420" t="s">
        <v>12207</v>
      </c>
    </row>
    <row r="3897" spans="2:5">
      <c r="B3897" s="414" t="s">
        <v>11319</v>
      </c>
      <c r="C3897" s="407">
        <v>441</v>
      </c>
      <c r="D3897" s="408">
        <v>45447</v>
      </c>
      <c r="E3897" s="420" t="s">
        <v>12208</v>
      </c>
    </row>
    <row r="3898" spans="2:5">
      <c r="B3898" s="414" t="s">
        <v>11319</v>
      </c>
      <c r="C3898" s="407">
        <v>438</v>
      </c>
      <c r="D3898" s="408">
        <v>45447</v>
      </c>
      <c r="E3898" s="420" t="s">
        <v>12087</v>
      </c>
    </row>
    <row r="3899" spans="2:5">
      <c r="B3899" s="414" t="s">
        <v>11319</v>
      </c>
      <c r="C3899" s="407">
        <v>431</v>
      </c>
      <c r="D3899" s="408">
        <v>45447</v>
      </c>
      <c r="E3899" s="420" t="s">
        <v>12088</v>
      </c>
    </row>
    <row r="3900" spans="2:5">
      <c r="B3900" s="414" t="s">
        <v>11319</v>
      </c>
      <c r="C3900" s="407">
        <v>426</v>
      </c>
      <c r="D3900" s="408">
        <v>45447</v>
      </c>
      <c r="E3900" s="420" t="s">
        <v>12089</v>
      </c>
    </row>
    <row r="3901" spans="2:5">
      <c r="B3901" s="414" t="s">
        <v>11319</v>
      </c>
      <c r="C3901" s="407">
        <v>424</v>
      </c>
      <c r="D3901" s="408">
        <v>45447</v>
      </c>
      <c r="E3901" s="420" t="s">
        <v>12209</v>
      </c>
    </row>
    <row r="3902" spans="2:5">
      <c r="B3902" s="414" t="s">
        <v>11319</v>
      </c>
      <c r="C3902" s="407">
        <v>423</v>
      </c>
      <c r="D3902" s="408">
        <v>45447</v>
      </c>
      <c r="E3902" s="420" t="s">
        <v>12210</v>
      </c>
    </row>
    <row r="3903" spans="2:5">
      <c r="B3903" s="414" t="s">
        <v>11319</v>
      </c>
      <c r="C3903" s="407">
        <v>418</v>
      </c>
      <c r="D3903" s="408">
        <v>45447</v>
      </c>
      <c r="E3903" s="420" t="s">
        <v>12090</v>
      </c>
    </row>
    <row r="3904" spans="2:5">
      <c r="B3904" s="414" t="s">
        <v>11319</v>
      </c>
      <c r="C3904" s="407">
        <v>416</v>
      </c>
      <c r="D3904" s="408">
        <v>45447</v>
      </c>
      <c r="E3904" s="420" t="s">
        <v>12211</v>
      </c>
    </row>
    <row r="3905" spans="2:5">
      <c r="B3905" s="414" t="s">
        <v>11319</v>
      </c>
      <c r="C3905" s="407">
        <v>410</v>
      </c>
      <c r="D3905" s="408">
        <v>45447</v>
      </c>
      <c r="E3905" s="420" t="s">
        <v>12091</v>
      </c>
    </row>
    <row r="3906" spans="2:5">
      <c r="B3906" s="414" t="s">
        <v>11319</v>
      </c>
      <c r="C3906" s="407">
        <v>409</v>
      </c>
      <c r="D3906" s="408">
        <v>45447</v>
      </c>
      <c r="E3906" s="420" t="s">
        <v>12212</v>
      </c>
    </row>
    <row r="3907" spans="2:5">
      <c r="B3907" s="414" t="s">
        <v>11319</v>
      </c>
      <c r="C3907" s="407">
        <v>403</v>
      </c>
      <c r="D3907" s="408">
        <v>45447</v>
      </c>
      <c r="E3907" s="420" t="s">
        <v>12092</v>
      </c>
    </row>
    <row r="3908" spans="2:5">
      <c r="B3908" s="414" t="s">
        <v>11319</v>
      </c>
      <c r="C3908" s="407">
        <v>396</v>
      </c>
      <c r="D3908" s="408">
        <v>45447</v>
      </c>
      <c r="E3908" s="420" t="s">
        <v>12093</v>
      </c>
    </row>
    <row r="3909" spans="2:5">
      <c r="B3909" s="414" t="s">
        <v>11319</v>
      </c>
      <c r="C3909" s="407">
        <v>394</v>
      </c>
      <c r="D3909" s="408">
        <v>45447</v>
      </c>
      <c r="E3909" s="420" t="s">
        <v>12094</v>
      </c>
    </row>
    <row r="3910" spans="2:5">
      <c r="B3910" s="414" t="s">
        <v>11319</v>
      </c>
      <c r="C3910" s="407">
        <v>389</v>
      </c>
      <c r="D3910" s="408">
        <v>45447</v>
      </c>
      <c r="E3910" s="420" t="s">
        <v>12213</v>
      </c>
    </row>
    <row r="3911" spans="2:5">
      <c r="B3911" s="414" t="s">
        <v>11319</v>
      </c>
      <c r="C3911" s="407">
        <v>371</v>
      </c>
      <c r="D3911" s="408">
        <v>45447</v>
      </c>
      <c r="E3911" s="420" t="s">
        <v>12095</v>
      </c>
    </row>
    <row r="3912" spans="2:5">
      <c r="B3912" s="414" t="s">
        <v>11319</v>
      </c>
      <c r="C3912" s="407">
        <v>368</v>
      </c>
      <c r="D3912" s="408">
        <v>45447</v>
      </c>
      <c r="E3912" s="420" t="s">
        <v>12096</v>
      </c>
    </row>
    <row r="3913" spans="2:5">
      <c r="B3913" s="414" t="s">
        <v>11319</v>
      </c>
      <c r="C3913" s="407">
        <v>345</v>
      </c>
      <c r="D3913" s="408">
        <v>45447</v>
      </c>
      <c r="E3913" s="420" t="s">
        <v>12214</v>
      </c>
    </row>
    <row r="3914" spans="2:5">
      <c r="B3914" s="414" t="s">
        <v>11319</v>
      </c>
      <c r="C3914" s="407">
        <v>339</v>
      </c>
      <c r="D3914" s="408">
        <v>45447</v>
      </c>
      <c r="E3914" s="420" t="s">
        <v>12215</v>
      </c>
    </row>
    <row r="3915" spans="2:5">
      <c r="B3915" s="414" t="s">
        <v>11319</v>
      </c>
      <c r="C3915" s="407">
        <v>335</v>
      </c>
      <c r="D3915" s="408">
        <v>45447</v>
      </c>
      <c r="E3915" s="420" t="s">
        <v>12097</v>
      </c>
    </row>
    <row r="3916" spans="2:5">
      <c r="B3916" s="414" t="s">
        <v>11319</v>
      </c>
      <c r="C3916" s="407">
        <v>332</v>
      </c>
      <c r="D3916" s="408">
        <v>45447</v>
      </c>
      <c r="E3916" s="420" t="s">
        <v>12098</v>
      </c>
    </row>
    <row r="3917" spans="2:5">
      <c r="B3917" s="414" t="s">
        <v>11319</v>
      </c>
      <c r="C3917" s="407">
        <v>329</v>
      </c>
      <c r="D3917" s="408">
        <v>45447</v>
      </c>
      <c r="E3917" s="420" t="s">
        <v>12216</v>
      </c>
    </row>
    <row r="3918" spans="2:5">
      <c r="B3918" s="414" t="s">
        <v>11319</v>
      </c>
      <c r="C3918" s="407">
        <v>328</v>
      </c>
      <c r="D3918" s="408">
        <v>45447</v>
      </c>
      <c r="E3918" s="420" t="s">
        <v>12217</v>
      </c>
    </row>
    <row r="3919" spans="2:5">
      <c r="B3919" s="414" t="s">
        <v>11319</v>
      </c>
      <c r="C3919" s="407">
        <v>324</v>
      </c>
      <c r="D3919" s="408">
        <v>45447</v>
      </c>
      <c r="E3919" s="420" t="s">
        <v>12099</v>
      </c>
    </row>
    <row r="3920" spans="2:5">
      <c r="B3920" s="414" t="s">
        <v>11319</v>
      </c>
      <c r="C3920" s="407">
        <v>318</v>
      </c>
      <c r="D3920" s="408">
        <v>45447</v>
      </c>
      <c r="E3920" s="420" t="s">
        <v>12100</v>
      </c>
    </row>
    <row r="3921" spans="2:5">
      <c r="B3921" s="414" t="s">
        <v>11319</v>
      </c>
      <c r="C3921" s="407">
        <v>317</v>
      </c>
      <c r="D3921" s="408">
        <v>45447</v>
      </c>
      <c r="E3921" s="420" t="s">
        <v>12218</v>
      </c>
    </row>
    <row r="3922" spans="2:5">
      <c r="B3922" s="414" t="s">
        <v>11319</v>
      </c>
      <c r="C3922" s="407">
        <v>314</v>
      </c>
      <c r="D3922" s="408">
        <v>45447</v>
      </c>
      <c r="E3922" s="420"/>
    </row>
    <row r="3923" spans="2:5">
      <c r="B3923" s="414" t="s">
        <v>11319</v>
      </c>
      <c r="C3923" s="407">
        <v>302</v>
      </c>
      <c r="D3923" s="408">
        <v>45447</v>
      </c>
      <c r="E3923" s="420" t="s">
        <v>12101</v>
      </c>
    </row>
    <row r="3924" spans="2:5">
      <c r="B3924" s="414" t="s">
        <v>11319</v>
      </c>
      <c r="C3924" s="407">
        <v>300</v>
      </c>
      <c r="D3924" s="408">
        <v>45447</v>
      </c>
      <c r="E3924" s="420" t="s">
        <v>12102</v>
      </c>
    </row>
    <row r="3925" spans="2:5">
      <c r="B3925" s="414" t="s">
        <v>11319</v>
      </c>
      <c r="C3925" s="407">
        <v>294</v>
      </c>
      <c r="D3925" s="408">
        <v>45447</v>
      </c>
      <c r="E3925" s="420"/>
    </row>
    <row r="3926" spans="2:5">
      <c r="B3926" s="414" t="s">
        <v>11319</v>
      </c>
      <c r="C3926" s="407">
        <v>291</v>
      </c>
      <c r="D3926" s="408">
        <v>45447</v>
      </c>
      <c r="E3926" s="420" t="s">
        <v>12103</v>
      </c>
    </row>
    <row r="3927" spans="2:5">
      <c r="B3927" s="414" t="s">
        <v>11319</v>
      </c>
      <c r="C3927" s="407">
        <v>290</v>
      </c>
      <c r="D3927" s="408">
        <v>45447</v>
      </c>
      <c r="E3927" s="420"/>
    </row>
    <row r="3928" spans="2:5">
      <c r="B3928" s="414" t="s">
        <v>11319</v>
      </c>
      <c r="C3928" s="407">
        <v>288</v>
      </c>
      <c r="D3928" s="408">
        <v>45447</v>
      </c>
      <c r="E3928" s="420" t="s">
        <v>12104</v>
      </c>
    </row>
    <row r="3929" spans="2:5">
      <c r="B3929" s="414" t="s">
        <v>11319</v>
      </c>
      <c r="C3929" s="407">
        <v>281</v>
      </c>
      <c r="D3929" s="408">
        <v>45447</v>
      </c>
      <c r="E3929" s="420" t="s">
        <v>12105</v>
      </c>
    </row>
    <row r="3930" spans="2:5">
      <c r="B3930" s="414" t="s">
        <v>11319</v>
      </c>
      <c r="C3930" s="407">
        <v>276</v>
      </c>
      <c r="D3930" s="408">
        <v>45447</v>
      </c>
      <c r="E3930" s="420" t="s">
        <v>12106</v>
      </c>
    </row>
    <row r="3931" spans="2:5">
      <c r="B3931" s="414" t="s">
        <v>11319</v>
      </c>
      <c r="C3931" s="407">
        <v>275</v>
      </c>
      <c r="D3931" s="408">
        <v>45447</v>
      </c>
      <c r="E3931" s="420"/>
    </row>
    <row r="3932" spans="2:5">
      <c r="B3932" s="414" t="s">
        <v>11319</v>
      </c>
      <c r="C3932" s="407">
        <v>262</v>
      </c>
      <c r="D3932" s="408">
        <v>45447</v>
      </c>
      <c r="E3932" s="420" t="s">
        <v>12107</v>
      </c>
    </row>
    <row r="3933" spans="2:5">
      <c r="B3933" s="414" t="s">
        <v>11319</v>
      </c>
      <c r="C3933" s="407">
        <v>249</v>
      </c>
      <c r="D3933" s="408">
        <v>45447</v>
      </c>
      <c r="E3933" s="420" t="s">
        <v>12108</v>
      </c>
    </row>
    <row r="3934" spans="2:5">
      <c r="B3934" s="414" t="s">
        <v>11319</v>
      </c>
      <c r="C3934" s="407">
        <v>240</v>
      </c>
      <c r="D3934" s="408">
        <v>45447</v>
      </c>
      <c r="E3934" s="420" t="s">
        <v>12109</v>
      </c>
    </row>
    <row r="3935" spans="2:5">
      <c r="B3935" s="414" t="s">
        <v>11319</v>
      </c>
      <c r="C3935" s="407">
        <v>239</v>
      </c>
      <c r="D3935" s="408">
        <v>45447</v>
      </c>
      <c r="E3935" s="420"/>
    </row>
    <row r="3936" spans="2:5">
      <c r="B3936" s="414" t="s">
        <v>11319</v>
      </c>
      <c r="C3936" s="407">
        <v>238</v>
      </c>
      <c r="D3936" s="408">
        <v>45447</v>
      </c>
      <c r="E3936" s="420"/>
    </row>
    <row r="3937" spans="2:5">
      <c r="B3937" s="414" t="s">
        <v>11319</v>
      </c>
      <c r="C3937" s="407">
        <v>237</v>
      </c>
      <c r="D3937" s="408">
        <v>45447</v>
      </c>
      <c r="E3937" s="420"/>
    </row>
    <row r="3938" spans="2:5">
      <c r="B3938" s="414" t="s">
        <v>11319</v>
      </c>
      <c r="C3938" s="407">
        <v>234</v>
      </c>
      <c r="D3938" s="408">
        <v>45447</v>
      </c>
      <c r="E3938" s="420" t="s">
        <v>12110</v>
      </c>
    </row>
    <row r="3939" spans="2:5">
      <c r="B3939" s="414" t="s">
        <v>11319</v>
      </c>
      <c r="C3939" s="407">
        <v>222</v>
      </c>
      <c r="D3939" s="408">
        <v>45447</v>
      </c>
      <c r="E3939" s="420"/>
    </row>
    <row r="3940" spans="2:5">
      <c r="B3940" s="414" t="s">
        <v>11319</v>
      </c>
      <c r="C3940" s="407">
        <v>209</v>
      </c>
      <c r="D3940" s="408">
        <v>45447</v>
      </c>
      <c r="E3940" s="420" t="s">
        <v>12111</v>
      </c>
    </row>
    <row r="3941" spans="2:5">
      <c r="B3941" s="414" t="s">
        <v>11319</v>
      </c>
      <c r="C3941" s="407">
        <v>198</v>
      </c>
      <c r="D3941" s="408">
        <v>45447</v>
      </c>
      <c r="E3941" s="420"/>
    </row>
    <row r="3942" spans="2:5">
      <c r="B3942" s="414" t="s">
        <v>11319</v>
      </c>
      <c r="C3942" s="407">
        <v>192</v>
      </c>
      <c r="D3942" s="408">
        <v>45447</v>
      </c>
      <c r="E3942" s="420"/>
    </row>
    <row r="3943" spans="2:5">
      <c r="B3943" s="414" t="s">
        <v>11319</v>
      </c>
      <c r="C3943" s="407">
        <v>183</v>
      </c>
      <c r="D3943" s="408">
        <v>45447</v>
      </c>
      <c r="E3943" s="420"/>
    </row>
    <row r="3944" spans="2:5">
      <c r="B3944" s="414" t="s">
        <v>11319</v>
      </c>
      <c r="C3944" s="407">
        <v>177</v>
      </c>
      <c r="D3944" s="408">
        <v>45447</v>
      </c>
      <c r="E3944" s="420" t="s">
        <v>12112</v>
      </c>
    </row>
    <row r="3945" spans="2:5">
      <c r="B3945" s="414" t="s">
        <v>11319</v>
      </c>
      <c r="C3945" s="407">
        <v>153</v>
      </c>
      <c r="D3945" s="408">
        <v>45447</v>
      </c>
      <c r="E3945" s="420" t="s">
        <v>12113</v>
      </c>
    </row>
    <row r="3946" spans="2:5">
      <c r="B3946" s="414" t="s">
        <v>11319</v>
      </c>
      <c r="C3946" s="407">
        <v>150</v>
      </c>
      <c r="D3946" s="408">
        <v>45447</v>
      </c>
      <c r="E3946" s="420" t="s">
        <v>12114</v>
      </c>
    </row>
    <row r="3947" spans="2:5">
      <c r="B3947" s="414" t="s">
        <v>11319</v>
      </c>
      <c r="C3947" s="407">
        <v>147</v>
      </c>
      <c r="D3947" s="408">
        <v>45447</v>
      </c>
      <c r="E3947" s="420"/>
    </row>
    <row r="3948" spans="2:5">
      <c r="B3948" s="414" t="s">
        <v>11319</v>
      </c>
      <c r="C3948" s="407">
        <v>146</v>
      </c>
      <c r="D3948" s="408">
        <v>45447</v>
      </c>
      <c r="E3948" s="420"/>
    </row>
    <row r="3949" spans="2:5">
      <c r="B3949" s="414" t="s">
        <v>11319</v>
      </c>
      <c r="C3949" s="407">
        <v>144</v>
      </c>
      <c r="D3949" s="408">
        <v>45447</v>
      </c>
      <c r="E3949" s="420" t="s">
        <v>12115</v>
      </c>
    </row>
    <row r="3950" spans="2:5">
      <c r="B3950" s="414" t="s">
        <v>11319</v>
      </c>
      <c r="C3950" s="407">
        <v>135</v>
      </c>
      <c r="D3950" s="408">
        <v>45447</v>
      </c>
      <c r="E3950" s="420"/>
    </row>
    <row r="3951" spans="2:5">
      <c r="B3951" s="414" t="s">
        <v>11319</v>
      </c>
      <c r="C3951" s="407">
        <v>134</v>
      </c>
      <c r="D3951" s="408">
        <v>45447</v>
      </c>
      <c r="E3951" s="420" t="s">
        <v>12116</v>
      </c>
    </row>
    <row r="3952" spans="2:5">
      <c r="B3952" s="414" t="s">
        <v>11319</v>
      </c>
      <c r="C3952" s="407">
        <v>133</v>
      </c>
      <c r="D3952" s="408">
        <v>45447</v>
      </c>
      <c r="E3952" s="420" t="s">
        <v>12117</v>
      </c>
    </row>
    <row r="3953" spans="2:5">
      <c r="B3953" s="414" t="s">
        <v>11319</v>
      </c>
      <c r="C3953" s="407">
        <v>132</v>
      </c>
      <c r="D3953" s="408">
        <v>45447</v>
      </c>
      <c r="E3953" s="420" t="s">
        <v>12118</v>
      </c>
    </row>
    <row r="3954" spans="2:5">
      <c r="B3954" s="414" t="s">
        <v>11319</v>
      </c>
      <c r="C3954" s="407">
        <v>131</v>
      </c>
      <c r="D3954" s="408">
        <v>45447</v>
      </c>
      <c r="E3954" s="420" t="s">
        <v>12119</v>
      </c>
    </row>
    <row r="3955" spans="2:5">
      <c r="B3955" s="414" t="s">
        <v>11319</v>
      </c>
      <c r="C3955" s="407">
        <v>127</v>
      </c>
      <c r="D3955" s="408">
        <v>45447</v>
      </c>
      <c r="E3955" s="420"/>
    </row>
    <row r="3956" spans="2:5">
      <c r="B3956" s="414" t="s">
        <v>11319</v>
      </c>
      <c r="C3956" s="407">
        <v>125</v>
      </c>
      <c r="D3956" s="408">
        <v>45447</v>
      </c>
      <c r="E3956" s="420"/>
    </row>
    <row r="3957" spans="2:5">
      <c r="B3957" s="414" t="s">
        <v>11319</v>
      </c>
      <c r="C3957" s="407">
        <v>120</v>
      </c>
      <c r="D3957" s="408">
        <v>45447</v>
      </c>
      <c r="E3957" s="420" t="s">
        <v>12120</v>
      </c>
    </row>
    <row r="3958" spans="2:5">
      <c r="B3958" s="414" t="s">
        <v>11319</v>
      </c>
      <c r="C3958" s="407">
        <v>118</v>
      </c>
      <c r="D3958" s="408">
        <v>45447</v>
      </c>
      <c r="E3958" s="420" t="s">
        <v>12121</v>
      </c>
    </row>
    <row r="3959" spans="2:5">
      <c r="B3959" s="414" t="s">
        <v>11319</v>
      </c>
      <c r="C3959" s="407">
        <v>116</v>
      </c>
      <c r="D3959" s="408">
        <v>45447</v>
      </c>
      <c r="E3959" s="420"/>
    </row>
    <row r="3960" spans="2:5">
      <c r="B3960" s="414" t="s">
        <v>11319</v>
      </c>
      <c r="C3960" s="407">
        <v>104</v>
      </c>
      <c r="D3960" s="408">
        <v>45447</v>
      </c>
      <c r="E3960" s="420" t="s">
        <v>12122</v>
      </c>
    </row>
    <row r="3961" spans="2:5">
      <c r="B3961" s="414" t="s">
        <v>11319</v>
      </c>
      <c r="C3961" s="407">
        <v>93</v>
      </c>
      <c r="D3961" s="408">
        <v>45447</v>
      </c>
      <c r="E3961" s="420"/>
    </row>
    <row r="3962" spans="2:5">
      <c r="B3962" s="414" t="s">
        <v>11319</v>
      </c>
      <c r="C3962" s="407">
        <v>92</v>
      </c>
      <c r="D3962" s="408">
        <v>45447</v>
      </c>
      <c r="E3962" s="420"/>
    </row>
    <row r="3963" spans="2:5">
      <c r="B3963" s="414" t="s">
        <v>11319</v>
      </c>
      <c r="C3963" s="407">
        <v>85</v>
      </c>
      <c r="D3963" s="408">
        <v>45447</v>
      </c>
      <c r="E3963" s="420"/>
    </row>
    <row r="3964" spans="2:5">
      <c r="B3964" s="414" t="s">
        <v>11319</v>
      </c>
      <c r="C3964" s="407">
        <v>83</v>
      </c>
      <c r="D3964" s="408">
        <v>45447</v>
      </c>
      <c r="E3964" s="420"/>
    </row>
    <row r="3965" spans="2:5">
      <c r="B3965" s="414" t="s">
        <v>11319</v>
      </c>
      <c r="C3965" s="407">
        <v>81</v>
      </c>
      <c r="D3965" s="408">
        <v>45447</v>
      </c>
      <c r="E3965" s="420" t="s">
        <v>12123</v>
      </c>
    </row>
    <row r="3966" spans="2:5">
      <c r="B3966" s="414" t="s">
        <v>11319</v>
      </c>
      <c r="C3966" s="407">
        <v>80</v>
      </c>
      <c r="D3966" s="408">
        <v>45447</v>
      </c>
      <c r="E3966" s="420" t="s">
        <v>12124</v>
      </c>
    </row>
    <row r="3967" spans="2:5">
      <c r="B3967" s="414" t="s">
        <v>11319</v>
      </c>
      <c r="C3967" s="407">
        <v>79</v>
      </c>
      <c r="D3967" s="408">
        <v>45447</v>
      </c>
      <c r="E3967" s="420" t="s">
        <v>12125</v>
      </c>
    </row>
    <row r="3968" spans="2:5">
      <c r="B3968" s="414" t="s">
        <v>11319</v>
      </c>
      <c r="C3968" s="407">
        <v>75</v>
      </c>
      <c r="D3968" s="408">
        <v>45447</v>
      </c>
      <c r="E3968" s="420" t="s">
        <v>12126</v>
      </c>
    </row>
    <row r="3969" spans="2:5">
      <c r="B3969" s="414" t="s">
        <v>11319</v>
      </c>
      <c r="C3969" s="407">
        <v>73</v>
      </c>
      <c r="D3969" s="408">
        <v>45447</v>
      </c>
      <c r="E3969" s="420" t="s">
        <v>12127</v>
      </c>
    </row>
    <row r="3970" spans="2:5">
      <c r="B3970" s="414" t="s">
        <v>11319</v>
      </c>
      <c r="C3970" s="407">
        <v>71</v>
      </c>
      <c r="D3970" s="408">
        <v>45447</v>
      </c>
      <c r="E3970" s="420"/>
    </row>
    <row r="3971" spans="2:5">
      <c r="B3971" s="414" t="s">
        <v>11319</v>
      </c>
      <c r="C3971" s="407">
        <v>69</v>
      </c>
      <c r="D3971" s="408">
        <v>45447</v>
      </c>
      <c r="E3971" s="420"/>
    </row>
    <row r="3972" spans="2:5">
      <c r="B3972" s="414" t="s">
        <v>11319</v>
      </c>
      <c r="C3972" s="407">
        <v>62</v>
      </c>
      <c r="D3972" s="408">
        <v>45447</v>
      </c>
      <c r="E3972" s="420"/>
    </row>
    <row r="3973" spans="2:5">
      <c r="B3973" s="414" t="s">
        <v>11319</v>
      </c>
      <c r="C3973" s="407">
        <v>61</v>
      </c>
      <c r="D3973" s="408">
        <v>45447</v>
      </c>
      <c r="E3973" s="420" t="s">
        <v>12128</v>
      </c>
    </row>
    <row r="3974" spans="2:5">
      <c r="B3974" s="414" t="s">
        <v>11319</v>
      </c>
      <c r="C3974" s="407">
        <v>60</v>
      </c>
      <c r="D3974" s="408">
        <v>45447</v>
      </c>
      <c r="E3974" s="420"/>
    </row>
    <row r="3975" spans="2:5">
      <c r="B3975" s="414" t="s">
        <v>11319</v>
      </c>
      <c r="C3975" s="407">
        <v>59</v>
      </c>
      <c r="D3975" s="408">
        <v>45447</v>
      </c>
      <c r="E3975" s="420"/>
    </row>
    <row r="3976" spans="2:5">
      <c r="B3976" s="414" t="s">
        <v>11319</v>
      </c>
      <c r="C3976" s="407">
        <v>57</v>
      </c>
      <c r="D3976" s="408">
        <v>45447</v>
      </c>
      <c r="E3976" s="420"/>
    </row>
    <row r="3977" spans="2:5">
      <c r="B3977" s="414" t="s">
        <v>11319</v>
      </c>
      <c r="C3977" s="407">
        <v>54</v>
      </c>
      <c r="D3977" s="408">
        <v>45447</v>
      </c>
      <c r="E3977" s="420"/>
    </row>
    <row r="3978" spans="2:5">
      <c r="B3978" s="414" t="s">
        <v>11319</v>
      </c>
      <c r="C3978" s="407">
        <v>53</v>
      </c>
      <c r="D3978" s="408">
        <v>45447</v>
      </c>
      <c r="E3978" s="420"/>
    </row>
    <row r="3979" spans="2:5">
      <c r="B3979" s="414" t="s">
        <v>11319</v>
      </c>
      <c r="C3979" s="407">
        <v>49</v>
      </c>
      <c r="D3979" s="408">
        <v>45447</v>
      </c>
      <c r="E3979" s="420"/>
    </row>
    <row r="3980" spans="2:5">
      <c r="B3980" s="414" t="s">
        <v>11319</v>
      </c>
      <c r="C3980" s="407">
        <v>48</v>
      </c>
      <c r="D3980" s="408">
        <v>45447</v>
      </c>
      <c r="E3980" s="420"/>
    </row>
    <row r="3981" spans="2:5">
      <c r="B3981" s="414" t="s">
        <v>11319</v>
      </c>
      <c r="C3981" s="407">
        <v>47</v>
      </c>
      <c r="D3981" s="408">
        <v>45447</v>
      </c>
      <c r="E3981" s="420"/>
    </row>
    <row r="3982" spans="2:5">
      <c r="B3982" s="414" t="s">
        <v>11319</v>
      </c>
      <c r="C3982" s="407">
        <v>46</v>
      </c>
      <c r="D3982" s="408">
        <v>45447</v>
      </c>
      <c r="E3982" s="420"/>
    </row>
    <row r="3983" spans="2:5">
      <c r="B3983" s="414" t="s">
        <v>11319</v>
      </c>
      <c r="C3983" s="407">
        <v>45</v>
      </c>
      <c r="D3983" s="408">
        <v>45447</v>
      </c>
      <c r="E3983" s="420"/>
    </row>
    <row r="3984" spans="2:5">
      <c r="B3984" s="414" t="s">
        <v>11319</v>
      </c>
      <c r="C3984" s="407">
        <v>44</v>
      </c>
      <c r="D3984" s="408">
        <v>45447</v>
      </c>
      <c r="E3984" s="420"/>
    </row>
    <row r="3985" spans="2:5">
      <c r="B3985" s="414" t="s">
        <v>11319</v>
      </c>
      <c r="C3985" s="407">
        <v>36</v>
      </c>
      <c r="D3985" s="408">
        <v>45447</v>
      </c>
      <c r="E3985" s="420"/>
    </row>
    <row r="3986" spans="2:5">
      <c r="B3986" s="414" t="s">
        <v>11319</v>
      </c>
      <c r="C3986" s="407">
        <v>31</v>
      </c>
      <c r="D3986" s="408">
        <v>45447</v>
      </c>
      <c r="E3986" s="420"/>
    </row>
    <row r="3987" spans="2:5">
      <c r="B3987" s="414" t="s">
        <v>11319</v>
      </c>
      <c r="C3987" s="407">
        <v>30</v>
      </c>
      <c r="D3987" s="408">
        <v>45447</v>
      </c>
      <c r="E3987" s="420"/>
    </row>
    <row r="3988" spans="2:5">
      <c r="B3988" s="414" t="s">
        <v>11319</v>
      </c>
      <c r="C3988" s="407">
        <v>28</v>
      </c>
      <c r="D3988" s="408">
        <v>45447</v>
      </c>
      <c r="E3988" s="420"/>
    </row>
    <row r="3989" spans="2:5">
      <c r="B3989" s="414" t="s">
        <v>11319</v>
      </c>
      <c r="C3989" s="407">
        <v>27</v>
      </c>
      <c r="D3989" s="408">
        <v>45447</v>
      </c>
      <c r="E3989" s="420"/>
    </row>
    <row r="3990" spans="2:5">
      <c r="B3990" s="414" t="s">
        <v>11319</v>
      </c>
      <c r="C3990" s="407">
        <v>24</v>
      </c>
      <c r="D3990" s="408">
        <v>45447</v>
      </c>
      <c r="E3990" s="420"/>
    </row>
    <row r="3991" spans="2:5">
      <c r="B3991" s="414" t="s">
        <v>11319</v>
      </c>
      <c r="C3991" s="407">
        <v>13</v>
      </c>
      <c r="D3991" s="408">
        <v>45447</v>
      </c>
      <c r="E3991" s="420"/>
    </row>
    <row r="3992" spans="2:5">
      <c r="B3992" s="414" t="s">
        <v>11319</v>
      </c>
      <c r="C3992" s="407">
        <v>4</v>
      </c>
      <c r="D3992" s="408">
        <v>45447</v>
      </c>
      <c r="E3992" s="420"/>
    </row>
    <row r="3993" spans="2:5">
      <c r="B3993" s="414" t="s">
        <v>11319</v>
      </c>
      <c r="C3993" s="407">
        <v>1</v>
      </c>
      <c r="D3993" s="408">
        <v>45447</v>
      </c>
      <c r="E3993" s="420"/>
    </row>
    <row r="3994" spans="2:5">
      <c r="B3994" s="406" t="s">
        <v>9829</v>
      </c>
      <c r="C3994" s="407">
        <v>21070</v>
      </c>
      <c r="D3994" s="408">
        <v>45446</v>
      </c>
      <c r="E3994" s="414" t="s">
        <v>11069</v>
      </c>
    </row>
    <row r="3995" spans="2:5">
      <c r="B3995" s="406" t="s">
        <v>9829</v>
      </c>
      <c r="C3995" s="407">
        <v>21064</v>
      </c>
      <c r="D3995" s="408">
        <v>45446</v>
      </c>
      <c r="E3995" s="414" t="s">
        <v>10972</v>
      </c>
    </row>
    <row r="3996" spans="2:5">
      <c r="B3996" s="406" t="s">
        <v>9829</v>
      </c>
      <c r="C3996" s="407">
        <v>21063</v>
      </c>
      <c r="D3996" s="408">
        <v>45446</v>
      </c>
      <c r="E3996" s="414" t="s">
        <v>10973</v>
      </c>
    </row>
    <row r="3997" spans="2:5">
      <c r="B3997" s="406" t="s">
        <v>9829</v>
      </c>
      <c r="C3997" s="407">
        <v>21061</v>
      </c>
      <c r="D3997" s="408">
        <v>45446</v>
      </c>
      <c r="E3997" s="414" t="s">
        <v>10974</v>
      </c>
    </row>
    <row r="3998" spans="2:5">
      <c r="B3998" s="406" t="s">
        <v>9829</v>
      </c>
      <c r="C3998" s="407">
        <v>21060</v>
      </c>
      <c r="D3998" s="408">
        <v>45446</v>
      </c>
      <c r="E3998" s="414" t="s">
        <v>10975</v>
      </c>
    </row>
    <row r="3999" spans="2:5">
      <c r="B3999" s="406" t="s">
        <v>9829</v>
      </c>
      <c r="C3999" s="407">
        <v>21050</v>
      </c>
      <c r="D3999" s="408">
        <v>45446</v>
      </c>
      <c r="E3999" s="414" t="s">
        <v>11070</v>
      </c>
    </row>
    <row r="4000" spans="2:5">
      <c r="B4000" s="406" t="s">
        <v>9829</v>
      </c>
      <c r="C4000" s="407">
        <v>21047</v>
      </c>
      <c r="D4000" s="408">
        <v>45446</v>
      </c>
      <c r="E4000" s="414" t="s">
        <v>11071</v>
      </c>
    </row>
    <row r="4001" spans="2:5">
      <c r="B4001" s="406" t="s">
        <v>9829</v>
      </c>
      <c r="C4001" s="407">
        <v>21046</v>
      </c>
      <c r="D4001" s="408">
        <v>45446</v>
      </c>
      <c r="E4001" s="414" t="s">
        <v>10976</v>
      </c>
    </row>
    <row r="4002" spans="2:5">
      <c r="B4002" s="406" t="s">
        <v>9829</v>
      </c>
      <c r="C4002" s="407">
        <v>21045</v>
      </c>
      <c r="D4002" s="408">
        <v>45446</v>
      </c>
      <c r="E4002" s="414" t="s">
        <v>10977</v>
      </c>
    </row>
    <row r="4003" spans="2:5">
      <c r="B4003" s="406" t="s">
        <v>9829</v>
      </c>
      <c r="C4003" s="407">
        <v>21043</v>
      </c>
      <c r="D4003" s="408">
        <v>45446</v>
      </c>
      <c r="E4003" s="414" t="s">
        <v>10978</v>
      </c>
    </row>
    <row r="4004" spans="2:5">
      <c r="B4004" s="406" t="s">
        <v>9829</v>
      </c>
      <c r="C4004" s="407">
        <v>21042</v>
      </c>
      <c r="D4004" s="408">
        <v>45446</v>
      </c>
      <c r="E4004" s="414" t="s">
        <v>10979</v>
      </c>
    </row>
    <row r="4005" spans="2:5">
      <c r="B4005" s="406" t="s">
        <v>9829</v>
      </c>
      <c r="C4005" s="407">
        <v>21036</v>
      </c>
      <c r="D4005" s="408">
        <v>45446</v>
      </c>
      <c r="E4005" s="414" t="s">
        <v>10980</v>
      </c>
    </row>
    <row r="4006" spans="2:5">
      <c r="B4006" s="406" t="s">
        <v>9829</v>
      </c>
      <c r="C4006" s="407">
        <v>21027</v>
      </c>
      <c r="D4006" s="408">
        <v>45446</v>
      </c>
      <c r="E4006" s="414" t="s">
        <v>11072</v>
      </c>
    </row>
    <row r="4007" spans="2:5">
      <c r="B4007" s="406" t="s">
        <v>9829</v>
      </c>
      <c r="C4007" s="407">
        <v>21021</v>
      </c>
      <c r="D4007" s="408">
        <v>45446</v>
      </c>
      <c r="E4007" s="414" t="s">
        <v>10981</v>
      </c>
    </row>
    <row r="4008" spans="2:5">
      <c r="B4008" s="406" t="s">
        <v>9829</v>
      </c>
      <c r="C4008" s="407">
        <v>21018</v>
      </c>
      <c r="D4008" s="408">
        <v>45446</v>
      </c>
      <c r="E4008" s="414" t="s">
        <v>10982</v>
      </c>
    </row>
    <row r="4009" spans="2:5">
      <c r="B4009" s="406" t="s">
        <v>9829</v>
      </c>
      <c r="C4009" s="407">
        <v>21012</v>
      </c>
      <c r="D4009" s="408">
        <v>45446</v>
      </c>
      <c r="E4009" s="414" t="s">
        <v>10983</v>
      </c>
    </row>
    <row r="4010" spans="2:5">
      <c r="B4010" s="406" t="s">
        <v>9829</v>
      </c>
      <c r="C4010" s="407">
        <v>21003</v>
      </c>
      <c r="D4010" s="408">
        <v>45446</v>
      </c>
      <c r="E4010" s="414" t="s">
        <v>10984</v>
      </c>
    </row>
    <row r="4011" spans="2:5">
      <c r="B4011" s="406" t="s">
        <v>9829</v>
      </c>
      <c r="C4011" s="407">
        <v>20993</v>
      </c>
      <c r="D4011" s="408">
        <v>45446</v>
      </c>
      <c r="E4011" s="414" t="s">
        <v>11073</v>
      </c>
    </row>
    <row r="4012" spans="2:5">
      <c r="B4012" s="406" t="s">
        <v>9829</v>
      </c>
      <c r="C4012" s="407">
        <v>20991</v>
      </c>
      <c r="D4012" s="408">
        <v>45446</v>
      </c>
      <c r="E4012" s="414" t="s">
        <v>11074</v>
      </c>
    </row>
    <row r="4013" spans="2:5">
      <c r="B4013" s="406" t="s">
        <v>9829</v>
      </c>
      <c r="C4013" s="407">
        <v>20990</v>
      </c>
      <c r="D4013" s="408">
        <v>45446</v>
      </c>
      <c r="E4013" s="414" t="s">
        <v>11075</v>
      </c>
    </row>
    <row r="4014" spans="2:5">
      <c r="B4014" s="406" t="s">
        <v>9829</v>
      </c>
      <c r="C4014" s="407">
        <v>20988</v>
      </c>
      <c r="D4014" s="408">
        <v>45446</v>
      </c>
      <c r="E4014" s="414" t="s">
        <v>10985</v>
      </c>
    </row>
    <row r="4015" spans="2:5">
      <c r="B4015" s="406" t="s">
        <v>9829</v>
      </c>
      <c r="C4015" s="407">
        <v>20987</v>
      </c>
      <c r="D4015" s="408">
        <v>45446</v>
      </c>
      <c r="E4015" s="414" t="s">
        <v>11076</v>
      </c>
    </row>
    <row r="4016" spans="2:5">
      <c r="B4016" s="406" t="s">
        <v>9829</v>
      </c>
      <c r="C4016" s="407">
        <v>20986</v>
      </c>
      <c r="D4016" s="408">
        <v>45446</v>
      </c>
      <c r="E4016" s="414" t="s">
        <v>10986</v>
      </c>
    </row>
    <row r="4017" spans="2:5">
      <c r="B4017" s="406" t="s">
        <v>9829</v>
      </c>
      <c r="C4017" s="407">
        <v>20984</v>
      </c>
      <c r="D4017" s="408">
        <v>45446</v>
      </c>
      <c r="E4017" s="414" t="s">
        <v>10987</v>
      </c>
    </row>
    <row r="4018" spans="2:5">
      <c r="B4018" s="406" t="s">
        <v>9829</v>
      </c>
      <c r="C4018" s="407">
        <v>20980</v>
      </c>
      <c r="D4018" s="408">
        <v>45446</v>
      </c>
      <c r="E4018" s="414" t="s">
        <v>11077</v>
      </c>
    </row>
    <row r="4019" spans="2:5">
      <c r="B4019" s="406" t="s">
        <v>9829</v>
      </c>
      <c r="C4019" s="407">
        <v>20975</v>
      </c>
      <c r="D4019" s="408">
        <v>45446</v>
      </c>
      <c r="E4019" s="414" t="s">
        <v>11078</v>
      </c>
    </row>
    <row r="4020" spans="2:5">
      <c r="B4020" s="406" t="s">
        <v>9829</v>
      </c>
      <c r="C4020" s="407">
        <v>20974</v>
      </c>
      <c r="D4020" s="408">
        <v>45446</v>
      </c>
      <c r="E4020" s="414" t="s">
        <v>11079</v>
      </c>
    </row>
    <row r="4021" spans="2:5">
      <c r="B4021" s="406" t="s">
        <v>9829</v>
      </c>
      <c r="C4021" s="407">
        <v>20973</v>
      </c>
      <c r="D4021" s="408">
        <v>45446</v>
      </c>
      <c r="E4021" s="414" t="s">
        <v>10988</v>
      </c>
    </row>
    <row r="4022" spans="2:5">
      <c r="B4022" s="406" t="s">
        <v>9829</v>
      </c>
      <c r="C4022" s="407">
        <v>20971</v>
      </c>
      <c r="D4022" s="408">
        <v>45446</v>
      </c>
      <c r="E4022" s="414" t="s">
        <v>10989</v>
      </c>
    </row>
    <row r="4023" spans="2:5">
      <c r="B4023" s="406" t="s">
        <v>9829</v>
      </c>
      <c r="C4023" s="407">
        <v>20970</v>
      </c>
      <c r="D4023" s="408">
        <v>45446</v>
      </c>
      <c r="E4023" s="414" t="s">
        <v>11080</v>
      </c>
    </row>
    <row r="4024" spans="2:5">
      <c r="B4024" s="406" t="s">
        <v>9829</v>
      </c>
      <c r="C4024" s="407">
        <v>20954</v>
      </c>
      <c r="D4024" s="408">
        <v>45446</v>
      </c>
      <c r="E4024" s="414" t="s">
        <v>10990</v>
      </c>
    </row>
    <row r="4025" spans="2:5">
      <c r="B4025" s="406" t="s">
        <v>9829</v>
      </c>
      <c r="C4025" s="407">
        <v>20935</v>
      </c>
      <c r="D4025" s="408">
        <v>45446</v>
      </c>
      <c r="E4025" s="414" t="s">
        <v>10991</v>
      </c>
    </row>
    <row r="4026" spans="2:5">
      <c r="B4026" s="406" t="s">
        <v>9829</v>
      </c>
      <c r="C4026" s="407">
        <v>20933</v>
      </c>
      <c r="D4026" s="408">
        <v>45446</v>
      </c>
      <c r="E4026" s="414" t="s">
        <v>10992</v>
      </c>
    </row>
    <row r="4027" spans="2:5">
      <c r="B4027" s="406" t="s">
        <v>9829</v>
      </c>
      <c r="C4027" s="407">
        <v>20917</v>
      </c>
      <c r="D4027" s="408">
        <v>45446</v>
      </c>
      <c r="E4027" s="414" t="s">
        <v>11081</v>
      </c>
    </row>
    <row r="4028" spans="2:5">
      <c r="B4028" s="406" t="s">
        <v>9829</v>
      </c>
      <c r="C4028" s="407">
        <v>20915</v>
      </c>
      <c r="D4028" s="408">
        <v>45446</v>
      </c>
      <c r="E4028" s="414" t="s">
        <v>10993</v>
      </c>
    </row>
    <row r="4029" spans="2:5">
      <c r="B4029" s="406" t="s">
        <v>9829</v>
      </c>
      <c r="C4029" s="407">
        <v>20905</v>
      </c>
      <c r="D4029" s="408">
        <v>45446</v>
      </c>
      <c r="E4029" s="414" t="s">
        <v>10994</v>
      </c>
    </row>
    <row r="4030" spans="2:5">
      <c r="B4030" s="406" t="s">
        <v>9829</v>
      </c>
      <c r="C4030" s="407">
        <v>20887</v>
      </c>
      <c r="D4030" s="408">
        <v>45446</v>
      </c>
      <c r="E4030" s="414" t="s">
        <v>11082</v>
      </c>
    </row>
    <row r="4031" spans="2:5">
      <c r="B4031" s="406" t="s">
        <v>9829</v>
      </c>
      <c r="C4031" s="407">
        <v>20882</v>
      </c>
      <c r="D4031" s="408">
        <v>45446</v>
      </c>
      <c r="E4031" s="414" t="s">
        <v>10995</v>
      </c>
    </row>
    <row r="4032" spans="2:5">
      <c r="B4032" s="406" t="s">
        <v>9829</v>
      </c>
      <c r="C4032" s="407">
        <v>20879</v>
      </c>
      <c r="D4032" s="408">
        <v>45446</v>
      </c>
      <c r="E4032" s="414" t="s">
        <v>10996</v>
      </c>
    </row>
    <row r="4033" spans="2:5">
      <c r="B4033" s="406" t="s">
        <v>9829</v>
      </c>
      <c r="C4033" s="407">
        <v>20877</v>
      </c>
      <c r="D4033" s="408">
        <v>45446</v>
      </c>
      <c r="E4033" s="414" t="s">
        <v>11083</v>
      </c>
    </row>
    <row r="4034" spans="2:5">
      <c r="B4034" s="406" t="s">
        <v>9829</v>
      </c>
      <c r="C4034" s="407">
        <v>20860</v>
      </c>
      <c r="D4034" s="408">
        <v>45446</v>
      </c>
      <c r="E4034" s="414" t="s">
        <v>10997</v>
      </c>
    </row>
    <row r="4035" spans="2:5">
      <c r="B4035" s="406" t="s">
        <v>9829</v>
      </c>
      <c r="C4035" s="407">
        <v>20848</v>
      </c>
      <c r="D4035" s="408">
        <v>45446</v>
      </c>
      <c r="E4035" s="414" t="s">
        <v>11084</v>
      </c>
    </row>
    <row r="4036" spans="2:5">
      <c r="B4036" s="406" t="s">
        <v>9829</v>
      </c>
      <c r="C4036" s="407">
        <v>20838</v>
      </c>
      <c r="D4036" s="408">
        <v>45446</v>
      </c>
      <c r="E4036" s="414" t="s">
        <v>10998</v>
      </c>
    </row>
    <row r="4037" spans="2:5">
      <c r="B4037" s="406" t="s">
        <v>9829</v>
      </c>
      <c r="C4037" s="407">
        <v>20836</v>
      </c>
      <c r="D4037" s="408">
        <v>45446</v>
      </c>
      <c r="E4037" s="414" t="s">
        <v>11085</v>
      </c>
    </row>
    <row r="4038" spans="2:5">
      <c r="B4038" s="406" t="s">
        <v>9829</v>
      </c>
      <c r="C4038" s="407">
        <v>20835</v>
      </c>
      <c r="D4038" s="408">
        <v>45446</v>
      </c>
      <c r="E4038" s="414" t="s">
        <v>10999</v>
      </c>
    </row>
    <row r="4039" spans="2:5">
      <c r="B4039" s="406" t="s">
        <v>9829</v>
      </c>
      <c r="C4039" s="407">
        <v>20830</v>
      </c>
      <c r="D4039" s="408">
        <v>45446</v>
      </c>
      <c r="E4039" s="414" t="s">
        <v>11086</v>
      </c>
    </row>
    <row r="4040" spans="2:5">
      <c r="B4040" s="406" t="s">
        <v>9829</v>
      </c>
      <c r="C4040" s="407">
        <v>20829</v>
      </c>
      <c r="D4040" s="408">
        <v>45446</v>
      </c>
      <c r="E4040" s="414" t="s">
        <v>11087</v>
      </c>
    </row>
    <row r="4041" spans="2:5">
      <c r="B4041" s="406" t="s">
        <v>9829</v>
      </c>
      <c r="C4041" s="407">
        <v>20825</v>
      </c>
      <c r="D4041" s="408">
        <v>45446</v>
      </c>
      <c r="E4041" s="414" t="s">
        <v>11088</v>
      </c>
    </row>
    <row r="4042" spans="2:5">
      <c r="B4042" s="406" t="s">
        <v>9829</v>
      </c>
      <c r="C4042" s="407">
        <v>20824</v>
      </c>
      <c r="D4042" s="408">
        <v>45446</v>
      </c>
      <c r="E4042" s="414" t="s">
        <v>11000</v>
      </c>
    </row>
    <row r="4043" spans="2:5">
      <c r="B4043" s="406" t="s">
        <v>9829</v>
      </c>
      <c r="C4043" s="407">
        <v>20821</v>
      </c>
      <c r="D4043" s="408">
        <v>45446</v>
      </c>
      <c r="E4043" s="414" t="s">
        <v>11001</v>
      </c>
    </row>
    <row r="4044" spans="2:5">
      <c r="B4044" s="406" t="s">
        <v>9829</v>
      </c>
      <c r="C4044" s="407">
        <v>20808</v>
      </c>
      <c r="D4044" s="408">
        <v>45446</v>
      </c>
      <c r="E4044" s="414" t="s">
        <v>11089</v>
      </c>
    </row>
    <row r="4045" spans="2:5">
      <c r="B4045" s="406" t="s">
        <v>9829</v>
      </c>
      <c r="C4045" s="407">
        <v>20800</v>
      </c>
      <c r="D4045" s="408">
        <v>45446</v>
      </c>
      <c r="E4045" s="414" t="s">
        <v>11002</v>
      </c>
    </row>
    <row r="4046" spans="2:5">
      <c r="B4046" s="406" t="s">
        <v>9829</v>
      </c>
      <c r="C4046" s="407">
        <v>20799</v>
      </c>
      <c r="D4046" s="408">
        <v>45446</v>
      </c>
      <c r="E4046" s="414" t="s">
        <v>11090</v>
      </c>
    </row>
    <row r="4047" spans="2:5">
      <c r="B4047" s="406" t="s">
        <v>9829</v>
      </c>
      <c r="C4047" s="407">
        <v>20797</v>
      </c>
      <c r="D4047" s="408">
        <v>45446</v>
      </c>
      <c r="E4047" s="414" t="s">
        <v>11091</v>
      </c>
    </row>
    <row r="4048" spans="2:5">
      <c r="B4048" s="406" t="s">
        <v>9829</v>
      </c>
      <c r="C4048" s="407">
        <v>20794</v>
      </c>
      <c r="D4048" s="408">
        <v>45446</v>
      </c>
      <c r="E4048" s="414" t="s">
        <v>11003</v>
      </c>
    </row>
    <row r="4049" spans="2:5">
      <c r="B4049" s="406" t="s">
        <v>9829</v>
      </c>
      <c r="C4049" s="407">
        <v>20791</v>
      </c>
      <c r="D4049" s="408">
        <v>45446</v>
      </c>
      <c r="E4049" s="414" t="s">
        <v>11092</v>
      </c>
    </row>
    <row r="4050" spans="2:5">
      <c r="B4050" s="406" t="s">
        <v>9829</v>
      </c>
      <c r="C4050" s="407">
        <v>20790</v>
      </c>
      <c r="D4050" s="408">
        <v>45446</v>
      </c>
      <c r="E4050" s="414" t="s">
        <v>11007</v>
      </c>
    </row>
    <row r="4051" spans="2:5">
      <c r="B4051" s="406" t="s">
        <v>9829</v>
      </c>
      <c r="C4051" s="407">
        <v>20778</v>
      </c>
      <c r="D4051" s="408">
        <v>45446</v>
      </c>
      <c r="E4051" s="414" t="s">
        <v>11093</v>
      </c>
    </row>
    <row r="4052" spans="2:5">
      <c r="B4052" s="406" t="s">
        <v>9829</v>
      </c>
      <c r="C4052" s="407">
        <v>20777</v>
      </c>
      <c r="D4052" s="408">
        <v>45446</v>
      </c>
      <c r="E4052" s="414" t="s">
        <v>11094</v>
      </c>
    </row>
    <row r="4053" spans="2:5">
      <c r="B4053" s="406" t="s">
        <v>9829</v>
      </c>
      <c r="C4053" s="407">
        <v>20776</v>
      </c>
      <c r="D4053" s="408">
        <v>45446</v>
      </c>
      <c r="E4053" s="414" t="s">
        <v>11095</v>
      </c>
    </row>
    <row r="4054" spans="2:5">
      <c r="B4054" s="406" t="s">
        <v>9829</v>
      </c>
      <c r="C4054" s="407">
        <v>20772</v>
      </c>
      <c r="D4054" s="408">
        <v>45446</v>
      </c>
      <c r="E4054" s="414" t="s">
        <v>11006</v>
      </c>
    </row>
    <row r="4055" spans="2:5">
      <c r="B4055" s="406" t="s">
        <v>9829</v>
      </c>
      <c r="C4055" s="407">
        <v>20771</v>
      </c>
      <c r="D4055" s="408">
        <v>45446</v>
      </c>
      <c r="E4055" s="414" t="s">
        <v>11096</v>
      </c>
    </row>
    <row r="4056" spans="2:5">
      <c r="B4056" s="406" t="s">
        <v>9829</v>
      </c>
      <c r="C4056" s="407">
        <v>20769</v>
      </c>
      <c r="D4056" s="408">
        <v>45446</v>
      </c>
      <c r="E4056" s="414" t="s">
        <v>11097</v>
      </c>
    </row>
    <row r="4057" spans="2:5">
      <c r="B4057" s="406" t="s">
        <v>9829</v>
      </c>
      <c r="C4057" s="407">
        <v>20768</v>
      </c>
      <c r="D4057" s="408">
        <v>45446</v>
      </c>
      <c r="E4057" s="414" t="s">
        <v>11098</v>
      </c>
    </row>
    <row r="4058" spans="2:5">
      <c r="B4058" s="406" t="s">
        <v>9829</v>
      </c>
      <c r="C4058" s="407">
        <v>20764</v>
      </c>
      <c r="D4058" s="408">
        <v>45453</v>
      </c>
      <c r="E4058" s="420" t="s">
        <v>12487</v>
      </c>
    </row>
    <row r="4059" spans="2:5">
      <c r="B4059" s="406" t="s">
        <v>9829</v>
      </c>
      <c r="C4059" s="407">
        <v>20763</v>
      </c>
      <c r="D4059" s="408">
        <v>45446</v>
      </c>
      <c r="E4059" s="414" t="s">
        <v>11005</v>
      </c>
    </row>
    <row r="4060" spans="2:5">
      <c r="B4060" s="406" t="s">
        <v>9829</v>
      </c>
      <c r="C4060" s="407">
        <v>20761</v>
      </c>
      <c r="D4060" s="408">
        <v>45446</v>
      </c>
      <c r="E4060" s="414" t="s">
        <v>11004</v>
      </c>
    </row>
    <row r="4061" spans="2:5">
      <c r="B4061" s="406" t="s">
        <v>9829</v>
      </c>
      <c r="C4061" s="407">
        <v>20759</v>
      </c>
      <c r="D4061" s="408">
        <v>45446</v>
      </c>
      <c r="E4061" s="414" t="s">
        <v>11008</v>
      </c>
    </row>
    <row r="4062" spans="2:5">
      <c r="B4062" s="406" t="s">
        <v>9829</v>
      </c>
      <c r="C4062" s="407">
        <v>20748</v>
      </c>
      <c r="D4062" s="408">
        <v>45446</v>
      </c>
      <c r="E4062" s="414" t="s">
        <v>11099</v>
      </c>
    </row>
    <row r="4063" spans="2:5">
      <c r="B4063" s="406" t="s">
        <v>9829</v>
      </c>
      <c r="C4063" s="407">
        <v>20743</v>
      </c>
      <c r="D4063" s="408">
        <v>45446</v>
      </c>
      <c r="E4063" s="414" t="s">
        <v>11100</v>
      </c>
    </row>
    <row r="4064" spans="2:5">
      <c r="B4064" s="406" t="s">
        <v>9829</v>
      </c>
      <c r="C4064" s="407">
        <v>20738</v>
      </c>
      <c r="D4064" s="408">
        <v>45446</v>
      </c>
      <c r="E4064" s="414" t="s">
        <v>11009</v>
      </c>
    </row>
    <row r="4065" spans="2:5">
      <c r="B4065" s="406" t="s">
        <v>9829</v>
      </c>
      <c r="C4065" s="407">
        <v>20731</v>
      </c>
      <c r="D4065" s="408">
        <v>45446</v>
      </c>
      <c r="E4065" s="414" t="s">
        <v>11101</v>
      </c>
    </row>
    <row r="4066" spans="2:5">
      <c r="B4066" s="406" t="s">
        <v>9829</v>
      </c>
      <c r="C4066" s="407">
        <v>20724</v>
      </c>
      <c r="D4066" s="408">
        <v>45446</v>
      </c>
      <c r="E4066" s="414" t="s">
        <v>11010</v>
      </c>
    </row>
    <row r="4067" spans="2:5">
      <c r="B4067" s="406" t="s">
        <v>9829</v>
      </c>
      <c r="C4067" s="407">
        <v>20717</v>
      </c>
      <c r="D4067" s="408">
        <v>45446</v>
      </c>
      <c r="E4067" s="414" t="s">
        <v>11102</v>
      </c>
    </row>
    <row r="4068" spans="2:5">
      <c r="B4068" s="406" t="s">
        <v>9829</v>
      </c>
      <c r="C4068" s="407">
        <v>20692</v>
      </c>
      <c r="D4068" s="408">
        <v>45446</v>
      </c>
      <c r="E4068" s="414" t="s">
        <v>11011</v>
      </c>
    </row>
    <row r="4069" spans="2:5">
      <c r="B4069" s="406" t="s">
        <v>9829</v>
      </c>
      <c r="C4069" s="407">
        <v>20690</v>
      </c>
      <c r="D4069" s="408">
        <v>45446</v>
      </c>
      <c r="E4069" s="414" t="s">
        <v>11012</v>
      </c>
    </row>
    <row r="4070" spans="2:5">
      <c r="B4070" s="406" t="s">
        <v>9829</v>
      </c>
      <c r="C4070" s="407">
        <v>20687</v>
      </c>
      <c r="D4070" s="408">
        <v>45446</v>
      </c>
      <c r="E4070" s="414" t="s">
        <v>11103</v>
      </c>
    </row>
    <row r="4071" spans="2:5">
      <c r="B4071" s="406" t="s">
        <v>9829</v>
      </c>
      <c r="C4071" s="407">
        <v>20685</v>
      </c>
      <c r="D4071" s="408">
        <v>45446</v>
      </c>
      <c r="E4071" s="414" t="s">
        <v>11013</v>
      </c>
    </row>
    <row r="4072" spans="2:5">
      <c r="B4072" s="406" t="s">
        <v>9829</v>
      </c>
      <c r="C4072" s="407">
        <v>20678</v>
      </c>
      <c r="D4072" s="408">
        <v>45446</v>
      </c>
      <c r="E4072" s="414" t="s">
        <v>11014</v>
      </c>
    </row>
    <row r="4073" spans="2:5">
      <c r="B4073" s="406" t="s">
        <v>9829</v>
      </c>
      <c r="C4073" s="407">
        <v>20677</v>
      </c>
      <c r="D4073" s="408">
        <v>45446</v>
      </c>
      <c r="E4073" s="414" t="s">
        <v>11015</v>
      </c>
    </row>
    <row r="4074" spans="2:5">
      <c r="B4074" s="406" t="s">
        <v>9829</v>
      </c>
      <c r="C4074" s="407">
        <v>20675</v>
      </c>
      <c r="D4074" s="408">
        <v>45446</v>
      </c>
      <c r="E4074" s="414" t="s">
        <v>11104</v>
      </c>
    </row>
    <row r="4075" spans="2:5">
      <c r="B4075" s="406" t="s">
        <v>9829</v>
      </c>
      <c r="C4075" s="407">
        <v>20671</v>
      </c>
      <c r="D4075" s="408">
        <v>45446</v>
      </c>
      <c r="E4075" s="414" t="s">
        <v>11018</v>
      </c>
    </row>
    <row r="4076" spans="2:5">
      <c r="B4076" s="406" t="s">
        <v>9829</v>
      </c>
      <c r="C4076" s="407">
        <v>20668</v>
      </c>
      <c r="D4076" s="408">
        <v>45446</v>
      </c>
      <c r="E4076" s="414" t="s">
        <v>11105</v>
      </c>
    </row>
    <row r="4077" spans="2:5">
      <c r="B4077" s="406" t="s">
        <v>9829</v>
      </c>
      <c r="C4077" s="407">
        <v>20664</v>
      </c>
      <c r="D4077" s="408">
        <v>45446</v>
      </c>
      <c r="E4077" s="414" t="s">
        <v>11017</v>
      </c>
    </row>
    <row r="4078" spans="2:5">
      <c r="B4078" s="406" t="s">
        <v>9829</v>
      </c>
      <c r="C4078" s="407">
        <v>20657</v>
      </c>
      <c r="D4078" s="408">
        <v>45453</v>
      </c>
      <c r="E4078" s="420" t="s">
        <v>12392</v>
      </c>
    </row>
    <row r="4079" spans="2:5">
      <c r="B4079" s="406" t="s">
        <v>9829</v>
      </c>
      <c r="C4079" s="407">
        <v>20652</v>
      </c>
      <c r="D4079" s="408">
        <v>45446</v>
      </c>
      <c r="E4079" s="414" t="s">
        <v>11016</v>
      </c>
    </row>
    <row r="4080" spans="2:5">
      <c r="B4080" s="406" t="s">
        <v>9829</v>
      </c>
      <c r="C4080" s="407">
        <v>20649</v>
      </c>
      <c r="D4080" s="408">
        <v>45446</v>
      </c>
      <c r="E4080" s="414" t="s">
        <v>11106</v>
      </c>
    </row>
    <row r="4081" spans="2:5">
      <c r="B4081" s="406" t="s">
        <v>9829</v>
      </c>
      <c r="C4081" s="407">
        <v>20648</v>
      </c>
      <c r="D4081" s="408">
        <v>45446</v>
      </c>
      <c r="E4081" s="414" t="s">
        <v>11107</v>
      </c>
    </row>
    <row r="4082" spans="2:5">
      <c r="B4082" s="406" t="s">
        <v>9829</v>
      </c>
      <c r="C4082" s="407">
        <v>20642</v>
      </c>
      <c r="D4082" s="408">
        <v>45446</v>
      </c>
      <c r="E4082" s="414" t="s">
        <v>11021</v>
      </c>
    </row>
    <row r="4083" spans="2:5">
      <c r="B4083" s="406" t="s">
        <v>9829</v>
      </c>
      <c r="C4083" s="407">
        <v>20640</v>
      </c>
      <c r="D4083" s="408">
        <v>45446</v>
      </c>
      <c r="E4083" s="414" t="s">
        <v>11020</v>
      </c>
    </row>
    <row r="4084" spans="2:5">
      <c r="B4084" s="406" t="s">
        <v>9829</v>
      </c>
      <c r="C4084" s="407">
        <v>20630</v>
      </c>
      <c r="D4084" s="408">
        <v>45446</v>
      </c>
      <c r="E4084" s="414" t="s">
        <v>11019</v>
      </c>
    </row>
    <row r="4085" spans="2:5">
      <c r="B4085" s="406" t="s">
        <v>9829</v>
      </c>
      <c r="C4085" s="407">
        <v>20623</v>
      </c>
      <c r="D4085" s="408">
        <v>45446</v>
      </c>
      <c r="E4085" s="414" t="s">
        <v>11022</v>
      </c>
    </row>
    <row r="4086" spans="2:5">
      <c r="B4086" s="406" t="s">
        <v>9829</v>
      </c>
      <c r="C4086" s="407">
        <v>20622</v>
      </c>
      <c r="D4086" s="408">
        <v>45446</v>
      </c>
      <c r="E4086" s="414" t="s">
        <v>11023</v>
      </c>
    </row>
    <row r="4087" spans="2:5">
      <c r="B4087" s="406" t="s">
        <v>9829</v>
      </c>
      <c r="C4087" s="407">
        <v>20620</v>
      </c>
      <c r="D4087" s="408">
        <v>45446</v>
      </c>
      <c r="E4087" s="414" t="s">
        <v>11024</v>
      </c>
    </row>
    <row r="4088" spans="2:5">
      <c r="B4088" s="406" t="s">
        <v>9829</v>
      </c>
      <c r="C4088" s="407">
        <v>20611</v>
      </c>
      <c r="D4088" s="408">
        <v>45446</v>
      </c>
      <c r="E4088" s="414" t="s">
        <v>11108</v>
      </c>
    </row>
    <row r="4089" spans="2:5">
      <c r="B4089" s="406" t="s">
        <v>9829</v>
      </c>
      <c r="C4089" s="407">
        <v>20606</v>
      </c>
      <c r="D4089" s="408">
        <v>45446</v>
      </c>
      <c r="E4089" s="414" t="s">
        <v>11109</v>
      </c>
    </row>
    <row r="4090" spans="2:5">
      <c r="B4090" s="406" t="s">
        <v>9829</v>
      </c>
      <c r="C4090" s="407">
        <v>20605</v>
      </c>
      <c r="D4090" s="408">
        <v>45446</v>
      </c>
      <c r="E4090" s="414" t="s">
        <v>11025</v>
      </c>
    </row>
    <row r="4091" spans="2:5">
      <c r="B4091" s="406" t="s">
        <v>9829</v>
      </c>
      <c r="C4091" s="407">
        <v>20603</v>
      </c>
      <c r="D4091" s="408">
        <v>45446</v>
      </c>
      <c r="E4091" s="414" t="s">
        <v>11026</v>
      </c>
    </row>
    <row r="4092" spans="2:5">
      <c r="B4092" s="406" t="s">
        <v>9829</v>
      </c>
      <c r="C4092" s="407">
        <v>20602</v>
      </c>
      <c r="D4092" s="408">
        <v>45446</v>
      </c>
      <c r="E4092" s="414" t="s">
        <v>11027</v>
      </c>
    </row>
    <row r="4093" spans="2:5">
      <c r="B4093" s="406" t="s">
        <v>9829</v>
      </c>
      <c r="C4093" s="407">
        <v>20596</v>
      </c>
      <c r="D4093" s="408">
        <v>45446</v>
      </c>
      <c r="E4093" s="414" t="s">
        <v>11110</v>
      </c>
    </row>
    <row r="4094" spans="2:5">
      <c r="B4094" s="406" t="s">
        <v>9829</v>
      </c>
      <c r="C4094" s="407">
        <v>20594</v>
      </c>
      <c r="D4094" s="408">
        <v>45446</v>
      </c>
      <c r="E4094" s="414" t="s">
        <v>11028</v>
      </c>
    </row>
    <row r="4095" spans="2:5">
      <c r="B4095" s="406" t="s">
        <v>9829</v>
      </c>
      <c r="C4095" s="407">
        <v>20592</v>
      </c>
      <c r="D4095" s="408">
        <v>45446</v>
      </c>
      <c r="E4095" s="414" t="s">
        <v>11029</v>
      </c>
    </row>
    <row r="4096" spans="2:5">
      <c r="B4096" s="406" t="s">
        <v>9829</v>
      </c>
      <c r="C4096" s="407">
        <v>20591</v>
      </c>
      <c r="D4096" s="408">
        <v>45446</v>
      </c>
      <c r="E4096" s="414" t="s">
        <v>11111</v>
      </c>
    </row>
    <row r="4097" spans="2:5">
      <c r="B4097" s="406" t="s">
        <v>9829</v>
      </c>
      <c r="C4097" s="407">
        <v>20590</v>
      </c>
      <c r="D4097" s="408">
        <v>45446</v>
      </c>
      <c r="E4097" s="414" t="s">
        <v>11030</v>
      </c>
    </row>
    <row r="4098" spans="2:5">
      <c r="B4098" s="406" t="s">
        <v>9829</v>
      </c>
      <c r="C4098" s="407">
        <v>20589</v>
      </c>
      <c r="D4098" s="408">
        <v>45446</v>
      </c>
      <c r="E4098" s="414" t="s">
        <v>11031</v>
      </c>
    </row>
    <row r="4099" spans="2:5">
      <c r="B4099" s="406" t="s">
        <v>9829</v>
      </c>
      <c r="C4099" s="407">
        <v>20582</v>
      </c>
      <c r="D4099" s="408">
        <v>45446</v>
      </c>
      <c r="E4099" s="414" t="s">
        <v>11112</v>
      </c>
    </row>
    <row r="4100" spans="2:5">
      <c r="B4100" s="406" t="s">
        <v>9829</v>
      </c>
      <c r="C4100" s="407">
        <v>20579</v>
      </c>
      <c r="D4100" s="408">
        <v>45446</v>
      </c>
      <c r="E4100" s="414" t="s">
        <v>11113</v>
      </c>
    </row>
    <row r="4101" spans="2:5">
      <c r="B4101" s="406" t="s">
        <v>9829</v>
      </c>
      <c r="C4101" s="407">
        <v>20573</v>
      </c>
      <c r="D4101" s="408">
        <v>45446</v>
      </c>
      <c r="E4101" s="414" t="s">
        <v>11032</v>
      </c>
    </row>
    <row r="4102" spans="2:5">
      <c r="B4102" s="406" t="s">
        <v>9829</v>
      </c>
      <c r="C4102" s="407">
        <v>20568</v>
      </c>
      <c r="D4102" s="408">
        <v>45446</v>
      </c>
      <c r="E4102" s="414" t="s">
        <v>11033</v>
      </c>
    </row>
    <row r="4103" spans="2:5">
      <c r="B4103" s="406" t="s">
        <v>9829</v>
      </c>
      <c r="C4103" s="407">
        <v>20562</v>
      </c>
      <c r="D4103" s="408">
        <v>45446</v>
      </c>
      <c r="E4103" s="414" t="s">
        <v>11034</v>
      </c>
    </row>
    <row r="4104" spans="2:5">
      <c r="B4104" s="406" t="s">
        <v>9829</v>
      </c>
      <c r="C4104" s="407">
        <v>20556</v>
      </c>
      <c r="D4104" s="408">
        <v>45446</v>
      </c>
      <c r="E4104" s="414" t="s">
        <v>11035</v>
      </c>
    </row>
    <row r="4105" spans="2:5">
      <c r="B4105" s="406" t="s">
        <v>9829</v>
      </c>
      <c r="C4105" s="407">
        <v>20555</v>
      </c>
      <c r="D4105" s="408">
        <v>45446</v>
      </c>
      <c r="E4105" s="414" t="s">
        <v>11036</v>
      </c>
    </row>
    <row r="4106" spans="2:5">
      <c r="B4106" s="406" t="s">
        <v>9829</v>
      </c>
      <c r="C4106" s="407">
        <v>20551</v>
      </c>
      <c r="D4106" s="408">
        <v>45446</v>
      </c>
      <c r="E4106" s="414" t="s">
        <v>11114</v>
      </c>
    </row>
    <row r="4107" spans="2:5">
      <c r="B4107" s="406" t="s">
        <v>9829</v>
      </c>
      <c r="C4107" s="407">
        <v>20550</v>
      </c>
      <c r="D4107" s="408">
        <v>45446</v>
      </c>
      <c r="E4107" s="414" t="s">
        <v>11037</v>
      </c>
    </row>
    <row r="4108" spans="2:5">
      <c r="B4108" s="406" t="s">
        <v>9829</v>
      </c>
      <c r="C4108" s="407">
        <v>20543</v>
      </c>
      <c r="D4108" s="408">
        <v>45446</v>
      </c>
      <c r="E4108" s="414" t="s">
        <v>11038</v>
      </c>
    </row>
    <row r="4109" spans="2:5">
      <c r="B4109" s="406" t="s">
        <v>9829</v>
      </c>
      <c r="C4109" s="407">
        <v>20542</v>
      </c>
      <c r="D4109" s="408">
        <v>45446</v>
      </c>
      <c r="E4109" s="414" t="s">
        <v>11041</v>
      </c>
    </row>
    <row r="4110" spans="2:5">
      <c r="B4110" s="406" t="s">
        <v>9829</v>
      </c>
      <c r="C4110" s="407">
        <v>20541</v>
      </c>
      <c r="D4110" s="408">
        <v>45446</v>
      </c>
      <c r="E4110" s="414" t="s">
        <v>11040</v>
      </c>
    </row>
    <row r="4111" spans="2:5">
      <c r="B4111" s="406" t="s">
        <v>9829</v>
      </c>
      <c r="C4111" s="407">
        <v>20540</v>
      </c>
      <c r="D4111" s="408">
        <v>45446</v>
      </c>
      <c r="E4111" s="414" t="s">
        <v>11039</v>
      </c>
    </row>
    <row r="4112" spans="2:5">
      <c r="B4112" s="406" t="s">
        <v>9829</v>
      </c>
      <c r="C4112" s="407">
        <v>20539</v>
      </c>
      <c r="D4112" s="408">
        <v>45446</v>
      </c>
      <c r="E4112" s="414" t="s">
        <v>11042</v>
      </c>
    </row>
    <row r="4113" spans="2:5">
      <c r="B4113" s="406" t="s">
        <v>9829</v>
      </c>
      <c r="C4113" s="407">
        <v>20538</v>
      </c>
      <c r="D4113" s="408">
        <v>45446</v>
      </c>
      <c r="E4113" s="414" t="s">
        <v>11046</v>
      </c>
    </row>
    <row r="4114" spans="2:5">
      <c r="B4114" s="406" t="s">
        <v>9829</v>
      </c>
      <c r="C4114" s="407">
        <v>20534</v>
      </c>
      <c r="D4114" s="408">
        <v>45446</v>
      </c>
      <c r="E4114" s="414" t="s">
        <v>11045</v>
      </c>
    </row>
    <row r="4115" spans="2:5">
      <c r="B4115" s="406" t="s">
        <v>9829</v>
      </c>
      <c r="C4115" s="407">
        <v>20531</v>
      </c>
      <c r="D4115" s="408">
        <v>45446</v>
      </c>
      <c r="E4115" s="414" t="s">
        <v>11044</v>
      </c>
    </row>
    <row r="4116" spans="2:5">
      <c r="B4116" s="406" t="s">
        <v>9829</v>
      </c>
      <c r="C4116" s="407">
        <v>20516</v>
      </c>
      <c r="D4116" s="408">
        <v>45446</v>
      </c>
      <c r="E4116" s="414" t="s">
        <v>11043</v>
      </c>
    </row>
    <row r="4117" spans="2:5">
      <c r="B4117" s="406" t="s">
        <v>9829</v>
      </c>
      <c r="C4117" s="407">
        <v>20513</v>
      </c>
      <c r="D4117" s="408">
        <v>45446</v>
      </c>
      <c r="E4117" s="414" t="s">
        <v>11047</v>
      </c>
    </row>
    <row r="4118" spans="2:5">
      <c r="B4118" s="406" t="s">
        <v>9829</v>
      </c>
      <c r="C4118" s="407">
        <v>20512</v>
      </c>
      <c r="D4118" s="408">
        <v>45446</v>
      </c>
      <c r="E4118" s="414" t="s">
        <v>11115</v>
      </c>
    </row>
    <row r="4119" spans="2:5">
      <c r="B4119" s="406" t="s">
        <v>9829</v>
      </c>
      <c r="C4119" s="407">
        <v>20505</v>
      </c>
      <c r="D4119" s="408">
        <v>45446</v>
      </c>
      <c r="E4119" s="414" t="s">
        <v>11116</v>
      </c>
    </row>
    <row r="4120" spans="2:5">
      <c r="B4120" s="406" t="s">
        <v>9829</v>
      </c>
      <c r="C4120" s="407">
        <v>20504</v>
      </c>
      <c r="D4120" s="408">
        <v>45446</v>
      </c>
      <c r="E4120" s="414" t="s">
        <v>11048</v>
      </c>
    </row>
    <row r="4121" spans="2:5">
      <c r="B4121" s="406" t="s">
        <v>9829</v>
      </c>
      <c r="C4121" s="407">
        <v>20503</v>
      </c>
      <c r="D4121" s="408">
        <v>45446</v>
      </c>
      <c r="E4121" s="414" t="s">
        <v>11049</v>
      </c>
    </row>
    <row r="4122" spans="2:5">
      <c r="B4122" s="406" t="s">
        <v>9829</v>
      </c>
      <c r="C4122" s="407">
        <v>20501</v>
      </c>
      <c r="D4122" s="408">
        <v>45446</v>
      </c>
      <c r="E4122" s="414" t="s">
        <v>11117</v>
      </c>
    </row>
    <row r="4123" spans="2:5">
      <c r="B4123" s="406" t="s">
        <v>9829</v>
      </c>
      <c r="C4123" s="407">
        <v>20500</v>
      </c>
      <c r="D4123" s="408">
        <v>45446</v>
      </c>
      <c r="E4123" s="414" t="s">
        <v>11118</v>
      </c>
    </row>
    <row r="4124" spans="2:5">
      <c r="B4124" s="406" t="s">
        <v>9829</v>
      </c>
      <c r="C4124" s="407">
        <v>20495</v>
      </c>
      <c r="D4124" s="408">
        <v>45446</v>
      </c>
      <c r="E4124" s="414" t="s">
        <v>11119</v>
      </c>
    </row>
    <row r="4125" spans="2:5">
      <c r="B4125" s="406" t="s">
        <v>9829</v>
      </c>
      <c r="C4125" s="407">
        <v>20494</v>
      </c>
      <c r="D4125" s="408">
        <v>45446</v>
      </c>
      <c r="E4125" s="414" t="s">
        <v>11120</v>
      </c>
    </row>
    <row r="4126" spans="2:5">
      <c r="B4126" s="406" t="s">
        <v>9829</v>
      </c>
      <c r="C4126" s="407">
        <v>20486</v>
      </c>
      <c r="D4126" s="408">
        <v>45446</v>
      </c>
      <c r="E4126" s="414" t="s">
        <v>11050</v>
      </c>
    </row>
    <row r="4127" spans="2:5">
      <c r="B4127" s="406" t="s">
        <v>9829</v>
      </c>
      <c r="C4127" s="407">
        <v>20485</v>
      </c>
      <c r="D4127" s="408">
        <v>45446</v>
      </c>
      <c r="E4127" s="414" t="s">
        <v>11121</v>
      </c>
    </row>
    <row r="4128" spans="2:5">
      <c r="B4128" s="406" t="s">
        <v>9829</v>
      </c>
      <c r="C4128" s="407">
        <v>20482</v>
      </c>
      <c r="D4128" s="408">
        <v>45446</v>
      </c>
      <c r="E4128" s="414" t="s">
        <v>11051</v>
      </c>
    </row>
    <row r="4129" spans="2:5">
      <c r="B4129" s="406" t="s">
        <v>9829</v>
      </c>
      <c r="C4129" s="407">
        <v>20468</v>
      </c>
      <c r="D4129" s="408">
        <v>45446</v>
      </c>
      <c r="E4129" s="414" t="s">
        <v>11122</v>
      </c>
    </row>
    <row r="4130" spans="2:5">
      <c r="B4130" s="406" t="s">
        <v>9829</v>
      </c>
      <c r="C4130" s="407">
        <v>20467</v>
      </c>
      <c r="D4130" s="408">
        <v>45446</v>
      </c>
      <c r="E4130" s="414" t="s">
        <v>11052</v>
      </c>
    </row>
    <row r="4131" spans="2:5">
      <c r="B4131" s="406" t="s">
        <v>9829</v>
      </c>
      <c r="C4131" s="407">
        <v>20465</v>
      </c>
      <c r="D4131" s="408">
        <v>45446</v>
      </c>
      <c r="E4131" s="414" t="s">
        <v>11123</v>
      </c>
    </row>
    <row r="4132" spans="2:5">
      <c r="B4132" s="406" t="s">
        <v>9829</v>
      </c>
      <c r="C4132" s="407">
        <v>20456</v>
      </c>
      <c r="D4132" s="408">
        <v>45446</v>
      </c>
      <c r="E4132" s="414" t="s">
        <v>11053</v>
      </c>
    </row>
    <row r="4133" spans="2:5">
      <c r="B4133" s="406" t="s">
        <v>9829</v>
      </c>
      <c r="C4133" s="407">
        <v>20455</v>
      </c>
      <c r="D4133" s="408">
        <v>45453</v>
      </c>
      <c r="E4133" s="420" t="s">
        <v>12387</v>
      </c>
    </row>
    <row r="4134" spans="2:5">
      <c r="B4134" s="406" t="s">
        <v>9829</v>
      </c>
      <c r="C4134" s="407">
        <v>20452</v>
      </c>
      <c r="D4134" s="408">
        <v>45446</v>
      </c>
      <c r="E4134" s="414" t="s">
        <v>11054</v>
      </c>
    </row>
    <row r="4135" spans="2:5">
      <c r="B4135" s="406" t="s">
        <v>9829</v>
      </c>
      <c r="C4135" s="407">
        <v>20451</v>
      </c>
      <c r="D4135" s="408">
        <v>45446</v>
      </c>
      <c r="E4135" s="414" t="s">
        <v>11124</v>
      </c>
    </row>
    <row r="4136" spans="2:5">
      <c r="B4136" s="406" t="s">
        <v>9829</v>
      </c>
      <c r="C4136" s="407">
        <v>20448</v>
      </c>
      <c r="D4136" s="408">
        <v>45446</v>
      </c>
      <c r="E4136" s="414" t="s">
        <v>11056</v>
      </c>
    </row>
    <row r="4137" spans="2:5">
      <c r="B4137" s="406" t="s">
        <v>9829</v>
      </c>
      <c r="C4137" s="407">
        <v>20447</v>
      </c>
      <c r="D4137" s="408">
        <v>45446</v>
      </c>
      <c r="E4137" s="414" t="s">
        <v>11126</v>
      </c>
    </row>
    <row r="4138" spans="2:5">
      <c r="B4138" s="406" t="s">
        <v>9829</v>
      </c>
      <c r="C4138" s="407">
        <v>20446</v>
      </c>
      <c r="D4138" s="408">
        <v>45446</v>
      </c>
      <c r="E4138" s="414" t="s">
        <v>11125</v>
      </c>
    </row>
    <row r="4139" spans="2:5">
      <c r="B4139" s="406" t="s">
        <v>9829</v>
      </c>
      <c r="C4139" s="407">
        <v>20445</v>
      </c>
      <c r="D4139" s="408">
        <v>45446</v>
      </c>
      <c r="E4139" s="414" t="s">
        <v>11055</v>
      </c>
    </row>
    <row r="4140" spans="2:5">
      <c r="B4140" s="406" t="s">
        <v>9829</v>
      </c>
      <c r="C4140" s="407">
        <v>20439</v>
      </c>
      <c r="D4140" s="408">
        <v>45446</v>
      </c>
      <c r="E4140" s="414" t="s">
        <v>11060</v>
      </c>
    </row>
    <row r="4141" spans="2:5">
      <c r="B4141" s="406" t="s">
        <v>9829</v>
      </c>
      <c r="C4141" s="407">
        <v>20435</v>
      </c>
      <c r="D4141" s="408">
        <v>45446</v>
      </c>
      <c r="E4141" s="414" t="s">
        <v>11059</v>
      </c>
    </row>
    <row r="4142" spans="2:5">
      <c r="B4142" s="406" t="s">
        <v>9829</v>
      </c>
      <c r="C4142" s="407">
        <v>20431</v>
      </c>
      <c r="D4142" s="408">
        <v>45446</v>
      </c>
      <c r="E4142" s="414" t="s">
        <v>11058</v>
      </c>
    </row>
    <row r="4143" spans="2:5">
      <c r="B4143" s="406" t="s">
        <v>9829</v>
      </c>
      <c r="C4143" s="407">
        <v>20430</v>
      </c>
      <c r="D4143" s="408">
        <v>45446</v>
      </c>
      <c r="E4143" s="414" t="s">
        <v>11057</v>
      </c>
    </row>
    <row r="4144" spans="2:5">
      <c r="B4144" s="406" t="s">
        <v>9829</v>
      </c>
      <c r="C4144" s="407">
        <v>20420</v>
      </c>
      <c r="D4144" s="408">
        <v>45446</v>
      </c>
      <c r="E4144" s="414" t="s">
        <v>11066</v>
      </c>
    </row>
    <row r="4145" spans="2:5">
      <c r="B4145" s="406" t="s">
        <v>9829</v>
      </c>
      <c r="C4145" s="407">
        <v>20419</v>
      </c>
      <c r="D4145" s="408">
        <v>45446</v>
      </c>
      <c r="E4145" s="414" t="s">
        <v>11065</v>
      </c>
    </row>
    <row r="4146" spans="2:5">
      <c r="B4146" s="406" t="s">
        <v>9829</v>
      </c>
      <c r="C4146" s="407">
        <v>20414</v>
      </c>
      <c r="D4146" s="408">
        <v>45446</v>
      </c>
      <c r="E4146" s="414" t="s">
        <v>11064</v>
      </c>
    </row>
    <row r="4147" spans="2:5">
      <c r="B4147" s="406" t="s">
        <v>9829</v>
      </c>
      <c r="C4147" s="407">
        <v>20413</v>
      </c>
      <c r="D4147" s="408">
        <v>45446</v>
      </c>
      <c r="E4147" s="414" t="s">
        <v>11127</v>
      </c>
    </row>
    <row r="4148" spans="2:5">
      <c r="B4148" s="406" t="s">
        <v>9829</v>
      </c>
      <c r="C4148" s="407">
        <v>20412</v>
      </c>
      <c r="D4148" s="408">
        <v>45446</v>
      </c>
      <c r="E4148" s="414" t="s">
        <v>11128</v>
      </c>
    </row>
    <row r="4149" spans="2:5">
      <c r="B4149" s="406" t="s">
        <v>9829</v>
      </c>
      <c r="C4149" s="407">
        <v>20407</v>
      </c>
      <c r="D4149" s="408">
        <v>45446</v>
      </c>
      <c r="E4149" s="414" t="s">
        <v>11129</v>
      </c>
    </row>
    <row r="4150" spans="2:5">
      <c r="B4150" s="406" t="s">
        <v>9829</v>
      </c>
      <c r="C4150" s="407">
        <v>20405</v>
      </c>
      <c r="D4150" s="408">
        <v>45446</v>
      </c>
      <c r="E4150" s="414" t="s">
        <v>11130</v>
      </c>
    </row>
    <row r="4151" spans="2:5">
      <c r="B4151" s="406" t="s">
        <v>9829</v>
      </c>
      <c r="C4151" s="407">
        <v>20404</v>
      </c>
      <c r="D4151" s="408">
        <v>45446</v>
      </c>
      <c r="E4151" s="414" t="s">
        <v>11131</v>
      </c>
    </row>
    <row r="4152" spans="2:5">
      <c r="B4152" s="406" t="s">
        <v>9829</v>
      </c>
      <c r="C4152" s="407">
        <v>20400</v>
      </c>
      <c r="D4152" s="408">
        <v>45446</v>
      </c>
      <c r="E4152" s="414" t="s">
        <v>11132</v>
      </c>
    </row>
    <row r="4153" spans="2:5">
      <c r="B4153" s="406" t="s">
        <v>9829</v>
      </c>
      <c r="C4153" s="407">
        <v>20397</v>
      </c>
      <c r="D4153" s="408">
        <v>45446</v>
      </c>
      <c r="E4153" s="414" t="s">
        <v>11063</v>
      </c>
    </row>
    <row r="4154" spans="2:5">
      <c r="B4154" s="406" t="s">
        <v>9829</v>
      </c>
      <c r="C4154" s="407">
        <v>20390</v>
      </c>
      <c r="D4154" s="408">
        <v>45446</v>
      </c>
      <c r="E4154" s="414" t="s">
        <v>11062</v>
      </c>
    </row>
    <row r="4155" spans="2:5">
      <c r="B4155" s="406" t="s">
        <v>9829</v>
      </c>
      <c r="C4155" s="407">
        <v>20384</v>
      </c>
      <c r="D4155" s="408">
        <v>45446</v>
      </c>
      <c r="E4155" s="414" t="s">
        <v>11133</v>
      </c>
    </row>
    <row r="4156" spans="2:5">
      <c r="B4156" s="406" t="s">
        <v>9829</v>
      </c>
      <c r="C4156" s="407">
        <v>20358</v>
      </c>
      <c r="D4156" s="408">
        <v>45446</v>
      </c>
      <c r="E4156" s="414" t="s">
        <v>11061</v>
      </c>
    </row>
    <row r="4157" spans="2:5">
      <c r="B4157" s="406" t="s">
        <v>9829</v>
      </c>
      <c r="C4157" s="407">
        <v>20355</v>
      </c>
      <c r="D4157" s="408">
        <v>45446</v>
      </c>
      <c r="E4157" s="414" t="s">
        <v>11134</v>
      </c>
    </row>
    <row r="4158" spans="2:5">
      <c r="B4158" s="406" t="s">
        <v>9829</v>
      </c>
      <c r="C4158" s="407">
        <v>20354</v>
      </c>
      <c r="D4158" s="408">
        <v>45446</v>
      </c>
      <c r="E4158" s="414" t="s">
        <v>11135</v>
      </c>
    </row>
    <row r="4159" spans="2:5">
      <c r="B4159" s="406" t="s">
        <v>9829</v>
      </c>
      <c r="C4159" s="407">
        <v>20351</v>
      </c>
      <c r="D4159" s="408">
        <v>45446</v>
      </c>
      <c r="E4159" s="414" t="s">
        <v>11067</v>
      </c>
    </row>
    <row r="4160" spans="2:5">
      <c r="B4160" s="406" t="s">
        <v>9829</v>
      </c>
      <c r="C4160" s="407">
        <v>20350</v>
      </c>
      <c r="D4160" s="408">
        <v>45446</v>
      </c>
      <c r="E4160" s="414" t="s">
        <v>11068</v>
      </c>
    </row>
    <row r="4161" spans="2:5">
      <c r="B4161" s="406" t="s">
        <v>9829</v>
      </c>
      <c r="C4161" s="407">
        <v>20348</v>
      </c>
      <c r="D4161" s="408">
        <v>45446</v>
      </c>
      <c r="E4161" s="414" t="s">
        <v>11136</v>
      </c>
    </row>
    <row r="4162" spans="2:5">
      <c r="B4162" s="406" t="s">
        <v>9829</v>
      </c>
      <c r="C4162" s="407">
        <v>20347</v>
      </c>
      <c r="D4162" s="408">
        <v>45446</v>
      </c>
      <c r="E4162" s="414" t="s">
        <v>11137</v>
      </c>
    </row>
    <row r="4163" spans="2:5">
      <c r="B4163" s="406" t="s">
        <v>9829</v>
      </c>
      <c r="C4163" s="407">
        <v>20343</v>
      </c>
      <c r="D4163" s="408">
        <v>45446</v>
      </c>
      <c r="E4163" s="414" t="s">
        <v>11223</v>
      </c>
    </row>
    <row r="4164" spans="2:5">
      <c r="B4164" s="406" t="s">
        <v>9829</v>
      </c>
      <c r="C4164" s="407">
        <v>20341</v>
      </c>
      <c r="D4164" s="408">
        <v>45443</v>
      </c>
      <c r="E4164" s="414" t="s">
        <v>11138</v>
      </c>
    </row>
    <row r="4165" spans="2:5">
      <c r="B4165" s="406" t="s">
        <v>9829</v>
      </c>
      <c r="C4165" s="407">
        <v>20331</v>
      </c>
      <c r="D4165" s="408">
        <v>45443</v>
      </c>
      <c r="E4165" s="414" t="s">
        <v>11139</v>
      </c>
    </row>
    <row r="4166" spans="2:5">
      <c r="B4166" s="406" t="s">
        <v>9829</v>
      </c>
      <c r="C4166" s="407">
        <v>20324</v>
      </c>
      <c r="D4166" s="408">
        <v>45443</v>
      </c>
      <c r="E4166" s="414" t="s">
        <v>11224</v>
      </c>
    </row>
    <row r="4167" spans="2:5">
      <c r="B4167" s="406" t="s">
        <v>9829</v>
      </c>
      <c r="C4167" s="407">
        <v>20321</v>
      </c>
      <c r="D4167" s="408">
        <v>45443</v>
      </c>
      <c r="E4167" s="414" t="s">
        <v>11225</v>
      </c>
    </row>
    <row r="4168" spans="2:5">
      <c r="B4168" s="406" t="s">
        <v>9829</v>
      </c>
      <c r="C4168" s="407">
        <v>20320</v>
      </c>
      <c r="D4168" s="408">
        <v>45443</v>
      </c>
      <c r="E4168" s="414" t="s">
        <v>11226</v>
      </c>
    </row>
    <row r="4169" spans="2:5">
      <c r="B4169" s="406" t="s">
        <v>9829</v>
      </c>
      <c r="C4169" s="407">
        <v>20318</v>
      </c>
      <c r="D4169" s="408">
        <v>45443</v>
      </c>
      <c r="E4169" s="414" t="s">
        <v>11227</v>
      </c>
    </row>
    <row r="4170" spans="2:5">
      <c r="B4170" s="406" t="s">
        <v>9829</v>
      </c>
      <c r="C4170" s="407">
        <v>20313</v>
      </c>
      <c r="D4170" s="408">
        <v>45443</v>
      </c>
      <c r="E4170" s="414" t="s">
        <v>11140</v>
      </c>
    </row>
    <row r="4171" spans="2:5">
      <c r="B4171" s="406" t="s">
        <v>9829</v>
      </c>
      <c r="C4171" s="407">
        <v>20309</v>
      </c>
      <c r="D4171" s="408">
        <v>45443</v>
      </c>
      <c r="E4171" s="414" t="s">
        <v>11141</v>
      </c>
    </row>
    <row r="4172" spans="2:5">
      <c r="B4172" s="406" t="s">
        <v>9829</v>
      </c>
      <c r="C4172" s="407">
        <v>20304</v>
      </c>
      <c r="D4172" s="408">
        <v>45443</v>
      </c>
      <c r="E4172" s="414" t="s">
        <v>11228</v>
      </c>
    </row>
    <row r="4173" spans="2:5">
      <c r="B4173" s="406" t="s">
        <v>9829</v>
      </c>
      <c r="C4173" s="407">
        <v>20289</v>
      </c>
      <c r="D4173" s="408">
        <v>45443</v>
      </c>
      <c r="E4173" s="414" t="s">
        <v>11229</v>
      </c>
    </row>
    <row r="4174" spans="2:5">
      <c r="B4174" s="406" t="s">
        <v>9829</v>
      </c>
      <c r="C4174" s="407">
        <v>20287</v>
      </c>
      <c r="D4174" s="408">
        <v>45443</v>
      </c>
      <c r="E4174" s="414" t="s">
        <v>11142</v>
      </c>
    </row>
    <row r="4175" spans="2:5">
      <c r="B4175" s="406" t="s">
        <v>9829</v>
      </c>
      <c r="C4175" s="407">
        <v>20278</v>
      </c>
      <c r="D4175" s="408">
        <v>45443</v>
      </c>
      <c r="E4175" s="414" t="s">
        <v>11143</v>
      </c>
    </row>
    <row r="4176" spans="2:5">
      <c r="B4176" s="406" t="s">
        <v>9829</v>
      </c>
      <c r="C4176" s="407">
        <v>20274</v>
      </c>
      <c r="D4176" s="408">
        <v>45443</v>
      </c>
      <c r="E4176" s="414" t="s">
        <v>11230</v>
      </c>
    </row>
    <row r="4177" spans="2:5">
      <c r="B4177" s="406" t="s">
        <v>9829</v>
      </c>
      <c r="C4177" s="407">
        <v>20272</v>
      </c>
      <c r="D4177" s="408">
        <v>45443</v>
      </c>
      <c r="E4177" s="414" t="s">
        <v>11144</v>
      </c>
    </row>
    <row r="4178" spans="2:5">
      <c r="B4178" s="406" t="s">
        <v>9829</v>
      </c>
      <c r="C4178" s="407">
        <v>20271</v>
      </c>
      <c r="D4178" s="408">
        <v>45443</v>
      </c>
      <c r="E4178" s="414" t="s">
        <v>11145</v>
      </c>
    </row>
    <row r="4179" spans="2:5">
      <c r="B4179" s="406" t="s">
        <v>9829</v>
      </c>
      <c r="C4179" s="407">
        <v>20250</v>
      </c>
      <c r="D4179" s="408">
        <v>45443</v>
      </c>
      <c r="E4179" s="414" t="s">
        <v>11231</v>
      </c>
    </row>
    <row r="4180" spans="2:5">
      <c r="B4180" s="406" t="s">
        <v>9829</v>
      </c>
      <c r="C4180" s="407">
        <v>20247</v>
      </c>
      <c r="D4180" s="408">
        <v>45443</v>
      </c>
      <c r="E4180" s="414" t="s">
        <v>11232</v>
      </c>
    </row>
    <row r="4181" spans="2:5">
      <c r="B4181" s="406" t="s">
        <v>9829</v>
      </c>
      <c r="C4181" s="407">
        <v>20245</v>
      </c>
      <c r="D4181" s="408">
        <v>45443</v>
      </c>
      <c r="E4181" s="414" t="s">
        <v>11233</v>
      </c>
    </row>
    <row r="4182" spans="2:5">
      <c r="B4182" s="406" t="s">
        <v>9829</v>
      </c>
      <c r="C4182" s="407">
        <v>20237</v>
      </c>
      <c r="D4182" s="408">
        <v>45443</v>
      </c>
      <c r="E4182" s="414" t="s">
        <v>11234</v>
      </c>
    </row>
    <row r="4183" spans="2:5">
      <c r="B4183" s="406" t="s">
        <v>9829</v>
      </c>
      <c r="C4183" s="407">
        <v>20236</v>
      </c>
      <c r="D4183" s="408">
        <v>45443</v>
      </c>
      <c r="E4183" s="414" t="s">
        <v>11235</v>
      </c>
    </row>
    <row r="4184" spans="2:5">
      <c r="B4184" s="406" t="s">
        <v>9829</v>
      </c>
      <c r="C4184" s="407">
        <v>20233</v>
      </c>
      <c r="D4184" s="408">
        <v>45443</v>
      </c>
      <c r="E4184" s="414" t="s">
        <v>11146</v>
      </c>
    </row>
    <row r="4185" spans="2:5">
      <c r="B4185" s="406" t="s">
        <v>9829</v>
      </c>
      <c r="C4185" s="407">
        <v>20231</v>
      </c>
      <c r="D4185" s="408">
        <v>45443</v>
      </c>
      <c r="E4185" s="414" t="s">
        <v>11147</v>
      </c>
    </row>
    <row r="4186" spans="2:5">
      <c r="B4186" s="406" t="s">
        <v>9829</v>
      </c>
      <c r="C4186" s="407">
        <v>20230</v>
      </c>
      <c r="D4186" s="408">
        <v>45443</v>
      </c>
      <c r="E4186" s="414" t="s">
        <v>11236</v>
      </c>
    </row>
    <row r="4187" spans="2:5">
      <c r="B4187" s="406" t="s">
        <v>9829</v>
      </c>
      <c r="C4187" s="407">
        <v>20216</v>
      </c>
      <c r="D4187" s="408">
        <v>45443</v>
      </c>
      <c r="E4187" s="414" t="s">
        <v>11237</v>
      </c>
    </row>
    <row r="4188" spans="2:5">
      <c r="B4188" s="406" t="s">
        <v>9829</v>
      </c>
      <c r="C4188" s="407">
        <v>20213</v>
      </c>
      <c r="D4188" s="408">
        <v>45443</v>
      </c>
      <c r="E4188" s="414" t="s">
        <v>11238</v>
      </c>
    </row>
    <row r="4189" spans="2:5">
      <c r="B4189" s="406" t="s">
        <v>9829</v>
      </c>
      <c r="C4189" s="407">
        <v>20200</v>
      </c>
      <c r="D4189" s="408">
        <v>45443</v>
      </c>
      <c r="E4189" s="414" t="s">
        <v>11148</v>
      </c>
    </row>
    <row r="4190" spans="2:5">
      <c r="B4190" s="406" t="s">
        <v>9829</v>
      </c>
      <c r="C4190" s="407">
        <v>20194</v>
      </c>
      <c r="D4190" s="408">
        <v>45443</v>
      </c>
      <c r="E4190" s="414" t="s">
        <v>11149</v>
      </c>
    </row>
    <row r="4191" spans="2:5">
      <c r="B4191" s="406" t="s">
        <v>9829</v>
      </c>
      <c r="C4191" s="407">
        <v>20180</v>
      </c>
      <c r="D4191" s="408">
        <v>45443</v>
      </c>
      <c r="E4191" s="414" t="s">
        <v>11150</v>
      </c>
    </row>
    <row r="4192" spans="2:5">
      <c r="B4192" s="406" t="s">
        <v>9829</v>
      </c>
      <c r="C4192" s="407">
        <v>20178</v>
      </c>
      <c r="D4192" s="408">
        <v>45443</v>
      </c>
      <c r="E4192" s="414" t="s">
        <v>11239</v>
      </c>
    </row>
    <row r="4193" spans="2:5">
      <c r="B4193" s="406" t="s">
        <v>9829</v>
      </c>
      <c r="C4193" s="407">
        <v>20174</v>
      </c>
      <c r="D4193" s="408">
        <v>45443</v>
      </c>
      <c r="E4193" s="414" t="s">
        <v>11151</v>
      </c>
    </row>
    <row r="4194" spans="2:5">
      <c r="B4194" s="406" t="s">
        <v>9829</v>
      </c>
      <c r="C4194" s="407">
        <v>20172</v>
      </c>
      <c r="D4194" s="408">
        <v>45443</v>
      </c>
      <c r="E4194" s="414" t="s">
        <v>11240</v>
      </c>
    </row>
    <row r="4195" spans="2:5">
      <c r="B4195" s="406" t="s">
        <v>9829</v>
      </c>
      <c r="C4195" s="407">
        <v>20165</v>
      </c>
      <c r="D4195" s="408">
        <v>45443</v>
      </c>
      <c r="E4195" s="414" t="s">
        <v>11241</v>
      </c>
    </row>
    <row r="4196" spans="2:5">
      <c r="B4196" s="406" t="s">
        <v>9829</v>
      </c>
      <c r="C4196" s="407">
        <v>20139</v>
      </c>
      <c r="D4196" s="408">
        <v>45443</v>
      </c>
      <c r="E4196" s="414" t="s">
        <v>11242</v>
      </c>
    </row>
    <row r="4197" spans="2:5">
      <c r="B4197" s="406" t="s">
        <v>9829</v>
      </c>
      <c r="C4197" s="407">
        <v>20127</v>
      </c>
      <c r="D4197" s="408">
        <v>45443</v>
      </c>
      <c r="E4197" s="414" t="s">
        <v>11243</v>
      </c>
    </row>
    <row r="4198" spans="2:5">
      <c r="B4198" s="406" t="s">
        <v>9829</v>
      </c>
      <c r="C4198" s="407">
        <v>20124</v>
      </c>
      <c r="D4198" s="408">
        <v>45443</v>
      </c>
      <c r="E4198" s="414" t="s">
        <v>11244</v>
      </c>
    </row>
    <row r="4199" spans="2:5">
      <c r="B4199" s="406" t="s">
        <v>9829</v>
      </c>
      <c r="C4199" s="407">
        <v>20114</v>
      </c>
      <c r="D4199" s="408">
        <v>45443</v>
      </c>
      <c r="E4199" s="414" t="s">
        <v>11152</v>
      </c>
    </row>
    <row r="4200" spans="2:5">
      <c r="B4200" s="406" t="s">
        <v>9829</v>
      </c>
      <c r="C4200" s="407">
        <v>20094</v>
      </c>
      <c r="D4200" s="408">
        <v>45443</v>
      </c>
      <c r="E4200" s="414" t="s">
        <v>11245</v>
      </c>
    </row>
    <row r="4201" spans="2:5">
      <c r="B4201" s="406" t="s">
        <v>9829</v>
      </c>
      <c r="C4201" s="407">
        <v>20091</v>
      </c>
      <c r="D4201" s="408">
        <v>45443</v>
      </c>
      <c r="E4201" s="414" t="s">
        <v>11246</v>
      </c>
    </row>
    <row r="4202" spans="2:5">
      <c r="B4202" s="406" t="s">
        <v>9829</v>
      </c>
      <c r="C4202" s="407">
        <v>20086</v>
      </c>
      <c r="D4202" s="408">
        <v>45443</v>
      </c>
      <c r="E4202" s="414" t="s">
        <v>11247</v>
      </c>
    </row>
    <row r="4203" spans="2:5">
      <c r="B4203" s="406" t="s">
        <v>9829</v>
      </c>
      <c r="C4203" s="407">
        <v>20085</v>
      </c>
      <c r="D4203" s="408">
        <v>45443</v>
      </c>
      <c r="E4203" s="414" t="s">
        <v>11153</v>
      </c>
    </row>
    <row r="4204" spans="2:5">
      <c r="B4204" s="406" t="s">
        <v>9829</v>
      </c>
      <c r="C4204" s="407">
        <v>20082</v>
      </c>
      <c r="D4204" s="408">
        <v>45443</v>
      </c>
      <c r="E4204" s="414" t="s">
        <v>11154</v>
      </c>
    </row>
    <row r="4205" spans="2:5">
      <c r="B4205" s="406" t="s">
        <v>9829</v>
      </c>
      <c r="C4205" s="407">
        <v>20079</v>
      </c>
      <c r="D4205" s="408">
        <v>45443</v>
      </c>
      <c r="E4205" s="414" t="s">
        <v>11248</v>
      </c>
    </row>
    <row r="4206" spans="2:5">
      <c r="B4206" s="406" t="s">
        <v>9829</v>
      </c>
      <c r="C4206" s="407">
        <v>20071</v>
      </c>
      <c r="D4206" s="408">
        <v>45443</v>
      </c>
      <c r="E4206" s="414" t="s">
        <v>11249</v>
      </c>
    </row>
    <row r="4207" spans="2:5">
      <c r="B4207" s="406" t="s">
        <v>9829</v>
      </c>
      <c r="C4207" s="407">
        <v>20053</v>
      </c>
      <c r="D4207" s="408">
        <v>45443</v>
      </c>
      <c r="E4207" s="414" t="s">
        <v>11250</v>
      </c>
    </row>
    <row r="4208" spans="2:5">
      <c r="B4208" s="406" t="s">
        <v>9829</v>
      </c>
      <c r="C4208" s="407">
        <v>20053</v>
      </c>
      <c r="D4208" s="408">
        <v>45443</v>
      </c>
      <c r="E4208" s="414" t="s">
        <v>11251</v>
      </c>
    </row>
    <row r="4209" spans="2:5">
      <c r="B4209" s="406" t="s">
        <v>9829</v>
      </c>
      <c r="C4209" s="407">
        <v>20051</v>
      </c>
      <c r="D4209" s="408">
        <v>45443</v>
      </c>
      <c r="E4209" s="414" t="s">
        <v>11155</v>
      </c>
    </row>
    <row r="4210" spans="2:5">
      <c r="B4210" s="406" t="s">
        <v>9829</v>
      </c>
      <c r="C4210" s="407">
        <v>20045</v>
      </c>
      <c r="D4210" s="408">
        <v>45443</v>
      </c>
      <c r="E4210" s="414" t="s">
        <v>11156</v>
      </c>
    </row>
    <row r="4211" spans="2:5">
      <c r="B4211" s="406" t="s">
        <v>9829</v>
      </c>
      <c r="C4211" s="407">
        <v>20042</v>
      </c>
      <c r="D4211" s="408">
        <v>45443</v>
      </c>
      <c r="E4211" s="414" t="s">
        <v>11157</v>
      </c>
    </row>
    <row r="4212" spans="2:5">
      <c r="B4212" s="406" t="s">
        <v>9829</v>
      </c>
      <c r="C4212" s="407">
        <v>20039</v>
      </c>
      <c r="D4212" s="408">
        <v>45443</v>
      </c>
      <c r="E4212" s="414" t="s">
        <v>11252</v>
      </c>
    </row>
    <row r="4213" spans="2:5">
      <c r="B4213" s="406" t="s">
        <v>9829</v>
      </c>
      <c r="C4213" s="407">
        <v>20029</v>
      </c>
      <c r="D4213" s="408">
        <v>45443</v>
      </c>
      <c r="E4213" s="414" t="s">
        <v>11160</v>
      </c>
    </row>
    <row r="4214" spans="2:5">
      <c r="B4214" s="406" t="s">
        <v>9829</v>
      </c>
      <c r="C4214" s="407">
        <v>20028</v>
      </c>
      <c r="D4214" s="408">
        <v>45443</v>
      </c>
      <c r="E4214" s="414" t="s">
        <v>11159</v>
      </c>
    </row>
    <row r="4215" spans="2:5">
      <c r="B4215" s="406" t="s">
        <v>9829</v>
      </c>
      <c r="C4215" s="407">
        <v>20018</v>
      </c>
      <c r="D4215" s="408">
        <v>45443</v>
      </c>
      <c r="E4215" s="414" t="s">
        <v>11253</v>
      </c>
    </row>
    <row r="4216" spans="2:5">
      <c r="B4216" s="406" t="s">
        <v>9829</v>
      </c>
      <c r="C4216" s="407">
        <v>20014</v>
      </c>
      <c r="D4216" s="408">
        <v>45443</v>
      </c>
      <c r="E4216" s="414" t="s">
        <v>11158</v>
      </c>
    </row>
    <row r="4217" spans="2:5">
      <c r="B4217" s="406" t="s">
        <v>9829</v>
      </c>
      <c r="C4217" s="407">
        <v>20012</v>
      </c>
      <c r="D4217" s="408">
        <v>45443</v>
      </c>
      <c r="E4217" s="414" t="s">
        <v>11161</v>
      </c>
    </row>
    <row r="4218" spans="2:5">
      <c r="B4218" s="406" t="s">
        <v>9829</v>
      </c>
      <c r="C4218" s="407">
        <v>20003</v>
      </c>
      <c r="D4218" s="408">
        <v>45443</v>
      </c>
      <c r="E4218" s="414" t="s">
        <v>11163</v>
      </c>
    </row>
    <row r="4219" spans="2:5">
      <c r="B4219" s="406" t="s">
        <v>9829</v>
      </c>
      <c r="C4219" s="407">
        <v>19995</v>
      </c>
      <c r="D4219" s="408">
        <v>45443</v>
      </c>
      <c r="E4219" s="414" t="s">
        <v>11254</v>
      </c>
    </row>
    <row r="4220" spans="2:5">
      <c r="B4220" s="406" t="s">
        <v>9829</v>
      </c>
      <c r="C4220" s="407">
        <v>19988</v>
      </c>
      <c r="D4220" s="408">
        <v>45443</v>
      </c>
      <c r="E4220" s="414" t="s">
        <v>11255</v>
      </c>
    </row>
    <row r="4221" spans="2:5">
      <c r="B4221" s="406" t="s">
        <v>9829</v>
      </c>
      <c r="C4221" s="407">
        <v>19985</v>
      </c>
      <c r="D4221" s="408">
        <v>45443</v>
      </c>
      <c r="E4221" s="414" t="s">
        <v>11256</v>
      </c>
    </row>
    <row r="4222" spans="2:5">
      <c r="B4222" s="406" t="s">
        <v>9829</v>
      </c>
      <c r="C4222" s="407">
        <v>19978</v>
      </c>
      <c r="D4222" s="408">
        <v>45443</v>
      </c>
      <c r="E4222" s="414" t="s">
        <v>11162</v>
      </c>
    </row>
    <row r="4223" spans="2:5">
      <c r="B4223" s="406" t="s">
        <v>9829</v>
      </c>
      <c r="C4223" s="407">
        <v>19977</v>
      </c>
      <c r="D4223" s="408">
        <v>45443</v>
      </c>
      <c r="E4223" s="414" t="s">
        <v>11257</v>
      </c>
    </row>
    <row r="4224" spans="2:5">
      <c r="B4224" s="406" t="s">
        <v>9829</v>
      </c>
      <c r="C4224" s="407">
        <v>19971</v>
      </c>
      <c r="D4224" s="408">
        <v>45443</v>
      </c>
      <c r="E4224" s="414" t="s">
        <v>11258</v>
      </c>
    </row>
    <row r="4225" spans="2:5">
      <c r="B4225" s="406" t="s">
        <v>9829</v>
      </c>
      <c r="C4225" s="407">
        <v>19967</v>
      </c>
      <c r="D4225" s="408">
        <v>45443</v>
      </c>
      <c r="E4225" s="414" t="s">
        <v>11259</v>
      </c>
    </row>
    <row r="4226" spans="2:5">
      <c r="B4226" s="406" t="s">
        <v>9829</v>
      </c>
      <c r="C4226" s="407">
        <v>19961</v>
      </c>
      <c r="D4226" s="408">
        <v>45443</v>
      </c>
      <c r="E4226" s="414" t="s">
        <v>11164</v>
      </c>
    </row>
    <row r="4227" spans="2:5">
      <c r="B4227" s="406" t="s">
        <v>9829</v>
      </c>
      <c r="C4227" s="407">
        <v>19954</v>
      </c>
      <c r="D4227" s="408">
        <v>45443</v>
      </c>
      <c r="E4227" s="414" t="s">
        <v>11260</v>
      </c>
    </row>
    <row r="4228" spans="2:5">
      <c r="B4228" s="406" t="s">
        <v>9829</v>
      </c>
      <c r="C4228" s="407">
        <v>19950</v>
      </c>
      <c r="D4228" s="408">
        <v>45443</v>
      </c>
      <c r="E4228" s="414" t="s">
        <v>11165</v>
      </c>
    </row>
    <row r="4229" spans="2:5">
      <c r="B4229" s="406" t="s">
        <v>9829</v>
      </c>
      <c r="C4229" s="407">
        <v>19933</v>
      </c>
      <c r="D4229" s="408">
        <v>45443</v>
      </c>
      <c r="E4229" s="414" t="s">
        <v>11166</v>
      </c>
    </row>
    <row r="4230" spans="2:5">
      <c r="B4230" s="406" t="s">
        <v>9829</v>
      </c>
      <c r="C4230" s="407">
        <v>19931</v>
      </c>
      <c r="D4230" s="408">
        <v>45443</v>
      </c>
      <c r="E4230" s="414" t="s">
        <v>11261</v>
      </c>
    </row>
    <row r="4231" spans="2:5">
      <c r="B4231" s="406" t="s">
        <v>9829</v>
      </c>
      <c r="C4231" s="407">
        <v>19928</v>
      </c>
      <c r="D4231" s="408">
        <v>45443</v>
      </c>
      <c r="E4231" s="414" t="s">
        <v>11167</v>
      </c>
    </row>
    <row r="4232" spans="2:5">
      <c r="B4232" s="406" t="s">
        <v>9829</v>
      </c>
      <c r="C4232" s="407">
        <v>19919</v>
      </c>
      <c r="D4232" s="408">
        <v>45443</v>
      </c>
      <c r="E4232" s="414" t="s">
        <v>11168</v>
      </c>
    </row>
    <row r="4233" spans="2:5">
      <c r="B4233" s="406" t="s">
        <v>9829</v>
      </c>
      <c r="C4233" s="407">
        <v>19912</v>
      </c>
      <c r="D4233" s="408">
        <v>45443</v>
      </c>
      <c r="E4233" s="414" t="s">
        <v>11262</v>
      </c>
    </row>
    <row r="4234" spans="2:5">
      <c r="B4234" s="406" t="s">
        <v>9829</v>
      </c>
      <c r="C4234" s="407">
        <v>19909</v>
      </c>
      <c r="D4234" s="408">
        <v>45443</v>
      </c>
      <c r="E4234" s="414" t="s">
        <v>11170</v>
      </c>
    </row>
    <row r="4235" spans="2:5">
      <c r="B4235" s="406" t="s">
        <v>9829</v>
      </c>
      <c r="C4235" s="407">
        <v>19902</v>
      </c>
      <c r="D4235" s="408">
        <v>45443</v>
      </c>
      <c r="E4235" s="414" t="s">
        <v>11169</v>
      </c>
    </row>
    <row r="4236" spans="2:5">
      <c r="B4236" s="406" t="s">
        <v>9829</v>
      </c>
      <c r="C4236" s="407">
        <v>19901</v>
      </c>
      <c r="D4236" s="408">
        <v>45443</v>
      </c>
      <c r="E4236" s="414" t="s">
        <v>11171</v>
      </c>
    </row>
    <row r="4237" spans="2:5">
      <c r="B4237" s="406" t="s">
        <v>9829</v>
      </c>
      <c r="C4237" s="407">
        <v>19893</v>
      </c>
      <c r="D4237" s="408">
        <v>45443</v>
      </c>
      <c r="E4237" s="414" t="s">
        <v>11172</v>
      </c>
    </row>
    <row r="4238" spans="2:5">
      <c r="B4238" s="406" t="s">
        <v>9829</v>
      </c>
      <c r="C4238" s="407">
        <v>19889</v>
      </c>
      <c r="D4238" s="408">
        <v>45443</v>
      </c>
      <c r="E4238" s="414" t="s">
        <v>11263</v>
      </c>
    </row>
    <row r="4239" spans="2:5">
      <c r="B4239" s="406" t="s">
        <v>9829</v>
      </c>
      <c r="C4239" s="407">
        <v>19888</v>
      </c>
      <c r="D4239" s="408">
        <v>45443</v>
      </c>
      <c r="E4239" s="414" t="s">
        <v>11173</v>
      </c>
    </row>
    <row r="4240" spans="2:5">
      <c r="B4240" s="406" t="s">
        <v>9829</v>
      </c>
      <c r="C4240" s="407">
        <v>19886</v>
      </c>
      <c r="D4240" s="408">
        <v>45443</v>
      </c>
      <c r="E4240" s="414" t="s">
        <v>11264</v>
      </c>
    </row>
    <row r="4241" spans="2:5">
      <c r="B4241" s="406" t="s">
        <v>9829</v>
      </c>
      <c r="C4241" s="407">
        <v>19885</v>
      </c>
      <c r="D4241" s="408">
        <v>45443</v>
      </c>
      <c r="E4241" s="414" t="s">
        <v>11174</v>
      </c>
    </row>
    <row r="4242" spans="2:5">
      <c r="B4242" s="406" t="s">
        <v>9829</v>
      </c>
      <c r="C4242" s="407">
        <v>19883</v>
      </c>
      <c r="D4242" s="408">
        <v>45443</v>
      </c>
      <c r="E4242" s="414" t="s">
        <v>11175</v>
      </c>
    </row>
    <row r="4243" spans="2:5">
      <c r="B4243" s="406" t="s">
        <v>9829</v>
      </c>
      <c r="C4243" s="407">
        <v>19878</v>
      </c>
      <c r="D4243" s="408">
        <v>45443</v>
      </c>
      <c r="E4243" s="414" t="s">
        <v>11176</v>
      </c>
    </row>
    <row r="4244" spans="2:5">
      <c r="B4244" s="406" t="s">
        <v>9829</v>
      </c>
      <c r="C4244" s="407">
        <v>19874</v>
      </c>
      <c r="D4244" s="408">
        <v>45443</v>
      </c>
      <c r="E4244" s="414" t="s">
        <v>11265</v>
      </c>
    </row>
    <row r="4245" spans="2:5">
      <c r="B4245" s="406" t="s">
        <v>9829</v>
      </c>
      <c r="C4245" s="407">
        <v>19870</v>
      </c>
      <c r="D4245" s="408">
        <v>45443</v>
      </c>
      <c r="E4245" s="414" t="s">
        <v>11177</v>
      </c>
    </row>
    <row r="4246" spans="2:5">
      <c r="B4246" s="406" t="s">
        <v>9829</v>
      </c>
      <c r="C4246" s="407">
        <v>19864</v>
      </c>
      <c r="D4246" s="408">
        <v>45443</v>
      </c>
      <c r="E4246" s="414" t="s">
        <v>11178</v>
      </c>
    </row>
    <row r="4247" spans="2:5">
      <c r="B4247" s="406" t="s">
        <v>9829</v>
      </c>
      <c r="C4247" s="407">
        <v>19836</v>
      </c>
      <c r="D4247" s="408">
        <v>45443</v>
      </c>
      <c r="E4247" s="414" t="s">
        <v>11179</v>
      </c>
    </row>
    <row r="4248" spans="2:5">
      <c r="B4248" s="406" t="s">
        <v>9829</v>
      </c>
      <c r="C4248" s="407">
        <v>19823</v>
      </c>
      <c r="D4248" s="408">
        <v>45443</v>
      </c>
      <c r="E4248" s="414" t="s">
        <v>11180</v>
      </c>
    </row>
    <row r="4249" spans="2:5">
      <c r="B4249" s="406" t="s">
        <v>9829</v>
      </c>
      <c r="C4249" s="407">
        <v>19815</v>
      </c>
      <c r="D4249" s="408">
        <v>45447</v>
      </c>
      <c r="E4249" s="414"/>
    </row>
    <row r="4250" spans="2:5">
      <c r="B4250" s="406" t="s">
        <v>9829</v>
      </c>
      <c r="C4250" s="407">
        <v>19811</v>
      </c>
      <c r="D4250" s="408">
        <v>45443</v>
      </c>
      <c r="E4250" s="414" t="s">
        <v>11181</v>
      </c>
    </row>
    <row r="4251" spans="2:5">
      <c r="B4251" s="406" t="s">
        <v>9829</v>
      </c>
      <c r="C4251" s="407">
        <v>19807</v>
      </c>
      <c r="D4251" s="408">
        <v>45443</v>
      </c>
      <c r="E4251" s="414" t="s">
        <v>11182</v>
      </c>
    </row>
    <row r="4252" spans="2:5">
      <c r="B4252" s="406" t="s">
        <v>9829</v>
      </c>
      <c r="C4252" s="407">
        <v>19806</v>
      </c>
      <c r="D4252" s="408">
        <v>45443</v>
      </c>
      <c r="E4252" s="414" t="s">
        <v>11183</v>
      </c>
    </row>
    <row r="4253" spans="2:5">
      <c r="B4253" s="406" t="s">
        <v>9829</v>
      </c>
      <c r="C4253" s="407">
        <v>19805</v>
      </c>
      <c r="D4253" s="408">
        <v>45443</v>
      </c>
      <c r="E4253" s="414" t="s">
        <v>11266</v>
      </c>
    </row>
    <row r="4254" spans="2:5">
      <c r="B4254" s="406" t="s">
        <v>9829</v>
      </c>
      <c r="C4254" s="407">
        <v>19804</v>
      </c>
      <c r="D4254" s="408">
        <v>45443</v>
      </c>
      <c r="E4254" s="414" t="s">
        <v>11184</v>
      </c>
    </row>
    <row r="4255" spans="2:5">
      <c r="B4255" s="406" t="s">
        <v>9829</v>
      </c>
      <c r="C4255" s="407">
        <v>19789</v>
      </c>
      <c r="D4255" s="408">
        <v>45443</v>
      </c>
      <c r="E4255" s="414" t="s">
        <v>11185</v>
      </c>
    </row>
    <row r="4256" spans="2:5">
      <c r="B4256" s="406" t="s">
        <v>9829</v>
      </c>
      <c r="C4256" s="407">
        <v>19787</v>
      </c>
      <c r="D4256" s="408">
        <v>45443</v>
      </c>
      <c r="E4256" s="414" t="s">
        <v>11267</v>
      </c>
    </row>
    <row r="4257" spans="2:5">
      <c r="B4257" s="406" t="s">
        <v>9829</v>
      </c>
      <c r="C4257" s="407">
        <v>19785</v>
      </c>
      <c r="D4257" s="408">
        <v>45443</v>
      </c>
      <c r="E4257" s="414" t="s">
        <v>11186</v>
      </c>
    </row>
    <row r="4258" spans="2:5">
      <c r="B4258" s="406" t="s">
        <v>9829</v>
      </c>
      <c r="C4258" s="407">
        <v>19784</v>
      </c>
      <c r="D4258" s="408">
        <v>45443</v>
      </c>
      <c r="E4258" s="414" t="s">
        <v>11268</v>
      </c>
    </row>
    <row r="4259" spans="2:5">
      <c r="B4259" s="406" t="s">
        <v>9829</v>
      </c>
      <c r="C4259" s="407">
        <v>19783</v>
      </c>
      <c r="D4259" s="408">
        <v>45443</v>
      </c>
      <c r="E4259" s="414" t="s">
        <v>11269</v>
      </c>
    </row>
    <row r="4260" spans="2:5">
      <c r="B4260" s="406" t="s">
        <v>9829</v>
      </c>
      <c r="C4260" s="407">
        <v>19779</v>
      </c>
      <c r="D4260" s="408">
        <v>45443</v>
      </c>
      <c r="E4260" s="414" t="s">
        <v>11270</v>
      </c>
    </row>
    <row r="4261" spans="2:5">
      <c r="B4261" s="406" t="s">
        <v>9829</v>
      </c>
      <c r="C4261" s="407">
        <v>19760</v>
      </c>
      <c r="D4261" s="408">
        <v>45443</v>
      </c>
      <c r="E4261" s="414" t="s">
        <v>11271</v>
      </c>
    </row>
    <row r="4262" spans="2:5">
      <c r="B4262" s="406" t="s">
        <v>9829</v>
      </c>
      <c r="C4262" s="407">
        <v>19757</v>
      </c>
      <c r="D4262" s="408">
        <v>45443</v>
      </c>
      <c r="E4262" s="414" t="s">
        <v>11190</v>
      </c>
    </row>
    <row r="4263" spans="2:5">
      <c r="B4263" s="406" t="s">
        <v>9829</v>
      </c>
      <c r="C4263" s="407">
        <v>19752</v>
      </c>
      <c r="D4263" s="408">
        <v>45443</v>
      </c>
      <c r="E4263" s="414" t="s">
        <v>11189</v>
      </c>
    </row>
    <row r="4264" spans="2:5">
      <c r="B4264" s="406" t="s">
        <v>9829</v>
      </c>
      <c r="C4264" s="407">
        <v>19747</v>
      </c>
      <c r="D4264" s="408">
        <v>45443</v>
      </c>
      <c r="E4264" s="414" t="s">
        <v>11188</v>
      </c>
    </row>
    <row r="4265" spans="2:5">
      <c r="B4265" s="406" t="s">
        <v>9829</v>
      </c>
      <c r="C4265" s="407">
        <v>19732</v>
      </c>
      <c r="D4265" s="408">
        <v>45443</v>
      </c>
      <c r="E4265" s="414" t="s">
        <v>11272</v>
      </c>
    </row>
    <row r="4266" spans="2:5">
      <c r="B4266" s="406" t="s">
        <v>9829</v>
      </c>
      <c r="C4266" s="407">
        <v>19730</v>
      </c>
      <c r="D4266" s="408">
        <v>45443</v>
      </c>
      <c r="E4266" s="414" t="s">
        <v>11273</v>
      </c>
    </row>
    <row r="4267" spans="2:5">
      <c r="B4267" s="406" t="s">
        <v>9829</v>
      </c>
      <c r="C4267" s="407">
        <v>19729</v>
      </c>
      <c r="D4267" s="408">
        <v>45443</v>
      </c>
      <c r="E4267" s="414" t="s">
        <v>11187</v>
      </c>
    </row>
    <row r="4268" spans="2:5">
      <c r="B4268" s="406" t="s">
        <v>9829</v>
      </c>
      <c r="C4268" s="407">
        <v>19715</v>
      </c>
      <c r="D4268" s="408">
        <v>45443</v>
      </c>
      <c r="E4268" s="414" t="s">
        <v>11274</v>
      </c>
    </row>
    <row r="4269" spans="2:5">
      <c r="B4269" s="406" t="s">
        <v>9829</v>
      </c>
      <c r="C4269" s="407">
        <v>19705</v>
      </c>
      <c r="D4269" s="408">
        <v>45443</v>
      </c>
      <c r="E4269" s="414" t="s">
        <v>11191</v>
      </c>
    </row>
    <row r="4270" spans="2:5">
      <c r="B4270" s="406" t="s">
        <v>9829</v>
      </c>
      <c r="C4270" s="407">
        <v>19704</v>
      </c>
      <c r="D4270" s="408">
        <v>45443</v>
      </c>
      <c r="E4270" s="414" t="s">
        <v>11275</v>
      </c>
    </row>
    <row r="4271" spans="2:5">
      <c r="B4271" s="406" t="s">
        <v>9829</v>
      </c>
      <c r="C4271" s="407">
        <v>19703</v>
      </c>
      <c r="D4271" s="408">
        <v>45443</v>
      </c>
      <c r="E4271" s="414" t="s">
        <v>11192</v>
      </c>
    </row>
    <row r="4272" spans="2:5">
      <c r="B4272" s="406" t="s">
        <v>9829</v>
      </c>
      <c r="C4272" s="407">
        <v>19697</v>
      </c>
      <c r="D4272" s="408">
        <v>45443</v>
      </c>
      <c r="E4272" s="414" t="s">
        <v>11276</v>
      </c>
    </row>
    <row r="4273" spans="2:5">
      <c r="B4273" s="406" t="s">
        <v>9829</v>
      </c>
      <c r="C4273" s="407">
        <v>19690</v>
      </c>
      <c r="D4273" s="408">
        <v>45443</v>
      </c>
      <c r="E4273" s="414" t="s">
        <v>11193</v>
      </c>
    </row>
    <row r="4274" spans="2:5">
      <c r="B4274" s="406" t="s">
        <v>9829</v>
      </c>
      <c r="C4274" s="407">
        <v>19683</v>
      </c>
      <c r="D4274" s="408">
        <v>45443</v>
      </c>
      <c r="E4274" s="414" t="s">
        <v>11277</v>
      </c>
    </row>
    <row r="4275" spans="2:5">
      <c r="B4275" s="406" t="s">
        <v>9829</v>
      </c>
      <c r="C4275" s="407">
        <v>19681</v>
      </c>
      <c r="D4275" s="408">
        <v>45443</v>
      </c>
      <c r="E4275" s="414" t="s">
        <v>11278</v>
      </c>
    </row>
    <row r="4276" spans="2:5">
      <c r="B4276" s="406" t="s">
        <v>9829</v>
      </c>
      <c r="C4276" s="407">
        <v>19679</v>
      </c>
      <c r="D4276" s="408">
        <v>45443</v>
      </c>
      <c r="E4276" s="414" t="s">
        <v>11194</v>
      </c>
    </row>
    <row r="4277" spans="2:5">
      <c r="B4277" s="406" t="s">
        <v>9829</v>
      </c>
      <c r="C4277" s="407">
        <v>19673</v>
      </c>
      <c r="D4277" s="408">
        <v>45443</v>
      </c>
      <c r="E4277" s="414" t="s">
        <v>11195</v>
      </c>
    </row>
    <row r="4278" spans="2:5">
      <c r="B4278" s="406" t="s">
        <v>9829</v>
      </c>
      <c r="C4278" s="407">
        <v>19672</v>
      </c>
      <c r="D4278" s="408">
        <v>45443</v>
      </c>
      <c r="E4278" s="414" t="s">
        <v>11279</v>
      </c>
    </row>
    <row r="4279" spans="2:5">
      <c r="B4279" s="406" t="s">
        <v>9829</v>
      </c>
      <c r="C4279" s="407">
        <v>19667</v>
      </c>
      <c r="D4279" s="408">
        <v>45443</v>
      </c>
      <c r="E4279" s="414" t="s">
        <v>11196</v>
      </c>
    </row>
    <row r="4280" spans="2:5">
      <c r="B4280" s="406" t="s">
        <v>9829</v>
      </c>
      <c r="C4280" s="407">
        <v>19665</v>
      </c>
      <c r="D4280" s="408">
        <v>45443</v>
      </c>
      <c r="E4280" s="414" t="s">
        <v>11280</v>
      </c>
    </row>
    <row r="4281" spans="2:5">
      <c r="B4281" s="406" t="s">
        <v>9829</v>
      </c>
      <c r="C4281" s="407">
        <v>19661</v>
      </c>
      <c r="D4281" s="408">
        <v>45443</v>
      </c>
      <c r="E4281" s="414" t="s">
        <v>11197</v>
      </c>
    </row>
    <row r="4282" spans="2:5">
      <c r="B4282" s="406" t="s">
        <v>9829</v>
      </c>
      <c r="C4282" s="407">
        <v>19653</v>
      </c>
      <c r="D4282" s="408">
        <v>45443</v>
      </c>
      <c r="E4282" s="414" t="s">
        <v>11198</v>
      </c>
    </row>
    <row r="4283" spans="2:5">
      <c r="B4283" s="406" t="s">
        <v>9829</v>
      </c>
      <c r="C4283" s="407">
        <v>19650</v>
      </c>
      <c r="D4283" s="408">
        <v>45443</v>
      </c>
      <c r="E4283" s="414" t="s">
        <v>11199</v>
      </c>
    </row>
    <row r="4284" spans="2:5">
      <c r="B4284" s="406" t="s">
        <v>9829</v>
      </c>
      <c r="C4284" s="407">
        <v>19649</v>
      </c>
      <c r="D4284" s="408">
        <v>45443</v>
      </c>
      <c r="E4284" s="414" t="s">
        <v>11200</v>
      </c>
    </row>
    <row r="4285" spans="2:5">
      <c r="B4285" s="406" t="s">
        <v>9829</v>
      </c>
      <c r="C4285" s="407">
        <v>19648</v>
      </c>
      <c r="D4285" s="408">
        <v>45443</v>
      </c>
      <c r="E4285" s="414" t="s">
        <v>11281</v>
      </c>
    </row>
    <row r="4286" spans="2:5">
      <c r="B4286" s="406" t="s">
        <v>9829</v>
      </c>
      <c r="C4286" s="407">
        <v>19647</v>
      </c>
      <c r="D4286" s="408">
        <v>45443</v>
      </c>
      <c r="E4286" s="414" t="s">
        <v>11201</v>
      </c>
    </row>
    <row r="4287" spans="2:5">
      <c r="B4287" s="406" t="s">
        <v>9829</v>
      </c>
      <c r="C4287" s="407">
        <v>19644</v>
      </c>
      <c r="D4287" s="408">
        <v>45443</v>
      </c>
      <c r="E4287" s="414" t="s">
        <v>11282</v>
      </c>
    </row>
    <row r="4288" spans="2:5">
      <c r="B4288" s="406" t="s">
        <v>9829</v>
      </c>
      <c r="C4288" s="407">
        <v>19616</v>
      </c>
      <c r="D4288" s="408">
        <v>45443</v>
      </c>
      <c r="E4288" s="414" t="s">
        <v>11283</v>
      </c>
    </row>
    <row r="4289" spans="2:5">
      <c r="B4289" s="406" t="s">
        <v>9829</v>
      </c>
      <c r="C4289" s="407">
        <v>19610</v>
      </c>
      <c r="D4289" s="408">
        <v>45443</v>
      </c>
      <c r="E4289" s="414" t="s">
        <v>11284</v>
      </c>
    </row>
    <row r="4290" spans="2:5">
      <c r="B4290" s="406" t="s">
        <v>9829</v>
      </c>
      <c r="C4290" s="407">
        <v>19600</v>
      </c>
      <c r="D4290" s="408">
        <v>45443</v>
      </c>
      <c r="E4290" s="414" t="s">
        <v>11202</v>
      </c>
    </row>
    <row r="4291" spans="2:5">
      <c r="B4291" s="406" t="s">
        <v>9829</v>
      </c>
      <c r="C4291" s="407">
        <v>19597</v>
      </c>
      <c r="D4291" s="408">
        <v>45443</v>
      </c>
      <c r="E4291" s="414" t="s">
        <v>11203</v>
      </c>
    </row>
    <row r="4292" spans="2:5">
      <c r="B4292" s="406" t="s">
        <v>9829</v>
      </c>
      <c r="C4292" s="407">
        <v>19592</v>
      </c>
      <c r="D4292" s="408">
        <v>45443</v>
      </c>
      <c r="E4292" s="414" t="s">
        <v>11206</v>
      </c>
    </row>
    <row r="4293" spans="2:5">
      <c r="B4293" s="406" t="s">
        <v>9829</v>
      </c>
      <c r="C4293" s="407">
        <v>19590</v>
      </c>
      <c r="D4293" s="408">
        <v>45443</v>
      </c>
      <c r="E4293" s="414" t="s">
        <v>11205</v>
      </c>
    </row>
    <row r="4294" spans="2:5">
      <c r="B4294" s="406" t="s">
        <v>9829</v>
      </c>
      <c r="C4294" s="407">
        <v>19586</v>
      </c>
      <c r="D4294" s="408">
        <v>45443</v>
      </c>
      <c r="E4294" s="414" t="s">
        <v>11285</v>
      </c>
    </row>
    <row r="4295" spans="2:5">
      <c r="B4295" s="406" t="s">
        <v>9829</v>
      </c>
      <c r="C4295" s="407">
        <v>19567</v>
      </c>
      <c r="D4295" s="408">
        <v>45443</v>
      </c>
      <c r="E4295" s="414" t="s">
        <v>11286</v>
      </c>
    </row>
    <row r="4296" spans="2:5">
      <c r="B4296" s="406" t="s">
        <v>9829</v>
      </c>
      <c r="C4296" s="407">
        <v>19562</v>
      </c>
      <c r="D4296" s="408">
        <v>45443</v>
      </c>
      <c r="E4296" s="414" t="s">
        <v>11287</v>
      </c>
    </row>
    <row r="4297" spans="2:5">
      <c r="B4297" s="406" t="s">
        <v>9829</v>
      </c>
      <c r="C4297" s="407">
        <v>19559</v>
      </c>
      <c r="D4297" s="408">
        <v>45443</v>
      </c>
      <c r="E4297" s="414" t="s">
        <v>11204</v>
      </c>
    </row>
    <row r="4298" spans="2:5">
      <c r="B4298" s="406" t="s">
        <v>9829</v>
      </c>
      <c r="C4298" s="407">
        <v>19553</v>
      </c>
      <c r="D4298" s="408">
        <v>45443</v>
      </c>
      <c r="E4298" s="414" t="s">
        <v>11288</v>
      </c>
    </row>
    <row r="4299" spans="2:5">
      <c r="B4299" s="406" t="s">
        <v>9829</v>
      </c>
      <c r="C4299" s="407">
        <v>19550</v>
      </c>
      <c r="D4299" s="408">
        <v>45443</v>
      </c>
      <c r="E4299" s="414" t="s">
        <v>11207</v>
      </c>
    </row>
    <row r="4300" spans="2:5">
      <c r="B4300" s="406" t="s">
        <v>9829</v>
      </c>
      <c r="C4300" s="407">
        <v>19548</v>
      </c>
      <c r="D4300" s="408">
        <v>45443</v>
      </c>
      <c r="E4300" s="414" t="s">
        <v>11208</v>
      </c>
    </row>
    <row r="4301" spans="2:5">
      <c r="B4301" s="406" t="s">
        <v>9829</v>
      </c>
      <c r="C4301" s="407">
        <v>19547</v>
      </c>
      <c r="D4301" s="408">
        <v>45443</v>
      </c>
      <c r="E4301" s="414" t="s">
        <v>11211</v>
      </c>
    </row>
    <row r="4302" spans="2:5">
      <c r="B4302" s="406" t="s">
        <v>9829</v>
      </c>
      <c r="C4302" s="407">
        <v>19544</v>
      </c>
      <c r="D4302" s="408">
        <v>45443</v>
      </c>
      <c r="E4302" s="414" t="s">
        <v>11289</v>
      </c>
    </row>
    <row r="4303" spans="2:5">
      <c r="B4303" s="406" t="s">
        <v>9829</v>
      </c>
      <c r="C4303" s="407">
        <v>19542</v>
      </c>
      <c r="D4303" s="408">
        <v>45443</v>
      </c>
      <c r="E4303" s="414" t="s">
        <v>11290</v>
      </c>
    </row>
    <row r="4304" spans="2:5">
      <c r="B4304" s="406" t="s">
        <v>9829</v>
      </c>
      <c r="C4304" s="407">
        <v>19538</v>
      </c>
      <c r="D4304" s="408">
        <v>45443</v>
      </c>
      <c r="E4304" s="414" t="s">
        <v>11291</v>
      </c>
    </row>
    <row r="4305" spans="2:5">
      <c r="B4305" s="406" t="s">
        <v>9829</v>
      </c>
      <c r="C4305" s="407">
        <v>19534</v>
      </c>
      <c r="D4305" s="408">
        <v>45443</v>
      </c>
      <c r="E4305" s="414" t="s">
        <v>11210</v>
      </c>
    </row>
    <row r="4306" spans="2:5">
      <c r="B4306" s="406" t="s">
        <v>9829</v>
      </c>
      <c r="C4306" s="407">
        <v>19532</v>
      </c>
      <c r="D4306" s="408">
        <v>45443</v>
      </c>
      <c r="E4306" s="414" t="s">
        <v>11209</v>
      </c>
    </row>
    <row r="4307" spans="2:5">
      <c r="B4307" s="406" t="s">
        <v>9829</v>
      </c>
      <c r="C4307" s="407">
        <v>19531</v>
      </c>
      <c r="D4307" s="408">
        <v>45443</v>
      </c>
      <c r="E4307" s="414" t="s">
        <v>11292</v>
      </c>
    </row>
    <row r="4308" spans="2:5">
      <c r="B4308" s="406" t="s">
        <v>9829</v>
      </c>
      <c r="C4308" s="407">
        <v>19521</v>
      </c>
      <c r="D4308" s="408">
        <v>45443</v>
      </c>
      <c r="E4308" s="414" t="s">
        <v>11215</v>
      </c>
    </row>
    <row r="4309" spans="2:5">
      <c r="B4309" s="406" t="s">
        <v>9829</v>
      </c>
      <c r="C4309" s="407">
        <v>19518</v>
      </c>
      <c r="D4309" s="408">
        <v>45443</v>
      </c>
      <c r="E4309" s="414" t="s">
        <v>11293</v>
      </c>
    </row>
    <row r="4310" spans="2:5">
      <c r="B4310" s="406" t="s">
        <v>9829</v>
      </c>
      <c r="C4310" s="407">
        <v>19516</v>
      </c>
      <c r="D4310" s="408">
        <v>45443</v>
      </c>
      <c r="E4310" s="414" t="s">
        <v>11294</v>
      </c>
    </row>
    <row r="4311" spans="2:5">
      <c r="B4311" s="406" t="s">
        <v>9829</v>
      </c>
      <c r="C4311" s="407">
        <v>19513</v>
      </c>
      <c r="D4311" s="408">
        <v>45443</v>
      </c>
      <c r="E4311" s="414" t="s">
        <v>11214</v>
      </c>
    </row>
    <row r="4312" spans="2:5">
      <c r="B4312" s="406" t="s">
        <v>9829</v>
      </c>
      <c r="C4312" s="407">
        <v>19499</v>
      </c>
      <c r="D4312" s="408">
        <v>45443</v>
      </c>
      <c r="E4312" s="414" t="s">
        <v>11213</v>
      </c>
    </row>
    <row r="4313" spans="2:5">
      <c r="B4313" s="406" t="s">
        <v>9829</v>
      </c>
      <c r="C4313" s="407">
        <v>19497</v>
      </c>
      <c r="D4313" s="408">
        <v>45443</v>
      </c>
      <c r="E4313" s="414" t="s">
        <v>11295</v>
      </c>
    </row>
    <row r="4314" spans="2:5">
      <c r="B4314" s="406" t="s">
        <v>9829</v>
      </c>
      <c r="C4314" s="407">
        <v>19486</v>
      </c>
      <c r="D4314" s="408">
        <v>45443</v>
      </c>
      <c r="E4314" s="414" t="s">
        <v>11296</v>
      </c>
    </row>
    <row r="4315" spans="2:5">
      <c r="B4315" s="406" t="s">
        <v>9829</v>
      </c>
      <c r="C4315" s="407">
        <v>19479</v>
      </c>
      <c r="D4315" s="408">
        <v>45443</v>
      </c>
      <c r="E4315" s="414" t="s">
        <v>11297</v>
      </c>
    </row>
    <row r="4316" spans="2:5">
      <c r="B4316" s="406" t="s">
        <v>9829</v>
      </c>
      <c r="C4316" s="407">
        <v>19471</v>
      </c>
      <c r="D4316" s="408">
        <v>45443</v>
      </c>
      <c r="E4316" s="414" t="s">
        <v>11212</v>
      </c>
    </row>
    <row r="4317" spans="2:5">
      <c r="B4317" s="406" t="s">
        <v>9829</v>
      </c>
      <c r="C4317" s="407">
        <v>19466</v>
      </c>
      <c r="D4317" s="408">
        <v>45443</v>
      </c>
      <c r="E4317" s="414" t="s">
        <v>11216</v>
      </c>
    </row>
    <row r="4318" spans="2:5">
      <c r="B4318" s="406" t="s">
        <v>9829</v>
      </c>
      <c r="C4318" s="407">
        <v>19463</v>
      </c>
      <c r="D4318" s="408">
        <v>45443</v>
      </c>
      <c r="E4318" s="414" t="s">
        <v>11298</v>
      </c>
    </row>
    <row r="4319" spans="2:5">
      <c r="B4319" s="406" t="s">
        <v>9829</v>
      </c>
      <c r="C4319" s="407">
        <v>19461</v>
      </c>
      <c r="D4319" s="408">
        <v>45443</v>
      </c>
      <c r="E4319" s="414" t="s">
        <v>11217</v>
      </c>
    </row>
    <row r="4320" spans="2:5">
      <c r="B4320" s="406" t="s">
        <v>9829</v>
      </c>
      <c r="C4320" s="407">
        <v>19454</v>
      </c>
      <c r="D4320" s="408">
        <v>45443</v>
      </c>
      <c r="E4320" s="414" t="s">
        <v>11218</v>
      </c>
    </row>
    <row r="4321" spans="2:5">
      <c r="B4321" s="406" t="s">
        <v>9829</v>
      </c>
      <c r="C4321" s="407">
        <v>19452</v>
      </c>
      <c r="D4321" s="408">
        <v>45443</v>
      </c>
      <c r="E4321" s="414" t="s">
        <v>11299</v>
      </c>
    </row>
    <row r="4322" spans="2:5">
      <c r="B4322" s="406" t="s">
        <v>9829</v>
      </c>
      <c r="C4322" s="407">
        <v>19440</v>
      </c>
      <c r="D4322" s="408">
        <v>45443</v>
      </c>
      <c r="E4322" s="414" t="s">
        <v>11219</v>
      </c>
    </row>
    <row r="4323" spans="2:5">
      <c r="B4323" s="406" t="s">
        <v>9829</v>
      </c>
      <c r="C4323" s="407">
        <v>19420</v>
      </c>
      <c r="D4323" s="408">
        <v>45443</v>
      </c>
      <c r="E4323" s="414" t="s">
        <v>11220</v>
      </c>
    </row>
    <row r="4324" spans="2:5">
      <c r="B4324" s="406" t="s">
        <v>9829</v>
      </c>
      <c r="C4324" s="407">
        <v>19414</v>
      </c>
      <c r="D4324" s="408">
        <v>45443</v>
      </c>
      <c r="E4324" s="414" t="s">
        <v>11221</v>
      </c>
    </row>
    <row r="4325" spans="2:5">
      <c r="B4325" s="406" t="s">
        <v>9829</v>
      </c>
      <c r="C4325" s="407">
        <v>19398</v>
      </c>
      <c r="D4325" s="408">
        <v>45443</v>
      </c>
      <c r="E4325" s="414" t="s">
        <v>11300</v>
      </c>
    </row>
    <row r="4326" spans="2:5">
      <c r="B4326" s="406" t="s">
        <v>9829</v>
      </c>
      <c r="C4326" s="407">
        <v>19397</v>
      </c>
      <c r="D4326" s="408">
        <v>45443</v>
      </c>
      <c r="E4326" s="414" t="s">
        <v>11301</v>
      </c>
    </row>
    <row r="4327" spans="2:5">
      <c r="B4327" s="406" t="s">
        <v>9829</v>
      </c>
      <c r="C4327" s="407">
        <v>19384</v>
      </c>
      <c r="D4327" s="408">
        <v>45443</v>
      </c>
      <c r="E4327" s="414" t="s">
        <v>11304</v>
      </c>
    </row>
    <row r="4328" spans="2:5">
      <c r="B4328" s="406" t="s">
        <v>9829</v>
      </c>
      <c r="C4328" s="407">
        <v>19383</v>
      </c>
      <c r="D4328" s="408">
        <v>45443</v>
      </c>
      <c r="E4328" s="414" t="s">
        <v>11303</v>
      </c>
    </row>
    <row r="4329" spans="2:5">
      <c r="B4329" s="406" t="s">
        <v>9829</v>
      </c>
      <c r="C4329" s="407">
        <v>19380</v>
      </c>
      <c r="D4329" s="408">
        <v>45443</v>
      </c>
      <c r="E4329" s="414" t="s">
        <v>11302</v>
      </c>
    </row>
    <row r="4330" spans="2:5">
      <c r="B4330" s="406" t="s">
        <v>9829</v>
      </c>
      <c r="C4330" s="407">
        <v>19376</v>
      </c>
      <c r="D4330" s="408">
        <v>45443</v>
      </c>
      <c r="E4330" s="414" t="s">
        <v>11222</v>
      </c>
    </row>
    <row r="4331" spans="2:5">
      <c r="B4331" s="406" t="s">
        <v>9829</v>
      </c>
      <c r="C4331" s="407">
        <v>19375</v>
      </c>
      <c r="D4331" s="408">
        <v>45443</v>
      </c>
      <c r="E4331" s="414" t="s">
        <v>11305</v>
      </c>
    </row>
    <row r="4332" spans="2:5">
      <c r="B4332" s="406" t="s">
        <v>9829</v>
      </c>
      <c r="C4332" s="407">
        <v>19374</v>
      </c>
      <c r="D4332" s="408">
        <v>45443</v>
      </c>
      <c r="E4332" s="414" t="s">
        <v>11306</v>
      </c>
    </row>
    <row r="4333" spans="2:5">
      <c r="B4333" s="406" t="s">
        <v>9829</v>
      </c>
      <c r="C4333" s="407">
        <v>19373</v>
      </c>
      <c r="D4333" s="408">
        <v>45443</v>
      </c>
      <c r="E4333" s="414" t="s">
        <v>11307</v>
      </c>
    </row>
    <row r="4334" spans="2:5">
      <c r="B4334" s="406" t="s">
        <v>9829</v>
      </c>
      <c r="C4334" s="407">
        <v>19363</v>
      </c>
      <c r="D4334" s="408">
        <v>45443</v>
      </c>
      <c r="E4334" s="414" t="s">
        <v>11308</v>
      </c>
    </row>
    <row r="4335" spans="2:5">
      <c r="B4335" s="406" t="s">
        <v>9829</v>
      </c>
      <c r="C4335" s="407">
        <v>19359</v>
      </c>
      <c r="D4335" s="408">
        <v>45443</v>
      </c>
      <c r="E4335" s="414" t="s">
        <v>11309</v>
      </c>
    </row>
    <row r="4336" spans="2:5">
      <c r="B4336" s="406" t="s">
        <v>9829</v>
      </c>
      <c r="C4336" s="407">
        <v>19356</v>
      </c>
      <c r="D4336" s="408">
        <v>45443</v>
      </c>
      <c r="E4336" s="414" t="s">
        <v>11310</v>
      </c>
    </row>
    <row r="4337" spans="2:5">
      <c r="B4337" s="406" t="s">
        <v>9829</v>
      </c>
      <c r="C4337" s="407">
        <v>19351</v>
      </c>
      <c r="D4337" s="408">
        <v>45443</v>
      </c>
      <c r="E4337" s="414" t="s">
        <v>11311</v>
      </c>
    </row>
    <row r="4338" spans="2:5">
      <c r="B4338" s="406" t="s">
        <v>9829</v>
      </c>
      <c r="C4338" s="407">
        <v>19349</v>
      </c>
      <c r="D4338" s="408">
        <v>45443</v>
      </c>
      <c r="E4338" s="414" t="s">
        <v>11312</v>
      </c>
    </row>
    <row r="4339" spans="2:5">
      <c r="B4339" s="406" t="s">
        <v>9829</v>
      </c>
      <c r="C4339" s="407">
        <v>19348</v>
      </c>
      <c r="D4339" s="408">
        <v>45443</v>
      </c>
      <c r="E4339" s="414" t="s">
        <v>11313</v>
      </c>
    </row>
    <row r="4340" spans="2:5">
      <c r="B4340" s="406" t="s">
        <v>9829</v>
      </c>
      <c r="C4340" s="407">
        <v>19347</v>
      </c>
      <c r="D4340" s="408">
        <v>45443</v>
      </c>
      <c r="E4340" s="414" t="s">
        <v>11314</v>
      </c>
    </row>
    <row r="4341" spans="2:5">
      <c r="B4341" s="406" t="s">
        <v>9829</v>
      </c>
      <c r="C4341" s="407">
        <v>19346</v>
      </c>
      <c r="D4341" s="408">
        <v>45443</v>
      </c>
      <c r="E4341" s="414" t="s">
        <v>11315</v>
      </c>
    </row>
    <row r="4342" spans="2:5">
      <c r="B4342" s="406" t="s">
        <v>9829</v>
      </c>
      <c r="C4342" s="407">
        <v>19345</v>
      </c>
      <c r="D4342" s="408">
        <v>45443</v>
      </c>
      <c r="E4342" s="414" t="s">
        <v>11316</v>
      </c>
    </row>
    <row r="4343" spans="2:5">
      <c r="B4343" s="406" t="s">
        <v>9829</v>
      </c>
      <c r="C4343" s="407">
        <v>19342</v>
      </c>
      <c r="D4343" s="408">
        <v>45443</v>
      </c>
      <c r="E4343" s="414" t="s">
        <v>11317</v>
      </c>
    </row>
    <row r="4344" spans="2:5">
      <c r="B4344" s="406" t="s">
        <v>9829</v>
      </c>
      <c r="C4344" s="407">
        <v>19340</v>
      </c>
      <c r="D4344" s="408">
        <v>45443</v>
      </c>
      <c r="E4344" s="414" t="s">
        <v>11318</v>
      </c>
    </row>
    <row r="4345" spans="2:5">
      <c r="B4345" s="406" t="s">
        <v>9829</v>
      </c>
      <c r="C4345" s="407">
        <v>19335</v>
      </c>
      <c r="D4345" s="408">
        <v>45442</v>
      </c>
      <c r="E4345" s="406" t="s">
        <v>10873</v>
      </c>
    </row>
    <row r="4346" spans="2:5">
      <c r="B4346" s="406" t="s">
        <v>9829</v>
      </c>
      <c r="C4346" s="407">
        <v>19332</v>
      </c>
      <c r="D4346" s="408">
        <v>45442</v>
      </c>
      <c r="E4346" s="406" t="s">
        <v>10761</v>
      </c>
    </row>
    <row r="4347" spans="2:5">
      <c r="B4347" s="406" t="s">
        <v>9829</v>
      </c>
      <c r="C4347" s="407">
        <v>19327</v>
      </c>
      <c r="D4347" s="408">
        <v>45442</v>
      </c>
      <c r="E4347" s="406" t="s">
        <v>10874</v>
      </c>
    </row>
    <row r="4348" spans="2:5">
      <c r="B4348" s="406" t="s">
        <v>9829</v>
      </c>
      <c r="C4348" s="407">
        <v>19323</v>
      </c>
      <c r="D4348" s="408">
        <v>45442</v>
      </c>
      <c r="E4348" s="406" t="s">
        <v>10875</v>
      </c>
    </row>
    <row r="4349" spans="2:5">
      <c r="B4349" s="406" t="s">
        <v>9829</v>
      </c>
      <c r="C4349" s="407">
        <v>19320</v>
      </c>
      <c r="D4349" s="408">
        <v>45442</v>
      </c>
      <c r="E4349" s="406" t="s">
        <v>10762</v>
      </c>
    </row>
    <row r="4350" spans="2:5">
      <c r="B4350" s="406" t="s">
        <v>9829</v>
      </c>
      <c r="C4350" s="407">
        <v>19317</v>
      </c>
      <c r="D4350" s="408">
        <v>45442</v>
      </c>
      <c r="E4350" s="406" t="s">
        <v>10763</v>
      </c>
    </row>
    <row r="4351" spans="2:5">
      <c r="B4351" s="406" t="s">
        <v>9829</v>
      </c>
      <c r="C4351" s="407">
        <v>19316</v>
      </c>
      <c r="D4351" s="408">
        <v>45442</v>
      </c>
      <c r="E4351" s="406" t="s">
        <v>10764</v>
      </c>
    </row>
    <row r="4352" spans="2:5">
      <c r="B4352" s="406" t="s">
        <v>9829</v>
      </c>
      <c r="C4352" s="407">
        <v>19315</v>
      </c>
      <c r="D4352" s="408">
        <v>45442</v>
      </c>
      <c r="E4352" s="406" t="s">
        <v>10876</v>
      </c>
    </row>
    <row r="4353" spans="2:5">
      <c r="B4353" s="406" t="s">
        <v>9829</v>
      </c>
      <c r="C4353" s="407">
        <v>19300</v>
      </c>
      <c r="D4353" s="408">
        <v>45442</v>
      </c>
      <c r="E4353" s="406" t="s">
        <v>10765</v>
      </c>
    </row>
    <row r="4354" spans="2:5">
      <c r="B4354" s="406" t="s">
        <v>9829</v>
      </c>
      <c r="C4354" s="407">
        <v>19296</v>
      </c>
      <c r="D4354" s="408">
        <v>45442</v>
      </c>
      <c r="E4354" s="406" t="s">
        <v>10877</v>
      </c>
    </row>
    <row r="4355" spans="2:5">
      <c r="B4355" s="406" t="s">
        <v>9829</v>
      </c>
      <c r="C4355" s="407">
        <v>19279</v>
      </c>
      <c r="D4355" s="408">
        <v>45442</v>
      </c>
      <c r="E4355" s="406" t="s">
        <v>10766</v>
      </c>
    </row>
    <row r="4356" spans="2:5">
      <c r="B4356" s="406" t="s">
        <v>9829</v>
      </c>
      <c r="C4356" s="407">
        <v>19277</v>
      </c>
      <c r="D4356" s="408">
        <v>45442</v>
      </c>
      <c r="E4356" s="406" t="s">
        <v>10767</v>
      </c>
    </row>
    <row r="4357" spans="2:5">
      <c r="B4357" s="406" t="s">
        <v>9829</v>
      </c>
      <c r="C4357" s="407">
        <v>19276</v>
      </c>
      <c r="D4357" s="408">
        <v>45442</v>
      </c>
      <c r="E4357" s="406" t="s">
        <v>10878</v>
      </c>
    </row>
    <row r="4358" spans="2:5">
      <c r="B4358" s="406" t="s">
        <v>9829</v>
      </c>
      <c r="C4358" s="407">
        <v>19272</v>
      </c>
      <c r="D4358" s="408">
        <v>45442</v>
      </c>
      <c r="E4358" s="406" t="s">
        <v>10768</v>
      </c>
    </row>
    <row r="4359" spans="2:5">
      <c r="B4359" s="406" t="s">
        <v>9829</v>
      </c>
      <c r="C4359" s="407">
        <v>19269</v>
      </c>
      <c r="D4359" s="408">
        <v>45442</v>
      </c>
      <c r="E4359" s="406" t="s">
        <v>10769</v>
      </c>
    </row>
    <row r="4360" spans="2:5">
      <c r="B4360" s="406" t="s">
        <v>9829</v>
      </c>
      <c r="C4360" s="407">
        <v>19262</v>
      </c>
      <c r="D4360" s="408">
        <v>45442</v>
      </c>
      <c r="E4360" s="406" t="s">
        <v>10879</v>
      </c>
    </row>
    <row r="4361" spans="2:5">
      <c r="B4361" s="406" t="s">
        <v>9829</v>
      </c>
      <c r="C4361" s="407">
        <v>19261</v>
      </c>
      <c r="D4361" s="408">
        <v>45442</v>
      </c>
      <c r="E4361" s="406" t="s">
        <v>10880</v>
      </c>
    </row>
    <row r="4362" spans="2:5">
      <c r="B4362" s="406" t="s">
        <v>9829</v>
      </c>
      <c r="C4362" s="407">
        <v>19256</v>
      </c>
      <c r="D4362" s="408">
        <v>45442</v>
      </c>
      <c r="E4362" s="406" t="s">
        <v>10770</v>
      </c>
    </row>
    <row r="4363" spans="2:5">
      <c r="B4363" s="406" t="s">
        <v>9829</v>
      </c>
      <c r="C4363" s="407">
        <v>19247</v>
      </c>
      <c r="D4363" s="408">
        <v>45442</v>
      </c>
      <c r="E4363" s="406" t="s">
        <v>10771</v>
      </c>
    </row>
    <row r="4364" spans="2:5">
      <c r="B4364" s="406" t="s">
        <v>9829</v>
      </c>
      <c r="C4364" s="407">
        <v>19237</v>
      </c>
      <c r="D4364" s="408">
        <v>45442</v>
      </c>
      <c r="E4364" s="406" t="s">
        <v>10881</v>
      </c>
    </row>
    <row r="4365" spans="2:5">
      <c r="B4365" s="406" t="s">
        <v>9829</v>
      </c>
      <c r="C4365" s="407">
        <v>19236</v>
      </c>
      <c r="D4365" s="408">
        <v>45442</v>
      </c>
      <c r="E4365" s="406" t="s">
        <v>10882</v>
      </c>
    </row>
    <row r="4366" spans="2:5">
      <c r="B4366" s="406" t="s">
        <v>9829</v>
      </c>
      <c r="C4366" s="407">
        <v>19234</v>
      </c>
      <c r="D4366" s="408">
        <v>45442</v>
      </c>
      <c r="E4366" s="406" t="s">
        <v>10772</v>
      </c>
    </row>
    <row r="4367" spans="2:5">
      <c r="B4367" s="406" t="s">
        <v>9829</v>
      </c>
      <c r="C4367" s="407">
        <v>19230</v>
      </c>
      <c r="D4367" s="408">
        <v>45442</v>
      </c>
      <c r="E4367" s="406" t="s">
        <v>10883</v>
      </c>
    </row>
    <row r="4368" spans="2:5">
      <c r="B4368" s="406" t="s">
        <v>9829</v>
      </c>
      <c r="C4368" s="407">
        <v>19225</v>
      </c>
      <c r="D4368" s="408">
        <v>45442</v>
      </c>
      <c r="E4368" s="406" t="s">
        <v>10773</v>
      </c>
    </row>
    <row r="4369" spans="2:5">
      <c r="B4369" s="406" t="s">
        <v>9829</v>
      </c>
      <c r="C4369" s="407">
        <v>19221</v>
      </c>
      <c r="D4369" s="408">
        <v>45442</v>
      </c>
      <c r="E4369" s="406" t="s">
        <v>10884</v>
      </c>
    </row>
    <row r="4370" spans="2:5">
      <c r="B4370" s="406" t="s">
        <v>9829</v>
      </c>
      <c r="C4370" s="407">
        <v>19217</v>
      </c>
      <c r="D4370" s="408">
        <v>45442</v>
      </c>
      <c r="E4370" s="406" t="s">
        <v>10885</v>
      </c>
    </row>
    <row r="4371" spans="2:5">
      <c r="B4371" s="406" t="s">
        <v>9829</v>
      </c>
      <c r="C4371" s="407">
        <v>19213</v>
      </c>
      <c r="D4371" s="408">
        <v>45442</v>
      </c>
      <c r="E4371" s="406" t="s">
        <v>10886</v>
      </c>
    </row>
    <row r="4372" spans="2:5">
      <c r="B4372" s="406" t="s">
        <v>9829</v>
      </c>
      <c r="C4372" s="407">
        <v>19212</v>
      </c>
      <c r="D4372" s="408">
        <v>45442</v>
      </c>
      <c r="E4372" s="406" t="s">
        <v>10774</v>
      </c>
    </row>
    <row r="4373" spans="2:5">
      <c r="B4373" s="406" t="s">
        <v>9829</v>
      </c>
      <c r="C4373" s="407">
        <v>19211</v>
      </c>
      <c r="D4373" s="408">
        <v>45442</v>
      </c>
      <c r="E4373" s="406" t="s">
        <v>10775</v>
      </c>
    </row>
    <row r="4374" spans="2:5">
      <c r="B4374" s="406" t="s">
        <v>9829</v>
      </c>
      <c r="C4374" s="407">
        <v>19210</v>
      </c>
      <c r="D4374" s="408">
        <v>45442</v>
      </c>
      <c r="E4374" s="406" t="s">
        <v>10776</v>
      </c>
    </row>
    <row r="4375" spans="2:5">
      <c r="B4375" s="406" t="s">
        <v>9829</v>
      </c>
      <c r="C4375" s="407">
        <v>19206</v>
      </c>
      <c r="D4375" s="408">
        <v>45442</v>
      </c>
      <c r="E4375" s="406" t="s">
        <v>10887</v>
      </c>
    </row>
    <row r="4376" spans="2:5">
      <c r="B4376" s="406" t="s">
        <v>9829</v>
      </c>
      <c r="C4376" s="407">
        <v>19202</v>
      </c>
      <c r="D4376" s="408">
        <v>45442</v>
      </c>
      <c r="E4376" s="406" t="s">
        <v>10785</v>
      </c>
    </row>
    <row r="4377" spans="2:5">
      <c r="B4377" s="406" t="s">
        <v>9829</v>
      </c>
      <c r="C4377" s="407">
        <v>19189</v>
      </c>
      <c r="D4377" s="408">
        <v>45442</v>
      </c>
      <c r="E4377" s="406" t="s">
        <v>10784</v>
      </c>
    </row>
    <row r="4378" spans="2:5">
      <c r="B4378" s="406" t="s">
        <v>9829</v>
      </c>
      <c r="C4378" s="407">
        <v>19186</v>
      </c>
      <c r="D4378" s="408">
        <v>45442</v>
      </c>
      <c r="E4378" s="406" t="s">
        <v>10888</v>
      </c>
    </row>
    <row r="4379" spans="2:5">
      <c r="B4379" s="406" t="s">
        <v>9829</v>
      </c>
      <c r="C4379" s="407">
        <v>19178</v>
      </c>
      <c r="D4379" s="408">
        <v>45442</v>
      </c>
      <c r="E4379" s="406" t="s">
        <v>10889</v>
      </c>
    </row>
    <row r="4380" spans="2:5">
      <c r="B4380" s="406" t="s">
        <v>9829</v>
      </c>
      <c r="C4380" s="407">
        <v>19175</v>
      </c>
      <c r="D4380" s="408">
        <v>45442</v>
      </c>
      <c r="E4380" s="406" t="s">
        <v>10783</v>
      </c>
    </row>
    <row r="4381" spans="2:5">
      <c r="B4381" s="406" t="s">
        <v>9829</v>
      </c>
      <c r="C4381" s="407">
        <v>19166</v>
      </c>
      <c r="D4381" s="408">
        <v>45442</v>
      </c>
      <c r="E4381" s="406" t="s">
        <v>10782</v>
      </c>
    </row>
    <row r="4382" spans="2:5">
      <c r="B4382" s="406" t="s">
        <v>9829</v>
      </c>
      <c r="C4382" s="407">
        <v>19162</v>
      </c>
      <c r="D4382" s="408">
        <v>45442</v>
      </c>
      <c r="E4382" s="406" t="s">
        <v>10781</v>
      </c>
    </row>
    <row r="4383" spans="2:5">
      <c r="B4383" s="406" t="s">
        <v>9829</v>
      </c>
      <c r="C4383" s="407">
        <v>19156</v>
      </c>
      <c r="D4383" s="408">
        <v>45442</v>
      </c>
      <c r="E4383" s="406" t="s">
        <v>10780</v>
      </c>
    </row>
    <row r="4384" spans="2:5">
      <c r="B4384" s="406" t="s">
        <v>9829</v>
      </c>
      <c r="C4384" s="407">
        <v>19153</v>
      </c>
      <c r="D4384" s="408">
        <v>45442</v>
      </c>
      <c r="E4384" s="406" t="s">
        <v>10779</v>
      </c>
    </row>
    <row r="4385" spans="2:5">
      <c r="B4385" s="406" t="s">
        <v>9829</v>
      </c>
      <c r="C4385" s="407">
        <v>19146</v>
      </c>
      <c r="D4385" s="408">
        <v>45442</v>
      </c>
      <c r="E4385" s="406" t="s">
        <v>10890</v>
      </c>
    </row>
    <row r="4386" spans="2:5">
      <c r="B4386" s="406" t="s">
        <v>9829</v>
      </c>
      <c r="C4386" s="407">
        <v>19121</v>
      </c>
      <c r="D4386" s="408">
        <v>45442</v>
      </c>
      <c r="E4386" s="406" t="s">
        <v>10778</v>
      </c>
    </row>
    <row r="4387" spans="2:5">
      <c r="B4387" s="406" t="s">
        <v>9829</v>
      </c>
      <c r="C4387" s="407">
        <v>19119</v>
      </c>
      <c r="D4387" s="408">
        <v>45442</v>
      </c>
      <c r="E4387" s="406" t="s">
        <v>10777</v>
      </c>
    </row>
    <row r="4388" spans="2:5">
      <c r="B4388" s="406" t="s">
        <v>9829</v>
      </c>
      <c r="C4388" s="407">
        <v>19107</v>
      </c>
      <c r="D4388" s="408">
        <v>45442</v>
      </c>
      <c r="E4388" s="406" t="s">
        <v>10789</v>
      </c>
    </row>
    <row r="4389" spans="2:5">
      <c r="B4389" s="406" t="s">
        <v>9829</v>
      </c>
      <c r="C4389" s="407">
        <v>19103</v>
      </c>
      <c r="D4389" s="408">
        <v>45442</v>
      </c>
      <c r="E4389" s="406" t="s">
        <v>10891</v>
      </c>
    </row>
    <row r="4390" spans="2:5">
      <c r="B4390" s="406" t="s">
        <v>9829</v>
      </c>
      <c r="C4390" s="407">
        <v>19101</v>
      </c>
      <c r="D4390" s="408">
        <v>45442</v>
      </c>
      <c r="E4390" s="406" t="s">
        <v>10788</v>
      </c>
    </row>
    <row r="4391" spans="2:5">
      <c r="B4391" s="406" t="s">
        <v>9829</v>
      </c>
      <c r="C4391" s="407">
        <v>19098</v>
      </c>
      <c r="D4391" s="408">
        <v>45442</v>
      </c>
      <c r="E4391" s="406" t="s">
        <v>10787</v>
      </c>
    </row>
    <row r="4392" spans="2:5">
      <c r="B4392" s="406" t="s">
        <v>9829</v>
      </c>
      <c r="C4392" s="407">
        <v>19080</v>
      </c>
      <c r="D4392" s="408">
        <v>45442</v>
      </c>
      <c r="E4392" s="406" t="s">
        <v>10786</v>
      </c>
    </row>
    <row r="4393" spans="2:5">
      <c r="B4393" s="406" t="s">
        <v>9829</v>
      </c>
      <c r="C4393" s="407">
        <v>19076</v>
      </c>
      <c r="D4393" s="408">
        <v>45442</v>
      </c>
      <c r="E4393" s="406" t="s">
        <v>10892</v>
      </c>
    </row>
    <row r="4394" spans="2:5">
      <c r="B4394" s="406" t="s">
        <v>9829</v>
      </c>
      <c r="C4394" s="407">
        <v>19072</v>
      </c>
      <c r="D4394" s="408">
        <v>45442</v>
      </c>
      <c r="E4394" s="406" t="s">
        <v>10790</v>
      </c>
    </row>
    <row r="4395" spans="2:5">
      <c r="B4395" s="406" t="s">
        <v>9829</v>
      </c>
      <c r="C4395" s="407">
        <v>19065</v>
      </c>
      <c r="D4395" s="408">
        <v>45442</v>
      </c>
      <c r="E4395" s="406" t="s">
        <v>10893</v>
      </c>
    </row>
    <row r="4396" spans="2:5">
      <c r="B4396" s="406" t="s">
        <v>9829</v>
      </c>
      <c r="C4396" s="407">
        <v>19062</v>
      </c>
      <c r="D4396" s="408">
        <v>45442</v>
      </c>
      <c r="E4396" s="406" t="s">
        <v>10791</v>
      </c>
    </row>
    <row r="4397" spans="2:5">
      <c r="B4397" s="406" t="s">
        <v>9829</v>
      </c>
      <c r="C4397" s="407">
        <v>19059</v>
      </c>
      <c r="D4397" s="408">
        <v>45442</v>
      </c>
      <c r="E4397" s="406" t="s">
        <v>10792</v>
      </c>
    </row>
    <row r="4398" spans="2:5">
      <c r="B4398" s="406" t="s">
        <v>9829</v>
      </c>
      <c r="C4398" s="407">
        <v>19053</v>
      </c>
      <c r="D4398" s="408">
        <v>45442</v>
      </c>
      <c r="E4398" s="406" t="s">
        <v>10894</v>
      </c>
    </row>
    <row r="4399" spans="2:5">
      <c r="B4399" s="406" t="s">
        <v>9829</v>
      </c>
      <c r="C4399" s="407">
        <v>19047</v>
      </c>
      <c r="D4399" s="408">
        <v>45442</v>
      </c>
      <c r="E4399" s="406" t="s">
        <v>10793</v>
      </c>
    </row>
    <row r="4400" spans="2:5">
      <c r="B4400" s="406" t="s">
        <v>9829</v>
      </c>
      <c r="C4400" s="407">
        <v>19036</v>
      </c>
      <c r="D4400" s="408">
        <v>45442</v>
      </c>
      <c r="E4400" s="406" t="s">
        <v>10895</v>
      </c>
    </row>
    <row r="4401" spans="2:5">
      <c r="B4401" s="406" t="s">
        <v>9829</v>
      </c>
      <c r="C4401" s="407">
        <v>19033</v>
      </c>
      <c r="D4401" s="408">
        <v>45442</v>
      </c>
      <c r="E4401" s="406" t="s">
        <v>10794</v>
      </c>
    </row>
    <row r="4402" spans="2:5">
      <c r="B4402" s="406" t="s">
        <v>9829</v>
      </c>
      <c r="C4402" s="407">
        <v>19032</v>
      </c>
      <c r="D4402" s="408">
        <v>45442</v>
      </c>
      <c r="E4402" s="406" t="s">
        <v>10896</v>
      </c>
    </row>
    <row r="4403" spans="2:5">
      <c r="B4403" s="406" t="s">
        <v>9829</v>
      </c>
      <c r="C4403" s="407">
        <v>19026</v>
      </c>
      <c r="D4403" s="408">
        <v>45442</v>
      </c>
      <c r="E4403" s="406" t="s">
        <v>10795</v>
      </c>
    </row>
    <row r="4404" spans="2:5">
      <c r="B4404" s="406" t="s">
        <v>9829</v>
      </c>
      <c r="C4404" s="407">
        <v>19024</v>
      </c>
      <c r="D4404" s="408">
        <v>45442</v>
      </c>
      <c r="E4404" s="406" t="s">
        <v>10796</v>
      </c>
    </row>
    <row r="4405" spans="2:5">
      <c r="B4405" s="406" t="s">
        <v>9829</v>
      </c>
      <c r="C4405" s="407">
        <v>19022</v>
      </c>
      <c r="D4405" s="408">
        <v>45442</v>
      </c>
      <c r="E4405" s="406" t="s">
        <v>10797</v>
      </c>
    </row>
    <row r="4406" spans="2:5">
      <c r="B4406" s="406" t="s">
        <v>9829</v>
      </c>
      <c r="C4406" s="407">
        <v>19019</v>
      </c>
      <c r="D4406" s="408">
        <v>45442</v>
      </c>
      <c r="E4406" s="406" t="s">
        <v>10897</v>
      </c>
    </row>
    <row r="4407" spans="2:5">
      <c r="B4407" s="406" t="s">
        <v>9829</v>
      </c>
      <c r="C4407" s="407">
        <v>19017</v>
      </c>
      <c r="D4407" s="408">
        <v>45442</v>
      </c>
      <c r="E4407" s="406" t="s">
        <v>10798</v>
      </c>
    </row>
    <row r="4408" spans="2:5">
      <c r="B4408" s="406" t="s">
        <v>9829</v>
      </c>
      <c r="C4408" s="407">
        <v>19015</v>
      </c>
      <c r="D4408" s="408">
        <v>45442</v>
      </c>
      <c r="E4408" s="406" t="s">
        <v>10898</v>
      </c>
    </row>
    <row r="4409" spans="2:5">
      <c r="B4409" s="406" t="s">
        <v>9829</v>
      </c>
      <c r="C4409" s="407">
        <v>19014</v>
      </c>
      <c r="D4409" s="408">
        <v>45442</v>
      </c>
      <c r="E4409" s="406" t="s">
        <v>10799</v>
      </c>
    </row>
    <row r="4410" spans="2:5">
      <c r="B4410" s="406" t="s">
        <v>9829</v>
      </c>
      <c r="C4410" s="407">
        <v>19013</v>
      </c>
      <c r="D4410" s="408">
        <v>45442</v>
      </c>
      <c r="E4410" s="406" t="s">
        <v>10800</v>
      </c>
    </row>
    <row r="4411" spans="2:5">
      <c r="B4411" s="406" t="s">
        <v>9829</v>
      </c>
      <c r="C4411" s="407">
        <v>19000</v>
      </c>
      <c r="D4411" s="408">
        <v>45442</v>
      </c>
      <c r="E4411" s="406" t="s">
        <v>10801</v>
      </c>
    </row>
    <row r="4412" spans="2:5">
      <c r="B4412" s="406" t="s">
        <v>9829</v>
      </c>
      <c r="C4412" s="407">
        <v>18997</v>
      </c>
      <c r="D4412" s="408">
        <v>45442</v>
      </c>
      <c r="E4412" s="406" t="s">
        <v>10899</v>
      </c>
    </row>
    <row r="4413" spans="2:5">
      <c r="B4413" s="406" t="s">
        <v>9829</v>
      </c>
      <c r="C4413" s="407">
        <v>18986</v>
      </c>
      <c r="D4413" s="408">
        <v>45442</v>
      </c>
      <c r="E4413" s="406" t="s">
        <v>10802</v>
      </c>
    </row>
    <row r="4414" spans="2:5">
      <c r="B4414" s="406" t="s">
        <v>9829</v>
      </c>
      <c r="C4414" s="407">
        <v>18984</v>
      </c>
      <c r="D4414" s="408">
        <v>45442</v>
      </c>
      <c r="E4414" s="406" t="s">
        <v>10803</v>
      </c>
    </row>
    <row r="4415" spans="2:5">
      <c r="B4415" s="406" t="s">
        <v>9829</v>
      </c>
      <c r="C4415" s="407">
        <v>18983</v>
      </c>
      <c r="D4415" s="408">
        <v>45442</v>
      </c>
      <c r="E4415" s="406" t="s">
        <v>10804</v>
      </c>
    </row>
    <row r="4416" spans="2:5">
      <c r="B4416" s="406" t="s">
        <v>9829</v>
      </c>
      <c r="C4416" s="407">
        <v>18979</v>
      </c>
      <c r="D4416" s="408">
        <v>45442</v>
      </c>
      <c r="E4416" s="406" t="s">
        <v>10819</v>
      </c>
    </row>
    <row r="4417" spans="2:5">
      <c r="B4417" s="406" t="s">
        <v>9829</v>
      </c>
      <c r="C4417" s="407">
        <v>18975</v>
      </c>
      <c r="D4417" s="408">
        <v>45442</v>
      </c>
      <c r="E4417" s="406" t="s">
        <v>10818</v>
      </c>
    </row>
    <row r="4418" spans="2:5">
      <c r="B4418" s="406" t="s">
        <v>9829</v>
      </c>
      <c r="C4418" s="407">
        <v>18972</v>
      </c>
      <c r="D4418" s="408">
        <v>45442</v>
      </c>
      <c r="E4418" s="406" t="s">
        <v>10817</v>
      </c>
    </row>
    <row r="4419" spans="2:5">
      <c r="B4419" s="406" t="s">
        <v>9829</v>
      </c>
      <c r="C4419" s="407">
        <v>18968</v>
      </c>
      <c r="D4419" s="408">
        <v>45442</v>
      </c>
      <c r="E4419" s="406" t="s">
        <v>10900</v>
      </c>
    </row>
    <row r="4420" spans="2:5">
      <c r="B4420" s="406" t="s">
        <v>9829</v>
      </c>
      <c r="C4420" s="407">
        <v>18953</v>
      </c>
      <c r="D4420" s="408">
        <v>45442</v>
      </c>
      <c r="E4420" s="406" t="s">
        <v>10816</v>
      </c>
    </row>
    <row r="4421" spans="2:5">
      <c r="B4421" s="406" t="s">
        <v>9829</v>
      </c>
      <c r="C4421" s="407">
        <v>18952</v>
      </c>
      <c r="D4421" s="408">
        <v>45442</v>
      </c>
      <c r="E4421" s="406" t="s">
        <v>10901</v>
      </c>
    </row>
    <row r="4422" spans="2:5">
      <c r="B4422" s="406" t="s">
        <v>9829</v>
      </c>
      <c r="C4422" s="407">
        <v>18948</v>
      </c>
      <c r="D4422" s="408">
        <v>45442</v>
      </c>
      <c r="E4422" s="406" t="s">
        <v>10902</v>
      </c>
    </row>
    <row r="4423" spans="2:5">
      <c r="B4423" s="406" t="s">
        <v>9829</v>
      </c>
      <c r="C4423" s="407">
        <v>18945</v>
      </c>
      <c r="D4423" s="408">
        <v>45442</v>
      </c>
      <c r="E4423" s="406" t="s">
        <v>10903</v>
      </c>
    </row>
    <row r="4424" spans="2:5">
      <c r="B4424" s="406" t="s">
        <v>9829</v>
      </c>
      <c r="C4424" s="407">
        <v>18944</v>
      </c>
      <c r="D4424" s="408">
        <v>45442</v>
      </c>
      <c r="E4424" s="406" t="s">
        <v>10904</v>
      </c>
    </row>
    <row r="4425" spans="2:5">
      <c r="B4425" s="406" t="s">
        <v>9829</v>
      </c>
      <c r="C4425" s="407">
        <v>18942</v>
      </c>
      <c r="D4425" s="408">
        <v>45442</v>
      </c>
      <c r="E4425" s="406" t="s">
        <v>10905</v>
      </c>
    </row>
    <row r="4426" spans="2:5">
      <c r="B4426" s="406" t="s">
        <v>9829</v>
      </c>
      <c r="C4426" s="407">
        <v>18941</v>
      </c>
      <c r="D4426" s="408">
        <v>45442</v>
      </c>
      <c r="E4426" s="406" t="s">
        <v>10906</v>
      </c>
    </row>
    <row r="4427" spans="2:5">
      <c r="B4427" s="406" t="s">
        <v>9829</v>
      </c>
      <c r="C4427" s="407">
        <v>18938</v>
      </c>
      <c r="D4427" s="408">
        <v>45442</v>
      </c>
      <c r="E4427" s="406" t="s">
        <v>10907</v>
      </c>
    </row>
    <row r="4428" spans="2:5">
      <c r="B4428" s="406" t="s">
        <v>9829</v>
      </c>
      <c r="C4428" s="407">
        <v>18933</v>
      </c>
      <c r="D4428" s="408">
        <v>45442</v>
      </c>
      <c r="E4428" s="406" t="s">
        <v>10815</v>
      </c>
    </row>
    <row r="4429" spans="2:5">
      <c r="B4429" s="406" t="s">
        <v>9829</v>
      </c>
      <c r="C4429" s="407">
        <v>18932</v>
      </c>
      <c r="D4429" s="408">
        <v>45442</v>
      </c>
      <c r="E4429" s="406" t="s">
        <v>10908</v>
      </c>
    </row>
    <row r="4430" spans="2:5">
      <c r="B4430" s="406" t="s">
        <v>9829</v>
      </c>
      <c r="C4430" s="407">
        <v>18931</v>
      </c>
      <c r="D4430" s="408">
        <v>45442</v>
      </c>
      <c r="E4430" s="406" t="s">
        <v>10909</v>
      </c>
    </row>
    <row r="4431" spans="2:5">
      <c r="B4431" s="406" t="s">
        <v>9829</v>
      </c>
      <c r="C4431" s="407">
        <v>18929</v>
      </c>
      <c r="D4431" s="408">
        <v>45442</v>
      </c>
      <c r="E4431" s="406" t="s">
        <v>10910</v>
      </c>
    </row>
    <row r="4432" spans="2:5">
      <c r="B4432" s="406" t="s">
        <v>9829</v>
      </c>
      <c r="C4432" s="407">
        <v>18925</v>
      </c>
      <c r="D4432" s="408">
        <v>45442</v>
      </c>
      <c r="E4432" s="406" t="s">
        <v>10814</v>
      </c>
    </row>
    <row r="4433" spans="2:5">
      <c r="B4433" s="406" t="s">
        <v>9829</v>
      </c>
      <c r="C4433" s="407">
        <v>18921</v>
      </c>
      <c r="D4433" s="408">
        <v>45442</v>
      </c>
      <c r="E4433" s="406" t="s">
        <v>10805</v>
      </c>
    </row>
    <row r="4434" spans="2:5">
      <c r="B4434" s="406" t="s">
        <v>9829</v>
      </c>
      <c r="C4434" s="407">
        <v>18918</v>
      </c>
      <c r="D4434" s="408">
        <v>45442</v>
      </c>
      <c r="E4434" s="406" t="s">
        <v>10911</v>
      </c>
    </row>
    <row r="4435" spans="2:5">
      <c r="B4435" s="406" t="s">
        <v>9829</v>
      </c>
      <c r="C4435" s="407">
        <v>18917</v>
      </c>
      <c r="D4435" s="408">
        <v>45442</v>
      </c>
      <c r="E4435" s="406" t="s">
        <v>10806</v>
      </c>
    </row>
    <row r="4436" spans="2:5">
      <c r="B4436" s="406" t="s">
        <v>9829</v>
      </c>
      <c r="C4436" s="407">
        <v>18913</v>
      </c>
      <c r="D4436" s="408">
        <v>45442</v>
      </c>
      <c r="E4436" s="406" t="s">
        <v>10807</v>
      </c>
    </row>
    <row r="4437" spans="2:5">
      <c r="B4437" s="406" t="s">
        <v>9829</v>
      </c>
      <c r="C4437" s="407">
        <v>18906</v>
      </c>
      <c r="D4437" s="408">
        <v>45442</v>
      </c>
      <c r="E4437" s="406" t="s">
        <v>10912</v>
      </c>
    </row>
    <row r="4438" spans="2:5">
      <c r="B4438" s="406" t="s">
        <v>9829</v>
      </c>
      <c r="C4438" s="407">
        <v>18902</v>
      </c>
      <c r="D4438" s="408">
        <v>45442</v>
      </c>
      <c r="E4438" s="406" t="s">
        <v>10808</v>
      </c>
    </row>
    <row r="4439" spans="2:5">
      <c r="B4439" s="406" t="s">
        <v>9829</v>
      </c>
      <c r="C4439" s="407">
        <v>18896</v>
      </c>
      <c r="D4439" s="408">
        <v>45442</v>
      </c>
      <c r="E4439" s="406" t="s">
        <v>10809</v>
      </c>
    </row>
    <row r="4440" spans="2:5">
      <c r="B4440" s="406" t="s">
        <v>9829</v>
      </c>
      <c r="C4440" s="407">
        <v>18894</v>
      </c>
      <c r="D4440" s="408">
        <v>45442</v>
      </c>
      <c r="E4440" s="406" t="s">
        <v>10810</v>
      </c>
    </row>
    <row r="4441" spans="2:5">
      <c r="B4441" s="406" t="s">
        <v>9829</v>
      </c>
      <c r="C4441" s="407">
        <v>18890</v>
      </c>
      <c r="D4441" s="408">
        <v>45442</v>
      </c>
      <c r="E4441" s="406" t="s">
        <v>10811</v>
      </c>
    </row>
    <row r="4442" spans="2:5">
      <c r="B4442" s="406" t="s">
        <v>9829</v>
      </c>
      <c r="C4442" s="407">
        <v>18888</v>
      </c>
      <c r="D4442" s="408">
        <v>45442</v>
      </c>
      <c r="E4442" s="406" t="s">
        <v>10913</v>
      </c>
    </row>
    <row r="4443" spans="2:5">
      <c r="B4443" s="406" t="s">
        <v>9829</v>
      </c>
      <c r="C4443" s="407">
        <v>18886</v>
      </c>
      <c r="D4443" s="408">
        <v>45442</v>
      </c>
      <c r="E4443" s="406" t="s">
        <v>10812</v>
      </c>
    </row>
    <row r="4444" spans="2:5">
      <c r="B4444" s="406" t="s">
        <v>9829</v>
      </c>
      <c r="C4444" s="407">
        <v>18881</v>
      </c>
      <c r="D4444" s="408">
        <v>45442</v>
      </c>
      <c r="E4444" s="406" t="s">
        <v>10813</v>
      </c>
    </row>
    <row r="4445" spans="2:5">
      <c r="B4445" s="406" t="s">
        <v>9829</v>
      </c>
      <c r="C4445" s="407">
        <v>18879</v>
      </c>
      <c r="D4445" s="408">
        <v>45442</v>
      </c>
      <c r="E4445" s="406" t="s">
        <v>10820</v>
      </c>
    </row>
    <row r="4446" spans="2:5">
      <c r="B4446" s="406" t="s">
        <v>9829</v>
      </c>
      <c r="C4446" s="407">
        <v>18878</v>
      </c>
      <c r="D4446" s="408">
        <v>45442</v>
      </c>
      <c r="E4446" s="411" t="s">
        <v>10914</v>
      </c>
    </row>
    <row r="4447" spans="2:5">
      <c r="B4447" s="406" t="s">
        <v>9829</v>
      </c>
      <c r="C4447" s="407">
        <v>18877</v>
      </c>
      <c r="D4447" s="408">
        <v>45442</v>
      </c>
      <c r="E4447" s="406" t="s">
        <v>10821</v>
      </c>
    </row>
    <row r="4448" spans="2:5">
      <c r="B4448" s="406" t="s">
        <v>9829</v>
      </c>
      <c r="C4448" s="407">
        <v>18871</v>
      </c>
      <c r="D4448" s="408">
        <v>45442</v>
      </c>
      <c r="E4448" s="406" t="s">
        <v>10915</v>
      </c>
    </row>
    <row r="4449" spans="2:5">
      <c r="B4449" s="406" t="s">
        <v>9829</v>
      </c>
      <c r="C4449" s="407">
        <v>18869</v>
      </c>
      <c r="D4449" s="408">
        <v>45442</v>
      </c>
      <c r="E4449" s="406" t="s">
        <v>10822</v>
      </c>
    </row>
    <row r="4450" spans="2:5">
      <c r="B4450" s="406" t="s">
        <v>9829</v>
      </c>
      <c r="C4450" s="407">
        <v>18861</v>
      </c>
      <c r="D4450" s="408">
        <v>45442</v>
      </c>
      <c r="E4450" s="406" t="s">
        <v>10916</v>
      </c>
    </row>
    <row r="4451" spans="2:5">
      <c r="B4451" s="406" t="s">
        <v>9829</v>
      </c>
      <c r="C4451" s="407">
        <v>18848</v>
      </c>
      <c r="D4451" s="408">
        <v>45442</v>
      </c>
      <c r="E4451" s="406" t="s">
        <v>10823</v>
      </c>
    </row>
    <row r="4452" spans="2:5">
      <c r="B4452" s="406" t="s">
        <v>9829</v>
      </c>
      <c r="C4452" s="407">
        <v>18845</v>
      </c>
      <c r="D4452" s="408">
        <v>45442</v>
      </c>
      <c r="E4452" s="406" t="s">
        <v>10917</v>
      </c>
    </row>
    <row r="4453" spans="2:5">
      <c r="B4453" s="406" t="s">
        <v>9829</v>
      </c>
      <c r="C4453" s="407">
        <v>18843</v>
      </c>
      <c r="D4453" s="408">
        <v>45442</v>
      </c>
      <c r="E4453" s="406" t="s">
        <v>10918</v>
      </c>
    </row>
    <row r="4454" spans="2:5">
      <c r="B4454" s="406" t="s">
        <v>9829</v>
      </c>
      <c r="C4454" s="407">
        <v>18836</v>
      </c>
      <c r="D4454" s="408">
        <v>45442</v>
      </c>
      <c r="E4454" s="406" t="s">
        <v>10919</v>
      </c>
    </row>
    <row r="4455" spans="2:5">
      <c r="B4455" s="406" t="s">
        <v>9829</v>
      </c>
      <c r="C4455" s="407">
        <v>18832</v>
      </c>
      <c r="D4455" s="408">
        <v>45442</v>
      </c>
      <c r="E4455" s="406" t="s">
        <v>10824</v>
      </c>
    </row>
    <row r="4456" spans="2:5">
      <c r="B4456" s="406" t="s">
        <v>9829</v>
      </c>
      <c r="C4456" s="407">
        <v>18831</v>
      </c>
      <c r="D4456" s="408">
        <v>45442</v>
      </c>
      <c r="E4456" s="406" t="s">
        <v>10920</v>
      </c>
    </row>
    <row r="4457" spans="2:5">
      <c r="B4457" s="406" t="s">
        <v>9829</v>
      </c>
      <c r="C4457" s="407">
        <v>18816</v>
      </c>
      <c r="D4457" s="408">
        <v>45442</v>
      </c>
      <c r="E4457" s="406" t="s">
        <v>10921</v>
      </c>
    </row>
    <row r="4458" spans="2:5">
      <c r="B4458" s="406" t="s">
        <v>9829</v>
      </c>
      <c r="C4458" s="407">
        <v>18805</v>
      </c>
      <c r="D4458" s="408">
        <v>45442</v>
      </c>
      <c r="E4458" s="406" t="s">
        <v>10825</v>
      </c>
    </row>
    <row r="4459" spans="2:5">
      <c r="B4459" s="406" t="s">
        <v>9829</v>
      </c>
      <c r="C4459" s="407">
        <v>18795</v>
      </c>
      <c r="D4459" s="408">
        <v>45442</v>
      </c>
      <c r="E4459" s="406" t="s">
        <v>10922</v>
      </c>
    </row>
    <row r="4460" spans="2:5">
      <c r="B4460" s="406" t="s">
        <v>9829</v>
      </c>
      <c r="C4460" s="407">
        <v>18793</v>
      </c>
      <c r="D4460" s="408">
        <v>45442</v>
      </c>
      <c r="E4460" s="406" t="s">
        <v>10829</v>
      </c>
    </row>
    <row r="4461" spans="2:5">
      <c r="B4461" s="406" t="s">
        <v>9829</v>
      </c>
      <c r="C4461" s="407">
        <v>18792</v>
      </c>
      <c r="D4461" s="408">
        <v>45442</v>
      </c>
      <c r="E4461" s="406" t="s">
        <v>10828</v>
      </c>
    </row>
    <row r="4462" spans="2:5">
      <c r="B4462" s="406" t="s">
        <v>9829</v>
      </c>
      <c r="C4462" s="407">
        <v>18786</v>
      </c>
      <c r="D4462" s="408">
        <v>45442</v>
      </c>
      <c r="E4462" s="406" t="s">
        <v>10827</v>
      </c>
    </row>
    <row r="4463" spans="2:5">
      <c r="B4463" s="406" t="s">
        <v>9829</v>
      </c>
      <c r="C4463" s="407">
        <v>18781</v>
      </c>
      <c r="D4463" s="408">
        <v>45442</v>
      </c>
      <c r="E4463" s="406" t="s">
        <v>10826</v>
      </c>
    </row>
    <row r="4464" spans="2:5">
      <c r="B4464" s="406" t="s">
        <v>9829</v>
      </c>
      <c r="C4464" s="407">
        <v>18780</v>
      </c>
      <c r="D4464" s="408">
        <v>45442</v>
      </c>
      <c r="E4464" s="406" t="s">
        <v>10923</v>
      </c>
    </row>
    <row r="4465" spans="2:5">
      <c r="B4465" s="406" t="s">
        <v>9829</v>
      </c>
      <c r="C4465" s="407">
        <v>18777</v>
      </c>
      <c r="D4465" s="408">
        <v>45442</v>
      </c>
      <c r="E4465" s="406" t="s">
        <v>10924</v>
      </c>
    </row>
    <row r="4466" spans="2:5">
      <c r="B4466" s="406" t="s">
        <v>9829</v>
      </c>
      <c r="C4466" s="407">
        <v>18776</v>
      </c>
      <c r="D4466" s="408">
        <v>45442</v>
      </c>
      <c r="E4466" s="406" t="s">
        <v>10925</v>
      </c>
    </row>
    <row r="4467" spans="2:5">
      <c r="B4467" s="406" t="s">
        <v>9829</v>
      </c>
      <c r="C4467" s="407">
        <v>18768</v>
      </c>
      <c r="D4467" s="408">
        <v>45442</v>
      </c>
      <c r="E4467" s="406" t="s">
        <v>10926</v>
      </c>
    </row>
    <row r="4468" spans="2:5">
      <c r="B4468" s="406" t="s">
        <v>9829</v>
      </c>
      <c r="C4468" s="407">
        <v>18765</v>
      </c>
      <c r="D4468" s="408">
        <v>45442</v>
      </c>
      <c r="E4468" s="406" t="s">
        <v>10834</v>
      </c>
    </row>
    <row r="4469" spans="2:5">
      <c r="B4469" s="406" t="s">
        <v>9829</v>
      </c>
      <c r="C4469" s="407">
        <v>18761</v>
      </c>
      <c r="D4469" s="408">
        <v>45442</v>
      </c>
      <c r="E4469" s="406" t="s">
        <v>10833</v>
      </c>
    </row>
    <row r="4470" spans="2:5">
      <c r="B4470" s="406" t="s">
        <v>9829</v>
      </c>
      <c r="C4470" s="407">
        <v>18758</v>
      </c>
      <c r="D4470" s="408">
        <v>45442</v>
      </c>
      <c r="E4470" s="406" t="s">
        <v>10832</v>
      </c>
    </row>
    <row r="4471" spans="2:5">
      <c r="B4471" s="406" t="s">
        <v>9829</v>
      </c>
      <c r="C4471" s="407">
        <v>18756</v>
      </c>
      <c r="D4471" s="408">
        <v>45442</v>
      </c>
      <c r="E4471" s="406" t="s">
        <v>10831</v>
      </c>
    </row>
    <row r="4472" spans="2:5">
      <c r="B4472" s="406" t="s">
        <v>9829</v>
      </c>
      <c r="C4472" s="407">
        <v>18754</v>
      </c>
      <c r="D4472" s="408">
        <v>45442</v>
      </c>
      <c r="E4472" s="406" t="s">
        <v>10927</v>
      </c>
    </row>
    <row r="4473" spans="2:5">
      <c r="B4473" s="406" t="s">
        <v>9829</v>
      </c>
      <c r="C4473" s="407">
        <v>18753</v>
      </c>
      <c r="D4473" s="408">
        <v>45442</v>
      </c>
      <c r="E4473" s="406" t="s">
        <v>10830</v>
      </c>
    </row>
    <row r="4474" spans="2:5">
      <c r="B4474" s="406" t="s">
        <v>9829</v>
      </c>
      <c r="C4474" s="407">
        <v>18749</v>
      </c>
      <c r="D4474" s="408">
        <v>45442</v>
      </c>
      <c r="E4474" s="406" t="s">
        <v>10835</v>
      </c>
    </row>
    <row r="4475" spans="2:5">
      <c r="B4475" s="406" t="s">
        <v>9829</v>
      </c>
      <c r="C4475" s="407">
        <v>18746</v>
      </c>
      <c r="D4475" s="408">
        <v>45442</v>
      </c>
      <c r="E4475" s="406" t="s">
        <v>10928</v>
      </c>
    </row>
    <row r="4476" spans="2:5">
      <c r="B4476" s="406" t="s">
        <v>9829</v>
      </c>
      <c r="C4476" s="407">
        <v>18732</v>
      </c>
      <c r="D4476" s="408">
        <v>45442</v>
      </c>
      <c r="E4476" s="406" t="s">
        <v>10929</v>
      </c>
    </row>
    <row r="4477" spans="2:5">
      <c r="B4477" s="406" t="s">
        <v>9829</v>
      </c>
      <c r="C4477" s="407">
        <v>18729</v>
      </c>
      <c r="D4477" s="408">
        <v>45442</v>
      </c>
      <c r="E4477" s="406" t="s">
        <v>10836</v>
      </c>
    </row>
    <row r="4478" spans="2:5">
      <c r="B4478" s="406" t="s">
        <v>9829</v>
      </c>
      <c r="C4478" s="407">
        <v>18725</v>
      </c>
      <c r="D4478" s="408">
        <v>45442</v>
      </c>
      <c r="E4478" s="406" t="s">
        <v>10837</v>
      </c>
    </row>
    <row r="4479" spans="2:5">
      <c r="B4479" s="406" t="s">
        <v>9829</v>
      </c>
      <c r="C4479" s="407">
        <v>18724</v>
      </c>
      <c r="D4479" s="408">
        <v>45442</v>
      </c>
      <c r="E4479" s="406" t="s">
        <v>10930</v>
      </c>
    </row>
    <row r="4480" spans="2:5">
      <c r="B4480" s="406" t="s">
        <v>9829</v>
      </c>
      <c r="C4480" s="407">
        <v>18723</v>
      </c>
      <c r="D4480" s="408">
        <v>45442</v>
      </c>
      <c r="E4480" s="406" t="s">
        <v>10838</v>
      </c>
    </row>
    <row r="4481" spans="2:5">
      <c r="B4481" s="406" t="s">
        <v>9829</v>
      </c>
      <c r="C4481" s="407">
        <v>18710</v>
      </c>
      <c r="D4481" s="408">
        <v>45442</v>
      </c>
      <c r="E4481" s="406" t="s">
        <v>10839</v>
      </c>
    </row>
    <row r="4482" spans="2:5">
      <c r="B4482" s="406" t="s">
        <v>9829</v>
      </c>
      <c r="C4482" s="407">
        <v>18707</v>
      </c>
      <c r="D4482" s="408">
        <v>45442</v>
      </c>
      <c r="E4482" s="406" t="s">
        <v>10843</v>
      </c>
    </row>
    <row r="4483" spans="2:5">
      <c r="B4483" s="406" t="s">
        <v>9829</v>
      </c>
      <c r="C4483" s="407">
        <v>18698</v>
      </c>
      <c r="D4483" s="408">
        <v>45442</v>
      </c>
      <c r="E4483" s="406" t="s">
        <v>10842</v>
      </c>
    </row>
    <row r="4484" spans="2:5">
      <c r="B4484" s="406" t="s">
        <v>9829</v>
      </c>
      <c r="C4484" s="407">
        <v>18693</v>
      </c>
      <c r="D4484" s="408">
        <v>45442</v>
      </c>
      <c r="E4484" s="406" t="s">
        <v>10841</v>
      </c>
    </row>
    <row r="4485" spans="2:5">
      <c r="B4485" s="406" t="s">
        <v>9829</v>
      </c>
      <c r="C4485" s="407">
        <v>18688</v>
      </c>
      <c r="D4485" s="408">
        <v>45442</v>
      </c>
      <c r="E4485" s="406" t="s">
        <v>10840</v>
      </c>
    </row>
    <row r="4486" spans="2:5">
      <c r="B4486" s="406" t="s">
        <v>9829</v>
      </c>
      <c r="C4486" s="407">
        <v>18687</v>
      </c>
      <c r="D4486" s="408">
        <v>45442</v>
      </c>
      <c r="E4486" s="406" t="s">
        <v>10931</v>
      </c>
    </row>
    <row r="4487" spans="2:5">
      <c r="B4487" s="406" t="s">
        <v>9829</v>
      </c>
      <c r="C4487" s="407">
        <v>18686</v>
      </c>
      <c r="D4487" s="408">
        <v>45442</v>
      </c>
      <c r="E4487" s="406" t="s">
        <v>10932</v>
      </c>
    </row>
    <row r="4488" spans="2:5">
      <c r="B4488" s="406" t="s">
        <v>9829</v>
      </c>
      <c r="C4488" s="407">
        <v>18682</v>
      </c>
      <c r="D4488" s="408">
        <v>45442</v>
      </c>
      <c r="E4488" s="406" t="s">
        <v>10933</v>
      </c>
    </row>
    <row r="4489" spans="2:5">
      <c r="B4489" s="406" t="s">
        <v>9829</v>
      </c>
      <c r="C4489" s="407">
        <v>18680</v>
      </c>
      <c r="D4489" s="408">
        <v>45442</v>
      </c>
      <c r="E4489" s="406" t="s">
        <v>10934</v>
      </c>
    </row>
    <row r="4490" spans="2:5">
      <c r="B4490" s="406" t="s">
        <v>9829</v>
      </c>
      <c r="C4490" s="407">
        <v>18674</v>
      </c>
      <c r="D4490" s="408">
        <v>45442</v>
      </c>
      <c r="E4490" s="406" t="s">
        <v>10844</v>
      </c>
    </row>
    <row r="4491" spans="2:5">
      <c r="B4491" s="406" t="s">
        <v>9829</v>
      </c>
      <c r="C4491" s="407">
        <v>18671</v>
      </c>
      <c r="D4491" s="408">
        <v>45442</v>
      </c>
      <c r="E4491" s="406" t="s">
        <v>10845</v>
      </c>
    </row>
    <row r="4492" spans="2:5">
      <c r="B4492" s="406" t="s">
        <v>9829</v>
      </c>
      <c r="C4492" s="407">
        <v>18670</v>
      </c>
      <c r="D4492" s="408">
        <v>45442</v>
      </c>
      <c r="E4492" s="406" t="s">
        <v>10846</v>
      </c>
    </row>
    <row r="4493" spans="2:5">
      <c r="B4493" s="406" t="s">
        <v>9829</v>
      </c>
      <c r="C4493" s="407">
        <v>18669</v>
      </c>
      <c r="D4493" s="408">
        <v>45442</v>
      </c>
      <c r="E4493" s="406" t="s">
        <v>10847</v>
      </c>
    </row>
    <row r="4494" spans="2:5">
      <c r="B4494" s="406" t="s">
        <v>9829</v>
      </c>
      <c r="C4494" s="407">
        <v>18664</v>
      </c>
      <c r="D4494" s="408">
        <v>45442</v>
      </c>
      <c r="E4494" s="406" t="s">
        <v>10848</v>
      </c>
    </row>
    <row r="4495" spans="2:5">
      <c r="B4495" s="406" t="s">
        <v>9829</v>
      </c>
      <c r="C4495" s="407">
        <v>18662</v>
      </c>
      <c r="D4495" s="408">
        <v>45442</v>
      </c>
      <c r="E4495" s="406" t="s">
        <v>10935</v>
      </c>
    </row>
    <row r="4496" spans="2:5">
      <c r="B4496" s="406" t="s">
        <v>9829</v>
      </c>
      <c r="C4496" s="407">
        <v>18655</v>
      </c>
      <c r="D4496" s="408">
        <v>45442</v>
      </c>
      <c r="E4496" s="406" t="s">
        <v>10849</v>
      </c>
    </row>
    <row r="4497" spans="2:5">
      <c r="B4497" s="406" t="s">
        <v>9829</v>
      </c>
      <c r="C4497" s="407">
        <v>18641</v>
      </c>
      <c r="D4497" s="408">
        <v>45442</v>
      </c>
      <c r="E4497" s="406" t="s">
        <v>10855</v>
      </c>
    </row>
    <row r="4498" spans="2:5">
      <c r="B4498" s="406" t="s">
        <v>9829</v>
      </c>
      <c r="C4498" s="407">
        <v>18639</v>
      </c>
      <c r="D4498" s="408">
        <v>45442</v>
      </c>
      <c r="E4498" s="406" t="s">
        <v>10936</v>
      </c>
    </row>
    <row r="4499" spans="2:5">
      <c r="B4499" s="406" t="s">
        <v>9829</v>
      </c>
      <c r="C4499" s="407">
        <v>18635</v>
      </c>
      <c r="D4499" s="408">
        <v>45442</v>
      </c>
      <c r="E4499" s="406" t="s">
        <v>10854</v>
      </c>
    </row>
    <row r="4500" spans="2:5">
      <c r="B4500" s="406" t="s">
        <v>9829</v>
      </c>
      <c r="C4500" s="407">
        <v>18634</v>
      </c>
      <c r="D4500" s="408">
        <v>45442</v>
      </c>
      <c r="E4500" s="406" t="s">
        <v>10853</v>
      </c>
    </row>
    <row r="4501" spans="2:5">
      <c r="B4501" s="406" t="s">
        <v>9829</v>
      </c>
      <c r="C4501" s="407">
        <v>18628</v>
      </c>
      <c r="D4501" s="408">
        <v>45442</v>
      </c>
      <c r="E4501" s="406" t="s">
        <v>10852</v>
      </c>
    </row>
    <row r="4502" spans="2:5">
      <c r="B4502" s="406" t="s">
        <v>9829</v>
      </c>
      <c r="C4502" s="407">
        <v>18627</v>
      </c>
      <c r="D4502" s="408">
        <v>45442</v>
      </c>
      <c r="E4502" s="406" t="s">
        <v>10851</v>
      </c>
    </row>
    <row r="4503" spans="2:5">
      <c r="B4503" s="406" t="s">
        <v>9829</v>
      </c>
      <c r="C4503" s="407">
        <v>18626</v>
      </c>
      <c r="D4503" s="408">
        <v>45442</v>
      </c>
      <c r="E4503" s="406" t="s">
        <v>10850</v>
      </c>
    </row>
    <row r="4504" spans="2:5">
      <c r="B4504" s="406" t="s">
        <v>9829</v>
      </c>
      <c r="C4504" s="407">
        <v>18622</v>
      </c>
      <c r="D4504" s="408">
        <v>45442</v>
      </c>
      <c r="E4504" s="411" t="s">
        <v>10937</v>
      </c>
    </row>
    <row r="4505" spans="2:5">
      <c r="B4505" s="406" t="s">
        <v>9829</v>
      </c>
      <c r="C4505" s="407">
        <v>18621</v>
      </c>
      <c r="D4505" s="408">
        <v>45442</v>
      </c>
      <c r="E4505" s="406" t="s">
        <v>10856</v>
      </c>
    </row>
    <row r="4506" spans="2:5">
      <c r="B4506" s="406" t="s">
        <v>9829</v>
      </c>
      <c r="C4506" s="407">
        <v>18614</v>
      </c>
      <c r="D4506" s="408">
        <v>45442</v>
      </c>
      <c r="E4506" s="406" t="s">
        <v>10938</v>
      </c>
    </row>
    <row r="4507" spans="2:5">
      <c r="B4507" s="406" t="s">
        <v>9829</v>
      </c>
      <c r="C4507" s="407">
        <v>18613</v>
      </c>
      <c r="D4507" s="408">
        <v>45442</v>
      </c>
      <c r="E4507" s="411" t="s">
        <v>10939</v>
      </c>
    </row>
    <row r="4508" spans="2:5">
      <c r="B4508" s="406" t="s">
        <v>9829</v>
      </c>
      <c r="C4508" s="407">
        <v>18610</v>
      </c>
      <c r="D4508" s="408">
        <v>45442</v>
      </c>
      <c r="E4508" s="406" t="s">
        <v>10857</v>
      </c>
    </row>
    <row r="4509" spans="2:5">
      <c r="B4509" s="406" t="s">
        <v>9829</v>
      </c>
      <c r="C4509" s="407">
        <v>18601</v>
      </c>
      <c r="D4509" s="408">
        <v>45442</v>
      </c>
      <c r="E4509" s="411" t="s">
        <v>10940</v>
      </c>
    </row>
    <row r="4510" spans="2:5">
      <c r="B4510" s="406" t="s">
        <v>9829</v>
      </c>
      <c r="C4510" s="407">
        <v>18590</v>
      </c>
      <c r="D4510" s="408">
        <v>45442</v>
      </c>
      <c r="E4510" s="411" t="s">
        <v>10941</v>
      </c>
    </row>
    <row r="4511" spans="2:5">
      <c r="B4511" s="406" t="s">
        <v>9829</v>
      </c>
      <c r="C4511" s="407">
        <v>18580</v>
      </c>
      <c r="D4511" s="408">
        <v>45442</v>
      </c>
      <c r="E4511" s="411" t="s">
        <v>10942</v>
      </c>
    </row>
    <row r="4512" spans="2:5">
      <c r="B4512" s="406" t="s">
        <v>9829</v>
      </c>
      <c r="C4512" s="407">
        <v>18577</v>
      </c>
      <c r="D4512" s="408">
        <v>45442</v>
      </c>
      <c r="E4512" s="411" t="s">
        <v>10943</v>
      </c>
    </row>
    <row r="4513" spans="2:5">
      <c r="B4513" s="406" t="s">
        <v>9829</v>
      </c>
      <c r="C4513" s="407">
        <v>18572</v>
      </c>
      <c r="D4513" s="408">
        <v>45442</v>
      </c>
      <c r="E4513" s="406" t="s">
        <v>10858</v>
      </c>
    </row>
    <row r="4514" spans="2:5">
      <c r="B4514" s="406" t="s">
        <v>9829</v>
      </c>
      <c r="C4514" s="407">
        <v>18570</v>
      </c>
      <c r="D4514" s="408">
        <v>45442</v>
      </c>
      <c r="E4514" s="411" t="s">
        <v>10944</v>
      </c>
    </row>
    <row r="4515" spans="2:5">
      <c r="B4515" s="406" t="s">
        <v>9829</v>
      </c>
      <c r="C4515" s="407">
        <v>18568</v>
      </c>
      <c r="D4515" s="408">
        <v>45442</v>
      </c>
      <c r="E4515" s="411" t="s">
        <v>10945</v>
      </c>
    </row>
    <row r="4516" spans="2:5">
      <c r="B4516" s="406" t="s">
        <v>9829</v>
      </c>
      <c r="C4516" s="407">
        <v>18563</v>
      </c>
      <c r="D4516" s="408">
        <v>45442</v>
      </c>
      <c r="E4516" s="406" t="s">
        <v>10859</v>
      </c>
    </row>
    <row r="4517" spans="2:5">
      <c r="B4517" s="406" t="s">
        <v>9829</v>
      </c>
      <c r="C4517" s="407">
        <v>18560</v>
      </c>
      <c r="D4517" s="408">
        <v>45442</v>
      </c>
      <c r="E4517" s="411" t="s">
        <v>10946</v>
      </c>
    </row>
    <row r="4518" spans="2:5">
      <c r="B4518" s="406" t="s">
        <v>9829</v>
      </c>
      <c r="C4518" s="407">
        <v>18556</v>
      </c>
      <c r="D4518" s="408">
        <v>45442</v>
      </c>
      <c r="E4518" s="406" t="s">
        <v>10860</v>
      </c>
    </row>
    <row r="4519" spans="2:5">
      <c r="B4519" s="406" t="s">
        <v>9829</v>
      </c>
      <c r="C4519" s="407">
        <v>18554</v>
      </c>
      <c r="D4519" s="408">
        <v>45442</v>
      </c>
      <c r="E4519" s="406" t="s">
        <v>10861</v>
      </c>
    </row>
    <row r="4520" spans="2:5">
      <c r="B4520" s="406" t="s">
        <v>9829</v>
      </c>
      <c r="C4520" s="407">
        <v>18552</v>
      </c>
      <c r="D4520" s="408">
        <v>45442</v>
      </c>
      <c r="E4520" s="406" t="s">
        <v>10862</v>
      </c>
    </row>
    <row r="4521" spans="2:5">
      <c r="B4521" s="406" t="s">
        <v>9829</v>
      </c>
      <c r="C4521" s="407">
        <v>18549</v>
      </c>
      <c r="D4521" s="408">
        <v>45442</v>
      </c>
      <c r="E4521" s="406" t="s">
        <v>10863</v>
      </c>
    </row>
    <row r="4522" spans="2:5">
      <c r="B4522" s="406" t="s">
        <v>9829</v>
      </c>
      <c r="C4522" s="407">
        <v>18548</v>
      </c>
      <c r="D4522" s="408">
        <v>45442</v>
      </c>
      <c r="E4522" s="411" t="s">
        <v>10947</v>
      </c>
    </row>
    <row r="4523" spans="2:5">
      <c r="B4523" s="406" t="s">
        <v>9829</v>
      </c>
      <c r="C4523" s="407">
        <v>18542</v>
      </c>
      <c r="D4523" s="408">
        <v>45442</v>
      </c>
      <c r="E4523" s="411" t="s">
        <v>10948</v>
      </c>
    </row>
    <row r="4524" spans="2:5">
      <c r="B4524" s="406" t="s">
        <v>9829</v>
      </c>
      <c r="C4524" s="407">
        <v>18540</v>
      </c>
      <c r="D4524" s="408">
        <v>45442</v>
      </c>
      <c r="E4524" s="411" t="s">
        <v>10949</v>
      </c>
    </row>
    <row r="4525" spans="2:5">
      <c r="B4525" s="406" t="s">
        <v>9829</v>
      </c>
      <c r="C4525" s="407">
        <v>18537</v>
      </c>
      <c r="D4525" s="408">
        <v>45442</v>
      </c>
      <c r="E4525" s="411" t="s">
        <v>10950</v>
      </c>
    </row>
    <row r="4526" spans="2:5">
      <c r="B4526" s="406" t="s">
        <v>9829</v>
      </c>
      <c r="C4526" s="407">
        <v>18536</v>
      </c>
      <c r="D4526" s="408">
        <v>45442</v>
      </c>
      <c r="E4526" s="406" t="s">
        <v>10864</v>
      </c>
    </row>
    <row r="4527" spans="2:5">
      <c r="B4527" s="406" t="s">
        <v>9829</v>
      </c>
      <c r="C4527" s="407">
        <v>18520</v>
      </c>
      <c r="D4527" s="408">
        <v>45442</v>
      </c>
      <c r="E4527" s="406" t="s">
        <v>10865</v>
      </c>
    </row>
    <row r="4528" spans="2:5">
      <c r="B4528" s="406" t="s">
        <v>9829</v>
      </c>
      <c r="C4528" s="407">
        <v>18518</v>
      </c>
      <c r="D4528" s="408">
        <v>45442</v>
      </c>
      <c r="E4528" s="406" t="s">
        <v>10866</v>
      </c>
    </row>
    <row r="4529" spans="2:8">
      <c r="B4529" s="406" t="s">
        <v>9829</v>
      </c>
      <c r="C4529" s="407">
        <v>18515</v>
      </c>
      <c r="D4529" s="408">
        <v>45442</v>
      </c>
      <c r="E4529" s="406" t="s">
        <v>10867</v>
      </c>
    </row>
    <row r="4530" spans="2:8">
      <c r="B4530" s="406" t="s">
        <v>9829</v>
      </c>
      <c r="C4530" s="407">
        <v>18512</v>
      </c>
      <c r="D4530" s="408">
        <v>45442</v>
      </c>
      <c r="E4530" s="406" t="s">
        <v>10868</v>
      </c>
    </row>
    <row r="4531" spans="2:8">
      <c r="B4531" s="406" t="s">
        <v>9829</v>
      </c>
      <c r="C4531" s="407">
        <v>18507</v>
      </c>
      <c r="D4531" s="408">
        <v>45442</v>
      </c>
      <c r="E4531" s="406" t="s">
        <v>10869</v>
      </c>
    </row>
    <row r="4532" spans="2:8">
      <c r="B4532" s="406" t="s">
        <v>9829</v>
      </c>
      <c r="C4532" s="407">
        <v>18503</v>
      </c>
      <c r="D4532" s="408">
        <v>45442</v>
      </c>
      <c r="E4532" s="406" t="s">
        <v>10951</v>
      </c>
    </row>
    <row r="4533" spans="2:8">
      <c r="B4533" s="406" t="s">
        <v>9829</v>
      </c>
      <c r="C4533" s="407">
        <v>18499</v>
      </c>
      <c r="D4533" s="408">
        <v>45442</v>
      </c>
      <c r="E4533" s="406" t="s">
        <v>10952</v>
      </c>
    </row>
    <row r="4534" spans="2:8">
      <c r="B4534" s="406" t="s">
        <v>9829</v>
      </c>
      <c r="C4534" s="407">
        <v>18498</v>
      </c>
      <c r="D4534" s="408">
        <v>45442</v>
      </c>
      <c r="E4534" s="406" t="s">
        <v>10870</v>
      </c>
    </row>
    <row r="4535" spans="2:8">
      <c r="B4535" s="406" t="s">
        <v>9829</v>
      </c>
      <c r="C4535" s="407">
        <v>18492</v>
      </c>
      <c r="D4535" s="408">
        <v>45472</v>
      </c>
      <c r="E4535" s="430" t="s">
        <v>12848</v>
      </c>
    </row>
    <row r="4536" spans="2:8">
      <c r="B4536" s="406" t="s">
        <v>9829</v>
      </c>
      <c r="C4536" s="407">
        <v>18489</v>
      </c>
      <c r="D4536" s="408">
        <v>45442</v>
      </c>
      <c r="E4536" s="411" t="s">
        <v>10953</v>
      </c>
    </row>
    <row r="4537" spans="2:8">
      <c r="B4537" s="406" t="s">
        <v>9829</v>
      </c>
      <c r="C4537" s="407">
        <v>18471</v>
      </c>
      <c r="D4537" s="408">
        <v>45442</v>
      </c>
      <c r="E4537" s="411" t="s">
        <v>10954</v>
      </c>
    </row>
    <row r="4538" spans="2:8">
      <c r="B4538" s="406" t="s">
        <v>9829</v>
      </c>
      <c r="C4538" s="407">
        <v>18461</v>
      </c>
      <c r="D4538" s="408">
        <v>45442</v>
      </c>
      <c r="E4538" s="411" t="s">
        <v>10955</v>
      </c>
    </row>
    <row r="4539" spans="2:8">
      <c r="B4539" s="406" t="s">
        <v>9829</v>
      </c>
      <c r="C4539" s="407">
        <v>18459</v>
      </c>
      <c r="D4539" s="408">
        <v>45442</v>
      </c>
      <c r="E4539" s="411" t="s">
        <v>10956</v>
      </c>
    </row>
    <row r="4540" spans="2:8">
      <c r="B4540" s="406" t="s">
        <v>9829</v>
      </c>
      <c r="C4540" s="407">
        <v>18458</v>
      </c>
      <c r="D4540" s="408">
        <v>45442</v>
      </c>
      <c r="E4540" s="406" t="s">
        <v>10871</v>
      </c>
    </row>
    <row r="4541" spans="2:8">
      <c r="B4541" s="406" t="s">
        <v>9829</v>
      </c>
      <c r="C4541" s="407">
        <v>18457</v>
      </c>
      <c r="D4541" s="408">
        <v>45442</v>
      </c>
      <c r="E4541" s="406" t="s">
        <v>10872</v>
      </c>
    </row>
    <row r="4542" spans="2:8">
      <c r="B4542" s="406" t="s">
        <v>9829</v>
      </c>
      <c r="C4542" s="407">
        <v>18449</v>
      </c>
      <c r="D4542" s="408">
        <v>45442</v>
      </c>
      <c r="E4542" s="411" t="s">
        <v>10957</v>
      </c>
    </row>
    <row r="4543" spans="2:8">
      <c r="B4543" s="406" t="s">
        <v>9829</v>
      </c>
      <c r="C4543" s="407">
        <v>18444</v>
      </c>
      <c r="D4543" s="408">
        <v>45442</v>
      </c>
      <c r="E4543" s="411" t="s">
        <v>10958</v>
      </c>
    </row>
    <row r="4544" spans="2:8">
      <c r="B4544" s="406" t="s">
        <v>9829</v>
      </c>
      <c r="C4544" s="407">
        <v>18432</v>
      </c>
      <c r="D4544" s="408">
        <v>45441</v>
      </c>
      <c r="E4544" s="406" t="s">
        <v>10484</v>
      </c>
      <c r="F4544" s="406">
        <v>4</v>
      </c>
      <c r="H4544" s="406" t="s">
        <v>10741</v>
      </c>
    </row>
    <row r="4545" spans="2:8">
      <c r="B4545" s="406" t="s">
        <v>9829</v>
      </c>
      <c r="C4545" s="407">
        <v>18427</v>
      </c>
      <c r="D4545" s="408">
        <v>45441</v>
      </c>
      <c r="E4545" s="406" t="s">
        <v>10644</v>
      </c>
    </row>
    <row r="4546" spans="2:8">
      <c r="B4546" s="406" t="s">
        <v>9829</v>
      </c>
      <c r="C4546" s="407">
        <v>18418</v>
      </c>
      <c r="D4546" s="408">
        <v>45441</v>
      </c>
      <c r="E4546" s="406" t="s">
        <v>10485</v>
      </c>
      <c r="F4546" s="406">
        <v>2</v>
      </c>
      <c r="H4546" s="406" t="s">
        <v>2349</v>
      </c>
    </row>
    <row r="4547" spans="2:8">
      <c r="B4547" s="406" t="s">
        <v>9829</v>
      </c>
      <c r="C4547" s="407">
        <v>18415</v>
      </c>
      <c r="D4547" s="408">
        <v>45441</v>
      </c>
      <c r="E4547" s="406" t="s">
        <v>10645</v>
      </c>
    </row>
    <row r="4548" spans="2:8">
      <c r="B4548" s="406" t="s">
        <v>9829</v>
      </c>
      <c r="C4548" s="407">
        <v>18414</v>
      </c>
      <c r="D4548" s="408">
        <v>45441</v>
      </c>
      <c r="E4548" s="406" t="s">
        <v>10646</v>
      </c>
    </row>
    <row r="4549" spans="2:8" s="49" customFormat="1">
      <c r="B4549" s="49" t="s">
        <v>9829</v>
      </c>
      <c r="C4549" s="409">
        <v>18407</v>
      </c>
      <c r="D4549" s="410">
        <v>45441</v>
      </c>
      <c r="E4549" s="49" t="s">
        <v>10486</v>
      </c>
      <c r="F4549" s="49">
        <v>9</v>
      </c>
      <c r="H4549" s="49" t="s">
        <v>10743</v>
      </c>
    </row>
    <row r="4550" spans="2:8">
      <c r="B4550" s="406" t="s">
        <v>9829</v>
      </c>
      <c r="C4550" s="407">
        <v>18401</v>
      </c>
      <c r="D4550" s="408">
        <v>45441</v>
      </c>
      <c r="E4550" s="406" t="s">
        <v>10487</v>
      </c>
      <c r="F4550" s="406">
        <v>4</v>
      </c>
      <c r="H4550" s="406" t="s">
        <v>10746</v>
      </c>
    </row>
    <row r="4551" spans="2:8">
      <c r="B4551" s="406" t="s">
        <v>9829</v>
      </c>
      <c r="C4551" s="407">
        <v>18400</v>
      </c>
      <c r="D4551" s="408">
        <v>45441</v>
      </c>
      <c r="E4551" s="406" t="s">
        <v>10647</v>
      </c>
    </row>
    <row r="4552" spans="2:8">
      <c r="B4552" s="406" t="s">
        <v>9829</v>
      </c>
      <c r="C4552" s="407">
        <v>18395</v>
      </c>
      <c r="D4552" s="408">
        <v>45441</v>
      </c>
      <c r="E4552" s="406" t="s">
        <v>10488</v>
      </c>
      <c r="F4552" s="406">
        <v>3</v>
      </c>
      <c r="H4552" s="406" t="s">
        <v>10747</v>
      </c>
    </row>
    <row r="4553" spans="2:8">
      <c r="B4553" s="406" t="s">
        <v>9829</v>
      </c>
      <c r="C4553" s="407">
        <v>18392</v>
      </c>
      <c r="D4553" s="408">
        <v>45441</v>
      </c>
      <c r="E4553" s="406" t="s">
        <v>10489</v>
      </c>
      <c r="F4553" s="406">
        <v>3</v>
      </c>
      <c r="H4553" s="406" t="s">
        <v>10750</v>
      </c>
    </row>
    <row r="4554" spans="2:8">
      <c r="B4554" s="406" t="s">
        <v>9829</v>
      </c>
      <c r="C4554" s="407">
        <v>18386</v>
      </c>
      <c r="D4554" s="408">
        <v>45441</v>
      </c>
      <c r="E4554" s="406" t="s">
        <v>10648</v>
      </c>
    </row>
    <row r="4555" spans="2:8">
      <c r="B4555" s="406" t="s">
        <v>9829</v>
      </c>
      <c r="C4555" s="407">
        <v>18383</v>
      </c>
      <c r="D4555" s="408">
        <v>45441</v>
      </c>
      <c r="E4555" s="406" t="s">
        <v>10649</v>
      </c>
    </row>
    <row r="4556" spans="2:8">
      <c r="B4556" s="406" t="s">
        <v>9829</v>
      </c>
      <c r="C4556" s="407">
        <v>18380</v>
      </c>
      <c r="D4556" s="408">
        <v>45441</v>
      </c>
      <c r="E4556" s="406" t="s">
        <v>10490</v>
      </c>
      <c r="F4556" s="406">
        <v>5</v>
      </c>
      <c r="H4556" s="406" t="s">
        <v>10753</v>
      </c>
    </row>
    <row r="4557" spans="2:8">
      <c r="B4557" s="406" t="s">
        <v>9829</v>
      </c>
      <c r="C4557" s="407">
        <v>18379</v>
      </c>
      <c r="D4557" s="408">
        <v>45441</v>
      </c>
      <c r="E4557" s="406" t="s">
        <v>10650</v>
      </c>
    </row>
    <row r="4558" spans="2:8">
      <c r="B4558" s="406" t="s">
        <v>9829</v>
      </c>
      <c r="C4558" s="407">
        <v>18378</v>
      </c>
      <c r="D4558" s="408">
        <v>45441</v>
      </c>
      <c r="E4558" s="406" t="s">
        <v>10491</v>
      </c>
      <c r="F4558" s="406">
        <v>3</v>
      </c>
      <c r="H4558" s="406" t="s">
        <v>10754</v>
      </c>
    </row>
    <row r="4559" spans="2:8">
      <c r="B4559" s="406" t="s">
        <v>9829</v>
      </c>
      <c r="C4559" s="407">
        <v>18376</v>
      </c>
      <c r="D4559" s="408">
        <v>45441</v>
      </c>
      <c r="E4559" s="406" t="s">
        <v>10492</v>
      </c>
      <c r="F4559" s="406">
        <v>3</v>
      </c>
      <c r="H4559" s="406" t="s">
        <v>10757</v>
      </c>
    </row>
    <row r="4560" spans="2:8">
      <c r="B4560" s="406" t="s">
        <v>9829</v>
      </c>
      <c r="C4560" s="407">
        <v>18373</v>
      </c>
      <c r="D4560" s="408">
        <v>45441</v>
      </c>
      <c r="E4560" s="406" t="s">
        <v>10651</v>
      </c>
    </row>
    <row r="4561" spans="2:8">
      <c r="B4561" s="406" t="s">
        <v>9829</v>
      </c>
      <c r="C4561" s="407">
        <v>18369</v>
      </c>
      <c r="D4561" s="408">
        <v>45441</v>
      </c>
      <c r="E4561" s="406" t="s">
        <v>10652</v>
      </c>
    </row>
    <row r="4562" spans="2:8">
      <c r="B4562" s="406" t="s">
        <v>9829</v>
      </c>
      <c r="C4562" s="407">
        <v>18359</v>
      </c>
      <c r="D4562" s="408">
        <v>45441</v>
      </c>
      <c r="E4562" s="406" t="s">
        <v>10653</v>
      </c>
    </row>
    <row r="4563" spans="2:8">
      <c r="B4563" s="406" t="s">
        <v>9829</v>
      </c>
      <c r="C4563" s="407">
        <v>18358</v>
      </c>
      <c r="D4563" s="408">
        <v>45441</v>
      </c>
      <c r="E4563" s="406" t="s">
        <v>10654</v>
      </c>
    </row>
    <row r="4564" spans="2:8">
      <c r="B4564" s="406" t="s">
        <v>9829</v>
      </c>
      <c r="C4564" s="407">
        <v>18353</v>
      </c>
      <c r="D4564" s="408">
        <v>45441</v>
      </c>
      <c r="E4564" s="406" t="s">
        <v>10493</v>
      </c>
      <c r="F4564" s="406">
        <v>3</v>
      </c>
      <c r="H4564" s="406" t="s">
        <v>10758</v>
      </c>
    </row>
    <row r="4565" spans="2:8">
      <c r="B4565" s="406" t="s">
        <v>9829</v>
      </c>
      <c r="C4565" s="407">
        <v>18351</v>
      </c>
      <c r="D4565" s="408">
        <v>45441</v>
      </c>
      <c r="E4565" s="406" t="s">
        <v>10494</v>
      </c>
      <c r="F4565" s="406">
        <v>2</v>
      </c>
      <c r="H4565" s="406" t="s">
        <v>10759</v>
      </c>
    </row>
    <row r="4566" spans="2:8">
      <c r="B4566" s="406" t="s">
        <v>9829</v>
      </c>
      <c r="C4566" s="407">
        <v>18347</v>
      </c>
      <c r="D4566" s="408">
        <v>45441</v>
      </c>
      <c r="E4566" s="406" t="s">
        <v>10495</v>
      </c>
      <c r="F4566" s="406">
        <v>6</v>
      </c>
      <c r="H4566" s="406" t="s">
        <v>10760</v>
      </c>
    </row>
    <row r="4567" spans="2:8">
      <c r="B4567" s="406" t="s">
        <v>9829</v>
      </c>
      <c r="C4567" s="407">
        <v>18335</v>
      </c>
      <c r="D4567" s="408">
        <v>45441</v>
      </c>
      <c r="E4567" s="406" t="s">
        <v>10655</v>
      </c>
    </row>
    <row r="4568" spans="2:8">
      <c r="B4568" s="406" t="s">
        <v>9829</v>
      </c>
      <c r="C4568" s="407">
        <v>18334</v>
      </c>
      <c r="D4568" s="408">
        <v>45441</v>
      </c>
      <c r="E4568" s="406" t="s">
        <v>10656</v>
      </c>
    </row>
    <row r="4569" spans="2:8">
      <c r="B4569" s="406" t="s">
        <v>9829</v>
      </c>
      <c r="C4569" s="407">
        <v>18328</v>
      </c>
      <c r="D4569" s="408">
        <v>45441</v>
      </c>
      <c r="E4569" s="406" t="s">
        <v>10496</v>
      </c>
    </row>
    <row r="4570" spans="2:8">
      <c r="B4570" s="406" t="s">
        <v>9829</v>
      </c>
      <c r="C4570" s="407">
        <v>18327</v>
      </c>
      <c r="D4570" s="408">
        <v>45441</v>
      </c>
      <c r="E4570" s="406" t="s">
        <v>10657</v>
      </c>
    </row>
    <row r="4571" spans="2:8">
      <c r="B4571" s="406" t="s">
        <v>9829</v>
      </c>
      <c r="C4571" s="407">
        <v>18326</v>
      </c>
      <c r="D4571" s="408">
        <v>45453</v>
      </c>
      <c r="E4571" s="420" t="s">
        <v>12416</v>
      </c>
    </row>
    <row r="4572" spans="2:8">
      <c r="B4572" s="406" t="s">
        <v>9829</v>
      </c>
      <c r="C4572" s="407">
        <v>18314</v>
      </c>
      <c r="D4572" s="408">
        <v>45441</v>
      </c>
      <c r="E4572" s="406" t="s">
        <v>10497</v>
      </c>
    </row>
    <row r="4573" spans="2:8">
      <c r="B4573" s="406" t="s">
        <v>9829</v>
      </c>
      <c r="C4573" s="407">
        <v>18311</v>
      </c>
      <c r="D4573" s="408">
        <v>45441</v>
      </c>
      <c r="E4573" s="406" t="s">
        <v>10498</v>
      </c>
    </row>
    <row r="4574" spans="2:8">
      <c r="B4574" s="406" t="s">
        <v>9829</v>
      </c>
      <c r="C4574" s="407">
        <v>18306</v>
      </c>
      <c r="D4574" s="408">
        <v>45441</v>
      </c>
      <c r="E4574" s="406" t="s">
        <v>10658</v>
      </c>
    </row>
    <row r="4575" spans="2:8">
      <c r="B4575" s="406" t="s">
        <v>9829</v>
      </c>
      <c r="C4575" s="407">
        <v>18299</v>
      </c>
      <c r="D4575" s="408">
        <v>45441</v>
      </c>
      <c r="E4575" s="406" t="s">
        <v>10659</v>
      </c>
    </row>
    <row r="4576" spans="2:8">
      <c r="B4576" s="406" t="s">
        <v>9829</v>
      </c>
      <c r="C4576" s="407">
        <v>18298</v>
      </c>
      <c r="D4576" s="408">
        <v>45441</v>
      </c>
      <c r="E4576" s="406" t="s">
        <v>10660</v>
      </c>
    </row>
    <row r="4577" spans="2:5">
      <c r="B4577" s="406" t="s">
        <v>9829</v>
      </c>
      <c r="C4577" s="407">
        <v>18296</v>
      </c>
      <c r="D4577" s="408">
        <v>45441</v>
      </c>
      <c r="E4577" s="406" t="s">
        <v>10499</v>
      </c>
    </row>
    <row r="4578" spans="2:5">
      <c r="B4578" s="406" t="s">
        <v>9829</v>
      </c>
      <c r="C4578" s="407">
        <v>18293</v>
      </c>
      <c r="D4578" s="408">
        <v>45441</v>
      </c>
      <c r="E4578" s="406" t="s">
        <v>10500</v>
      </c>
    </row>
    <row r="4579" spans="2:5">
      <c r="B4579" s="406" t="s">
        <v>9829</v>
      </c>
      <c r="C4579" s="407">
        <v>18291</v>
      </c>
      <c r="D4579" s="408">
        <v>45441</v>
      </c>
      <c r="E4579" s="406" t="s">
        <v>10501</v>
      </c>
    </row>
    <row r="4580" spans="2:5">
      <c r="B4580" s="406" t="s">
        <v>9829</v>
      </c>
      <c r="C4580" s="407">
        <v>18289</v>
      </c>
      <c r="D4580" s="408">
        <v>45441</v>
      </c>
      <c r="E4580" s="406" t="s">
        <v>10502</v>
      </c>
    </row>
    <row r="4581" spans="2:5">
      <c r="B4581" s="406" t="s">
        <v>9829</v>
      </c>
      <c r="C4581" s="407">
        <v>18284</v>
      </c>
      <c r="D4581" s="408">
        <v>45441</v>
      </c>
      <c r="E4581" s="406" t="s">
        <v>10661</v>
      </c>
    </row>
    <row r="4582" spans="2:5">
      <c r="B4582" s="406" t="s">
        <v>9829</v>
      </c>
      <c r="C4582" s="407">
        <v>18281</v>
      </c>
      <c r="D4582" s="408">
        <v>45441</v>
      </c>
      <c r="E4582" s="406" t="s">
        <v>10503</v>
      </c>
    </row>
    <row r="4583" spans="2:5">
      <c r="B4583" s="406" t="s">
        <v>9829</v>
      </c>
      <c r="C4583" s="407">
        <v>18278</v>
      </c>
      <c r="D4583" s="408">
        <v>45441</v>
      </c>
      <c r="E4583" s="406" t="s">
        <v>10662</v>
      </c>
    </row>
    <row r="4584" spans="2:5">
      <c r="B4584" s="406" t="s">
        <v>9829</v>
      </c>
      <c r="C4584" s="407">
        <v>18274</v>
      </c>
      <c r="D4584" s="408">
        <v>45441</v>
      </c>
      <c r="E4584" s="406" t="s">
        <v>10663</v>
      </c>
    </row>
    <row r="4585" spans="2:5">
      <c r="B4585" s="406" t="s">
        <v>9829</v>
      </c>
      <c r="C4585" s="407">
        <v>18273</v>
      </c>
      <c r="D4585" s="408">
        <v>45441</v>
      </c>
      <c r="E4585" s="406" t="s">
        <v>10664</v>
      </c>
    </row>
    <row r="4586" spans="2:5">
      <c r="B4586" s="406" t="s">
        <v>9829</v>
      </c>
      <c r="C4586" s="407">
        <v>18267</v>
      </c>
      <c r="D4586" s="408">
        <v>45441</v>
      </c>
      <c r="E4586" s="406" t="s">
        <v>10665</v>
      </c>
    </row>
    <row r="4587" spans="2:5">
      <c r="B4587" s="406" t="s">
        <v>9829</v>
      </c>
      <c r="C4587" s="407">
        <v>18253</v>
      </c>
      <c r="D4587" s="408">
        <v>45441</v>
      </c>
      <c r="E4587" s="406" t="s">
        <v>10504</v>
      </c>
    </row>
    <row r="4588" spans="2:5">
      <c r="B4588" s="406" t="s">
        <v>9829</v>
      </c>
      <c r="C4588" s="407">
        <v>18237</v>
      </c>
      <c r="D4588" s="408">
        <v>45441</v>
      </c>
      <c r="E4588" s="406" t="s">
        <v>10505</v>
      </c>
    </row>
    <row r="4589" spans="2:5">
      <c r="B4589" s="406" t="s">
        <v>9829</v>
      </c>
      <c r="C4589" s="407">
        <v>18236</v>
      </c>
      <c r="D4589" s="408">
        <v>45441</v>
      </c>
      <c r="E4589" s="406" t="s">
        <v>10666</v>
      </c>
    </row>
    <row r="4590" spans="2:5">
      <c r="B4590" s="406" t="s">
        <v>9829</v>
      </c>
      <c r="C4590" s="407">
        <v>18222</v>
      </c>
      <c r="D4590" s="408">
        <v>45441</v>
      </c>
      <c r="E4590" s="406" t="s">
        <v>10506</v>
      </c>
    </row>
    <row r="4591" spans="2:5">
      <c r="B4591" s="406" t="s">
        <v>9829</v>
      </c>
      <c r="C4591" s="407">
        <v>18221</v>
      </c>
      <c r="D4591" s="408">
        <v>45441</v>
      </c>
      <c r="E4591" s="406" t="s">
        <v>10667</v>
      </c>
    </row>
    <row r="4592" spans="2:5">
      <c r="B4592" s="406" t="s">
        <v>9829</v>
      </c>
      <c r="C4592" s="407">
        <v>18220</v>
      </c>
      <c r="D4592" s="408">
        <v>45441</v>
      </c>
      <c r="E4592" s="406" t="s">
        <v>10668</v>
      </c>
    </row>
    <row r="4593" spans="2:5">
      <c r="B4593" s="406" t="s">
        <v>9829</v>
      </c>
      <c r="C4593" s="407">
        <v>18218</v>
      </c>
      <c r="D4593" s="408">
        <v>45441</v>
      </c>
      <c r="E4593" s="406" t="s">
        <v>10507</v>
      </c>
    </row>
    <row r="4594" spans="2:5">
      <c r="B4594" s="406" t="s">
        <v>9829</v>
      </c>
      <c r="C4594" s="407">
        <v>18217</v>
      </c>
      <c r="D4594" s="408">
        <v>45441</v>
      </c>
      <c r="E4594" s="406" t="s">
        <v>10508</v>
      </c>
    </row>
    <row r="4595" spans="2:5">
      <c r="B4595" s="406" t="s">
        <v>9829</v>
      </c>
      <c r="C4595" s="407">
        <v>18209</v>
      </c>
      <c r="D4595" s="408">
        <v>45441</v>
      </c>
      <c r="E4595" s="406" t="s">
        <v>10669</v>
      </c>
    </row>
    <row r="4596" spans="2:5">
      <c r="B4596" s="406" t="s">
        <v>9829</v>
      </c>
      <c r="C4596" s="407">
        <v>18208</v>
      </c>
      <c r="D4596" s="408">
        <v>45441</v>
      </c>
      <c r="E4596" s="406" t="s">
        <v>10670</v>
      </c>
    </row>
    <row r="4597" spans="2:5">
      <c r="B4597" s="406" t="s">
        <v>9829</v>
      </c>
      <c r="C4597" s="407">
        <v>18206</v>
      </c>
      <c r="D4597" s="408">
        <v>45441</v>
      </c>
      <c r="E4597" s="406" t="s">
        <v>10509</v>
      </c>
    </row>
    <row r="4598" spans="2:5">
      <c r="B4598" s="406" t="s">
        <v>9829</v>
      </c>
      <c r="C4598" s="407">
        <v>18202</v>
      </c>
      <c r="D4598" s="408">
        <v>45441</v>
      </c>
      <c r="E4598" s="406" t="s">
        <v>10510</v>
      </c>
    </row>
    <row r="4599" spans="2:5">
      <c r="B4599" s="406" t="s">
        <v>9829</v>
      </c>
      <c r="C4599" s="407">
        <v>18199</v>
      </c>
      <c r="D4599" s="408">
        <v>45441</v>
      </c>
      <c r="E4599" s="406" t="s">
        <v>10511</v>
      </c>
    </row>
    <row r="4600" spans="2:5">
      <c r="B4600" s="406" t="s">
        <v>9829</v>
      </c>
      <c r="C4600" s="407">
        <v>18196</v>
      </c>
      <c r="D4600" s="408">
        <v>45441</v>
      </c>
      <c r="E4600" s="406" t="s">
        <v>10671</v>
      </c>
    </row>
    <row r="4601" spans="2:5">
      <c r="B4601" s="406" t="s">
        <v>9829</v>
      </c>
      <c r="C4601" s="407">
        <v>18194</v>
      </c>
      <c r="D4601" s="408">
        <v>45441</v>
      </c>
      <c r="E4601" s="406" t="s">
        <v>10512</v>
      </c>
    </row>
    <row r="4602" spans="2:5">
      <c r="B4602" s="406" t="s">
        <v>9829</v>
      </c>
      <c r="C4602" s="407">
        <v>18193</v>
      </c>
      <c r="D4602" s="408">
        <v>45441</v>
      </c>
      <c r="E4602" s="411" t="s">
        <v>10513</v>
      </c>
    </row>
    <row r="4603" spans="2:5">
      <c r="B4603" s="406" t="s">
        <v>9829</v>
      </c>
      <c r="C4603" s="407">
        <v>18190</v>
      </c>
      <c r="D4603" s="408">
        <v>45441</v>
      </c>
      <c r="E4603" s="406" t="s">
        <v>10516</v>
      </c>
    </row>
    <row r="4604" spans="2:5">
      <c r="B4604" s="406" t="s">
        <v>9829</v>
      </c>
      <c r="C4604" s="407">
        <v>18187</v>
      </c>
      <c r="D4604" s="408">
        <v>45441</v>
      </c>
      <c r="E4604" s="406" t="s">
        <v>10515</v>
      </c>
    </row>
    <row r="4605" spans="2:5">
      <c r="B4605" s="406" t="s">
        <v>9829</v>
      </c>
      <c r="C4605" s="407">
        <v>18180</v>
      </c>
      <c r="D4605" s="408">
        <v>45441</v>
      </c>
      <c r="E4605" s="406" t="s">
        <v>10672</v>
      </c>
    </row>
    <row r="4606" spans="2:5">
      <c r="B4606" s="406" t="s">
        <v>9829</v>
      </c>
      <c r="C4606" s="407">
        <v>18176</v>
      </c>
      <c r="D4606" s="408">
        <v>45441</v>
      </c>
      <c r="E4606" s="406" t="s">
        <v>10673</v>
      </c>
    </row>
    <row r="4607" spans="2:5">
      <c r="B4607" s="406" t="s">
        <v>9829</v>
      </c>
      <c r="C4607" s="407">
        <v>18172</v>
      </c>
      <c r="D4607" s="408">
        <v>45441</v>
      </c>
      <c r="E4607" s="406" t="s">
        <v>10674</v>
      </c>
    </row>
    <row r="4608" spans="2:5">
      <c r="B4608" s="406" t="s">
        <v>9829</v>
      </c>
      <c r="C4608" s="407">
        <v>18165</v>
      </c>
      <c r="D4608" s="408">
        <v>45441</v>
      </c>
      <c r="E4608" s="406" t="s">
        <v>10514</v>
      </c>
    </row>
    <row r="4609" spans="2:5">
      <c r="B4609" s="406" t="s">
        <v>9829</v>
      </c>
      <c r="C4609" s="407">
        <v>18161</v>
      </c>
      <c r="D4609" s="408">
        <v>45441</v>
      </c>
      <c r="E4609" s="406" t="s">
        <v>10520</v>
      </c>
    </row>
    <row r="4610" spans="2:5">
      <c r="B4610" s="406" t="s">
        <v>9829</v>
      </c>
      <c r="C4610" s="407">
        <v>18153</v>
      </c>
      <c r="D4610" s="408">
        <v>45441</v>
      </c>
      <c r="E4610" s="406" t="s">
        <v>10675</v>
      </c>
    </row>
    <row r="4611" spans="2:5">
      <c r="B4611" s="406" t="s">
        <v>9829</v>
      </c>
      <c r="C4611" s="407">
        <v>18146</v>
      </c>
      <c r="D4611" s="408">
        <v>45441</v>
      </c>
      <c r="E4611" s="406" t="s">
        <v>10676</v>
      </c>
    </row>
    <row r="4612" spans="2:5">
      <c r="B4612" s="406" t="s">
        <v>9829</v>
      </c>
      <c r="C4612" s="407">
        <v>18144</v>
      </c>
      <c r="D4612" s="408">
        <v>45441</v>
      </c>
      <c r="E4612" s="406" t="s">
        <v>10519</v>
      </c>
    </row>
    <row r="4613" spans="2:5">
      <c r="B4613" s="406" t="s">
        <v>9829</v>
      </c>
      <c r="C4613" s="407">
        <v>18137</v>
      </c>
      <c r="D4613" s="408">
        <v>45441</v>
      </c>
      <c r="E4613" s="406" t="s">
        <v>10518</v>
      </c>
    </row>
    <row r="4614" spans="2:5">
      <c r="B4614" s="406" t="s">
        <v>9829</v>
      </c>
      <c r="C4614" s="407">
        <v>18127</v>
      </c>
      <c r="D4614" s="408">
        <v>45441</v>
      </c>
      <c r="E4614" s="406" t="s">
        <v>10517</v>
      </c>
    </row>
    <row r="4615" spans="2:5">
      <c r="B4615" s="406" t="s">
        <v>9829</v>
      </c>
      <c r="C4615" s="407">
        <v>18119</v>
      </c>
      <c r="D4615" s="408">
        <v>45441</v>
      </c>
      <c r="E4615" s="406" t="s">
        <v>10677</v>
      </c>
    </row>
    <row r="4616" spans="2:5">
      <c r="B4616" s="406" t="s">
        <v>9829</v>
      </c>
      <c r="C4616" s="407">
        <v>18110</v>
      </c>
      <c r="D4616" s="408">
        <v>45441</v>
      </c>
      <c r="E4616" s="406" t="s">
        <v>10521</v>
      </c>
    </row>
    <row r="4617" spans="2:5">
      <c r="B4617" s="406" t="s">
        <v>9829</v>
      </c>
      <c r="C4617" s="407">
        <v>18100</v>
      </c>
      <c r="D4617" s="408">
        <v>45441</v>
      </c>
      <c r="E4617" s="406" t="s">
        <v>10522</v>
      </c>
    </row>
    <row r="4618" spans="2:5">
      <c r="B4618" s="406" t="s">
        <v>9829</v>
      </c>
      <c r="C4618" s="407">
        <v>18095</v>
      </c>
      <c r="D4618" s="408">
        <v>45441</v>
      </c>
      <c r="E4618" s="406" t="s">
        <v>10678</v>
      </c>
    </row>
    <row r="4619" spans="2:5">
      <c r="B4619" s="406" t="s">
        <v>9829</v>
      </c>
      <c r="C4619" s="407">
        <v>18093</v>
      </c>
      <c r="D4619" s="408">
        <v>45441</v>
      </c>
      <c r="E4619" s="406" t="s">
        <v>10679</v>
      </c>
    </row>
    <row r="4620" spans="2:5">
      <c r="B4620" s="406" t="s">
        <v>9829</v>
      </c>
      <c r="C4620" s="407">
        <v>18091</v>
      </c>
      <c r="D4620" s="408">
        <v>45441</v>
      </c>
      <c r="E4620" s="406" t="s">
        <v>10680</v>
      </c>
    </row>
    <row r="4621" spans="2:5">
      <c r="B4621" s="406" t="s">
        <v>9829</v>
      </c>
      <c r="C4621" s="407">
        <v>18084</v>
      </c>
      <c r="D4621" s="408">
        <v>45441</v>
      </c>
      <c r="E4621" s="406" t="s">
        <v>10524</v>
      </c>
    </row>
    <row r="4622" spans="2:5">
      <c r="B4622" s="406" t="s">
        <v>9829</v>
      </c>
      <c r="C4622" s="407">
        <v>18080</v>
      </c>
      <c r="D4622" s="408">
        <v>45441</v>
      </c>
      <c r="E4622" s="406" t="s">
        <v>10523</v>
      </c>
    </row>
    <row r="4623" spans="2:5">
      <c r="B4623" s="406" t="s">
        <v>9829</v>
      </c>
      <c r="C4623" s="407">
        <v>18077</v>
      </c>
      <c r="D4623" s="408">
        <v>45441</v>
      </c>
      <c r="E4623" s="406" t="s">
        <v>10525</v>
      </c>
    </row>
    <row r="4624" spans="2:5">
      <c r="B4624" s="406" t="s">
        <v>9829</v>
      </c>
      <c r="C4624" s="407">
        <v>18075</v>
      </c>
      <c r="D4624" s="408">
        <v>45441</v>
      </c>
      <c r="E4624" s="406" t="s">
        <v>10526</v>
      </c>
    </row>
    <row r="4625" spans="2:5">
      <c r="B4625" s="406" t="s">
        <v>9829</v>
      </c>
      <c r="C4625" s="407">
        <v>18069</v>
      </c>
      <c r="D4625" s="408">
        <v>45441</v>
      </c>
      <c r="E4625" s="406" t="s">
        <v>10527</v>
      </c>
    </row>
    <row r="4626" spans="2:5">
      <c r="B4626" s="406" t="s">
        <v>9829</v>
      </c>
      <c r="C4626" s="407">
        <v>18068</v>
      </c>
      <c r="D4626" s="408">
        <v>45441</v>
      </c>
      <c r="E4626" s="406" t="s">
        <v>10681</v>
      </c>
    </row>
    <row r="4627" spans="2:5">
      <c r="B4627" s="406" t="s">
        <v>9829</v>
      </c>
      <c r="C4627" s="407">
        <v>18050</v>
      </c>
      <c r="D4627" s="408">
        <v>45441</v>
      </c>
      <c r="E4627" s="406" t="s">
        <v>10528</v>
      </c>
    </row>
    <row r="4628" spans="2:5">
      <c r="B4628" s="406" t="s">
        <v>9829</v>
      </c>
      <c r="C4628" s="407">
        <v>18047</v>
      </c>
      <c r="D4628" s="408">
        <v>45441</v>
      </c>
      <c r="E4628" s="406" t="s">
        <v>10529</v>
      </c>
    </row>
    <row r="4629" spans="2:5">
      <c r="B4629" s="406" t="s">
        <v>9829</v>
      </c>
      <c r="C4629" s="407">
        <v>18045</v>
      </c>
      <c r="D4629" s="408">
        <v>45441</v>
      </c>
      <c r="E4629" s="406" t="s">
        <v>10530</v>
      </c>
    </row>
    <row r="4630" spans="2:5">
      <c r="B4630" s="406" t="s">
        <v>9829</v>
      </c>
      <c r="C4630" s="407">
        <v>18042</v>
      </c>
      <c r="D4630" s="408">
        <v>45441</v>
      </c>
      <c r="E4630" s="406" t="s">
        <v>10682</v>
      </c>
    </row>
    <row r="4631" spans="2:5">
      <c r="B4631" s="406" t="s">
        <v>9829</v>
      </c>
      <c r="C4631" s="407">
        <v>18040</v>
      </c>
      <c r="D4631" s="408">
        <v>45441</v>
      </c>
      <c r="E4631" s="406" t="s">
        <v>10531</v>
      </c>
    </row>
    <row r="4632" spans="2:5">
      <c r="B4632" s="406" t="s">
        <v>9829</v>
      </c>
      <c r="C4632" s="407">
        <v>18039</v>
      </c>
      <c r="D4632" s="408">
        <v>45441</v>
      </c>
      <c r="E4632" s="406" t="s">
        <v>10532</v>
      </c>
    </row>
    <row r="4633" spans="2:5">
      <c r="B4633" s="406" t="s">
        <v>9829</v>
      </c>
      <c r="C4633" s="407">
        <v>18036</v>
      </c>
      <c r="D4633" s="408">
        <v>45441</v>
      </c>
      <c r="E4633" s="406" t="s">
        <v>10533</v>
      </c>
    </row>
    <row r="4634" spans="2:5">
      <c r="B4634" s="406" t="s">
        <v>9829</v>
      </c>
      <c r="C4634" s="407">
        <v>18031</v>
      </c>
      <c r="D4634" s="408">
        <v>45441</v>
      </c>
      <c r="E4634" s="406" t="s">
        <v>10683</v>
      </c>
    </row>
    <row r="4635" spans="2:5">
      <c r="B4635" s="406" t="s">
        <v>9829</v>
      </c>
      <c r="C4635" s="407">
        <v>18029</v>
      </c>
      <c r="D4635" s="408">
        <v>45441</v>
      </c>
      <c r="E4635" s="406" t="s">
        <v>10684</v>
      </c>
    </row>
    <row r="4636" spans="2:5">
      <c r="B4636" s="406" t="s">
        <v>9829</v>
      </c>
      <c r="C4636" s="407">
        <v>18009</v>
      </c>
      <c r="D4636" s="408">
        <v>45441</v>
      </c>
      <c r="E4636" s="406" t="s">
        <v>10685</v>
      </c>
    </row>
    <row r="4637" spans="2:5">
      <c r="B4637" s="406" t="s">
        <v>9829</v>
      </c>
      <c r="C4637" s="407">
        <v>17995</v>
      </c>
      <c r="D4637" s="408">
        <v>45441</v>
      </c>
      <c r="E4637" s="406" t="s">
        <v>10686</v>
      </c>
    </row>
    <row r="4638" spans="2:5">
      <c r="B4638" s="406" t="s">
        <v>9829</v>
      </c>
      <c r="C4638" s="407">
        <v>17984</v>
      </c>
      <c r="D4638" s="408">
        <v>45441</v>
      </c>
      <c r="E4638" s="406" t="s">
        <v>10534</v>
      </c>
    </row>
    <row r="4639" spans="2:5">
      <c r="B4639" s="406" t="s">
        <v>9829</v>
      </c>
      <c r="C4639" s="407">
        <v>17983</v>
      </c>
      <c r="D4639" s="408">
        <v>45441</v>
      </c>
      <c r="E4639" s="406" t="s">
        <v>10535</v>
      </c>
    </row>
    <row r="4640" spans="2:5">
      <c r="B4640" s="406" t="s">
        <v>9829</v>
      </c>
      <c r="C4640" s="407">
        <v>17969</v>
      </c>
      <c r="D4640" s="408">
        <v>45441</v>
      </c>
      <c r="E4640" s="406" t="s">
        <v>10687</v>
      </c>
    </row>
    <row r="4641" spans="2:5">
      <c r="B4641" s="406" t="s">
        <v>9829</v>
      </c>
      <c r="C4641" s="407">
        <v>17968</v>
      </c>
      <c r="D4641" s="408">
        <v>45441</v>
      </c>
      <c r="E4641" s="406" t="s">
        <v>10536</v>
      </c>
    </row>
    <row r="4642" spans="2:5">
      <c r="B4642" s="406" t="s">
        <v>9829</v>
      </c>
      <c r="C4642" s="407">
        <v>17955</v>
      </c>
      <c r="D4642" s="408">
        <v>45441</v>
      </c>
      <c r="E4642" s="406" t="s">
        <v>10688</v>
      </c>
    </row>
    <row r="4643" spans="2:5">
      <c r="B4643" s="406" t="s">
        <v>9829</v>
      </c>
      <c r="C4643" s="407">
        <v>17951</v>
      </c>
      <c r="D4643" s="408">
        <v>45441</v>
      </c>
      <c r="E4643" s="406" t="s">
        <v>10537</v>
      </c>
    </row>
    <row r="4644" spans="2:5">
      <c r="B4644" s="406" t="s">
        <v>9829</v>
      </c>
      <c r="C4644" s="407">
        <v>17938</v>
      </c>
      <c r="D4644" s="408">
        <v>45441</v>
      </c>
      <c r="E4644" s="406" t="s">
        <v>10538</v>
      </c>
    </row>
    <row r="4645" spans="2:5">
      <c r="B4645" s="406" t="s">
        <v>9829</v>
      </c>
      <c r="C4645" s="407">
        <v>17932</v>
      </c>
      <c r="D4645" s="408">
        <v>45441</v>
      </c>
      <c r="E4645" s="406" t="s">
        <v>10541</v>
      </c>
    </row>
    <row r="4646" spans="2:5">
      <c r="B4646" s="406" t="s">
        <v>9829</v>
      </c>
      <c r="C4646" s="407">
        <v>17931</v>
      </c>
      <c r="D4646" s="408">
        <v>45441</v>
      </c>
      <c r="E4646" s="406" t="s">
        <v>10689</v>
      </c>
    </row>
    <row r="4647" spans="2:5">
      <c r="B4647" s="406" t="s">
        <v>9829</v>
      </c>
      <c r="C4647" s="407">
        <v>17927</v>
      </c>
      <c r="D4647" s="408">
        <v>45441</v>
      </c>
      <c r="E4647" s="406" t="s">
        <v>10690</v>
      </c>
    </row>
    <row r="4648" spans="2:5">
      <c r="B4648" s="406" t="s">
        <v>9829</v>
      </c>
      <c r="C4648" s="407">
        <v>17918</v>
      </c>
      <c r="D4648" s="408">
        <v>45441</v>
      </c>
      <c r="E4648" s="406" t="s">
        <v>10540</v>
      </c>
    </row>
    <row r="4649" spans="2:5">
      <c r="B4649" s="406" t="s">
        <v>9829</v>
      </c>
      <c r="C4649" s="407">
        <v>17914</v>
      </c>
      <c r="D4649" s="408">
        <v>45441</v>
      </c>
      <c r="E4649" s="406" t="s">
        <v>10539</v>
      </c>
    </row>
    <row r="4650" spans="2:5">
      <c r="B4650" s="406" t="s">
        <v>9829</v>
      </c>
      <c r="C4650" s="407">
        <v>17905</v>
      </c>
      <c r="D4650" s="408">
        <v>45441</v>
      </c>
      <c r="E4650" s="406" t="s">
        <v>10691</v>
      </c>
    </row>
    <row r="4651" spans="2:5">
      <c r="B4651" s="406" t="s">
        <v>9829</v>
      </c>
      <c r="C4651" s="407">
        <v>17902</v>
      </c>
      <c r="D4651" s="408">
        <v>45441</v>
      </c>
      <c r="E4651" s="406" t="s">
        <v>10692</v>
      </c>
    </row>
    <row r="4652" spans="2:5">
      <c r="B4652" s="406" t="s">
        <v>9829</v>
      </c>
      <c r="C4652" s="407">
        <v>17898</v>
      </c>
      <c r="D4652" s="408">
        <v>45441</v>
      </c>
      <c r="E4652" s="406" t="s">
        <v>10546</v>
      </c>
    </row>
    <row r="4653" spans="2:5">
      <c r="B4653" s="406" t="s">
        <v>9829</v>
      </c>
      <c r="C4653" s="407">
        <v>17897</v>
      </c>
      <c r="D4653" s="408">
        <v>45441</v>
      </c>
      <c r="E4653" s="406" t="s">
        <v>10545</v>
      </c>
    </row>
    <row r="4654" spans="2:5">
      <c r="B4654" s="406" t="s">
        <v>9829</v>
      </c>
      <c r="C4654" s="407">
        <v>17890</v>
      </c>
      <c r="D4654" s="408">
        <v>45441</v>
      </c>
      <c r="E4654" s="406" t="s">
        <v>10693</v>
      </c>
    </row>
    <row r="4655" spans="2:5">
      <c r="B4655" s="406" t="s">
        <v>9829</v>
      </c>
      <c r="C4655" s="407">
        <v>17889</v>
      </c>
      <c r="D4655" s="408">
        <v>45441</v>
      </c>
      <c r="E4655" s="406" t="s">
        <v>10544</v>
      </c>
    </row>
    <row r="4656" spans="2:5">
      <c r="B4656" s="406" t="s">
        <v>9829</v>
      </c>
      <c r="C4656" s="407">
        <v>17882</v>
      </c>
      <c r="D4656" s="408">
        <v>45441</v>
      </c>
      <c r="E4656" s="406" t="s">
        <v>10543</v>
      </c>
    </row>
    <row r="4657" spans="2:5">
      <c r="B4657" s="406" t="s">
        <v>9829</v>
      </c>
      <c r="C4657" s="407">
        <v>17881</v>
      </c>
      <c r="D4657" s="408">
        <v>45441</v>
      </c>
      <c r="E4657" s="406" t="s">
        <v>10542</v>
      </c>
    </row>
    <row r="4658" spans="2:5">
      <c r="B4658" s="406" t="s">
        <v>9829</v>
      </c>
      <c r="C4658" s="407">
        <v>17880</v>
      </c>
      <c r="D4658" s="408">
        <v>45441</v>
      </c>
      <c r="E4658" s="406" t="s">
        <v>10547</v>
      </c>
    </row>
    <row r="4659" spans="2:5">
      <c r="B4659" s="406" t="s">
        <v>9829</v>
      </c>
      <c r="C4659" s="407">
        <v>17879</v>
      </c>
      <c r="D4659" s="408">
        <v>45441</v>
      </c>
      <c r="E4659" s="406" t="s">
        <v>10548</v>
      </c>
    </row>
    <row r="4660" spans="2:5">
      <c r="B4660" s="406" t="s">
        <v>9829</v>
      </c>
      <c r="C4660" s="407">
        <v>17878</v>
      </c>
      <c r="D4660" s="408">
        <v>45441</v>
      </c>
      <c r="E4660" s="406" t="s">
        <v>10549</v>
      </c>
    </row>
    <row r="4661" spans="2:5">
      <c r="B4661" s="406" t="s">
        <v>9829</v>
      </c>
      <c r="C4661" s="407">
        <v>17876</v>
      </c>
      <c r="D4661" s="408">
        <v>45441</v>
      </c>
      <c r="E4661" s="406" t="s">
        <v>10550</v>
      </c>
    </row>
    <row r="4662" spans="2:5">
      <c r="B4662" s="406" t="s">
        <v>9829</v>
      </c>
      <c r="C4662" s="407">
        <v>17875</v>
      </c>
      <c r="D4662" s="408">
        <v>45441</v>
      </c>
      <c r="E4662" s="406" t="s">
        <v>10694</v>
      </c>
    </row>
    <row r="4663" spans="2:5">
      <c r="B4663" s="406" t="s">
        <v>9829</v>
      </c>
      <c r="C4663" s="407">
        <v>17874</v>
      </c>
      <c r="D4663" s="408">
        <v>45441</v>
      </c>
      <c r="E4663" s="406" t="s">
        <v>10551</v>
      </c>
    </row>
    <row r="4664" spans="2:5">
      <c r="B4664" s="406" t="s">
        <v>9829</v>
      </c>
      <c r="C4664" s="407">
        <v>17862</v>
      </c>
      <c r="D4664" s="408">
        <v>45441</v>
      </c>
      <c r="E4664" s="406" t="s">
        <v>10554</v>
      </c>
    </row>
    <row r="4665" spans="2:5">
      <c r="B4665" s="406" t="s">
        <v>9829</v>
      </c>
      <c r="C4665" s="407">
        <v>17849</v>
      </c>
      <c r="D4665" s="408">
        <v>45441</v>
      </c>
      <c r="E4665" s="406" t="s">
        <v>10553</v>
      </c>
    </row>
    <row r="4666" spans="2:5">
      <c r="B4666" s="406" t="s">
        <v>9829</v>
      </c>
      <c r="C4666" s="407">
        <v>17842</v>
      </c>
      <c r="D4666" s="408">
        <v>45441</v>
      </c>
      <c r="E4666" s="406" t="s">
        <v>10695</v>
      </c>
    </row>
    <row r="4667" spans="2:5">
      <c r="B4667" s="406" t="s">
        <v>9829</v>
      </c>
      <c r="C4667" s="407">
        <v>17838</v>
      </c>
      <c r="D4667" s="408">
        <v>45441</v>
      </c>
      <c r="E4667" s="406" t="s">
        <v>10552</v>
      </c>
    </row>
    <row r="4668" spans="2:5">
      <c r="B4668" s="406" t="s">
        <v>9829</v>
      </c>
      <c r="C4668" s="407">
        <v>17836</v>
      </c>
      <c r="D4668" s="408">
        <v>45441</v>
      </c>
      <c r="E4668" s="406" t="s">
        <v>10696</v>
      </c>
    </row>
    <row r="4669" spans="2:5">
      <c r="B4669" s="406" t="s">
        <v>9829</v>
      </c>
      <c r="C4669" s="407">
        <v>17832</v>
      </c>
      <c r="D4669" s="408">
        <v>45441</v>
      </c>
      <c r="E4669" s="406" t="s">
        <v>10557</v>
      </c>
    </row>
    <row r="4670" spans="2:5">
      <c r="B4670" s="406" t="s">
        <v>9829</v>
      </c>
      <c r="C4670" s="407">
        <v>17829</v>
      </c>
      <c r="D4670" s="408">
        <v>45441</v>
      </c>
      <c r="E4670" s="406" t="s">
        <v>10556</v>
      </c>
    </row>
    <row r="4671" spans="2:5">
      <c r="B4671" s="406" t="s">
        <v>9829</v>
      </c>
      <c r="C4671" s="407">
        <v>17823</v>
      </c>
      <c r="D4671" s="408">
        <v>45441</v>
      </c>
      <c r="E4671" s="406" t="s">
        <v>10697</v>
      </c>
    </row>
    <row r="4672" spans="2:5">
      <c r="B4672" s="406" t="s">
        <v>9829</v>
      </c>
      <c r="C4672" s="407">
        <v>17816</v>
      </c>
      <c r="D4672" s="408">
        <v>45441</v>
      </c>
      <c r="E4672" s="406" t="s">
        <v>10698</v>
      </c>
    </row>
    <row r="4673" spans="2:5">
      <c r="B4673" s="406" t="s">
        <v>9829</v>
      </c>
      <c r="C4673" s="407">
        <v>17802</v>
      </c>
      <c r="D4673" s="408">
        <v>45441</v>
      </c>
      <c r="E4673" s="406" t="s">
        <v>10555</v>
      </c>
    </row>
    <row r="4674" spans="2:5">
      <c r="B4674" s="406" t="s">
        <v>9829</v>
      </c>
      <c r="C4674" s="407">
        <v>17799</v>
      </c>
      <c r="D4674" s="408">
        <v>45441</v>
      </c>
      <c r="E4674" s="406" t="s">
        <v>10558</v>
      </c>
    </row>
    <row r="4675" spans="2:5">
      <c r="B4675" s="406" t="s">
        <v>9829</v>
      </c>
      <c r="C4675" s="407">
        <v>17796</v>
      </c>
      <c r="D4675" s="408">
        <v>45441</v>
      </c>
      <c r="E4675" s="406" t="s">
        <v>10559</v>
      </c>
    </row>
    <row r="4676" spans="2:5">
      <c r="B4676" s="406" t="s">
        <v>9829</v>
      </c>
      <c r="C4676" s="407">
        <v>17784</v>
      </c>
      <c r="D4676" s="408">
        <v>45441</v>
      </c>
      <c r="E4676" s="406" t="s">
        <v>10560</v>
      </c>
    </row>
    <row r="4677" spans="2:5">
      <c r="B4677" s="406" t="s">
        <v>9829</v>
      </c>
      <c r="C4677" s="407">
        <v>17782</v>
      </c>
      <c r="D4677" s="408">
        <v>45441</v>
      </c>
      <c r="E4677" s="406" t="s">
        <v>10561</v>
      </c>
    </row>
    <row r="4678" spans="2:5">
      <c r="B4678" s="406" t="s">
        <v>9829</v>
      </c>
      <c r="C4678" s="407">
        <v>17779</v>
      </c>
      <c r="D4678" s="408">
        <v>45441</v>
      </c>
      <c r="E4678" s="406" t="s">
        <v>10562</v>
      </c>
    </row>
    <row r="4679" spans="2:5">
      <c r="B4679" s="406" t="s">
        <v>9829</v>
      </c>
      <c r="C4679" s="407">
        <v>17776</v>
      </c>
      <c r="D4679" s="408">
        <v>45441</v>
      </c>
      <c r="E4679" s="406" t="s">
        <v>10563</v>
      </c>
    </row>
    <row r="4680" spans="2:5">
      <c r="B4680" s="406" t="s">
        <v>9829</v>
      </c>
      <c r="C4680" s="407">
        <v>17768</v>
      </c>
      <c r="D4680" s="408">
        <v>45441</v>
      </c>
      <c r="E4680" s="406" t="s">
        <v>10567</v>
      </c>
    </row>
    <row r="4681" spans="2:5">
      <c r="B4681" s="406" t="s">
        <v>9829</v>
      </c>
      <c r="C4681" s="407">
        <v>17767</v>
      </c>
      <c r="D4681" s="408">
        <v>45441</v>
      </c>
      <c r="E4681" s="406" t="s">
        <v>10566</v>
      </c>
    </row>
    <row r="4682" spans="2:5">
      <c r="B4682" s="406" t="s">
        <v>9829</v>
      </c>
      <c r="C4682" s="407">
        <v>17766</v>
      </c>
      <c r="D4682" s="408">
        <v>45441</v>
      </c>
      <c r="E4682" s="406" t="s">
        <v>10565</v>
      </c>
    </row>
    <row r="4683" spans="2:5">
      <c r="B4683" s="406" t="s">
        <v>9829</v>
      </c>
      <c r="C4683" s="407">
        <v>17761</v>
      </c>
      <c r="D4683" s="408">
        <v>45441</v>
      </c>
      <c r="E4683" s="406" t="s">
        <v>10564</v>
      </c>
    </row>
    <row r="4684" spans="2:5">
      <c r="B4684" s="406" t="s">
        <v>9829</v>
      </c>
      <c r="C4684" s="407">
        <v>17756</v>
      </c>
      <c r="D4684" s="408">
        <v>45441</v>
      </c>
      <c r="E4684" s="406" t="s">
        <v>10699</v>
      </c>
    </row>
    <row r="4685" spans="2:5">
      <c r="B4685" s="406" t="s">
        <v>9829</v>
      </c>
      <c r="C4685" s="407">
        <v>17750</v>
      </c>
      <c r="D4685" s="408">
        <v>45441</v>
      </c>
      <c r="E4685" s="406" t="s">
        <v>10572</v>
      </c>
    </row>
    <row r="4686" spans="2:5">
      <c r="B4686" s="406" t="s">
        <v>9829</v>
      </c>
      <c r="C4686" s="407">
        <v>17746</v>
      </c>
      <c r="D4686" s="408">
        <v>45441</v>
      </c>
      <c r="E4686" s="406" t="s">
        <v>10571</v>
      </c>
    </row>
    <row r="4687" spans="2:5">
      <c r="B4687" s="406" t="s">
        <v>9829</v>
      </c>
      <c r="C4687" s="407">
        <v>17743</v>
      </c>
      <c r="D4687" s="408">
        <v>45441</v>
      </c>
      <c r="E4687" s="406" t="s">
        <v>10700</v>
      </c>
    </row>
    <row r="4688" spans="2:5">
      <c r="B4688" s="406" t="s">
        <v>9829</v>
      </c>
      <c r="C4688" s="407">
        <v>17734</v>
      </c>
      <c r="D4688" s="408">
        <v>45441</v>
      </c>
      <c r="E4688" s="406" t="s">
        <v>10570</v>
      </c>
    </row>
    <row r="4689" spans="2:5">
      <c r="B4689" s="406" t="s">
        <v>9829</v>
      </c>
      <c r="C4689" s="407">
        <v>17730</v>
      </c>
      <c r="D4689" s="408">
        <v>45441</v>
      </c>
      <c r="E4689" s="406" t="s">
        <v>10701</v>
      </c>
    </row>
    <row r="4690" spans="2:5">
      <c r="B4690" s="406" t="s">
        <v>9829</v>
      </c>
      <c r="C4690" s="407">
        <v>17720</v>
      </c>
      <c r="D4690" s="408">
        <v>45441</v>
      </c>
      <c r="E4690" s="406" t="s">
        <v>10702</v>
      </c>
    </row>
    <row r="4691" spans="2:5">
      <c r="B4691" s="406" t="s">
        <v>9829</v>
      </c>
      <c r="C4691" s="407">
        <v>17718</v>
      </c>
      <c r="D4691" s="408">
        <v>45441</v>
      </c>
      <c r="E4691" s="406" t="s">
        <v>10703</v>
      </c>
    </row>
    <row r="4692" spans="2:5">
      <c r="B4692" s="406" t="s">
        <v>9829</v>
      </c>
      <c r="C4692" s="407">
        <v>17713</v>
      </c>
      <c r="D4692" s="408">
        <v>45441</v>
      </c>
      <c r="E4692" s="406" t="s">
        <v>10704</v>
      </c>
    </row>
    <row r="4693" spans="2:5">
      <c r="B4693" s="406" t="s">
        <v>9829</v>
      </c>
      <c r="C4693" s="407">
        <v>17712</v>
      </c>
      <c r="D4693" s="408">
        <v>45441</v>
      </c>
      <c r="E4693" s="406" t="s">
        <v>10705</v>
      </c>
    </row>
    <row r="4694" spans="2:5">
      <c r="B4694" s="406" t="s">
        <v>9829</v>
      </c>
      <c r="C4694" s="407">
        <v>17708</v>
      </c>
      <c r="D4694" s="408">
        <v>45441</v>
      </c>
      <c r="E4694" s="406" t="s">
        <v>10569</v>
      </c>
    </row>
    <row r="4695" spans="2:5">
      <c r="B4695" s="406" t="s">
        <v>9829</v>
      </c>
      <c r="C4695" s="407">
        <v>17703</v>
      </c>
      <c r="D4695" s="408">
        <v>45441</v>
      </c>
      <c r="E4695" s="406" t="s">
        <v>10568</v>
      </c>
    </row>
    <row r="4696" spans="2:5">
      <c r="B4696" s="406" t="s">
        <v>9829</v>
      </c>
      <c r="C4696" s="407">
        <v>17700</v>
      </c>
      <c r="D4696" s="408">
        <v>45441</v>
      </c>
      <c r="E4696" s="406" t="s">
        <v>10706</v>
      </c>
    </row>
    <row r="4697" spans="2:5">
      <c r="B4697" s="406" t="s">
        <v>9829</v>
      </c>
      <c r="C4697" s="407">
        <v>17697</v>
      </c>
      <c r="D4697" s="408">
        <v>45441</v>
      </c>
      <c r="E4697" s="406" t="s">
        <v>10573</v>
      </c>
    </row>
    <row r="4698" spans="2:5">
      <c r="B4698" s="406" t="s">
        <v>9829</v>
      </c>
      <c r="C4698" s="407">
        <v>17696</v>
      </c>
      <c r="D4698" s="408">
        <v>45441</v>
      </c>
      <c r="E4698" s="406" t="s">
        <v>10574</v>
      </c>
    </row>
    <row r="4699" spans="2:5">
      <c r="B4699" s="406" t="s">
        <v>9829</v>
      </c>
      <c r="C4699" s="407">
        <v>17693</v>
      </c>
      <c r="D4699" s="408">
        <v>45441</v>
      </c>
      <c r="E4699" s="406" t="s">
        <v>10707</v>
      </c>
    </row>
    <row r="4700" spans="2:5">
      <c r="B4700" s="406" t="s">
        <v>9829</v>
      </c>
      <c r="C4700" s="407">
        <v>17691</v>
      </c>
      <c r="D4700" s="408">
        <v>45441</v>
      </c>
      <c r="E4700" s="406" t="s">
        <v>10708</v>
      </c>
    </row>
    <row r="4701" spans="2:5">
      <c r="B4701" s="406" t="s">
        <v>9829</v>
      </c>
      <c r="C4701" s="407">
        <v>17673</v>
      </c>
      <c r="D4701" s="408">
        <v>45441</v>
      </c>
      <c r="E4701" s="406" t="s">
        <v>10709</v>
      </c>
    </row>
    <row r="4702" spans="2:5">
      <c r="B4702" s="406" t="s">
        <v>9829</v>
      </c>
      <c r="C4702" s="407">
        <v>17672</v>
      </c>
      <c r="D4702" s="408">
        <v>45441</v>
      </c>
      <c r="E4702" s="406" t="s">
        <v>10575</v>
      </c>
    </row>
    <row r="4703" spans="2:5">
      <c r="B4703" s="406" t="s">
        <v>9829</v>
      </c>
      <c r="C4703" s="407">
        <v>17667</v>
      </c>
      <c r="D4703" s="408">
        <v>45441</v>
      </c>
      <c r="E4703" s="406" t="s">
        <v>10710</v>
      </c>
    </row>
    <row r="4704" spans="2:5">
      <c r="B4704" s="406" t="s">
        <v>9829</v>
      </c>
      <c r="C4704" s="407">
        <v>17666</v>
      </c>
      <c r="D4704" s="408">
        <v>45441</v>
      </c>
      <c r="E4704" s="406" t="s">
        <v>10711</v>
      </c>
    </row>
    <row r="4705" spans="2:5">
      <c r="B4705" s="406" t="s">
        <v>9829</v>
      </c>
      <c r="C4705" s="407">
        <v>17663</v>
      </c>
      <c r="D4705" s="408">
        <v>45441</v>
      </c>
      <c r="E4705" s="406" t="s">
        <v>10576</v>
      </c>
    </row>
    <row r="4706" spans="2:5">
      <c r="B4706" s="406" t="s">
        <v>9829</v>
      </c>
      <c r="C4706" s="407">
        <v>17656</v>
      </c>
      <c r="D4706" s="408">
        <v>45441</v>
      </c>
      <c r="E4706" s="406" t="s">
        <v>10577</v>
      </c>
    </row>
    <row r="4707" spans="2:5">
      <c r="B4707" s="406" t="s">
        <v>9829</v>
      </c>
      <c r="C4707" s="407">
        <v>17653</v>
      </c>
      <c r="D4707" s="408">
        <v>45441</v>
      </c>
      <c r="E4707" s="406" t="s">
        <v>10578</v>
      </c>
    </row>
    <row r="4708" spans="2:5">
      <c r="B4708" s="406" t="s">
        <v>9829</v>
      </c>
      <c r="C4708" s="407">
        <v>17642</v>
      </c>
      <c r="D4708" s="408">
        <v>45441</v>
      </c>
      <c r="E4708" s="406" t="s">
        <v>10579</v>
      </c>
    </row>
    <row r="4709" spans="2:5">
      <c r="B4709" s="406" t="s">
        <v>9829</v>
      </c>
      <c r="C4709" s="407">
        <v>17640</v>
      </c>
      <c r="D4709" s="408">
        <v>45441</v>
      </c>
      <c r="E4709" s="406" t="s">
        <v>10583</v>
      </c>
    </row>
    <row r="4710" spans="2:5">
      <c r="B4710" s="406" t="s">
        <v>9829</v>
      </c>
      <c r="C4710" s="407">
        <v>17638</v>
      </c>
      <c r="D4710" s="408">
        <v>45441</v>
      </c>
      <c r="E4710" s="406" t="s">
        <v>10582</v>
      </c>
    </row>
    <row r="4711" spans="2:5">
      <c r="B4711" s="406" t="s">
        <v>9829</v>
      </c>
      <c r="C4711" s="407">
        <v>17628</v>
      </c>
      <c r="D4711" s="408">
        <v>45441</v>
      </c>
      <c r="E4711" s="406" t="s">
        <v>10581</v>
      </c>
    </row>
    <row r="4712" spans="2:5">
      <c r="B4712" s="406" t="s">
        <v>9829</v>
      </c>
      <c r="C4712" s="407">
        <v>17627</v>
      </c>
      <c r="D4712" s="408">
        <v>45441</v>
      </c>
      <c r="E4712" s="406" t="s">
        <v>10580</v>
      </c>
    </row>
    <row r="4713" spans="2:5">
      <c r="B4713" s="406" t="s">
        <v>9829</v>
      </c>
      <c r="C4713" s="407">
        <v>17626</v>
      </c>
      <c r="D4713" s="408">
        <v>45441</v>
      </c>
      <c r="E4713" s="406" t="s">
        <v>10584</v>
      </c>
    </row>
    <row r="4714" spans="2:5">
      <c r="B4714" s="406" t="s">
        <v>9829</v>
      </c>
      <c r="C4714" s="407">
        <v>17625</v>
      </c>
      <c r="D4714" s="408">
        <v>45441</v>
      </c>
      <c r="E4714" s="406" t="s">
        <v>10585</v>
      </c>
    </row>
    <row r="4715" spans="2:5">
      <c r="B4715" s="406" t="s">
        <v>9829</v>
      </c>
      <c r="C4715" s="407">
        <v>17618</v>
      </c>
      <c r="D4715" s="408">
        <v>45441</v>
      </c>
      <c r="E4715" s="406" t="s">
        <v>10586</v>
      </c>
    </row>
    <row r="4716" spans="2:5">
      <c r="B4716" s="406" t="s">
        <v>9829</v>
      </c>
      <c r="C4716" s="407">
        <v>17615</v>
      </c>
      <c r="D4716" s="408">
        <v>45441</v>
      </c>
      <c r="E4716" s="406" t="s">
        <v>10712</v>
      </c>
    </row>
    <row r="4717" spans="2:5">
      <c r="B4717" s="406" t="s">
        <v>9829</v>
      </c>
      <c r="C4717" s="407">
        <v>17613</v>
      </c>
      <c r="D4717" s="408">
        <v>45441</v>
      </c>
      <c r="E4717" s="406" t="s">
        <v>10713</v>
      </c>
    </row>
    <row r="4718" spans="2:5">
      <c r="B4718" s="406" t="s">
        <v>9829</v>
      </c>
      <c r="C4718" s="407">
        <v>17612</v>
      </c>
      <c r="D4718" s="408">
        <v>45441</v>
      </c>
      <c r="E4718" s="406" t="s">
        <v>10714</v>
      </c>
    </row>
    <row r="4719" spans="2:5">
      <c r="B4719" s="406" t="s">
        <v>9829</v>
      </c>
      <c r="C4719" s="407">
        <v>17610</v>
      </c>
      <c r="D4719" s="408">
        <v>45441</v>
      </c>
      <c r="E4719" s="406" t="s">
        <v>10715</v>
      </c>
    </row>
    <row r="4720" spans="2:5">
      <c r="B4720" s="406" t="s">
        <v>9829</v>
      </c>
      <c r="C4720" s="407">
        <v>17607</v>
      </c>
      <c r="D4720" s="408">
        <v>45441</v>
      </c>
      <c r="E4720" s="406" t="s">
        <v>10716</v>
      </c>
    </row>
    <row r="4721" spans="2:5">
      <c r="B4721" s="406" t="s">
        <v>9829</v>
      </c>
      <c r="C4721" s="407">
        <v>17604</v>
      </c>
      <c r="D4721" s="408">
        <v>45441</v>
      </c>
      <c r="E4721" s="406" t="s">
        <v>10587</v>
      </c>
    </row>
    <row r="4722" spans="2:5">
      <c r="B4722" s="406" t="s">
        <v>9829</v>
      </c>
      <c r="C4722" s="407">
        <v>17587</v>
      </c>
      <c r="D4722" s="408">
        <v>45441</v>
      </c>
      <c r="E4722" s="406" t="s">
        <v>10717</v>
      </c>
    </row>
    <row r="4723" spans="2:5">
      <c r="B4723" s="406" t="s">
        <v>9829</v>
      </c>
      <c r="C4723" s="407">
        <v>17583</v>
      </c>
      <c r="D4723" s="408">
        <v>45441</v>
      </c>
      <c r="E4723" s="406" t="s">
        <v>10588</v>
      </c>
    </row>
    <row r="4724" spans="2:5">
      <c r="B4724" s="406" t="s">
        <v>9829</v>
      </c>
      <c r="C4724" s="407">
        <v>17582</v>
      </c>
      <c r="D4724" s="408">
        <v>45441</v>
      </c>
      <c r="E4724" s="406" t="s">
        <v>10592</v>
      </c>
    </row>
    <row r="4725" spans="2:5">
      <c r="B4725" s="406" t="s">
        <v>9829</v>
      </c>
      <c r="C4725" s="407">
        <v>17580</v>
      </c>
      <c r="D4725" s="408">
        <v>45441</v>
      </c>
      <c r="E4725" s="406" t="s">
        <v>10591</v>
      </c>
    </row>
    <row r="4726" spans="2:5">
      <c r="B4726" s="406" t="s">
        <v>9829</v>
      </c>
      <c r="C4726" s="407">
        <v>17575</v>
      </c>
      <c r="D4726" s="408">
        <v>45441</v>
      </c>
      <c r="E4726" s="406" t="s">
        <v>10590</v>
      </c>
    </row>
    <row r="4727" spans="2:5">
      <c r="B4727" s="406" t="s">
        <v>9829</v>
      </c>
      <c r="C4727" s="407">
        <v>17573</v>
      </c>
      <c r="D4727" s="408">
        <v>45441</v>
      </c>
      <c r="E4727" s="406" t="s">
        <v>10718</v>
      </c>
    </row>
    <row r="4728" spans="2:5">
      <c r="B4728" s="406" t="s">
        <v>9829</v>
      </c>
      <c r="C4728" s="407">
        <v>17569</v>
      </c>
      <c r="D4728" s="408">
        <v>45441</v>
      </c>
      <c r="E4728" s="406" t="s">
        <v>10589</v>
      </c>
    </row>
    <row r="4729" spans="2:5">
      <c r="B4729" s="406" t="s">
        <v>9829</v>
      </c>
      <c r="C4729" s="407">
        <v>17566</v>
      </c>
      <c r="D4729" s="408">
        <v>45441</v>
      </c>
      <c r="E4729" s="406" t="s">
        <v>10719</v>
      </c>
    </row>
    <row r="4730" spans="2:5">
      <c r="B4730" s="406" t="s">
        <v>9829</v>
      </c>
      <c r="C4730" s="407">
        <v>17556</v>
      </c>
      <c r="D4730" s="408">
        <v>45441</v>
      </c>
      <c r="E4730" s="406" t="s">
        <v>10598</v>
      </c>
    </row>
    <row r="4731" spans="2:5">
      <c r="B4731" s="406" t="s">
        <v>9829</v>
      </c>
      <c r="C4731" s="407">
        <v>17544</v>
      </c>
      <c r="D4731" s="408">
        <v>45441</v>
      </c>
      <c r="E4731" s="406" t="s">
        <v>10597</v>
      </c>
    </row>
    <row r="4732" spans="2:5">
      <c r="B4732" s="406" t="s">
        <v>9829</v>
      </c>
      <c r="C4732" s="407">
        <v>17541</v>
      </c>
      <c r="D4732" s="408">
        <v>45441</v>
      </c>
      <c r="E4732" s="406" t="s">
        <v>10720</v>
      </c>
    </row>
    <row r="4733" spans="2:5">
      <c r="B4733" s="406" t="s">
        <v>9829</v>
      </c>
      <c r="C4733" s="407">
        <v>17538</v>
      </c>
      <c r="D4733" s="408">
        <v>45441</v>
      </c>
      <c r="E4733" s="406" t="s">
        <v>10721</v>
      </c>
    </row>
    <row r="4734" spans="2:5">
      <c r="B4734" s="406" t="s">
        <v>9829</v>
      </c>
      <c r="C4734" s="407">
        <v>17535</v>
      </c>
      <c r="D4734" s="408">
        <v>45441</v>
      </c>
      <c r="E4734" s="406" t="s">
        <v>10596</v>
      </c>
    </row>
    <row r="4735" spans="2:5">
      <c r="B4735" s="406" t="s">
        <v>9829</v>
      </c>
      <c r="C4735" s="407">
        <v>17534</v>
      </c>
      <c r="D4735" s="408">
        <v>45441</v>
      </c>
      <c r="E4735" s="406" t="s">
        <v>10595</v>
      </c>
    </row>
    <row r="4736" spans="2:5">
      <c r="B4736" s="406" t="s">
        <v>9829</v>
      </c>
      <c r="C4736" s="407">
        <v>17533</v>
      </c>
      <c r="D4736" s="408">
        <v>45441</v>
      </c>
      <c r="E4736" s="406" t="s">
        <v>10722</v>
      </c>
    </row>
    <row r="4737" spans="2:5">
      <c r="B4737" s="406" t="s">
        <v>9829</v>
      </c>
      <c r="C4737" s="407">
        <v>17529</v>
      </c>
      <c r="D4737" s="408">
        <v>45441</v>
      </c>
      <c r="E4737" s="406" t="s">
        <v>10594</v>
      </c>
    </row>
    <row r="4738" spans="2:5">
      <c r="B4738" s="406" t="s">
        <v>9829</v>
      </c>
      <c r="C4738" s="407">
        <v>17527</v>
      </c>
      <c r="D4738" s="408">
        <v>45441</v>
      </c>
      <c r="E4738" s="411" t="s">
        <v>10593</v>
      </c>
    </row>
    <row r="4739" spans="2:5">
      <c r="B4739" s="406" t="s">
        <v>9829</v>
      </c>
      <c r="C4739" s="407">
        <v>17525</v>
      </c>
      <c r="D4739" s="408">
        <v>45441</v>
      </c>
      <c r="E4739" s="411" t="s">
        <v>10605</v>
      </c>
    </row>
    <row r="4740" spans="2:5">
      <c r="B4740" s="406" t="s">
        <v>9829</v>
      </c>
      <c r="C4740" s="407">
        <v>17523</v>
      </c>
      <c r="D4740" s="408">
        <v>45441</v>
      </c>
      <c r="E4740" s="411" t="s">
        <v>10723</v>
      </c>
    </row>
    <row r="4741" spans="2:5">
      <c r="B4741" s="406" t="s">
        <v>9829</v>
      </c>
      <c r="C4741" s="407">
        <v>17522</v>
      </c>
      <c r="D4741" s="408">
        <v>45441</v>
      </c>
      <c r="E4741" s="411" t="s">
        <v>10604</v>
      </c>
    </row>
    <row r="4742" spans="2:5">
      <c r="B4742" s="406" t="s">
        <v>9829</v>
      </c>
      <c r="C4742" s="407">
        <v>17517</v>
      </c>
      <c r="D4742" s="408">
        <v>45441</v>
      </c>
      <c r="E4742" s="411" t="s">
        <v>10603</v>
      </c>
    </row>
    <row r="4743" spans="2:5">
      <c r="B4743" s="406" t="s">
        <v>9829</v>
      </c>
      <c r="C4743" s="407">
        <v>17516</v>
      </c>
      <c r="D4743" s="408">
        <v>45441</v>
      </c>
      <c r="E4743" s="411" t="s">
        <v>10724</v>
      </c>
    </row>
    <row r="4744" spans="2:5">
      <c r="B4744" s="406" t="s">
        <v>9829</v>
      </c>
      <c r="C4744" s="407">
        <v>17512</v>
      </c>
      <c r="D4744" s="408">
        <v>45441</v>
      </c>
      <c r="E4744" s="411" t="s">
        <v>10602</v>
      </c>
    </row>
    <row r="4745" spans="2:5">
      <c r="B4745" s="406" t="s">
        <v>9829</v>
      </c>
      <c r="C4745" s="407">
        <v>17509</v>
      </c>
      <c r="D4745" s="408">
        <v>45441</v>
      </c>
      <c r="E4745" s="411" t="s">
        <v>10601</v>
      </c>
    </row>
    <row r="4746" spans="2:5">
      <c r="B4746" s="406" t="s">
        <v>9829</v>
      </c>
      <c r="C4746" s="407">
        <v>17508</v>
      </c>
      <c r="D4746" s="408">
        <v>45441</v>
      </c>
      <c r="E4746" s="411" t="s">
        <v>10600</v>
      </c>
    </row>
    <row r="4747" spans="2:5">
      <c r="B4747" s="406" t="s">
        <v>9829</v>
      </c>
      <c r="C4747" s="407">
        <v>17507</v>
      </c>
      <c r="D4747" s="408">
        <v>45441</v>
      </c>
      <c r="E4747" s="411" t="s">
        <v>10599</v>
      </c>
    </row>
    <row r="4748" spans="2:5">
      <c r="B4748" s="406" t="s">
        <v>9829</v>
      </c>
      <c r="C4748" s="407">
        <v>17506</v>
      </c>
      <c r="D4748" s="408">
        <v>45441</v>
      </c>
      <c r="E4748" s="411" t="s">
        <v>10606</v>
      </c>
    </row>
    <row r="4749" spans="2:5">
      <c r="B4749" s="406" t="s">
        <v>9829</v>
      </c>
      <c r="C4749" s="407">
        <v>17505</v>
      </c>
      <c r="D4749" s="408">
        <v>45441</v>
      </c>
      <c r="E4749" s="411" t="s">
        <v>10607</v>
      </c>
    </row>
    <row r="4750" spans="2:5">
      <c r="B4750" s="406" t="s">
        <v>9829</v>
      </c>
      <c r="C4750" s="407">
        <v>17502</v>
      </c>
      <c r="D4750" s="408">
        <v>45441</v>
      </c>
      <c r="E4750" s="411" t="s">
        <v>10608</v>
      </c>
    </row>
    <row r="4751" spans="2:5">
      <c r="B4751" s="406" t="s">
        <v>9829</v>
      </c>
      <c r="C4751" s="407">
        <v>17501</v>
      </c>
      <c r="D4751" s="408">
        <v>45441</v>
      </c>
      <c r="E4751" s="411" t="s">
        <v>10609</v>
      </c>
    </row>
    <row r="4752" spans="2:5">
      <c r="B4752" s="406" t="s">
        <v>9829</v>
      </c>
      <c r="C4752" s="407">
        <v>17497</v>
      </c>
      <c r="D4752" s="408">
        <v>45441</v>
      </c>
      <c r="E4752" s="411" t="s">
        <v>10610</v>
      </c>
    </row>
    <row r="4753" spans="2:5">
      <c r="B4753" s="406" t="s">
        <v>9829</v>
      </c>
      <c r="C4753" s="407">
        <v>17495</v>
      </c>
      <c r="D4753" s="408">
        <v>45441</v>
      </c>
      <c r="E4753" s="411" t="s">
        <v>10616</v>
      </c>
    </row>
    <row r="4754" spans="2:5">
      <c r="B4754" s="406" t="s">
        <v>9829</v>
      </c>
      <c r="C4754" s="407">
        <v>17494</v>
      </c>
      <c r="D4754" s="408">
        <v>45441</v>
      </c>
      <c r="E4754" s="411" t="s">
        <v>10615</v>
      </c>
    </row>
    <row r="4755" spans="2:5">
      <c r="B4755" s="406" t="s">
        <v>9829</v>
      </c>
      <c r="C4755" s="407">
        <v>17493</v>
      </c>
      <c r="D4755" s="408">
        <v>45441</v>
      </c>
      <c r="E4755" s="411" t="s">
        <v>10614</v>
      </c>
    </row>
    <row r="4756" spans="2:5">
      <c r="B4756" s="406" t="s">
        <v>9829</v>
      </c>
      <c r="C4756" s="407">
        <v>17490</v>
      </c>
      <c r="D4756" s="408">
        <v>45441</v>
      </c>
      <c r="E4756" s="411" t="s">
        <v>10613</v>
      </c>
    </row>
    <row r="4757" spans="2:5">
      <c r="B4757" s="406" t="s">
        <v>9829</v>
      </c>
      <c r="C4757" s="407">
        <v>17489</v>
      </c>
      <c r="D4757" s="408">
        <v>45441</v>
      </c>
      <c r="E4757" s="411" t="s">
        <v>10612</v>
      </c>
    </row>
    <row r="4758" spans="2:5">
      <c r="B4758" s="406" t="s">
        <v>9829</v>
      </c>
      <c r="C4758" s="407">
        <v>17488</v>
      </c>
      <c r="D4758" s="408">
        <v>45441</v>
      </c>
      <c r="E4758" s="411" t="s">
        <v>10611</v>
      </c>
    </row>
    <row r="4759" spans="2:5">
      <c r="B4759" s="406" t="s">
        <v>9829</v>
      </c>
      <c r="C4759" s="407">
        <v>17486</v>
      </c>
      <c r="D4759" s="408">
        <v>45441</v>
      </c>
      <c r="E4759" s="411" t="s">
        <v>10725</v>
      </c>
    </row>
    <row r="4760" spans="2:5">
      <c r="B4760" s="406" t="s">
        <v>9829</v>
      </c>
      <c r="C4760" s="407">
        <v>17485</v>
      </c>
      <c r="D4760" s="408">
        <v>45441</v>
      </c>
      <c r="E4760" s="411" t="s">
        <v>10617</v>
      </c>
    </row>
    <row r="4761" spans="2:5">
      <c r="B4761" s="406" t="s">
        <v>9829</v>
      </c>
      <c r="C4761" s="407">
        <v>17484</v>
      </c>
      <c r="D4761" s="408">
        <v>45441</v>
      </c>
      <c r="E4761" s="411" t="s">
        <v>10618</v>
      </c>
    </row>
    <row r="4762" spans="2:5">
      <c r="B4762" s="406" t="s">
        <v>9829</v>
      </c>
      <c r="C4762" s="407">
        <v>17483</v>
      </c>
      <c r="D4762" s="408">
        <v>45441</v>
      </c>
      <c r="E4762" s="411" t="s">
        <v>10726</v>
      </c>
    </row>
    <row r="4763" spans="2:5">
      <c r="B4763" s="406" t="s">
        <v>9829</v>
      </c>
      <c r="C4763" s="407">
        <v>17481</v>
      </c>
      <c r="D4763" s="408">
        <v>45441</v>
      </c>
      <c r="E4763" s="411" t="s">
        <v>10619</v>
      </c>
    </row>
    <row r="4764" spans="2:5">
      <c r="B4764" s="406" t="s">
        <v>9829</v>
      </c>
      <c r="C4764" s="407">
        <v>17479</v>
      </c>
      <c r="D4764" s="408">
        <v>45441</v>
      </c>
      <c r="E4764" s="411" t="s">
        <v>10620</v>
      </c>
    </row>
    <row r="4765" spans="2:5">
      <c r="B4765" s="406" t="s">
        <v>9829</v>
      </c>
      <c r="C4765" s="407">
        <v>17478</v>
      </c>
      <c r="D4765" s="408">
        <v>45441</v>
      </c>
      <c r="E4765" s="411" t="s">
        <v>10621</v>
      </c>
    </row>
    <row r="4766" spans="2:5">
      <c r="B4766" s="406" t="s">
        <v>9829</v>
      </c>
      <c r="C4766" s="407">
        <v>17477</v>
      </c>
      <c r="D4766" s="408">
        <v>45441</v>
      </c>
      <c r="E4766" s="411" t="s">
        <v>10622</v>
      </c>
    </row>
    <row r="4767" spans="2:5">
      <c r="B4767" s="406" t="s">
        <v>9829</v>
      </c>
      <c r="C4767" s="407">
        <v>17476</v>
      </c>
      <c r="D4767" s="408">
        <v>45441</v>
      </c>
      <c r="E4767" s="411" t="s">
        <v>10623</v>
      </c>
    </row>
    <row r="4768" spans="2:5">
      <c r="B4768" s="406" t="s">
        <v>9829</v>
      </c>
      <c r="C4768" s="407">
        <v>17475</v>
      </c>
      <c r="D4768" s="408">
        <v>45441</v>
      </c>
      <c r="E4768" s="411" t="s">
        <v>10727</v>
      </c>
    </row>
    <row r="4769" spans="2:8">
      <c r="B4769" s="406" t="s">
        <v>9829</v>
      </c>
      <c r="C4769" s="407">
        <v>17474</v>
      </c>
      <c r="D4769" s="408">
        <v>45441</v>
      </c>
      <c r="E4769" s="411" t="s">
        <v>10624</v>
      </c>
    </row>
    <row r="4770" spans="2:8">
      <c r="B4770" s="406" t="s">
        <v>9829</v>
      </c>
      <c r="C4770" s="407">
        <v>17473</v>
      </c>
      <c r="D4770" s="408">
        <v>45441</v>
      </c>
      <c r="E4770" s="411" t="s">
        <v>10625</v>
      </c>
    </row>
    <row r="4771" spans="2:8">
      <c r="B4771" s="406" t="s">
        <v>9829</v>
      </c>
      <c r="C4771" s="407">
        <v>17472</v>
      </c>
      <c r="D4771" s="408">
        <v>45441</v>
      </c>
      <c r="E4771" s="411" t="s">
        <v>10626</v>
      </c>
    </row>
    <row r="4772" spans="2:8">
      <c r="B4772" s="406" t="s">
        <v>9829</v>
      </c>
      <c r="C4772" s="407">
        <v>17471</v>
      </c>
      <c r="D4772" s="408">
        <v>45441</v>
      </c>
      <c r="E4772" s="411" t="s">
        <v>10627</v>
      </c>
    </row>
    <row r="4773" spans="2:8">
      <c r="B4773" s="406" t="s">
        <v>9829</v>
      </c>
      <c r="C4773" s="407">
        <v>17470</v>
      </c>
      <c r="D4773" s="408">
        <v>45441</v>
      </c>
      <c r="E4773" s="411" t="s">
        <v>10632</v>
      </c>
    </row>
    <row r="4774" spans="2:8">
      <c r="B4774" s="406" t="s">
        <v>9829</v>
      </c>
      <c r="C4774" s="407">
        <v>17469</v>
      </c>
      <c r="D4774" s="408">
        <v>45441</v>
      </c>
      <c r="E4774" s="411" t="s">
        <v>10631</v>
      </c>
    </row>
    <row r="4775" spans="2:8">
      <c r="B4775" s="406" t="s">
        <v>9829</v>
      </c>
      <c r="C4775" s="407">
        <v>17468</v>
      </c>
      <c r="D4775" s="408">
        <v>45441</v>
      </c>
      <c r="E4775" s="411" t="s">
        <v>10630</v>
      </c>
    </row>
    <row r="4776" spans="2:8">
      <c r="B4776" s="406" t="s">
        <v>9829</v>
      </c>
      <c r="C4776" s="407">
        <v>17467</v>
      </c>
      <c r="D4776" s="408">
        <v>45441</v>
      </c>
      <c r="E4776" s="411" t="s">
        <v>10629</v>
      </c>
    </row>
    <row r="4777" spans="2:8">
      <c r="B4777" s="406" t="s">
        <v>9829</v>
      </c>
      <c r="C4777" s="407">
        <v>17466</v>
      </c>
      <c r="D4777" s="408">
        <v>45441</v>
      </c>
      <c r="E4777" s="411" t="s">
        <v>10628</v>
      </c>
    </row>
    <row r="4778" spans="2:8">
      <c r="B4778" s="406" t="s">
        <v>9829</v>
      </c>
      <c r="C4778" s="407">
        <v>17465</v>
      </c>
      <c r="D4778" s="408">
        <v>45441</v>
      </c>
      <c r="E4778" s="411" t="s">
        <v>10633</v>
      </c>
      <c r="F4778" s="406">
        <v>2</v>
      </c>
      <c r="H4778" s="406" t="s">
        <v>10634</v>
      </c>
    </row>
    <row r="4779" spans="2:8">
      <c r="B4779" s="406" t="s">
        <v>9829</v>
      </c>
      <c r="C4779" s="407">
        <v>17464</v>
      </c>
      <c r="D4779" s="408">
        <v>45441</v>
      </c>
      <c r="E4779" s="411" t="s">
        <v>10638</v>
      </c>
    </row>
    <row r="4780" spans="2:8">
      <c r="B4780" s="406" t="s">
        <v>9829</v>
      </c>
      <c r="C4780" s="407">
        <v>17463</v>
      </c>
      <c r="D4780" s="408">
        <v>45441</v>
      </c>
      <c r="E4780" s="411" t="s">
        <v>10728</v>
      </c>
    </row>
    <row r="4781" spans="2:8">
      <c r="B4781" s="406" t="s">
        <v>9829</v>
      </c>
      <c r="C4781" s="407">
        <v>17462</v>
      </c>
      <c r="D4781" s="408">
        <v>45441</v>
      </c>
      <c r="E4781" s="411" t="s">
        <v>10637</v>
      </c>
    </row>
    <row r="4782" spans="2:8">
      <c r="B4782" s="406" t="s">
        <v>9829</v>
      </c>
      <c r="C4782" s="407">
        <v>17461</v>
      </c>
      <c r="D4782" s="408">
        <v>45441</v>
      </c>
      <c r="E4782" s="411" t="s">
        <v>10636</v>
      </c>
    </row>
    <row r="4783" spans="2:8">
      <c r="B4783" s="406" t="s">
        <v>9829</v>
      </c>
      <c r="C4783" s="407">
        <v>17460</v>
      </c>
      <c r="D4783" s="408">
        <v>45441</v>
      </c>
      <c r="E4783" s="411" t="s">
        <v>10635</v>
      </c>
    </row>
    <row r="4784" spans="2:8">
      <c r="B4784" s="406" t="s">
        <v>9829</v>
      </c>
      <c r="C4784" s="407">
        <v>17459</v>
      </c>
      <c r="D4784" s="408">
        <v>45441</v>
      </c>
      <c r="E4784" s="411" t="s">
        <v>10643</v>
      </c>
    </row>
    <row r="4785" spans="2:5">
      <c r="B4785" s="406" t="s">
        <v>9829</v>
      </c>
      <c r="C4785" s="407">
        <v>17458</v>
      </c>
      <c r="D4785" s="408">
        <v>45441</v>
      </c>
      <c r="E4785" s="411" t="s">
        <v>10642</v>
      </c>
    </row>
    <row r="4786" spans="2:5">
      <c r="B4786" s="406" t="s">
        <v>9829</v>
      </c>
      <c r="C4786" s="407">
        <v>17457</v>
      </c>
      <c r="D4786" s="408">
        <v>45441</v>
      </c>
      <c r="E4786" s="411" t="s">
        <v>10729</v>
      </c>
    </row>
    <row r="4787" spans="2:5">
      <c r="B4787" s="406" t="s">
        <v>9829</v>
      </c>
      <c r="C4787" s="407">
        <v>17456</v>
      </c>
      <c r="D4787" s="408">
        <v>45441</v>
      </c>
      <c r="E4787" s="411" t="s">
        <v>10730</v>
      </c>
    </row>
    <row r="4788" spans="2:5">
      <c r="B4788" s="406" t="s">
        <v>9829</v>
      </c>
      <c r="C4788" s="407">
        <v>17455</v>
      </c>
      <c r="D4788" s="408">
        <v>45441</v>
      </c>
      <c r="E4788" s="411" t="s">
        <v>10731</v>
      </c>
    </row>
    <row r="4789" spans="2:5">
      <c r="B4789" s="406" t="s">
        <v>9829</v>
      </c>
      <c r="C4789" s="407">
        <v>17451</v>
      </c>
      <c r="D4789" s="408">
        <v>45441</v>
      </c>
      <c r="E4789" s="411" t="s">
        <v>10641</v>
      </c>
    </row>
    <row r="4790" spans="2:5">
      <c r="B4790" s="406" t="s">
        <v>9829</v>
      </c>
      <c r="C4790" s="407">
        <v>17450</v>
      </c>
      <c r="D4790" s="408">
        <v>45441</v>
      </c>
      <c r="E4790" s="411" t="s">
        <v>10732</v>
      </c>
    </row>
    <row r="4791" spans="2:5">
      <c r="B4791" s="406" t="s">
        <v>9829</v>
      </c>
      <c r="C4791" s="407">
        <v>17449</v>
      </c>
      <c r="D4791" s="408">
        <v>45441</v>
      </c>
      <c r="E4791" s="411" t="s">
        <v>10733</v>
      </c>
    </row>
    <row r="4792" spans="2:5">
      <c r="B4792" s="406" t="s">
        <v>9829</v>
      </c>
      <c r="C4792" s="407">
        <v>17447</v>
      </c>
      <c r="D4792" s="408">
        <v>45441</v>
      </c>
      <c r="E4792" s="411" t="s">
        <v>10734</v>
      </c>
    </row>
    <row r="4793" spans="2:5">
      <c r="B4793" s="406" t="s">
        <v>9829</v>
      </c>
      <c r="C4793" s="407">
        <v>17445</v>
      </c>
      <c r="D4793" s="408">
        <v>45441</v>
      </c>
      <c r="E4793" s="411" t="s">
        <v>10640</v>
      </c>
    </row>
    <row r="4794" spans="2:5">
      <c r="B4794" s="406" t="s">
        <v>9829</v>
      </c>
      <c r="C4794" s="407">
        <v>17444</v>
      </c>
      <c r="D4794" s="408">
        <v>45441</v>
      </c>
      <c r="E4794" s="411" t="s">
        <v>10735</v>
      </c>
    </row>
    <row r="4795" spans="2:5">
      <c r="B4795" s="406" t="s">
        <v>9829</v>
      </c>
      <c r="C4795" s="407">
        <v>17442</v>
      </c>
      <c r="D4795" s="408">
        <v>45441</v>
      </c>
      <c r="E4795" s="411" t="s">
        <v>10736</v>
      </c>
    </row>
    <row r="4796" spans="2:5">
      <c r="B4796" s="406" t="s">
        <v>9829</v>
      </c>
      <c r="C4796" s="407">
        <v>17440</v>
      </c>
      <c r="D4796" s="408">
        <v>45441</v>
      </c>
      <c r="E4796" s="411" t="s">
        <v>10639</v>
      </c>
    </row>
    <row r="4797" spans="2:5">
      <c r="B4797" s="406" t="s">
        <v>9829</v>
      </c>
      <c r="C4797" s="407">
        <v>17439</v>
      </c>
      <c r="D4797" s="408">
        <v>45441</v>
      </c>
      <c r="E4797" s="411" t="s">
        <v>10737</v>
      </c>
    </row>
    <row r="4798" spans="2:5">
      <c r="B4798" s="406" t="s">
        <v>9829</v>
      </c>
      <c r="C4798" s="407">
        <v>17438</v>
      </c>
      <c r="D4798" s="408">
        <v>45441</v>
      </c>
      <c r="E4798" s="411" t="s">
        <v>10738</v>
      </c>
    </row>
    <row r="4799" spans="2:5">
      <c r="B4799" s="406" t="s">
        <v>9829</v>
      </c>
      <c r="C4799" s="407">
        <v>17436</v>
      </c>
      <c r="D4799" s="408">
        <v>45441</v>
      </c>
      <c r="E4799" s="411" t="s">
        <v>10739</v>
      </c>
    </row>
    <row r="4800" spans="2:5">
      <c r="B4800" s="406" t="s">
        <v>9829</v>
      </c>
      <c r="C4800" s="407">
        <v>17430</v>
      </c>
      <c r="D4800" s="408">
        <v>45440</v>
      </c>
      <c r="E4800" s="406" t="s">
        <v>10327</v>
      </c>
    </row>
    <row r="4801" spans="2:5">
      <c r="B4801" s="406" t="s">
        <v>9829</v>
      </c>
      <c r="C4801" s="407">
        <v>17428</v>
      </c>
      <c r="D4801" s="408">
        <v>45440</v>
      </c>
      <c r="E4801" s="406" t="s">
        <v>10328</v>
      </c>
    </row>
    <row r="4802" spans="2:5">
      <c r="B4802" s="406" t="s">
        <v>9829</v>
      </c>
      <c r="C4802" s="407">
        <v>17425</v>
      </c>
      <c r="D4802" s="408">
        <v>45440</v>
      </c>
      <c r="E4802" s="406" t="s">
        <v>10085</v>
      </c>
    </row>
    <row r="4803" spans="2:5">
      <c r="B4803" s="406" t="s">
        <v>9829</v>
      </c>
      <c r="C4803" s="407">
        <v>17422</v>
      </c>
      <c r="D4803" s="408">
        <v>45440</v>
      </c>
      <c r="E4803" s="406" t="s">
        <v>10329</v>
      </c>
    </row>
    <row r="4804" spans="2:5">
      <c r="B4804" s="406" t="s">
        <v>9829</v>
      </c>
      <c r="C4804" s="407">
        <v>17420</v>
      </c>
      <c r="D4804" s="408">
        <v>45440</v>
      </c>
      <c r="E4804" s="406" t="s">
        <v>10086</v>
      </c>
    </row>
    <row r="4805" spans="2:5">
      <c r="B4805" s="406" t="s">
        <v>9829</v>
      </c>
      <c r="C4805" s="407">
        <v>17419</v>
      </c>
      <c r="D4805" s="408">
        <v>45440</v>
      </c>
      <c r="E4805" s="406" t="s">
        <v>10330</v>
      </c>
    </row>
    <row r="4806" spans="2:5">
      <c r="B4806" s="406" t="s">
        <v>9829</v>
      </c>
      <c r="C4806" s="407">
        <v>17416</v>
      </c>
      <c r="D4806" s="408">
        <v>45440</v>
      </c>
      <c r="E4806" s="406" t="s">
        <v>10087</v>
      </c>
    </row>
    <row r="4807" spans="2:5">
      <c r="B4807" s="406" t="s">
        <v>9829</v>
      </c>
      <c r="C4807" s="407">
        <v>17412</v>
      </c>
      <c r="D4807" s="408">
        <v>45440</v>
      </c>
      <c r="E4807" s="406" t="s">
        <v>10331</v>
      </c>
    </row>
    <row r="4808" spans="2:5">
      <c r="B4808" s="406" t="s">
        <v>9829</v>
      </c>
      <c r="C4808" s="407">
        <v>17406</v>
      </c>
      <c r="D4808" s="408">
        <v>45440</v>
      </c>
      <c r="E4808" s="406" t="s">
        <v>10332</v>
      </c>
    </row>
    <row r="4809" spans="2:5">
      <c r="B4809" s="406" t="s">
        <v>9829</v>
      </c>
      <c r="C4809" s="407">
        <v>17404</v>
      </c>
      <c r="D4809" s="408">
        <v>45440</v>
      </c>
      <c r="E4809" s="406" t="s">
        <v>10088</v>
      </c>
    </row>
    <row r="4810" spans="2:5">
      <c r="B4810" s="406" t="s">
        <v>9829</v>
      </c>
      <c r="C4810" s="407">
        <v>17403</v>
      </c>
      <c r="D4810" s="408">
        <v>45440</v>
      </c>
      <c r="E4810" s="406" t="s">
        <v>10089</v>
      </c>
    </row>
    <row r="4811" spans="2:5">
      <c r="B4811" s="406" t="s">
        <v>9829</v>
      </c>
      <c r="C4811" s="407">
        <v>17401</v>
      </c>
      <c r="D4811" s="408">
        <v>45440</v>
      </c>
      <c r="E4811" s="406" t="s">
        <v>10090</v>
      </c>
    </row>
    <row r="4812" spans="2:5">
      <c r="B4812" s="406" t="s">
        <v>9829</v>
      </c>
      <c r="C4812" s="407">
        <v>17399</v>
      </c>
      <c r="D4812" s="408">
        <v>45440</v>
      </c>
      <c r="E4812" s="406" t="s">
        <v>10091</v>
      </c>
    </row>
    <row r="4813" spans="2:5">
      <c r="B4813" s="406" t="s">
        <v>9829</v>
      </c>
      <c r="C4813" s="407">
        <v>17394</v>
      </c>
      <c r="D4813" s="408">
        <v>45440</v>
      </c>
      <c r="E4813" s="406" t="s">
        <v>10333</v>
      </c>
    </row>
    <row r="4814" spans="2:5">
      <c r="B4814" s="406" t="s">
        <v>9829</v>
      </c>
      <c r="C4814" s="407">
        <v>17391</v>
      </c>
      <c r="D4814" s="408">
        <v>45440</v>
      </c>
      <c r="E4814" s="406" t="s">
        <v>10092</v>
      </c>
    </row>
    <row r="4815" spans="2:5">
      <c r="B4815" s="406" t="s">
        <v>9829</v>
      </c>
      <c r="C4815" s="407">
        <v>17382</v>
      </c>
      <c r="D4815" s="408">
        <v>45440</v>
      </c>
      <c r="E4815" s="406" t="s">
        <v>10093</v>
      </c>
    </row>
    <row r="4816" spans="2:5">
      <c r="B4816" s="406" t="s">
        <v>9829</v>
      </c>
      <c r="C4816" s="407">
        <v>17378</v>
      </c>
      <c r="D4816" s="408">
        <v>45440</v>
      </c>
      <c r="E4816" s="406" t="s">
        <v>10094</v>
      </c>
    </row>
    <row r="4817" spans="2:5">
      <c r="B4817" s="406" t="s">
        <v>9829</v>
      </c>
      <c r="C4817" s="407">
        <v>17377</v>
      </c>
      <c r="D4817" s="408">
        <v>45440</v>
      </c>
      <c r="E4817" s="406" t="s">
        <v>10095</v>
      </c>
    </row>
    <row r="4818" spans="2:5">
      <c r="B4818" s="406" t="s">
        <v>9829</v>
      </c>
      <c r="C4818" s="407">
        <v>17374</v>
      </c>
      <c r="D4818" s="408">
        <v>45440</v>
      </c>
      <c r="E4818" s="406" t="s">
        <v>10096</v>
      </c>
    </row>
    <row r="4819" spans="2:5">
      <c r="B4819" s="406" t="s">
        <v>9829</v>
      </c>
      <c r="C4819" s="407">
        <v>17372</v>
      </c>
      <c r="D4819" s="408">
        <v>45440</v>
      </c>
      <c r="E4819" s="406" t="s">
        <v>10334</v>
      </c>
    </row>
    <row r="4820" spans="2:5">
      <c r="B4820" s="406" t="s">
        <v>9829</v>
      </c>
      <c r="C4820" s="407">
        <v>17370</v>
      </c>
      <c r="D4820" s="408">
        <v>45440</v>
      </c>
      <c r="E4820" s="406" t="s">
        <v>10335</v>
      </c>
    </row>
    <row r="4821" spans="2:5">
      <c r="B4821" s="406" t="s">
        <v>9829</v>
      </c>
      <c r="C4821" s="407">
        <v>17366</v>
      </c>
      <c r="D4821" s="408">
        <v>45440</v>
      </c>
      <c r="E4821" s="406" t="s">
        <v>10097</v>
      </c>
    </row>
    <row r="4822" spans="2:5">
      <c r="B4822" s="406" t="s">
        <v>9829</v>
      </c>
      <c r="C4822" s="407">
        <v>17358</v>
      </c>
      <c r="D4822" s="408">
        <v>45440</v>
      </c>
      <c r="E4822" s="406" t="s">
        <v>10098</v>
      </c>
    </row>
    <row r="4823" spans="2:5">
      <c r="B4823" s="406" t="s">
        <v>9829</v>
      </c>
      <c r="C4823" s="407">
        <v>17352</v>
      </c>
      <c r="D4823" s="408">
        <v>45440</v>
      </c>
      <c r="E4823" s="406" t="s">
        <v>10099</v>
      </c>
    </row>
    <row r="4824" spans="2:5">
      <c r="B4824" s="406" t="s">
        <v>9829</v>
      </c>
      <c r="C4824" s="407">
        <v>17346</v>
      </c>
      <c r="D4824" s="408">
        <v>45440</v>
      </c>
      <c r="E4824" s="406" t="s">
        <v>10100</v>
      </c>
    </row>
    <row r="4825" spans="2:5">
      <c r="B4825" s="406" t="s">
        <v>9829</v>
      </c>
      <c r="C4825" s="407">
        <v>17339</v>
      </c>
      <c r="D4825" s="408">
        <v>45440</v>
      </c>
      <c r="E4825" s="406" t="s">
        <v>10101</v>
      </c>
    </row>
    <row r="4826" spans="2:5">
      <c r="B4826" s="406" t="s">
        <v>9829</v>
      </c>
      <c r="C4826" s="407">
        <v>17333</v>
      </c>
      <c r="D4826" s="408">
        <v>45440</v>
      </c>
      <c r="E4826" s="406" t="s">
        <v>10336</v>
      </c>
    </row>
    <row r="4827" spans="2:5">
      <c r="B4827" s="406" t="s">
        <v>9829</v>
      </c>
      <c r="C4827" s="407">
        <v>17325</v>
      </c>
      <c r="D4827" s="408">
        <v>45440</v>
      </c>
      <c r="E4827" s="406" t="s">
        <v>10337</v>
      </c>
    </row>
    <row r="4828" spans="2:5">
      <c r="B4828" s="406" t="s">
        <v>9829</v>
      </c>
      <c r="C4828" s="407">
        <v>17324</v>
      </c>
      <c r="D4828" s="408">
        <v>45440</v>
      </c>
      <c r="E4828" s="406" t="s">
        <v>10102</v>
      </c>
    </row>
    <row r="4829" spans="2:5">
      <c r="B4829" s="406" t="s">
        <v>9829</v>
      </c>
      <c r="C4829" s="407">
        <v>17311</v>
      </c>
      <c r="D4829" s="408">
        <v>45440</v>
      </c>
      <c r="E4829" s="406" t="s">
        <v>10103</v>
      </c>
    </row>
    <row r="4830" spans="2:5">
      <c r="B4830" s="406" t="s">
        <v>9829</v>
      </c>
      <c r="C4830" s="407">
        <v>17309</v>
      </c>
      <c r="D4830" s="408">
        <v>45440</v>
      </c>
      <c r="E4830" s="406" t="s">
        <v>10104</v>
      </c>
    </row>
    <row r="4831" spans="2:5">
      <c r="B4831" s="406" t="s">
        <v>9829</v>
      </c>
      <c r="C4831" s="407">
        <v>17299</v>
      </c>
      <c r="D4831" s="408">
        <v>45440</v>
      </c>
      <c r="E4831" s="406" t="s">
        <v>10338</v>
      </c>
    </row>
    <row r="4832" spans="2:5">
      <c r="B4832" s="406" t="s">
        <v>9829</v>
      </c>
      <c r="C4832" s="407">
        <v>17293</v>
      </c>
      <c r="D4832" s="408">
        <v>45440</v>
      </c>
      <c r="E4832" s="406" t="s">
        <v>10105</v>
      </c>
    </row>
    <row r="4833" spans="2:5">
      <c r="B4833" s="406" t="s">
        <v>9829</v>
      </c>
      <c r="C4833" s="407">
        <v>17287</v>
      </c>
      <c r="D4833" s="408">
        <v>45440</v>
      </c>
      <c r="E4833" s="406" t="s">
        <v>10106</v>
      </c>
    </row>
    <row r="4834" spans="2:5">
      <c r="B4834" s="406" t="s">
        <v>9829</v>
      </c>
      <c r="C4834" s="407">
        <v>17283</v>
      </c>
      <c r="D4834" s="408">
        <v>45440</v>
      </c>
      <c r="E4834" s="406" t="s">
        <v>10107</v>
      </c>
    </row>
    <row r="4835" spans="2:5">
      <c r="B4835" s="406" t="s">
        <v>9829</v>
      </c>
      <c r="C4835" s="407">
        <v>17282</v>
      </c>
      <c r="D4835" s="408">
        <v>45440</v>
      </c>
      <c r="E4835" s="406" t="s">
        <v>10339</v>
      </c>
    </row>
    <row r="4836" spans="2:5">
      <c r="B4836" s="406" t="s">
        <v>9829</v>
      </c>
      <c r="C4836" s="407">
        <v>17277</v>
      </c>
      <c r="D4836" s="408">
        <v>45440</v>
      </c>
      <c r="E4836" s="406" t="s">
        <v>10108</v>
      </c>
    </row>
    <row r="4837" spans="2:5">
      <c r="B4837" s="406" t="s">
        <v>9829</v>
      </c>
      <c r="C4837" s="407">
        <v>17272</v>
      </c>
      <c r="D4837" s="408">
        <v>45440</v>
      </c>
      <c r="E4837" s="406" t="s">
        <v>10109</v>
      </c>
    </row>
    <row r="4838" spans="2:5">
      <c r="B4838" s="406" t="s">
        <v>9829</v>
      </c>
      <c r="C4838" s="407">
        <v>17267</v>
      </c>
      <c r="D4838" s="408">
        <v>45440</v>
      </c>
      <c r="E4838" s="406" t="s">
        <v>10110</v>
      </c>
    </row>
    <row r="4839" spans="2:5">
      <c r="B4839" s="406" t="s">
        <v>9829</v>
      </c>
      <c r="C4839" s="407">
        <v>17264</v>
      </c>
      <c r="D4839" s="408">
        <v>45440</v>
      </c>
      <c r="E4839" s="406" t="s">
        <v>10340</v>
      </c>
    </row>
    <row r="4840" spans="2:5">
      <c r="B4840" s="406" t="s">
        <v>9829</v>
      </c>
      <c r="C4840" s="407">
        <v>17260</v>
      </c>
      <c r="D4840" s="408">
        <v>45440</v>
      </c>
      <c r="E4840" s="406" t="s">
        <v>10111</v>
      </c>
    </row>
    <row r="4841" spans="2:5">
      <c r="B4841" s="406" t="s">
        <v>9829</v>
      </c>
      <c r="C4841" s="407">
        <v>17258</v>
      </c>
      <c r="D4841" s="408">
        <v>45440</v>
      </c>
      <c r="E4841" s="406" t="s">
        <v>10112</v>
      </c>
    </row>
    <row r="4842" spans="2:5">
      <c r="B4842" s="406" t="s">
        <v>9829</v>
      </c>
      <c r="C4842" s="407">
        <v>17253</v>
      </c>
      <c r="D4842" s="408">
        <v>45440</v>
      </c>
      <c r="E4842" s="406" t="s">
        <v>10113</v>
      </c>
    </row>
    <row r="4843" spans="2:5">
      <c r="B4843" s="406" t="s">
        <v>9829</v>
      </c>
      <c r="C4843" s="407">
        <v>17248</v>
      </c>
      <c r="D4843" s="408">
        <v>45440</v>
      </c>
      <c r="E4843" s="406" t="s">
        <v>10341</v>
      </c>
    </row>
    <row r="4844" spans="2:5">
      <c r="B4844" s="406" t="s">
        <v>9829</v>
      </c>
      <c r="C4844" s="407">
        <v>17247</v>
      </c>
      <c r="D4844" s="408">
        <v>45440</v>
      </c>
      <c r="E4844" s="406" t="s">
        <v>10114</v>
      </c>
    </row>
    <row r="4845" spans="2:5">
      <c r="B4845" s="406" t="s">
        <v>9829</v>
      </c>
      <c r="C4845" s="407">
        <v>17245</v>
      </c>
      <c r="D4845" s="408">
        <v>45440</v>
      </c>
      <c r="E4845" s="406" t="s">
        <v>10342</v>
      </c>
    </row>
    <row r="4846" spans="2:5">
      <c r="B4846" s="406" t="s">
        <v>9829</v>
      </c>
      <c r="C4846" s="407">
        <v>17243</v>
      </c>
      <c r="D4846" s="408">
        <v>45440</v>
      </c>
      <c r="E4846" s="406" t="s">
        <v>10115</v>
      </c>
    </row>
    <row r="4847" spans="2:5">
      <c r="B4847" s="406" t="s">
        <v>9829</v>
      </c>
      <c r="C4847" s="407">
        <v>17234</v>
      </c>
      <c r="D4847" s="408">
        <v>45440</v>
      </c>
      <c r="E4847" s="406" t="s">
        <v>10343</v>
      </c>
    </row>
    <row r="4848" spans="2:5">
      <c r="B4848" s="406" t="s">
        <v>9829</v>
      </c>
      <c r="C4848" s="407">
        <v>17233</v>
      </c>
      <c r="D4848" s="408">
        <v>45440</v>
      </c>
      <c r="E4848" s="406" t="s">
        <v>10116</v>
      </c>
    </row>
    <row r="4849" spans="2:5">
      <c r="B4849" s="406" t="s">
        <v>9829</v>
      </c>
      <c r="C4849" s="407">
        <v>17222</v>
      </c>
      <c r="D4849" s="408">
        <v>45440</v>
      </c>
      <c r="E4849" s="406" t="s">
        <v>10117</v>
      </c>
    </row>
    <row r="4850" spans="2:5">
      <c r="B4850" s="406" t="s">
        <v>9829</v>
      </c>
      <c r="C4850" s="407">
        <v>17216</v>
      </c>
      <c r="D4850" s="408">
        <v>45440</v>
      </c>
      <c r="E4850" s="406" t="s">
        <v>10118</v>
      </c>
    </row>
    <row r="4851" spans="2:5">
      <c r="B4851" s="406" t="s">
        <v>9829</v>
      </c>
      <c r="C4851" s="407">
        <v>17211</v>
      </c>
      <c r="D4851" s="408">
        <v>45440</v>
      </c>
      <c r="E4851" s="406" t="s">
        <v>10119</v>
      </c>
    </row>
    <row r="4852" spans="2:5">
      <c r="B4852" s="406" t="s">
        <v>9829</v>
      </c>
      <c r="C4852" s="407">
        <v>17209</v>
      </c>
      <c r="D4852" s="408">
        <v>45440</v>
      </c>
      <c r="E4852" s="406" t="s">
        <v>10120</v>
      </c>
    </row>
    <row r="4853" spans="2:5">
      <c r="B4853" s="406" t="s">
        <v>9829</v>
      </c>
      <c r="C4853" s="407">
        <v>17206</v>
      </c>
      <c r="D4853" s="408">
        <v>45440</v>
      </c>
      <c r="E4853" s="406" t="s">
        <v>10344</v>
      </c>
    </row>
    <row r="4854" spans="2:5">
      <c r="B4854" s="406" t="s">
        <v>9829</v>
      </c>
      <c r="C4854" s="407">
        <v>17202</v>
      </c>
      <c r="D4854" s="408">
        <v>45440</v>
      </c>
      <c r="E4854" s="406" t="s">
        <v>10345</v>
      </c>
    </row>
    <row r="4855" spans="2:5">
      <c r="B4855" s="406" t="s">
        <v>9829</v>
      </c>
      <c r="C4855" s="407">
        <v>17198</v>
      </c>
      <c r="D4855" s="408">
        <v>45440</v>
      </c>
      <c r="E4855" s="406" t="s">
        <v>10121</v>
      </c>
    </row>
    <row r="4856" spans="2:5">
      <c r="B4856" s="406" t="s">
        <v>9829</v>
      </c>
      <c r="C4856" s="407">
        <v>17181</v>
      </c>
      <c r="D4856" s="408">
        <v>45440</v>
      </c>
      <c r="E4856" s="406" t="s">
        <v>10122</v>
      </c>
    </row>
    <row r="4857" spans="2:5">
      <c r="B4857" s="406" t="s">
        <v>9829</v>
      </c>
      <c r="C4857" s="407">
        <v>17170</v>
      </c>
      <c r="D4857" s="408">
        <v>45440</v>
      </c>
      <c r="E4857" s="406" t="s">
        <v>10123</v>
      </c>
    </row>
    <row r="4858" spans="2:5">
      <c r="B4858" s="406" t="s">
        <v>9829</v>
      </c>
      <c r="C4858" s="407">
        <v>17164</v>
      </c>
      <c r="D4858" s="408">
        <v>45440</v>
      </c>
      <c r="E4858" s="406" t="s">
        <v>10124</v>
      </c>
    </row>
    <row r="4859" spans="2:5">
      <c r="B4859" s="406" t="s">
        <v>9829</v>
      </c>
      <c r="C4859" s="407">
        <v>17163</v>
      </c>
      <c r="D4859" s="408">
        <v>45440</v>
      </c>
      <c r="E4859" s="406" t="s">
        <v>10125</v>
      </c>
    </row>
    <row r="4860" spans="2:5">
      <c r="B4860" s="406" t="s">
        <v>9829</v>
      </c>
      <c r="C4860" s="407">
        <v>17156</v>
      </c>
      <c r="D4860" s="408">
        <v>45440</v>
      </c>
      <c r="E4860" s="406" t="s">
        <v>10346</v>
      </c>
    </row>
    <row r="4861" spans="2:5">
      <c r="B4861" s="406" t="s">
        <v>9829</v>
      </c>
      <c r="C4861" s="407">
        <v>17151</v>
      </c>
      <c r="D4861" s="408">
        <v>45440</v>
      </c>
      <c r="E4861" s="406" t="s">
        <v>10126</v>
      </c>
    </row>
    <row r="4862" spans="2:5">
      <c r="B4862" s="406" t="s">
        <v>9829</v>
      </c>
      <c r="C4862" s="407">
        <v>17139</v>
      </c>
      <c r="D4862" s="408">
        <v>45440</v>
      </c>
      <c r="E4862" s="406" t="s">
        <v>10347</v>
      </c>
    </row>
    <row r="4863" spans="2:5">
      <c r="B4863" s="406" t="s">
        <v>9829</v>
      </c>
      <c r="C4863" s="407">
        <v>17132</v>
      </c>
      <c r="D4863" s="408">
        <v>45440</v>
      </c>
      <c r="E4863" s="406" t="s">
        <v>10127</v>
      </c>
    </row>
    <row r="4864" spans="2:5">
      <c r="B4864" s="406" t="s">
        <v>9829</v>
      </c>
      <c r="C4864" s="407">
        <v>17130</v>
      </c>
      <c r="D4864" s="408">
        <v>45440</v>
      </c>
      <c r="E4864" s="406" t="s">
        <v>10128</v>
      </c>
    </row>
    <row r="4865" spans="2:5">
      <c r="B4865" s="406" t="s">
        <v>9829</v>
      </c>
      <c r="C4865" s="407">
        <v>17120</v>
      </c>
      <c r="D4865" s="408">
        <v>45440</v>
      </c>
      <c r="E4865" s="406" t="s">
        <v>10348</v>
      </c>
    </row>
    <row r="4866" spans="2:5">
      <c r="B4866" s="406" t="s">
        <v>9829</v>
      </c>
      <c r="C4866" s="407">
        <v>17116</v>
      </c>
      <c r="D4866" s="408">
        <v>45440</v>
      </c>
      <c r="E4866" s="406" t="s">
        <v>10349</v>
      </c>
    </row>
    <row r="4867" spans="2:5">
      <c r="B4867" s="406" t="s">
        <v>9829</v>
      </c>
      <c r="C4867" s="407">
        <v>17111</v>
      </c>
      <c r="D4867" s="408">
        <v>45440</v>
      </c>
      <c r="E4867" s="406" t="s">
        <v>10129</v>
      </c>
    </row>
    <row r="4868" spans="2:5">
      <c r="B4868" s="406" t="s">
        <v>9829</v>
      </c>
      <c r="C4868" s="407">
        <v>17108</v>
      </c>
      <c r="D4868" s="408">
        <v>45440</v>
      </c>
      <c r="E4868" s="406" t="s">
        <v>10130</v>
      </c>
    </row>
    <row r="4869" spans="2:5">
      <c r="B4869" s="406" t="s">
        <v>9829</v>
      </c>
      <c r="C4869" s="407">
        <v>17098</v>
      </c>
      <c r="D4869" s="408">
        <v>45440</v>
      </c>
      <c r="E4869" s="406" t="s">
        <v>10131</v>
      </c>
    </row>
    <row r="4870" spans="2:5">
      <c r="B4870" s="406" t="s">
        <v>9829</v>
      </c>
      <c r="C4870" s="407">
        <v>17097</v>
      </c>
      <c r="D4870" s="408">
        <v>45440</v>
      </c>
      <c r="E4870" s="406" t="s">
        <v>10350</v>
      </c>
    </row>
    <row r="4871" spans="2:5">
      <c r="B4871" s="406" t="s">
        <v>9829</v>
      </c>
      <c r="C4871" s="407">
        <v>17094</v>
      </c>
      <c r="D4871" s="408">
        <v>45440</v>
      </c>
      <c r="E4871" s="406" t="s">
        <v>10351</v>
      </c>
    </row>
    <row r="4872" spans="2:5">
      <c r="B4872" s="406" t="s">
        <v>9829</v>
      </c>
      <c r="C4872" s="407">
        <v>17088</v>
      </c>
      <c r="D4872" s="408">
        <v>45440</v>
      </c>
      <c r="E4872" s="406" t="s">
        <v>10132</v>
      </c>
    </row>
    <row r="4873" spans="2:5">
      <c r="B4873" s="406" t="s">
        <v>9829</v>
      </c>
      <c r="C4873" s="407">
        <v>17081</v>
      </c>
      <c r="D4873" s="408">
        <v>45440</v>
      </c>
      <c r="E4873" s="406" t="s">
        <v>10133</v>
      </c>
    </row>
    <row r="4874" spans="2:5">
      <c r="B4874" s="406" t="s">
        <v>9829</v>
      </c>
      <c r="C4874" s="407">
        <v>17079</v>
      </c>
      <c r="D4874" s="408">
        <v>45440</v>
      </c>
      <c r="E4874" s="406" t="s">
        <v>10352</v>
      </c>
    </row>
    <row r="4875" spans="2:5">
      <c r="B4875" s="406" t="s">
        <v>9829</v>
      </c>
      <c r="C4875" s="407">
        <v>17075</v>
      </c>
      <c r="D4875" s="408">
        <v>45440</v>
      </c>
      <c r="E4875" s="406" t="s">
        <v>10134</v>
      </c>
    </row>
    <row r="4876" spans="2:5">
      <c r="B4876" s="406" t="s">
        <v>9829</v>
      </c>
      <c r="C4876" s="407">
        <v>17070</v>
      </c>
      <c r="D4876" s="408">
        <v>45440</v>
      </c>
      <c r="E4876" s="406" t="s">
        <v>10353</v>
      </c>
    </row>
    <row r="4877" spans="2:5">
      <c r="B4877" s="406" t="s">
        <v>9829</v>
      </c>
      <c r="C4877" s="407">
        <v>17069</v>
      </c>
      <c r="D4877" s="408">
        <v>45440</v>
      </c>
      <c r="E4877" s="406" t="s">
        <v>10354</v>
      </c>
    </row>
    <row r="4878" spans="2:5">
      <c r="B4878" s="406" t="s">
        <v>9829</v>
      </c>
      <c r="C4878" s="407">
        <v>17068</v>
      </c>
      <c r="D4878" s="408">
        <v>45440</v>
      </c>
      <c r="E4878" s="406" t="s">
        <v>10135</v>
      </c>
    </row>
    <row r="4879" spans="2:5">
      <c r="B4879" s="406" t="s">
        <v>9829</v>
      </c>
      <c r="C4879" s="407">
        <v>17066</v>
      </c>
      <c r="D4879" s="408">
        <v>45440</v>
      </c>
      <c r="E4879" s="406" t="s">
        <v>10355</v>
      </c>
    </row>
    <row r="4880" spans="2:5">
      <c r="B4880" s="406" t="s">
        <v>9829</v>
      </c>
      <c r="C4880" s="407">
        <v>17061</v>
      </c>
      <c r="D4880" s="408">
        <v>45440</v>
      </c>
      <c r="E4880" s="406" t="s">
        <v>10136</v>
      </c>
    </row>
    <row r="4881" spans="2:5">
      <c r="B4881" s="406" t="s">
        <v>9829</v>
      </c>
      <c r="C4881" s="407">
        <v>17060</v>
      </c>
      <c r="D4881" s="408">
        <v>45440</v>
      </c>
      <c r="E4881" s="406" t="s">
        <v>10356</v>
      </c>
    </row>
    <row r="4882" spans="2:5">
      <c r="B4882" s="406" t="s">
        <v>9829</v>
      </c>
      <c r="C4882" s="407">
        <v>17059</v>
      </c>
      <c r="D4882" s="408">
        <v>45440</v>
      </c>
      <c r="E4882" s="406" t="s">
        <v>10137</v>
      </c>
    </row>
    <row r="4883" spans="2:5">
      <c r="B4883" s="406" t="s">
        <v>9829</v>
      </c>
      <c r="C4883" s="407">
        <v>17054</v>
      </c>
      <c r="D4883" s="408">
        <v>45440</v>
      </c>
      <c r="E4883" s="406" t="s">
        <v>10138</v>
      </c>
    </row>
    <row r="4884" spans="2:5">
      <c r="B4884" s="406" t="s">
        <v>9829</v>
      </c>
      <c r="C4884" s="407">
        <v>17053</v>
      </c>
      <c r="D4884" s="408">
        <v>45440</v>
      </c>
      <c r="E4884" s="406" t="s">
        <v>10357</v>
      </c>
    </row>
    <row r="4885" spans="2:5">
      <c r="B4885" s="406" t="s">
        <v>9829</v>
      </c>
      <c r="C4885" s="407">
        <v>17051</v>
      </c>
      <c r="D4885" s="408">
        <v>45440</v>
      </c>
      <c r="E4885" s="406" t="s">
        <v>10139</v>
      </c>
    </row>
    <row r="4886" spans="2:5">
      <c r="B4886" s="406" t="s">
        <v>9829</v>
      </c>
      <c r="C4886" s="407">
        <v>17050</v>
      </c>
      <c r="D4886" s="408">
        <v>45440</v>
      </c>
      <c r="E4886" s="406" t="s">
        <v>10140</v>
      </c>
    </row>
    <row r="4887" spans="2:5">
      <c r="B4887" s="406" t="s">
        <v>9829</v>
      </c>
      <c r="C4887" s="407">
        <v>17049</v>
      </c>
      <c r="D4887" s="408">
        <v>45440</v>
      </c>
      <c r="E4887" s="406" t="s">
        <v>10141</v>
      </c>
    </row>
    <row r="4888" spans="2:5">
      <c r="B4888" s="406" t="s">
        <v>9829</v>
      </c>
      <c r="C4888" s="407">
        <v>17047</v>
      </c>
      <c r="D4888" s="408">
        <v>45440</v>
      </c>
      <c r="E4888" s="406" t="s">
        <v>10358</v>
      </c>
    </row>
    <row r="4889" spans="2:5">
      <c r="B4889" s="406" t="s">
        <v>9829</v>
      </c>
      <c r="C4889" s="407">
        <v>17044</v>
      </c>
      <c r="D4889" s="408">
        <v>45440</v>
      </c>
      <c r="E4889" s="406" t="s">
        <v>10359</v>
      </c>
    </row>
    <row r="4890" spans="2:5">
      <c r="B4890" s="406" t="s">
        <v>9829</v>
      </c>
      <c r="C4890" s="407">
        <v>17042</v>
      </c>
      <c r="D4890" s="408">
        <v>45440</v>
      </c>
      <c r="E4890" s="406" t="s">
        <v>10142</v>
      </c>
    </row>
    <row r="4891" spans="2:5">
      <c r="B4891" s="406" t="s">
        <v>9829</v>
      </c>
      <c r="C4891" s="407">
        <v>17039</v>
      </c>
      <c r="D4891" s="408">
        <v>45440</v>
      </c>
      <c r="E4891" s="406" t="s">
        <v>10360</v>
      </c>
    </row>
    <row r="4892" spans="2:5">
      <c r="B4892" s="406" t="s">
        <v>9829</v>
      </c>
      <c r="C4892" s="407">
        <v>17035</v>
      </c>
      <c r="D4892" s="408">
        <v>45440</v>
      </c>
      <c r="E4892" s="406" t="s">
        <v>10143</v>
      </c>
    </row>
    <row r="4893" spans="2:5">
      <c r="B4893" s="406" t="s">
        <v>9829</v>
      </c>
      <c r="C4893" s="407">
        <v>17034</v>
      </c>
      <c r="D4893" s="408">
        <v>45440</v>
      </c>
      <c r="E4893" s="406" t="s">
        <v>10144</v>
      </c>
    </row>
    <row r="4894" spans="2:5">
      <c r="B4894" s="406" t="s">
        <v>9829</v>
      </c>
      <c r="C4894" s="407">
        <v>17031</v>
      </c>
      <c r="D4894" s="408">
        <v>45440</v>
      </c>
      <c r="E4894" s="406" t="s">
        <v>10145</v>
      </c>
    </row>
    <row r="4895" spans="2:5">
      <c r="B4895" s="406" t="s">
        <v>9829</v>
      </c>
      <c r="C4895" s="407">
        <v>17030</v>
      </c>
      <c r="D4895" s="408">
        <v>45440</v>
      </c>
      <c r="E4895" s="406" t="s">
        <v>10361</v>
      </c>
    </row>
    <row r="4896" spans="2:5">
      <c r="B4896" s="406" t="s">
        <v>9829</v>
      </c>
      <c r="C4896" s="407">
        <v>17027</v>
      </c>
      <c r="D4896" s="408">
        <v>45440</v>
      </c>
      <c r="E4896" s="406" t="s">
        <v>10146</v>
      </c>
    </row>
    <row r="4897" spans="2:5">
      <c r="B4897" s="406" t="s">
        <v>9829</v>
      </c>
      <c r="C4897" s="407">
        <v>17017</v>
      </c>
      <c r="D4897" s="408">
        <v>45440</v>
      </c>
      <c r="E4897" s="406" t="s">
        <v>10362</v>
      </c>
    </row>
    <row r="4898" spans="2:5">
      <c r="B4898" s="406" t="s">
        <v>9829</v>
      </c>
      <c r="C4898" s="407">
        <v>17003</v>
      </c>
      <c r="D4898" s="408">
        <v>45440</v>
      </c>
      <c r="E4898" s="406" t="s">
        <v>10147</v>
      </c>
    </row>
    <row r="4899" spans="2:5">
      <c r="B4899" s="406" t="s">
        <v>9829</v>
      </c>
      <c r="C4899" s="407">
        <v>16978</v>
      </c>
      <c r="D4899" s="408">
        <v>45440</v>
      </c>
      <c r="E4899" s="406" t="s">
        <v>10148</v>
      </c>
    </row>
    <row r="4900" spans="2:5">
      <c r="B4900" s="406" t="s">
        <v>9829</v>
      </c>
      <c r="C4900" s="407">
        <v>16971</v>
      </c>
      <c r="D4900" s="408">
        <v>45440</v>
      </c>
      <c r="E4900" s="406" t="s">
        <v>10149</v>
      </c>
    </row>
    <row r="4901" spans="2:5">
      <c r="B4901" s="406" t="s">
        <v>9829</v>
      </c>
      <c r="C4901" s="407">
        <v>16966</v>
      </c>
      <c r="D4901" s="408">
        <v>45440</v>
      </c>
      <c r="E4901" s="406" t="s">
        <v>10150</v>
      </c>
    </row>
    <row r="4902" spans="2:5">
      <c r="B4902" s="406" t="s">
        <v>9829</v>
      </c>
      <c r="C4902" s="407">
        <v>16958</v>
      </c>
      <c r="D4902" s="408">
        <v>45440</v>
      </c>
      <c r="E4902" s="406" t="s">
        <v>10363</v>
      </c>
    </row>
    <row r="4903" spans="2:5">
      <c r="B4903" s="406" t="s">
        <v>9829</v>
      </c>
      <c r="C4903" s="407">
        <v>16956</v>
      </c>
      <c r="D4903" s="408">
        <v>45440</v>
      </c>
      <c r="E4903" s="406" t="s">
        <v>10151</v>
      </c>
    </row>
    <row r="4904" spans="2:5">
      <c r="B4904" s="406" t="s">
        <v>9829</v>
      </c>
      <c r="C4904" s="407">
        <v>16954</v>
      </c>
      <c r="D4904" s="408">
        <v>45440</v>
      </c>
      <c r="E4904" s="406" t="s">
        <v>10364</v>
      </c>
    </row>
    <row r="4905" spans="2:5">
      <c r="B4905" s="406" t="s">
        <v>9829</v>
      </c>
      <c r="C4905" s="407">
        <v>16951</v>
      </c>
      <c r="D4905" s="408">
        <v>45440</v>
      </c>
      <c r="E4905" s="406" t="s">
        <v>10152</v>
      </c>
    </row>
    <row r="4906" spans="2:5">
      <c r="B4906" s="406" t="s">
        <v>9829</v>
      </c>
      <c r="C4906" s="407">
        <v>16924</v>
      </c>
      <c r="D4906" s="408">
        <v>45440</v>
      </c>
      <c r="E4906" s="406" t="s">
        <v>10153</v>
      </c>
    </row>
    <row r="4907" spans="2:5">
      <c r="B4907" s="406" t="s">
        <v>9829</v>
      </c>
      <c r="C4907" s="407">
        <v>16922</v>
      </c>
      <c r="D4907" s="408">
        <v>45440</v>
      </c>
      <c r="E4907" s="406" t="s">
        <v>10365</v>
      </c>
    </row>
    <row r="4908" spans="2:5">
      <c r="B4908" s="406" t="s">
        <v>9829</v>
      </c>
      <c r="C4908" s="407">
        <v>16918</v>
      </c>
      <c r="D4908" s="408">
        <v>45440</v>
      </c>
      <c r="E4908" s="406" t="s">
        <v>10154</v>
      </c>
    </row>
    <row r="4909" spans="2:5">
      <c r="B4909" s="406" t="s">
        <v>9829</v>
      </c>
      <c r="C4909" s="407">
        <v>16915</v>
      </c>
      <c r="D4909" s="408">
        <v>45440</v>
      </c>
      <c r="E4909" s="406" t="s">
        <v>10366</v>
      </c>
    </row>
    <row r="4910" spans="2:5">
      <c r="B4910" s="406" t="s">
        <v>9829</v>
      </c>
      <c r="C4910" s="407">
        <v>16907</v>
      </c>
      <c r="D4910" s="408">
        <v>45440</v>
      </c>
      <c r="E4910" s="406" t="s">
        <v>10367</v>
      </c>
    </row>
    <row r="4911" spans="2:5">
      <c r="B4911" s="406" t="s">
        <v>9829</v>
      </c>
      <c r="C4911" s="407">
        <v>16906</v>
      </c>
      <c r="D4911" s="408">
        <v>45440</v>
      </c>
      <c r="E4911" s="406" t="s">
        <v>10368</v>
      </c>
    </row>
    <row r="4912" spans="2:5">
      <c r="B4912" s="406" t="s">
        <v>9829</v>
      </c>
      <c r="C4912" s="407">
        <v>16902</v>
      </c>
      <c r="D4912" s="408">
        <v>45440</v>
      </c>
      <c r="E4912" s="406" t="s">
        <v>10155</v>
      </c>
    </row>
    <row r="4913" spans="2:5">
      <c r="B4913" s="406" t="s">
        <v>9829</v>
      </c>
      <c r="C4913" s="407">
        <v>16901</v>
      </c>
      <c r="D4913" s="408">
        <v>45440</v>
      </c>
      <c r="E4913" s="406" t="s">
        <v>10156</v>
      </c>
    </row>
    <row r="4914" spans="2:5">
      <c r="B4914" s="406" t="s">
        <v>9829</v>
      </c>
      <c r="C4914" s="407">
        <v>16899</v>
      </c>
      <c r="D4914" s="408">
        <v>45440</v>
      </c>
      <c r="E4914" s="406" t="s">
        <v>10157</v>
      </c>
    </row>
    <row r="4915" spans="2:5">
      <c r="B4915" s="406" t="s">
        <v>9829</v>
      </c>
      <c r="C4915" s="407">
        <v>16883</v>
      </c>
      <c r="D4915" s="408">
        <v>45440</v>
      </c>
      <c r="E4915" s="406" t="s">
        <v>10158</v>
      </c>
    </row>
    <row r="4916" spans="2:5">
      <c r="B4916" s="406" t="s">
        <v>9829</v>
      </c>
      <c r="C4916" s="407">
        <v>16879</v>
      </c>
      <c r="D4916" s="408">
        <v>45440</v>
      </c>
      <c r="E4916" s="406" t="s">
        <v>10159</v>
      </c>
    </row>
    <row r="4917" spans="2:5">
      <c r="B4917" s="406" t="s">
        <v>9829</v>
      </c>
      <c r="C4917" s="407">
        <v>16877</v>
      </c>
      <c r="D4917" s="408">
        <v>45440</v>
      </c>
      <c r="E4917" s="406" t="s">
        <v>10160</v>
      </c>
    </row>
    <row r="4918" spans="2:5">
      <c r="B4918" s="406" t="s">
        <v>9829</v>
      </c>
      <c r="C4918" s="407">
        <v>16876</v>
      </c>
      <c r="D4918" s="408">
        <v>45440</v>
      </c>
      <c r="E4918" s="406" t="s">
        <v>10161</v>
      </c>
    </row>
    <row r="4919" spans="2:5">
      <c r="B4919" s="406" t="s">
        <v>9829</v>
      </c>
      <c r="C4919" s="407">
        <v>16865</v>
      </c>
      <c r="D4919" s="408">
        <v>45440</v>
      </c>
      <c r="E4919" s="406" t="s">
        <v>10369</v>
      </c>
    </row>
    <row r="4920" spans="2:5">
      <c r="B4920" s="406" t="s">
        <v>9829</v>
      </c>
      <c r="C4920" s="407">
        <v>16861</v>
      </c>
      <c r="D4920" s="408">
        <v>45440</v>
      </c>
      <c r="E4920" s="406" t="s">
        <v>10370</v>
      </c>
    </row>
    <row r="4921" spans="2:5">
      <c r="B4921" s="406" t="s">
        <v>9829</v>
      </c>
      <c r="C4921" s="407">
        <v>16852</v>
      </c>
      <c r="D4921" s="408">
        <v>45440</v>
      </c>
      <c r="E4921" s="406" t="s">
        <v>10162</v>
      </c>
    </row>
    <row r="4922" spans="2:5">
      <c r="B4922" s="406" t="s">
        <v>9829</v>
      </c>
      <c r="C4922" s="407">
        <v>16851</v>
      </c>
      <c r="D4922" s="408">
        <v>45440</v>
      </c>
      <c r="E4922" s="406" t="s">
        <v>10371</v>
      </c>
    </row>
    <row r="4923" spans="2:5">
      <c r="B4923" s="406" t="s">
        <v>9829</v>
      </c>
      <c r="C4923" s="407">
        <v>16850</v>
      </c>
      <c r="D4923" s="408">
        <v>45440</v>
      </c>
      <c r="E4923" s="406" t="s">
        <v>10372</v>
      </c>
    </row>
    <row r="4924" spans="2:5">
      <c r="B4924" s="406" t="s">
        <v>9829</v>
      </c>
      <c r="C4924" s="407">
        <v>16845</v>
      </c>
      <c r="D4924" s="408">
        <v>45440</v>
      </c>
      <c r="E4924" s="406" t="s">
        <v>10163</v>
      </c>
    </row>
    <row r="4925" spans="2:5">
      <c r="B4925" s="406" t="s">
        <v>9829</v>
      </c>
      <c r="C4925" s="407">
        <v>16843</v>
      </c>
      <c r="D4925" s="408">
        <v>45440</v>
      </c>
      <c r="E4925" s="406" t="s">
        <v>10164</v>
      </c>
    </row>
    <row r="4926" spans="2:5">
      <c r="B4926" s="406" t="s">
        <v>9829</v>
      </c>
      <c r="C4926" s="407">
        <v>16837</v>
      </c>
      <c r="D4926" s="408">
        <v>45440</v>
      </c>
      <c r="E4926" s="406" t="s">
        <v>10373</v>
      </c>
    </row>
    <row r="4927" spans="2:5">
      <c r="B4927" s="406" t="s">
        <v>9829</v>
      </c>
      <c r="C4927" s="407">
        <v>16836</v>
      </c>
      <c r="D4927" s="408">
        <v>45440</v>
      </c>
      <c r="E4927" s="406" t="s">
        <v>10165</v>
      </c>
    </row>
    <row r="4928" spans="2:5">
      <c r="B4928" s="406" t="s">
        <v>9829</v>
      </c>
      <c r="C4928" s="407">
        <v>16833</v>
      </c>
      <c r="D4928" s="408">
        <v>45440</v>
      </c>
      <c r="E4928" s="406" t="s">
        <v>10166</v>
      </c>
    </row>
    <row r="4929" spans="2:5">
      <c r="B4929" s="406" t="s">
        <v>9829</v>
      </c>
      <c r="C4929" s="407">
        <v>16830</v>
      </c>
      <c r="D4929" s="408">
        <v>45440</v>
      </c>
      <c r="E4929" s="406" t="s">
        <v>10374</v>
      </c>
    </row>
    <row r="4930" spans="2:5">
      <c r="B4930" s="406" t="s">
        <v>9829</v>
      </c>
      <c r="C4930" s="407">
        <v>16828</v>
      </c>
      <c r="D4930" s="408">
        <v>45440</v>
      </c>
      <c r="E4930" s="406" t="s">
        <v>10167</v>
      </c>
    </row>
    <row r="4931" spans="2:5">
      <c r="B4931" s="406" t="s">
        <v>9829</v>
      </c>
      <c r="C4931" s="407">
        <v>16820</v>
      </c>
      <c r="D4931" s="408">
        <v>45440</v>
      </c>
      <c r="E4931" s="406" t="s">
        <v>10168</v>
      </c>
    </row>
    <row r="4932" spans="2:5">
      <c r="B4932" s="406" t="s">
        <v>9829</v>
      </c>
      <c r="C4932" s="407">
        <v>16819</v>
      </c>
      <c r="D4932" s="408">
        <v>45440</v>
      </c>
      <c r="E4932" s="406" t="s">
        <v>10169</v>
      </c>
    </row>
    <row r="4933" spans="2:5">
      <c r="B4933" s="406" t="s">
        <v>9829</v>
      </c>
      <c r="C4933" s="407">
        <v>16809</v>
      </c>
      <c r="D4933" s="408">
        <v>45440</v>
      </c>
      <c r="E4933" s="406" t="s">
        <v>10170</v>
      </c>
    </row>
    <row r="4934" spans="2:5">
      <c r="B4934" s="406" t="s">
        <v>9829</v>
      </c>
      <c r="C4934" s="407">
        <v>16805</v>
      </c>
      <c r="D4934" s="408">
        <v>45440</v>
      </c>
      <c r="E4934" s="406" t="s">
        <v>10171</v>
      </c>
    </row>
    <row r="4935" spans="2:5">
      <c r="B4935" s="406" t="s">
        <v>9829</v>
      </c>
      <c r="C4935" s="407">
        <v>16802</v>
      </c>
      <c r="D4935" s="408">
        <v>45440</v>
      </c>
      <c r="E4935" s="406" t="s">
        <v>10375</v>
      </c>
    </row>
    <row r="4936" spans="2:5">
      <c r="B4936" s="406" t="s">
        <v>9829</v>
      </c>
      <c r="C4936" s="407">
        <v>16800</v>
      </c>
      <c r="D4936" s="408">
        <v>45440</v>
      </c>
      <c r="E4936" s="406" t="s">
        <v>10172</v>
      </c>
    </row>
    <row r="4937" spans="2:5">
      <c r="B4937" s="406" t="s">
        <v>9829</v>
      </c>
      <c r="C4937" s="407">
        <v>16799</v>
      </c>
      <c r="D4937" s="408">
        <v>45440</v>
      </c>
      <c r="E4937" s="406" t="s">
        <v>10173</v>
      </c>
    </row>
    <row r="4938" spans="2:5">
      <c r="B4938" s="406" t="s">
        <v>9829</v>
      </c>
      <c r="C4938" s="407">
        <v>16798</v>
      </c>
      <c r="D4938" s="408">
        <v>45440</v>
      </c>
      <c r="E4938" s="406" t="s">
        <v>10174</v>
      </c>
    </row>
    <row r="4939" spans="2:5">
      <c r="B4939" s="406" t="s">
        <v>9829</v>
      </c>
      <c r="C4939" s="407">
        <v>16783</v>
      </c>
      <c r="D4939" s="408">
        <v>45440</v>
      </c>
      <c r="E4939" s="406" t="s">
        <v>10376</v>
      </c>
    </row>
    <row r="4940" spans="2:5">
      <c r="B4940" s="406" t="s">
        <v>9829</v>
      </c>
      <c r="C4940" s="407">
        <v>16772</v>
      </c>
      <c r="D4940" s="408">
        <v>45440</v>
      </c>
      <c r="E4940" s="406" t="s">
        <v>10377</v>
      </c>
    </row>
    <row r="4941" spans="2:5">
      <c r="B4941" s="406" t="s">
        <v>9829</v>
      </c>
      <c r="C4941" s="407">
        <v>16771</v>
      </c>
      <c r="D4941" s="408">
        <v>45440</v>
      </c>
      <c r="E4941" s="406" t="s">
        <v>10175</v>
      </c>
    </row>
    <row r="4942" spans="2:5">
      <c r="B4942" s="406" t="s">
        <v>9829</v>
      </c>
      <c r="C4942" s="407">
        <v>16770</v>
      </c>
      <c r="D4942" s="408">
        <v>45440</v>
      </c>
      <c r="E4942" s="406" t="s">
        <v>10176</v>
      </c>
    </row>
    <row r="4943" spans="2:5">
      <c r="B4943" s="406" t="s">
        <v>9829</v>
      </c>
      <c r="C4943" s="407">
        <v>16766</v>
      </c>
      <c r="D4943" s="408">
        <v>45440</v>
      </c>
      <c r="E4943" s="406" t="s">
        <v>10378</v>
      </c>
    </row>
    <row r="4944" spans="2:5">
      <c r="B4944" s="406" t="s">
        <v>9829</v>
      </c>
      <c r="C4944" s="407">
        <v>16765</v>
      </c>
      <c r="D4944" s="408">
        <v>45440</v>
      </c>
      <c r="E4944" s="406" t="s">
        <v>10177</v>
      </c>
    </row>
    <row r="4945" spans="2:5">
      <c r="B4945" s="406" t="s">
        <v>9829</v>
      </c>
      <c r="C4945" s="407">
        <v>16763</v>
      </c>
      <c r="D4945" s="408">
        <v>45440</v>
      </c>
      <c r="E4945" s="406" t="s">
        <v>10178</v>
      </c>
    </row>
    <row r="4946" spans="2:5">
      <c r="B4946" s="406" t="s">
        <v>9829</v>
      </c>
      <c r="C4946" s="407">
        <v>16762</v>
      </c>
      <c r="D4946" s="408">
        <v>45440</v>
      </c>
      <c r="E4946" s="406" t="s">
        <v>10379</v>
      </c>
    </row>
    <row r="4947" spans="2:5">
      <c r="B4947" s="406" t="s">
        <v>9829</v>
      </c>
      <c r="C4947" s="407">
        <v>16761</v>
      </c>
      <c r="D4947" s="408">
        <v>45440</v>
      </c>
      <c r="E4947" s="406" t="s">
        <v>10380</v>
      </c>
    </row>
    <row r="4948" spans="2:5">
      <c r="B4948" s="406" t="s">
        <v>9829</v>
      </c>
      <c r="C4948" s="407">
        <v>16759</v>
      </c>
      <c r="D4948" s="408">
        <v>45440</v>
      </c>
      <c r="E4948" s="406" t="s">
        <v>10381</v>
      </c>
    </row>
    <row r="4949" spans="2:5">
      <c r="B4949" s="406" t="s">
        <v>9829</v>
      </c>
      <c r="C4949" s="407">
        <v>16756</v>
      </c>
      <c r="D4949" s="408">
        <v>45440</v>
      </c>
      <c r="E4949" s="406" t="s">
        <v>10179</v>
      </c>
    </row>
    <row r="4950" spans="2:5">
      <c r="B4950" s="406" t="s">
        <v>9829</v>
      </c>
      <c r="C4950" s="407">
        <v>16755</v>
      </c>
      <c r="D4950" s="408">
        <v>45440</v>
      </c>
      <c r="E4950" s="406" t="s">
        <v>10180</v>
      </c>
    </row>
    <row r="4951" spans="2:5">
      <c r="B4951" s="406" t="s">
        <v>9829</v>
      </c>
      <c r="C4951" s="407">
        <v>16752</v>
      </c>
      <c r="D4951" s="408">
        <v>45440</v>
      </c>
      <c r="E4951" s="406" t="s">
        <v>10181</v>
      </c>
    </row>
    <row r="4952" spans="2:5">
      <c r="B4952" s="406" t="s">
        <v>9829</v>
      </c>
      <c r="C4952" s="407">
        <v>16749</v>
      </c>
      <c r="D4952" s="408">
        <v>45440</v>
      </c>
      <c r="E4952" s="406" t="s">
        <v>10182</v>
      </c>
    </row>
    <row r="4953" spans="2:5">
      <c r="B4953" s="406" t="s">
        <v>9829</v>
      </c>
      <c r="C4953" s="407">
        <v>16748</v>
      </c>
      <c r="D4953" s="408">
        <v>45440</v>
      </c>
      <c r="E4953" s="406" t="s">
        <v>10382</v>
      </c>
    </row>
    <row r="4954" spans="2:5">
      <c r="B4954" s="406" t="s">
        <v>9829</v>
      </c>
      <c r="C4954" s="407">
        <v>16747</v>
      </c>
      <c r="D4954" s="408">
        <v>45440</v>
      </c>
      <c r="E4954" s="406" t="s">
        <v>10183</v>
      </c>
    </row>
    <row r="4955" spans="2:5">
      <c r="B4955" s="406" t="s">
        <v>9829</v>
      </c>
      <c r="C4955" s="407">
        <v>16739</v>
      </c>
      <c r="D4955" s="408">
        <v>45440</v>
      </c>
      <c r="E4955" s="406" t="s">
        <v>10184</v>
      </c>
    </row>
    <row r="4956" spans="2:5">
      <c r="B4956" s="406" t="s">
        <v>9829</v>
      </c>
      <c r="C4956" s="407">
        <v>16734</v>
      </c>
      <c r="D4956" s="408">
        <v>45440</v>
      </c>
      <c r="E4956" s="406" t="s">
        <v>10383</v>
      </c>
    </row>
    <row r="4957" spans="2:5">
      <c r="B4957" s="406" t="s">
        <v>9829</v>
      </c>
      <c r="C4957" s="407">
        <v>16732</v>
      </c>
      <c r="D4957" s="408">
        <v>45440</v>
      </c>
      <c r="E4957" s="406" t="s">
        <v>10384</v>
      </c>
    </row>
    <row r="4958" spans="2:5">
      <c r="B4958" s="406" t="s">
        <v>9829</v>
      </c>
      <c r="C4958" s="407">
        <v>16731</v>
      </c>
      <c r="D4958" s="408">
        <v>45440</v>
      </c>
      <c r="E4958" s="406" t="s">
        <v>10185</v>
      </c>
    </row>
    <row r="4959" spans="2:5">
      <c r="B4959" s="406" t="s">
        <v>9829</v>
      </c>
      <c r="C4959" s="407">
        <v>16730</v>
      </c>
      <c r="D4959" s="408">
        <v>45440</v>
      </c>
      <c r="E4959" s="406" t="s">
        <v>10186</v>
      </c>
    </row>
    <row r="4960" spans="2:5">
      <c r="B4960" s="406" t="s">
        <v>9829</v>
      </c>
      <c r="C4960" s="407">
        <v>16729</v>
      </c>
      <c r="D4960" s="408">
        <v>45440</v>
      </c>
      <c r="E4960" s="406" t="s">
        <v>10385</v>
      </c>
    </row>
    <row r="4961" spans="2:5">
      <c r="B4961" s="406" t="s">
        <v>9829</v>
      </c>
      <c r="C4961" s="407">
        <v>16728</v>
      </c>
      <c r="D4961" s="408">
        <v>45440</v>
      </c>
      <c r="E4961" s="406" t="s">
        <v>10386</v>
      </c>
    </row>
    <row r="4962" spans="2:5">
      <c r="B4962" s="406" t="s">
        <v>9829</v>
      </c>
      <c r="C4962" s="407">
        <v>16727</v>
      </c>
      <c r="D4962" s="408">
        <v>45440</v>
      </c>
      <c r="E4962" s="406" t="s">
        <v>10187</v>
      </c>
    </row>
    <row r="4963" spans="2:5">
      <c r="B4963" s="406" t="s">
        <v>9829</v>
      </c>
      <c r="C4963" s="407">
        <v>16726</v>
      </c>
      <c r="D4963" s="408">
        <v>45440</v>
      </c>
      <c r="E4963" s="406" t="s">
        <v>10188</v>
      </c>
    </row>
    <row r="4964" spans="2:5">
      <c r="B4964" s="406" t="s">
        <v>9829</v>
      </c>
      <c r="C4964" s="407">
        <v>16718</v>
      </c>
      <c r="D4964" s="408">
        <v>45440</v>
      </c>
      <c r="E4964" s="406" t="s">
        <v>10189</v>
      </c>
    </row>
    <row r="4965" spans="2:5">
      <c r="B4965" s="406" t="s">
        <v>9829</v>
      </c>
      <c r="C4965" s="407">
        <v>16714</v>
      </c>
      <c r="D4965" s="408">
        <v>45440</v>
      </c>
      <c r="E4965" s="406" t="s">
        <v>10387</v>
      </c>
    </row>
    <row r="4966" spans="2:5">
      <c r="B4966" s="406" t="s">
        <v>9829</v>
      </c>
      <c r="C4966" s="407">
        <v>16712</v>
      </c>
      <c r="D4966" s="408">
        <v>45440</v>
      </c>
      <c r="E4966" s="406" t="s">
        <v>10190</v>
      </c>
    </row>
    <row r="4967" spans="2:5">
      <c r="B4967" s="406" t="s">
        <v>9829</v>
      </c>
      <c r="C4967" s="407">
        <v>16700</v>
      </c>
      <c r="D4967" s="408">
        <v>45440</v>
      </c>
      <c r="E4967" s="406" t="s">
        <v>10388</v>
      </c>
    </row>
    <row r="4968" spans="2:5">
      <c r="B4968" s="406" t="s">
        <v>9829</v>
      </c>
      <c r="C4968" s="407">
        <v>16697</v>
      </c>
      <c r="D4968" s="408">
        <v>45440</v>
      </c>
      <c r="E4968" s="406" t="s">
        <v>10191</v>
      </c>
    </row>
    <row r="4969" spans="2:5">
      <c r="B4969" s="406" t="s">
        <v>9829</v>
      </c>
      <c r="C4969" s="407">
        <v>16684</v>
      </c>
      <c r="D4969" s="408">
        <v>45440</v>
      </c>
      <c r="E4969" s="406" t="s">
        <v>10389</v>
      </c>
    </row>
    <row r="4970" spans="2:5">
      <c r="B4970" s="406" t="s">
        <v>9829</v>
      </c>
      <c r="C4970" s="407">
        <v>16683</v>
      </c>
      <c r="D4970" s="408">
        <v>45440</v>
      </c>
      <c r="E4970" s="406" t="s">
        <v>10390</v>
      </c>
    </row>
    <row r="4971" spans="2:5">
      <c r="B4971" s="406" t="s">
        <v>9829</v>
      </c>
      <c r="C4971" s="407">
        <v>16682</v>
      </c>
      <c r="D4971" s="408">
        <v>45440</v>
      </c>
      <c r="E4971" s="406" t="s">
        <v>10192</v>
      </c>
    </row>
    <row r="4972" spans="2:5">
      <c r="B4972" s="406" t="s">
        <v>9829</v>
      </c>
      <c r="C4972" s="407">
        <v>16674</v>
      </c>
      <c r="D4972" s="408">
        <v>45440</v>
      </c>
      <c r="E4972" s="406" t="s">
        <v>10193</v>
      </c>
    </row>
    <row r="4973" spans="2:5">
      <c r="B4973" s="406" t="s">
        <v>9829</v>
      </c>
      <c r="C4973" s="407">
        <v>16672</v>
      </c>
      <c r="D4973" s="408">
        <v>45440</v>
      </c>
      <c r="E4973" s="406" t="s">
        <v>10391</v>
      </c>
    </row>
    <row r="4974" spans="2:5">
      <c r="B4974" s="406" t="s">
        <v>9829</v>
      </c>
      <c r="C4974" s="407">
        <v>16671</v>
      </c>
      <c r="D4974" s="408">
        <v>45440</v>
      </c>
      <c r="E4974" s="406" t="s">
        <v>10194</v>
      </c>
    </row>
    <row r="4975" spans="2:5">
      <c r="B4975" s="406" t="s">
        <v>9829</v>
      </c>
      <c r="C4975" s="407">
        <v>16668</v>
      </c>
      <c r="D4975" s="408">
        <v>45440</v>
      </c>
      <c r="E4975" s="406" t="s">
        <v>10195</v>
      </c>
    </row>
    <row r="4976" spans="2:5">
      <c r="B4976" s="406" t="s">
        <v>9829</v>
      </c>
      <c r="C4976" s="407">
        <v>16666</v>
      </c>
      <c r="D4976" s="408">
        <v>45440</v>
      </c>
      <c r="E4976" s="406" t="s">
        <v>10196</v>
      </c>
    </row>
    <row r="4977" spans="2:5">
      <c r="B4977" s="406" t="s">
        <v>9829</v>
      </c>
      <c r="C4977" s="407">
        <v>16663</v>
      </c>
      <c r="D4977" s="408">
        <v>45440</v>
      </c>
      <c r="E4977" s="406" t="s">
        <v>10392</v>
      </c>
    </row>
    <row r="4978" spans="2:5">
      <c r="B4978" s="406" t="s">
        <v>9829</v>
      </c>
      <c r="C4978" s="407">
        <v>16661</v>
      </c>
      <c r="D4978" s="408">
        <v>45440</v>
      </c>
      <c r="E4978" s="406" t="s">
        <v>10393</v>
      </c>
    </row>
    <row r="4979" spans="2:5">
      <c r="B4979" s="406" t="s">
        <v>9829</v>
      </c>
      <c r="C4979" s="407">
        <v>16658</v>
      </c>
      <c r="D4979" s="408">
        <v>45440</v>
      </c>
      <c r="E4979" s="406" t="s">
        <v>10197</v>
      </c>
    </row>
    <row r="4980" spans="2:5">
      <c r="B4980" s="406" t="s">
        <v>9829</v>
      </c>
      <c r="C4980" s="407">
        <v>16655</v>
      </c>
      <c r="D4980" s="408">
        <v>45440</v>
      </c>
      <c r="E4980" s="406" t="s">
        <v>10394</v>
      </c>
    </row>
    <row r="4981" spans="2:5">
      <c r="B4981" s="406" t="s">
        <v>9829</v>
      </c>
      <c r="C4981" s="407">
        <v>16646</v>
      </c>
      <c r="D4981" s="408">
        <v>45440</v>
      </c>
      <c r="E4981" s="406" t="s">
        <v>10198</v>
      </c>
    </row>
    <row r="4982" spans="2:5">
      <c r="B4982" s="406" t="s">
        <v>9829</v>
      </c>
      <c r="C4982" s="407">
        <v>16644</v>
      </c>
      <c r="D4982" s="408">
        <v>45440</v>
      </c>
      <c r="E4982" s="406" t="s">
        <v>10395</v>
      </c>
    </row>
    <row r="4983" spans="2:5">
      <c r="B4983" s="406" t="s">
        <v>9829</v>
      </c>
      <c r="C4983" s="407">
        <v>16642</v>
      </c>
      <c r="D4983" s="408">
        <v>45440</v>
      </c>
      <c r="E4983" s="406" t="s">
        <v>10199</v>
      </c>
    </row>
    <row r="4984" spans="2:5">
      <c r="B4984" s="406" t="s">
        <v>9829</v>
      </c>
      <c r="C4984" s="407">
        <v>16639</v>
      </c>
      <c r="D4984" s="408">
        <v>45440</v>
      </c>
      <c r="E4984" s="406" t="s">
        <v>10200</v>
      </c>
    </row>
    <row r="4985" spans="2:5">
      <c r="B4985" s="406" t="s">
        <v>9829</v>
      </c>
      <c r="C4985" s="407">
        <v>16630</v>
      </c>
      <c r="D4985" s="408">
        <v>45440</v>
      </c>
      <c r="E4985" s="406" t="s">
        <v>10396</v>
      </c>
    </row>
    <row r="4986" spans="2:5">
      <c r="B4986" s="406" t="s">
        <v>9829</v>
      </c>
      <c r="C4986" s="407">
        <v>16628</v>
      </c>
      <c r="D4986" s="408">
        <v>45440</v>
      </c>
      <c r="E4986" s="406" t="s">
        <v>10397</v>
      </c>
    </row>
    <row r="4987" spans="2:5">
      <c r="B4987" s="406" t="s">
        <v>9829</v>
      </c>
      <c r="C4987" s="407">
        <v>16623</v>
      </c>
      <c r="D4987" s="408">
        <v>45440</v>
      </c>
      <c r="E4987" s="406" t="s">
        <v>10201</v>
      </c>
    </row>
    <row r="4988" spans="2:5">
      <c r="B4988" s="406" t="s">
        <v>9829</v>
      </c>
      <c r="C4988" s="407">
        <v>16616</v>
      </c>
      <c r="D4988" s="408">
        <v>45440</v>
      </c>
      <c r="E4988" s="406" t="s">
        <v>10202</v>
      </c>
    </row>
    <row r="4989" spans="2:5">
      <c r="B4989" s="406" t="s">
        <v>9829</v>
      </c>
      <c r="C4989" s="407">
        <v>16610</v>
      </c>
      <c r="D4989" s="408">
        <v>45440</v>
      </c>
      <c r="E4989" s="406" t="s">
        <v>10398</v>
      </c>
    </row>
    <row r="4990" spans="2:5">
      <c r="B4990" s="406" t="s">
        <v>9829</v>
      </c>
      <c r="C4990" s="407">
        <v>16608</v>
      </c>
      <c r="D4990" s="408">
        <v>45440</v>
      </c>
      <c r="E4990" s="406" t="s">
        <v>10203</v>
      </c>
    </row>
    <row r="4991" spans="2:5">
      <c r="B4991" s="406" t="s">
        <v>9829</v>
      </c>
      <c r="C4991" s="407">
        <v>16601</v>
      </c>
      <c r="D4991" s="408">
        <v>45440</v>
      </c>
      <c r="E4991" s="406" t="s">
        <v>10204</v>
      </c>
    </row>
    <row r="4992" spans="2:5">
      <c r="B4992" s="406" t="s">
        <v>9829</v>
      </c>
      <c r="C4992" s="407">
        <v>16598</v>
      </c>
      <c r="D4992" s="408">
        <v>45440</v>
      </c>
      <c r="E4992" s="406" t="s">
        <v>10205</v>
      </c>
    </row>
    <row r="4993" spans="2:5">
      <c r="B4993" s="406" t="s">
        <v>9829</v>
      </c>
      <c r="C4993" s="407">
        <v>16594</v>
      </c>
      <c r="D4993" s="408">
        <v>45440</v>
      </c>
      <c r="E4993" s="406" t="s">
        <v>10399</v>
      </c>
    </row>
    <row r="4994" spans="2:5">
      <c r="B4994" s="406" t="s">
        <v>9829</v>
      </c>
      <c r="C4994" s="407">
        <v>16587</v>
      </c>
      <c r="D4994" s="408">
        <v>45440</v>
      </c>
      <c r="E4994" s="406" t="s">
        <v>10206</v>
      </c>
    </row>
    <row r="4995" spans="2:5">
      <c r="B4995" s="406" t="s">
        <v>9829</v>
      </c>
      <c r="C4995" s="407">
        <v>16585</v>
      </c>
      <c r="D4995" s="408">
        <v>45440</v>
      </c>
      <c r="E4995" s="406" t="s">
        <v>10207</v>
      </c>
    </row>
    <row r="4996" spans="2:5">
      <c r="B4996" s="406" t="s">
        <v>9829</v>
      </c>
      <c r="C4996" s="407">
        <v>16581</v>
      </c>
      <c r="D4996" s="408">
        <v>45440</v>
      </c>
      <c r="E4996" s="406" t="s">
        <v>10208</v>
      </c>
    </row>
    <row r="4997" spans="2:5">
      <c r="B4997" s="406" t="s">
        <v>9829</v>
      </c>
      <c r="C4997" s="407">
        <v>16580</v>
      </c>
      <c r="D4997" s="408">
        <v>45440</v>
      </c>
      <c r="E4997" s="406" t="s">
        <v>10400</v>
      </c>
    </row>
    <row r="4998" spans="2:5">
      <c r="B4998" s="406" t="s">
        <v>9829</v>
      </c>
      <c r="C4998" s="407">
        <v>16577</v>
      </c>
      <c r="D4998" s="408">
        <v>45440</v>
      </c>
      <c r="E4998" s="406" t="s">
        <v>10401</v>
      </c>
    </row>
    <row r="4999" spans="2:5">
      <c r="B4999" s="406" t="s">
        <v>9829</v>
      </c>
      <c r="C4999" s="407">
        <v>16564</v>
      </c>
      <c r="D4999" s="408">
        <v>45440</v>
      </c>
      <c r="E4999" s="406" t="s">
        <v>10402</v>
      </c>
    </row>
    <row r="5000" spans="2:5">
      <c r="B5000" s="406" t="s">
        <v>9829</v>
      </c>
      <c r="C5000" s="407">
        <v>16563</v>
      </c>
      <c r="D5000" s="408">
        <v>45440</v>
      </c>
      <c r="E5000" s="406" t="s">
        <v>10209</v>
      </c>
    </row>
    <row r="5001" spans="2:5">
      <c r="B5001" s="406" t="s">
        <v>9829</v>
      </c>
      <c r="C5001" s="407">
        <v>16560</v>
      </c>
      <c r="D5001" s="408">
        <v>45440</v>
      </c>
      <c r="E5001" s="406" t="s">
        <v>10210</v>
      </c>
    </row>
    <row r="5002" spans="2:5">
      <c r="B5002" s="406" t="s">
        <v>9829</v>
      </c>
      <c r="C5002" s="407">
        <v>16557</v>
      </c>
      <c r="D5002" s="408">
        <v>45440</v>
      </c>
      <c r="E5002" s="406" t="s">
        <v>10211</v>
      </c>
    </row>
    <row r="5003" spans="2:5">
      <c r="B5003" s="406" t="s">
        <v>9829</v>
      </c>
      <c r="C5003" s="407">
        <v>16541</v>
      </c>
      <c r="D5003" s="408">
        <v>45440</v>
      </c>
      <c r="E5003" s="406" t="s">
        <v>10403</v>
      </c>
    </row>
    <row r="5004" spans="2:5">
      <c r="B5004" s="406" t="s">
        <v>9829</v>
      </c>
      <c r="C5004" s="407">
        <v>16528</v>
      </c>
      <c r="D5004" s="408">
        <v>45440</v>
      </c>
      <c r="E5004" s="406" t="s">
        <v>10212</v>
      </c>
    </row>
    <row r="5005" spans="2:5">
      <c r="B5005" s="406" t="s">
        <v>9829</v>
      </c>
      <c r="C5005" s="407">
        <v>16522</v>
      </c>
      <c r="D5005" s="408">
        <v>45440</v>
      </c>
      <c r="E5005" s="406" t="s">
        <v>10213</v>
      </c>
    </row>
    <row r="5006" spans="2:5">
      <c r="B5006" s="406" t="s">
        <v>9829</v>
      </c>
      <c r="C5006" s="407">
        <v>16519</v>
      </c>
      <c r="D5006" s="408">
        <v>45440</v>
      </c>
      <c r="E5006" s="406" t="s">
        <v>10214</v>
      </c>
    </row>
    <row r="5007" spans="2:5">
      <c r="B5007" s="406" t="s">
        <v>9829</v>
      </c>
      <c r="C5007" s="407">
        <v>16511</v>
      </c>
      <c r="D5007" s="408">
        <v>45440</v>
      </c>
      <c r="E5007" s="406" t="s">
        <v>10215</v>
      </c>
    </row>
    <row r="5008" spans="2:5">
      <c r="B5008" s="406" t="s">
        <v>9829</v>
      </c>
      <c r="C5008" s="407">
        <v>16510</v>
      </c>
      <c r="D5008" s="408">
        <v>45440</v>
      </c>
      <c r="E5008" s="406" t="s">
        <v>10404</v>
      </c>
    </row>
    <row r="5009" spans="2:5">
      <c r="B5009" s="406" t="s">
        <v>9829</v>
      </c>
      <c r="C5009" s="407">
        <v>16508</v>
      </c>
      <c r="D5009" s="408">
        <v>45440</v>
      </c>
      <c r="E5009" s="406" t="s">
        <v>10216</v>
      </c>
    </row>
    <row r="5010" spans="2:5">
      <c r="B5010" s="406" t="s">
        <v>9829</v>
      </c>
      <c r="C5010" s="407">
        <v>16507</v>
      </c>
      <c r="D5010" s="408">
        <v>45440</v>
      </c>
      <c r="E5010" s="406" t="s">
        <v>10217</v>
      </c>
    </row>
    <row r="5011" spans="2:5">
      <c r="B5011" s="406" t="s">
        <v>9829</v>
      </c>
      <c r="C5011" s="407">
        <v>16506</v>
      </c>
      <c r="D5011" s="408">
        <v>45440</v>
      </c>
      <c r="E5011" s="406" t="s">
        <v>10218</v>
      </c>
    </row>
    <row r="5012" spans="2:5">
      <c r="B5012" s="406" t="s">
        <v>9829</v>
      </c>
      <c r="C5012" s="407">
        <v>16504</v>
      </c>
      <c r="D5012" s="408">
        <v>45440</v>
      </c>
      <c r="E5012" s="406" t="s">
        <v>10219</v>
      </c>
    </row>
    <row r="5013" spans="2:5">
      <c r="B5013" s="406" t="s">
        <v>9829</v>
      </c>
      <c r="C5013" s="407">
        <v>16503</v>
      </c>
      <c r="D5013" s="408">
        <v>45440</v>
      </c>
      <c r="E5013" s="406" t="s">
        <v>10405</v>
      </c>
    </row>
    <row r="5014" spans="2:5">
      <c r="B5014" s="406" t="s">
        <v>9829</v>
      </c>
      <c r="C5014" s="407">
        <v>16498</v>
      </c>
      <c r="D5014" s="408">
        <v>45440</v>
      </c>
      <c r="E5014" s="406" t="s">
        <v>10220</v>
      </c>
    </row>
    <row r="5015" spans="2:5">
      <c r="B5015" s="406" t="s">
        <v>9829</v>
      </c>
      <c r="C5015" s="407">
        <v>16496</v>
      </c>
      <c r="D5015" s="408">
        <v>45440</v>
      </c>
      <c r="E5015" s="406" t="s">
        <v>10406</v>
      </c>
    </row>
    <row r="5016" spans="2:5">
      <c r="B5016" s="406" t="s">
        <v>9829</v>
      </c>
      <c r="C5016" s="407">
        <v>16489</v>
      </c>
      <c r="D5016" s="408">
        <v>45440</v>
      </c>
      <c r="E5016" s="406" t="s">
        <v>10221</v>
      </c>
    </row>
    <row r="5017" spans="2:5">
      <c r="B5017" s="406" t="s">
        <v>9829</v>
      </c>
      <c r="C5017" s="407">
        <v>16476</v>
      </c>
      <c r="D5017" s="408">
        <v>45440</v>
      </c>
      <c r="E5017" s="406" t="s">
        <v>10407</v>
      </c>
    </row>
    <row r="5018" spans="2:5">
      <c r="B5018" s="406" t="s">
        <v>9829</v>
      </c>
      <c r="C5018" s="407">
        <v>16475</v>
      </c>
      <c r="D5018" s="408">
        <v>45440</v>
      </c>
      <c r="E5018" s="406" t="s">
        <v>10222</v>
      </c>
    </row>
    <row r="5019" spans="2:5">
      <c r="B5019" s="406" t="s">
        <v>9829</v>
      </c>
      <c r="C5019" s="407">
        <v>16474</v>
      </c>
      <c r="D5019" s="408">
        <v>45440</v>
      </c>
      <c r="E5019" s="406" t="s">
        <v>10223</v>
      </c>
    </row>
    <row r="5020" spans="2:5">
      <c r="B5020" s="406" t="s">
        <v>9829</v>
      </c>
      <c r="C5020" s="407">
        <v>16472</v>
      </c>
      <c r="D5020" s="408">
        <v>45440</v>
      </c>
      <c r="E5020" s="406" t="s">
        <v>10224</v>
      </c>
    </row>
    <row r="5021" spans="2:5">
      <c r="B5021" s="406" t="s">
        <v>9829</v>
      </c>
      <c r="C5021" s="407">
        <v>16460</v>
      </c>
      <c r="D5021" s="408">
        <v>45440</v>
      </c>
      <c r="E5021" s="406" t="s">
        <v>10225</v>
      </c>
    </row>
    <row r="5022" spans="2:5">
      <c r="B5022" s="406" t="s">
        <v>9829</v>
      </c>
      <c r="C5022" s="407">
        <v>16456</v>
      </c>
      <c r="D5022" s="408">
        <v>45440</v>
      </c>
      <c r="E5022" s="406" t="s">
        <v>10226</v>
      </c>
    </row>
    <row r="5023" spans="2:5">
      <c r="B5023" s="406" t="s">
        <v>9829</v>
      </c>
      <c r="C5023" s="407">
        <v>16455</v>
      </c>
      <c r="D5023" s="408">
        <v>45440</v>
      </c>
      <c r="E5023" s="406" t="s">
        <v>10408</v>
      </c>
    </row>
    <row r="5024" spans="2:5">
      <c r="B5024" s="406" t="s">
        <v>9829</v>
      </c>
      <c r="C5024" s="407">
        <v>16453</v>
      </c>
      <c r="D5024" s="408">
        <v>45440</v>
      </c>
      <c r="E5024" s="406" t="s">
        <v>10409</v>
      </c>
    </row>
    <row r="5025" spans="2:5">
      <c r="B5025" s="406" t="s">
        <v>9829</v>
      </c>
      <c r="C5025" s="407">
        <v>16450</v>
      </c>
      <c r="D5025" s="408">
        <v>45440</v>
      </c>
      <c r="E5025" s="406" t="s">
        <v>10227</v>
      </c>
    </row>
    <row r="5026" spans="2:5">
      <c r="B5026" s="406" t="s">
        <v>9829</v>
      </c>
      <c r="C5026" s="407">
        <v>16449</v>
      </c>
      <c r="D5026" s="408">
        <v>45440</v>
      </c>
      <c r="E5026" s="406" t="s">
        <v>10228</v>
      </c>
    </row>
    <row r="5027" spans="2:5">
      <c r="B5027" s="406" t="s">
        <v>9829</v>
      </c>
      <c r="C5027" s="407">
        <v>16447</v>
      </c>
      <c r="D5027" s="408">
        <v>45440</v>
      </c>
      <c r="E5027" s="406" t="s">
        <v>10229</v>
      </c>
    </row>
    <row r="5028" spans="2:5">
      <c r="B5028" s="406" t="s">
        <v>9829</v>
      </c>
      <c r="C5028" s="407">
        <v>16444</v>
      </c>
      <c r="D5028" s="408">
        <v>45440</v>
      </c>
      <c r="E5028" s="406" t="s">
        <v>10230</v>
      </c>
    </row>
    <row r="5029" spans="2:5">
      <c r="B5029" s="406" t="s">
        <v>9829</v>
      </c>
      <c r="C5029" s="407">
        <v>16441</v>
      </c>
      <c r="D5029" s="408">
        <v>45440</v>
      </c>
      <c r="E5029" s="406" t="s">
        <v>10231</v>
      </c>
    </row>
    <row r="5030" spans="2:5">
      <c r="B5030" s="406" t="s">
        <v>9829</v>
      </c>
      <c r="C5030" s="407">
        <v>16440</v>
      </c>
      <c r="D5030" s="408">
        <v>45440</v>
      </c>
      <c r="E5030" s="406" t="s">
        <v>10232</v>
      </c>
    </row>
    <row r="5031" spans="2:5">
      <c r="B5031" s="406" t="s">
        <v>9829</v>
      </c>
      <c r="C5031" s="407">
        <v>16439</v>
      </c>
      <c r="D5031" s="408">
        <v>45440</v>
      </c>
      <c r="E5031" s="406" t="s">
        <v>10410</v>
      </c>
    </row>
    <row r="5032" spans="2:5">
      <c r="B5032" s="406" t="s">
        <v>9829</v>
      </c>
      <c r="C5032" s="407">
        <v>16436</v>
      </c>
      <c r="D5032" s="408">
        <v>45440</v>
      </c>
      <c r="E5032" s="406" t="s">
        <v>10233</v>
      </c>
    </row>
    <row r="5033" spans="2:5">
      <c r="B5033" s="406" t="s">
        <v>9829</v>
      </c>
      <c r="C5033" s="407">
        <v>16435</v>
      </c>
      <c r="D5033" s="408">
        <v>45440</v>
      </c>
      <c r="E5033" s="406" t="s">
        <v>10234</v>
      </c>
    </row>
    <row r="5034" spans="2:5">
      <c r="B5034" s="406" t="s">
        <v>9829</v>
      </c>
      <c r="C5034" s="407">
        <v>16424</v>
      </c>
      <c r="D5034" s="408">
        <v>45440</v>
      </c>
      <c r="E5034" s="406" t="s">
        <v>10411</v>
      </c>
    </row>
    <row r="5035" spans="2:5">
      <c r="B5035" s="406" t="s">
        <v>9829</v>
      </c>
      <c r="C5035" s="407">
        <v>16422</v>
      </c>
      <c r="D5035" s="408">
        <v>45440</v>
      </c>
      <c r="E5035" s="406" t="s">
        <v>10412</v>
      </c>
    </row>
    <row r="5036" spans="2:5">
      <c r="B5036" s="406" t="s">
        <v>9829</v>
      </c>
      <c r="C5036" s="407">
        <v>16418</v>
      </c>
      <c r="D5036" s="408">
        <v>45440</v>
      </c>
      <c r="E5036" s="406" t="s">
        <v>10235</v>
      </c>
    </row>
    <row r="5037" spans="2:5">
      <c r="B5037" s="406" t="s">
        <v>9829</v>
      </c>
      <c r="C5037" s="407">
        <v>16413</v>
      </c>
      <c r="D5037" s="408">
        <v>45440</v>
      </c>
      <c r="E5037" s="406" t="s">
        <v>10413</v>
      </c>
    </row>
    <row r="5038" spans="2:5">
      <c r="B5038" s="406" t="s">
        <v>9829</v>
      </c>
      <c r="C5038" s="407">
        <v>16412</v>
      </c>
      <c r="D5038" s="408">
        <v>45440</v>
      </c>
      <c r="E5038" s="406" t="s">
        <v>10414</v>
      </c>
    </row>
    <row r="5039" spans="2:5">
      <c r="B5039" s="406" t="s">
        <v>9829</v>
      </c>
      <c r="C5039" s="407">
        <v>16411</v>
      </c>
      <c r="D5039" s="408">
        <v>45440</v>
      </c>
      <c r="E5039" s="406" t="s">
        <v>10236</v>
      </c>
    </row>
    <row r="5040" spans="2:5">
      <c r="B5040" s="406" t="s">
        <v>9829</v>
      </c>
      <c r="C5040" s="407">
        <v>16409</v>
      </c>
      <c r="D5040" s="408">
        <v>45440</v>
      </c>
      <c r="E5040" s="406" t="s">
        <v>10415</v>
      </c>
    </row>
    <row r="5041" spans="2:5">
      <c r="B5041" s="406" t="s">
        <v>9829</v>
      </c>
      <c r="C5041" s="407">
        <v>16406</v>
      </c>
      <c r="D5041" s="408">
        <v>45440</v>
      </c>
      <c r="E5041" s="406" t="s">
        <v>10237</v>
      </c>
    </row>
    <row r="5042" spans="2:5">
      <c r="B5042" s="406" t="s">
        <v>9829</v>
      </c>
      <c r="C5042" s="407">
        <v>16405</v>
      </c>
      <c r="D5042" s="408">
        <v>45440</v>
      </c>
      <c r="E5042" s="406" t="s">
        <v>10238</v>
      </c>
    </row>
    <row r="5043" spans="2:5">
      <c r="B5043" s="406" t="s">
        <v>9829</v>
      </c>
      <c r="C5043" s="407">
        <v>16401</v>
      </c>
      <c r="D5043" s="408">
        <v>45440</v>
      </c>
      <c r="E5043" s="406" t="s">
        <v>10416</v>
      </c>
    </row>
    <row r="5044" spans="2:5">
      <c r="B5044" s="406" t="s">
        <v>9829</v>
      </c>
      <c r="C5044" s="407">
        <v>16397</v>
      </c>
      <c r="D5044" s="408">
        <v>45440</v>
      </c>
      <c r="E5044" s="406" t="s">
        <v>10239</v>
      </c>
    </row>
    <row r="5045" spans="2:5">
      <c r="B5045" s="406" t="s">
        <v>9829</v>
      </c>
      <c r="C5045" s="407">
        <v>16396</v>
      </c>
      <c r="D5045" s="408">
        <v>45440</v>
      </c>
      <c r="E5045" s="406" t="s">
        <v>10240</v>
      </c>
    </row>
    <row r="5046" spans="2:5">
      <c r="B5046" s="406" t="s">
        <v>9829</v>
      </c>
      <c r="C5046" s="407">
        <v>16395</v>
      </c>
      <c r="D5046" s="408">
        <v>45440</v>
      </c>
      <c r="E5046" s="406" t="s">
        <v>10241</v>
      </c>
    </row>
    <row r="5047" spans="2:5">
      <c r="B5047" s="406" t="s">
        <v>9829</v>
      </c>
      <c r="C5047" s="407">
        <v>16391</v>
      </c>
      <c r="D5047" s="408">
        <v>45440</v>
      </c>
      <c r="E5047" s="406" t="s">
        <v>10242</v>
      </c>
    </row>
    <row r="5048" spans="2:5">
      <c r="B5048" s="406" t="s">
        <v>9829</v>
      </c>
      <c r="C5048" s="407">
        <v>16390</v>
      </c>
      <c r="D5048" s="408">
        <v>45440</v>
      </c>
      <c r="E5048" s="406" t="s">
        <v>10417</v>
      </c>
    </row>
    <row r="5049" spans="2:5">
      <c r="B5049" s="406" t="s">
        <v>9829</v>
      </c>
      <c r="C5049" s="407">
        <v>16388</v>
      </c>
      <c r="D5049" s="408">
        <v>45440</v>
      </c>
      <c r="E5049" s="406" t="s">
        <v>10418</v>
      </c>
    </row>
    <row r="5050" spans="2:5">
      <c r="B5050" s="406" t="s">
        <v>9829</v>
      </c>
      <c r="C5050" s="407">
        <v>16387</v>
      </c>
      <c r="D5050" s="408">
        <v>45440</v>
      </c>
      <c r="E5050" s="406" t="s">
        <v>10419</v>
      </c>
    </row>
    <row r="5051" spans="2:5">
      <c r="B5051" s="406" t="s">
        <v>9829</v>
      </c>
      <c r="C5051" s="407">
        <v>16386</v>
      </c>
      <c r="D5051" s="408">
        <v>45440</v>
      </c>
      <c r="E5051" s="406" t="s">
        <v>10243</v>
      </c>
    </row>
    <row r="5052" spans="2:5">
      <c r="B5052" s="406" t="s">
        <v>9829</v>
      </c>
      <c r="C5052" s="407">
        <v>16383</v>
      </c>
      <c r="D5052" s="408">
        <v>45440</v>
      </c>
      <c r="E5052" s="406" t="s">
        <v>10244</v>
      </c>
    </row>
    <row r="5053" spans="2:5">
      <c r="B5053" s="406" t="s">
        <v>9829</v>
      </c>
      <c r="C5053" s="407">
        <v>16381</v>
      </c>
      <c r="D5053" s="408">
        <v>45440</v>
      </c>
      <c r="E5053" s="406" t="s">
        <v>10245</v>
      </c>
    </row>
    <row r="5054" spans="2:5">
      <c r="B5054" s="406" t="s">
        <v>9829</v>
      </c>
      <c r="C5054" s="407">
        <v>16380</v>
      </c>
      <c r="D5054" s="408">
        <v>45440</v>
      </c>
      <c r="E5054" s="406" t="s">
        <v>10246</v>
      </c>
    </row>
    <row r="5055" spans="2:5">
      <c r="B5055" s="406" t="s">
        <v>9829</v>
      </c>
      <c r="C5055" s="407">
        <v>16368</v>
      </c>
      <c r="D5055" s="408">
        <v>45440</v>
      </c>
      <c r="E5055" s="406" t="s">
        <v>10247</v>
      </c>
    </row>
    <row r="5056" spans="2:5">
      <c r="B5056" s="406" t="s">
        <v>9829</v>
      </c>
      <c r="C5056" s="407">
        <v>16361</v>
      </c>
      <c r="D5056" s="408">
        <v>45440</v>
      </c>
      <c r="E5056" s="406" t="s">
        <v>10248</v>
      </c>
    </row>
    <row r="5057" spans="2:5">
      <c r="B5057" s="406" t="s">
        <v>9829</v>
      </c>
      <c r="C5057" s="407">
        <v>16351</v>
      </c>
      <c r="D5057" s="408">
        <v>45440</v>
      </c>
      <c r="E5057" s="406" t="s">
        <v>10420</v>
      </c>
    </row>
    <row r="5058" spans="2:5">
      <c r="B5058" s="406" t="s">
        <v>9829</v>
      </c>
      <c r="C5058" s="407">
        <v>16350</v>
      </c>
      <c r="D5058" s="408">
        <v>45440</v>
      </c>
      <c r="E5058" s="406" t="s">
        <v>10421</v>
      </c>
    </row>
    <row r="5059" spans="2:5">
      <c r="B5059" s="406" t="s">
        <v>9829</v>
      </c>
      <c r="C5059" s="407">
        <v>16339</v>
      </c>
      <c r="D5059" s="408">
        <v>45440</v>
      </c>
      <c r="E5059" s="406" t="s">
        <v>10422</v>
      </c>
    </row>
    <row r="5060" spans="2:5">
      <c r="B5060" s="406" t="s">
        <v>9829</v>
      </c>
      <c r="C5060" s="407">
        <v>16335</v>
      </c>
      <c r="D5060" s="408">
        <v>45440</v>
      </c>
      <c r="E5060" s="406" t="s">
        <v>10423</v>
      </c>
    </row>
    <row r="5061" spans="2:5">
      <c r="B5061" s="406" t="s">
        <v>9829</v>
      </c>
      <c r="C5061" s="407">
        <v>16325</v>
      </c>
      <c r="D5061" s="408">
        <v>45440</v>
      </c>
      <c r="E5061" s="406" t="s">
        <v>10249</v>
      </c>
    </row>
    <row r="5062" spans="2:5">
      <c r="B5062" s="406" t="s">
        <v>9829</v>
      </c>
      <c r="C5062" s="407">
        <v>16312</v>
      </c>
      <c r="D5062" s="408">
        <v>45440</v>
      </c>
      <c r="E5062" s="406" t="s">
        <v>10250</v>
      </c>
    </row>
    <row r="5063" spans="2:5">
      <c r="B5063" s="406" t="s">
        <v>9829</v>
      </c>
      <c r="C5063" s="407">
        <v>16305</v>
      </c>
      <c r="D5063" s="408">
        <v>45440</v>
      </c>
      <c r="E5063" s="406" t="s">
        <v>10251</v>
      </c>
    </row>
    <row r="5064" spans="2:5">
      <c r="B5064" s="406" t="s">
        <v>9829</v>
      </c>
      <c r="C5064" s="407">
        <v>16304</v>
      </c>
      <c r="D5064" s="408">
        <v>45440</v>
      </c>
      <c r="E5064" s="406" t="s">
        <v>10252</v>
      </c>
    </row>
    <row r="5065" spans="2:5">
      <c r="B5065" s="406" t="s">
        <v>9829</v>
      </c>
      <c r="C5065" s="407">
        <v>16301</v>
      </c>
      <c r="D5065" s="408">
        <v>45440</v>
      </c>
      <c r="E5065" s="406" t="s">
        <v>10424</v>
      </c>
    </row>
    <row r="5066" spans="2:5">
      <c r="B5066" s="406" t="s">
        <v>9829</v>
      </c>
      <c r="C5066" s="407">
        <v>16297</v>
      </c>
      <c r="D5066" s="408">
        <v>45440</v>
      </c>
      <c r="E5066" s="406" t="s">
        <v>10253</v>
      </c>
    </row>
    <row r="5067" spans="2:5">
      <c r="B5067" s="406" t="s">
        <v>9829</v>
      </c>
      <c r="C5067" s="407">
        <v>16295</v>
      </c>
      <c r="D5067" s="408">
        <v>45440</v>
      </c>
      <c r="E5067" s="406" t="s">
        <v>10425</v>
      </c>
    </row>
    <row r="5068" spans="2:5">
      <c r="B5068" s="406" t="s">
        <v>9829</v>
      </c>
      <c r="C5068" s="407">
        <v>16288</v>
      </c>
      <c r="D5068" s="408">
        <v>45440</v>
      </c>
      <c r="E5068" s="406" t="s">
        <v>10426</v>
      </c>
    </row>
    <row r="5069" spans="2:5">
      <c r="B5069" s="406" t="s">
        <v>9829</v>
      </c>
      <c r="C5069" s="407">
        <v>16287</v>
      </c>
      <c r="D5069" s="408">
        <v>45440</v>
      </c>
      <c r="E5069" s="406" t="s">
        <v>10254</v>
      </c>
    </row>
    <row r="5070" spans="2:5">
      <c r="B5070" s="406" t="s">
        <v>9829</v>
      </c>
      <c r="C5070" s="407">
        <v>16286</v>
      </c>
      <c r="D5070" s="408">
        <v>45440</v>
      </c>
      <c r="E5070" s="406" t="s">
        <v>10255</v>
      </c>
    </row>
    <row r="5071" spans="2:5">
      <c r="B5071" s="406" t="s">
        <v>9829</v>
      </c>
      <c r="C5071" s="407">
        <v>16285</v>
      </c>
      <c r="D5071" s="408">
        <v>45440</v>
      </c>
      <c r="E5071" s="406" t="s">
        <v>10256</v>
      </c>
    </row>
    <row r="5072" spans="2:5">
      <c r="B5072" s="406" t="s">
        <v>9829</v>
      </c>
      <c r="C5072" s="407">
        <v>16282</v>
      </c>
      <c r="D5072" s="408">
        <v>45440</v>
      </c>
      <c r="E5072" s="406" t="s">
        <v>10427</v>
      </c>
    </row>
    <row r="5073" spans="2:5">
      <c r="B5073" s="406" t="s">
        <v>9829</v>
      </c>
      <c r="C5073" s="407">
        <v>16277</v>
      </c>
      <c r="D5073" s="408">
        <v>45440</v>
      </c>
      <c r="E5073" s="406" t="s">
        <v>10428</v>
      </c>
    </row>
    <row r="5074" spans="2:5">
      <c r="B5074" s="406" t="s">
        <v>9829</v>
      </c>
      <c r="C5074" s="407">
        <v>16267</v>
      </c>
      <c r="D5074" s="408">
        <v>45440</v>
      </c>
      <c r="E5074" s="406" t="s">
        <v>10257</v>
      </c>
    </row>
    <row r="5075" spans="2:5">
      <c r="B5075" s="406" t="s">
        <v>9829</v>
      </c>
      <c r="C5075" s="407">
        <v>16266</v>
      </c>
      <c r="D5075" s="408">
        <v>45440</v>
      </c>
      <c r="E5075" s="406" t="s">
        <v>10429</v>
      </c>
    </row>
    <row r="5076" spans="2:5">
      <c r="B5076" s="406" t="s">
        <v>9829</v>
      </c>
      <c r="C5076" s="407">
        <v>16265</v>
      </c>
      <c r="D5076" s="408">
        <v>45440</v>
      </c>
      <c r="E5076" s="406" t="s">
        <v>10258</v>
      </c>
    </row>
    <row r="5077" spans="2:5">
      <c r="B5077" s="406" t="s">
        <v>9829</v>
      </c>
      <c r="C5077" s="407">
        <v>16262</v>
      </c>
      <c r="D5077" s="408">
        <v>45440</v>
      </c>
      <c r="E5077" s="406" t="s">
        <v>10259</v>
      </c>
    </row>
    <row r="5078" spans="2:5">
      <c r="B5078" s="406" t="s">
        <v>9829</v>
      </c>
      <c r="C5078" s="407">
        <v>16260</v>
      </c>
      <c r="D5078" s="408">
        <v>45440</v>
      </c>
      <c r="E5078" s="406" t="s">
        <v>10430</v>
      </c>
    </row>
    <row r="5079" spans="2:5">
      <c r="B5079" s="406" t="s">
        <v>9829</v>
      </c>
      <c r="C5079" s="407">
        <v>16259</v>
      </c>
      <c r="D5079" s="408">
        <v>45440</v>
      </c>
      <c r="E5079" s="406" t="s">
        <v>10431</v>
      </c>
    </row>
    <row r="5080" spans="2:5">
      <c r="B5080" s="406" t="s">
        <v>9829</v>
      </c>
      <c r="C5080" s="407">
        <v>16258</v>
      </c>
      <c r="D5080" s="408">
        <v>45440</v>
      </c>
      <c r="E5080" s="406" t="s">
        <v>10260</v>
      </c>
    </row>
    <row r="5081" spans="2:5">
      <c r="B5081" s="406" t="s">
        <v>9829</v>
      </c>
      <c r="C5081" s="407">
        <v>16255</v>
      </c>
      <c r="D5081" s="408">
        <v>45440</v>
      </c>
      <c r="E5081" s="406" t="s">
        <v>10261</v>
      </c>
    </row>
    <row r="5082" spans="2:5">
      <c r="B5082" s="406" t="s">
        <v>9829</v>
      </c>
      <c r="C5082" s="407">
        <v>16248</v>
      </c>
      <c r="D5082" s="408">
        <v>45440</v>
      </c>
      <c r="E5082" s="406" t="s">
        <v>10432</v>
      </c>
    </row>
    <row r="5083" spans="2:5">
      <c r="B5083" s="406" t="s">
        <v>9829</v>
      </c>
      <c r="C5083" s="407">
        <v>16240</v>
      </c>
      <c r="D5083" s="408">
        <v>45440</v>
      </c>
      <c r="E5083" s="406" t="s">
        <v>10262</v>
      </c>
    </row>
    <row r="5084" spans="2:5">
      <c r="B5084" s="406" t="s">
        <v>9829</v>
      </c>
      <c r="C5084" s="407">
        <v>16236</v>
      </c>
      <c r="D5084" s="408">
        <v>45440</v>
      </c>
      <c r="E5084" s="406" t="s">
        <v>10433</v>
      </c>
    </row>
    <row r="5085" spans="2:5">
      <c r="B5085" s="406" t="s">
        <v>9829</v>
      </c>
      <c r="C5085" s="407">
        <v>16233</v>
      </c>
      <c r="D5085" s="408">
        <v>45440</v>
      </c>
      <c r="E5085" s="406" t="s">
        <v>10263</v>
      </c>
    </row>
    <row r="5086" spans="2:5">
      <c r="B5086" s="406" t="s">
        <v>9829</v>
      </c>
      <c r="C5086" s="407">
        <v>16226</v>
      </c>
      <c r="D5086" s="408">
        <v>45440</v>
      </c>
      <c r="E5086" s="406" t="s">
        <v>10434</v>
      </c>
    </row>
    <row r="5087" spans="2:5">
      <c r="B5087" s="406" t="s">
        <v>9829</v>
      </c>
      <c r="C5087" s="407">
        <v>16225</v>
      </c>
      <c r="D5087" s="408">
        <v>45440</v>
      </c>
      <c r="E5087" s="406" t="s">
        <v>10264</v>
      </c>
    </row>
    <row r="5088" spans="2:5">
      <c r="B5088" s="406" t="s">
        <v>9829</v>
      </c>
      <c r="C5088" s="407">
        <v>16224</v>
      </c>
      <c r="D5088" s="408">
        <v>45440</v>
      </c>
      <c r="E5088" s="406" t="s">
        <v>10265</v>
      </c>
    </row>
    <row r="5089" spans="2:5">
      <c r="B5089" s="406" t="s">
        <v>9829</v>
      </c>
      <c r="C5089" s="407">
        <v>16219</v>
      </c>
      <c r="D5089" s="408">
        <v>45440</v>
      </c>
      <c r="E5089" s="406" t="s">
        <v>10266</v>
      </c>
    </row>
    <row r="5090" spans="2:5">
      <c r="B5090" s="406" t="s">
        <v>9829</v>
      </c>
      <c r="C5090" s="407">
        <v>16213</v>
      </c>
      <c r="D5090" s="408">
        <v>45440</v>
      </c>
      <c r="E5090" s="406" t="s">
        <v>10435</v>
      </c>
    </row>
    <row r="5091" spans="2:5">
      <c r="B5091" s="406" t="s">
        <v>9829</v>
      </c>
      <c r="C5091" s="407">
        <v>16206</v>
      </c>
      <c r="D5091" s="408">
        <v>45440</v>
      </c>
      <c r="E5091" s="406" t="s">
        <v>10267</v>
      </c>
    </row>
    <row r="5092" spans="2:5">
      <c r="B5092" s="406" t="s">
        <v>9829</v>
      </c>
      <c r="C5092" s="407">
        <v>16203</v>
      </c>
      <c r="D5092" s="408">
        <v>45440</v>
      </c>
      <c r="E5092" s="406" t="s">
        <v>10268</v>
      </c>
    </row>
    <row r="5093" spans="2:5">
      <c r="B5093" s="406" t="s">
        <v>9829</v>
      </c>
      <c r="C5093" s="407">
        <v>16196</v>
      </c>
      <c r="D5093" s="408">
        <v>45440</v>
      </c>
      <c r="E5093" s="406" t="s">
        <v>10269</v>
      </c>
    </row>
    <row r="5094" spans="2:5">
      <c r="B5094" s="406" t="s">
        <v>9829</v>
      </c>
      <c r="C5094" s="407">
        <v>16195</v>
      </c>
      <c r="D5094" s="408">
        <v>45440</v>
      </c>
      <c r="E5094" s="406" t="s">
        <v>10270</v>
      </c>
    </row>
    <row r="5095" spans="2:5">
      <c r="B5095" s="406" t="s">
        <v>9829</v>
      </c>
      <c r="C5095" s="407">
        <v>16194</v>
      </c>
      <c r="D5095" s="408">
        <v>45440</v>
      </c>
      <c r="E5095" s="406" t="s">
        <v>10271</v>
      </c>
    </row>
    <row r="5096" spans="2:5">
      <c r="B5096" s="406" t="s">
        <v>9829</v>
      </c>
      <c r="C5096" s="407">
        <v>16185</v>
      </c>
      <c r="D5096" s="408">
        <v>45440</v>
      </c>
      <c r="E5096" s="406" t="s">
        <v>10272</v>
      </c>
    </row>
    <row r="5097" spans="2:5">
      <c r="B5097" s="406" t="s">
        <v>9829</v>
      </c>
      <c r="C5097" s="407">
        <v>16184</v>
      </c>
      <c r="D5097" s="408">
        <v>45440</v>
      </c>
      <c r="E5097" s="406" t="s">
        <v>10436</v>
      </c>
    </row>
    <row r="5098" spans="2:5">
      <c r="B5098" s="406" t="s">
        <v>9829</v>
      </c>
      <c r="C5098" s="407">
        <v>16183</v>
      </c>
      <c r="D5098" s="408">
        <v>45440</v>
      </c>
      <c r="E5098" s="406" t="s">
        <v>10273</v>
      </c>
    </row>
    <row r="5099" spans="2:5">
      <c r="B5099" s="406" t="s">
        <v>9829</v>
      </c>
      <c r="C5099" s="407">
        <v>16173</v>
      </c>
      <c r="D5099" s="408">
        <v>45440</v>
      </c>
      <c r="E5099" s="406" t="s">
        <v>10274</v>
      </c>
    </row>
    <row r="5100" spans="2:5">
      <c r="B5100" s="406" t="s">
        <v>9829</v>
      </c>
      <c r="C5100" s="407">
        <v>16168</v>
      </c>
      <c r="D5100" s="408">
        <v>45440</v>
      </c>
      <c r="E5100" s="406" t="s">
        <v>10275</v>
      </c>
    </row>
    <row r="5101" spans="2:5">
      <c r="B5101" s="406" t="s">
        <v>9829</v>
      </c>
      <c r="C5101" s="407">
        <v>16164</v>
      </c>
      <c r="D5101" s="408">
        <v>45440</v>
      </c>
      <c r="E5101" s="406" t="s">
        <v>10276</v>
      </c>
    </row>
    <row r="5102" spans="2:5">
      <c r="B5102" s="406" t="s">
        <v>9829</v>
      </c>
      <c r="C5102" s="407">
        <v>16159</v>
      </c>
      <c r="D5102" s="408">
        <v>45440</v>
      </c>
      <c r="E5102" s="406" t="s">
        <v>10277</v>
      </c>
    </row>
    <row r="5103" spans="2:5">
      <c r="B5103" s="406" t="s">
        <v>9829</v>
      </c>
      <c r="C5103" s="407">
        <v>16158</v>
      </c>
      <c r="D5103" s="408">
        <v>45440</v>
      </c>
      <c r="E5103" s="406" t="s">
        <v>10278</v>
      </c>
    </row>
    <row r="5104" spans="2:5">
      <c r="B5104" s="406" t="s">
        <v>9829</v>
      </c>
      <c r="C5104" s="407">
        <v>16156</v>
      </c>
      <c r="D5104" s="408">
        <v>45440</v>
      </c>
      <c r="E5104" s="406" t="s">
        <v>10279</v>
      </c>
    </row>
    <row r="5105" spans="2:5">
      <c r="B5105" s="406" t="s">
        <v>9829</v>
      </c>
      <c r="C5105" s="407">
        <v>16153</v>
      </c>
      <c r="D5105" s="408">
        <v>45441</v>
      </c>
      <c r="E5105" s="406" t="s">
        <v>10740</v>
      </c>
    </row>
    <row r="5106" spans="2:5">
      <c r="B5106" s="406" t="s">
        <v>9829</v>
      </c>
      <c r="C5106" s="407">
        <v>16148</v>
      </c>
      <c r="D5106" s="408">
        <v>45440</v>
      </c>
      <c r="E5106" s="406" t="s">
        <v>10280</v>
      </c>
    </row>
    <row r="5107" spans="2:5">
      <c r="B5107" s="406" t="s">
        <v>9829</v>
      </c>
      <c r="C5107" s="407">
        <v>16141</v>
      </c>
      <c r="D5107" s="408">
        <v>45440</v>
      </c>
      <c r="E5107" s="406" t="s">
        <v>10281</v>
      </c>
    </row>
    <row r="5108" spans="2:5">
      <c r="B5108" s="406" t="s">
        <v>9829</v>
      </c>
      <c r="C5108" s="407">
        <v>16136</v>
      </c>
      <c r="D5108" s="408">
        <v>45440</v>
      </c>
      <c r="E5108" s="406" t="s">
        <v>10437</v>
      </c>
    </row>
    <row r="5109" spans="2:5">
      <c r="B5109" s="406" t="s">
        <v>9829</v>
      </c>
      <c r="C5109" s="407">
        <v>16130</v>
      </c>
      <c r="D5109" s="408">
        <v>45440</v>
      </c>
      <c r="E5109" s="406" t="s">
        <v>10282</v>
      </c>
    </row>
    <row r="5110" spans="2:5">
      <c r="B5110" s="406" t="s">
        <v>9829</v>
      </c>
      <c r="C5110" s="407">
        <v>16126</v>
      </c>
      <c r="D5110" s="408">
        <v>45440</v>
      </c>
      <c r="E5110" s="406" t="s">
        <v>10438</v>
      </c>
    </row>
    <row r="5111" spans="2:5">
      <c r="B5111" s="406" t="s">
        <v>9829</v>
      </c>
      <c r="C5111" s="407">
        <v>16124</v>
      </c>
      <c r="D5111" s="408">
        <v>45440</v>
      </c>
      <c r="E5111" s="406" t="s">
        <v>10283</v>
      </c>
    </row>
    <row r="5112" spans="2:5">
      <c r="B5112" s="406" t="s">
        <v>9829</v>
      </c>
      <c r="C5112" s="407">
        <v>16122</v>
      </c>
      <c r="D5112" s="408">
        <v>45440</v>
      </c>
      <c r="E5112" s="406" t="s">
        <v>10439</v>
      </c>
    </row>
    <row r="5113" spans="2:5">
      <c r="B5113" s="406" t="s">
        <v>9829</v>
      </c>
      <c r="C5113" s="407">
        <v>16119</v>
      </c>
      <c r="D5113" s="408">
        <v>45440</v>
      </c>
      <c r="E5113" s="406" t="s">
        <v>10284</v>
      </c>
    </row>
    <row r="5114" spans="2:5">
      <c r="B5114" s="406" t="s">
        <v>9829</v>
      </c>
      <c r="C5114" s="407">
        <v>16118</v>
      </c>
      <c r="D5114" s="408">
        <v>45440</v>
      </c>
      <c r="E5114" s="406" t="s">
        <v>10285</v>
      </c>
    </row>
    <row r="5115" spans="2:5">
      <c r="B5115" s="406" t="s">
        <v>9829</v>
      </c>
      <c r="C5115" s="407">
        <v>16115</v>
      </c>
      <c r="D5115" s="408">
        <v>45440</v>
      </c>
      <c r="E5115" s="406" t="s">
        <v>10440</v>
      </c>
    </row>
    <row r="5116" spans="2:5">
      <c r="B5116" s="406" t="s">
        <v>9829</v>
      </c>
      <c r="C5116" s="407">
        <v>16114</v>
      </c>
      <c r="D5116" s="408">
        <v>45440</v>
      </c>
      <c r="E5116" s="406" t="s">
        <v>10441</v>
      </c>
    </row>
    <row r="5117" spans="2:5">
      <c r="B5117" s="406" t="s">
        <v>9829</v>
      </c>
      <c r="C5117" s="407">
        <v>16113</v>
      </c>
      <c r="D5117" s="408">
        <v>45440</v>
      </c>
      <c r="E5117" s="406" t="s">
        <v>10286</v>
      </c>
    </row>
    <row r="5118" spans="2:5">
      <c r="B5118" s="406" t="s">
        <v>9829</v>
      </c>
      <c r="C5118" s="407">
        <v>16104</v>
      </c>
      <c r="D5118" s="408">
        <v>45440</v>
      </c>
      <c r="E5118" s="406" t="s">
        <v>10287</v>
      </c>
    </row>
    <row r="5119" spans="2:5">
      <c r="B5119" s="406" t="s">
        <v>9829</v>
      </c>
      <c r="C5119" s="407">
        <v>16088</v>
      </c>
      <c r="D5119" s="408">
        <v>45440</v>
      </c>
      <c r="E5119" s="406" t="s">
        <v>10442</v>
      </c>
    </row>
    <row r="5120" spans="2:5">
      <c r="B5120" s="406" t="s">
        <v>9829</v>
      </c>
      <c r="C5120" s="407">
        <v>16083</v>
      </c>
      <c r="D5120" s="408">
        <v>45440</v>
      </c>
      <c r="E5120" s="406" t="s">
        <v>10288</v>
      </c>
    </row>
    <row r="5121" spans="2:5">
      <c r="B5121" s="406" t="s">
        <v>9829</v>
      </c>
      <c r="C5121" s="407">
        <v>16077</v>
      </c>
      <c r="D5121" s="408">
        <v>45440</v>
      </c>
      <c r="E5121" s="406" t="s">
        <v>10289</v>
      </c>
    </row>
    <row r="5122" spans="2:5">
      <c r="B5122" s="406" t="s">
        <v>9829</v>
      </c>
      <c r="C5122" s="407">
        <v>16075</v>
      </c>
      <c r="D5122" s="408">
        <v>45440</v>
      </c>
      <c r="E5122" s="406" t="s">
        <v>10290</v>
      </c>
    </row>
    <row r="5123" spans="2:5">
      <c r="B5123" s="406" t="s">
        <v>9829</v>
      </c>
      <c r="C5123" s="407">
        <v>16069</v>
      </c>
      <c r="D5123" s="408">
        <v>45440</v>
      </c>
      <c r="E5123" s="406" t="s">
        <v>10291</v>
      </c>
    </row>
    <row r="5124" spans="2:5">
      <c r="B5124" s="406" t="s">
        <v>9829</v>
      </c>
      <c r="C5124" s="407">
        <v>16057</v>
      </c>
      <c r="D5124" s="408">
        <v>45440</v>
      </c>
      <c r="E5124" s="406" t="s">
        <v>10443</v>
      </c>
    </row>
    <row r="5125" spans="2:5">
      <c r="B5125" s="406" t="s">
        <v>9829</v>
      </c>
      <c r="C5125" s="407">
        <v>16056</v>
      </c>
      <c r="D5125" s="408">
        <v>45440</v>
      </c>
      <c r="E5125" s="406" t="s">
        <v>10292</v>
      </c>
    </row>
    <row r="5126" spans="2:5">
      <c r="B5126" s="406" t="s">
        <v>9829</v>
      </c>
      <c r="C5126" s="407">
        <v>16055</v>
      </c>
      <c r="D5126" s="408">
        <v>45440</v>
      </c>
      <c r="E5126" s="406" t="s">
        <v>10444</v>
      </c>
    </row>
    <row r="5127" spans="2:5">
      <c r="B5127" s="406" t="s">
        <v>9829</v>
      </c>
      <c r="C5127" s="407">
        <v>16053</v>
      </c>
      <c r="D5127" s="408">
        <v>45440</v>
      </c>
      <c r="E5127" s="406" t="s">
        <v>10293</v>
      </c>
    </row>
    <row r="5128" spans="2:5">
      <c r="B5128" s="406" t="s">
        <v>9829</v>
      </c>
      <c r="C5128" s="407">
        <v>16051</v>
      </c>
      <c r="D5128" s="408">
        <v>45440</v>
      </c>
      <c r="E5128" s="406" t="s">
        <v>10445</v>
      </c>
    </row>
    <row r="5129" spans="2:5">
      <c r="B5129" s="406" t="s">
        <v>9829</v>
      </c>
      <c r="C5129" s="407">
        <v>16043</v>
      </c>
      <c r="D5129" s="408">
        <v>45440</v>
      </c>
      <c r="E5129" s="406" t="s">
        <v>10294</v>
      </c>
    </row>
    <row r="5130" spans="2:5">
      <c r="B5130" s="406" t="s">
        <v>9829</v>
      </c>
      <c r="C5130" s="407">
        <v>16041</v>
      </c>
      <c r="D5130" s="408">
        <v>45440</v>
      </c>
      <c r="E5130" s="406" t="s">
        <v>10295</v>
      </c>
    </row>
    <row r="5131" spans="2:5">
      <c r="B5131" s="406" t="s">
        <v>9829</v>
      </c>
      <c r="C5131" s="407">
        <v>16039</v>
      </c>
      <c r="D5131" s="408">
        <v>45440</v>
      </c>
      <c r="E5131" s="406" t="s">
        <v>10296</v>
      </c>
    </row>
    <row r="5132" spans="2:5">
      <c r="B5132" s="406" t="s">
        <v>9829</v>
      </c>
      <c r="C5132" s="407">
        <v>16036</v>
      </c>
      <c r="D5132" s="408">
        <v>45440</v>
      </c>
      <c r="E5132" s="406" t="s">
        <v>10297</v>
      </c>
    </row>
    <row r="5133" spans="2:5">
      <c r="B5133" s="406" t="s">
        <v>9829</v>
      </c>
      <c r="C5133" s="407">
        <v>16030</v>
      </c>
      <c r="D5133" s="408">
        <v>45440</v>
      </c>
      <c r="E5133" s="406" t="s">
        <v>10298</v>
      </c>
    </row>
    <row r="5134" spans="2:5">
      <c r="B5134" s="406" t="s">
        <v>9829</v>
      </c>
      <c r="C5134" s="407">
        <v>16029</v>
      </c>
      <c r="D5134" s="408">
        <v>45440</v>
      </c>
      <c r="E5134" s="406" t="s">
        <v>10299</v>
      </c>
    </row>
    <row r="5135" spans="2:5">
      <c r="B5135" s="406" t="s">
        <v>9829</v>
      </c>
      <c r="C5135" s="407">
        <v>16027</v>
      </c>
      <c r="D5135" s="408">
        <v>45440</v>
      </c>
      <c r="E5135" s="406" t="s">
        <v>10300</v>
      </c>
    </row>
    <row r="5136" spans="2:5">
      <c r="B5136" s="406" t="s">
        <v>9829</v>
      </c>
      <c r="C5136" s="407">
        <v>16013</v>
      </c>
      <c r="D5136" s="408">
        <v>45440</v>
      </c>
      <c r="E5136" s="406" t="s">
        <v>10301</v>
      </c>
    </row>
    <row r="5137" spans="2:5">
      <c r="B5137" s="406" t="s">
        <v>9829</v>
      </c>
      <c r="C5137" s="407">
        <v>16012</v>
      </c>
      <c r="D5137" s="408">
        <v>45440</v>
      </c>
      <c r="E5137" s="406" t="s">
        <v>10302</v>
      </c>
    </row>
    <row r="5138" spans="2:5">
      <c r="B5138" s="406" t="s">
        <v>9829</v>
      </c>
      <c r="C5138" s="407">
        <v>16003</v>
      </c>
      <c r="D5138" s="408">
        <v>45440</v>
      </c>
      <c r="E5138" s="406" t="s">
        <v>10446</v>
      </c>
    </row>
    <row r="5139" spans="2:5">
      <c r="B5139" s="406" t="s">
        <v>9829</v>
      </c>
      <c r="C5139" s="407">
        <v>16002</v>
      </c>
      <c r="D5139" s="408">
        <v>45440</v>
      </c>
      <c r="E5139" s="406" t="s">
        <v>10303</v>
      </c>
    </row>
    <row r="5140" spans="2:5">
      <c r="B5140" s="406" t="s">
        <v>9829</v>
      </c>
      <c r="C5140" s="407">
        <v>16000</v>
      </c>
      <c r="D5140" s="408">
        <v>45440</v>
      </c>
      <c r="E5140" s="406" t="s">
        <v>10447</v>
      </c>
    </row>
    <row r="5141" spans="2:5">
      <c r="B5141" s="406" t="s">
        <v>9829</v>
      </c>
      <c r="C5141" s="407">
        <v>15994</v>
      </c>
      <c r="D5141" s="408">
        <v>45440</v>
      </c>
      <c r="E5141" s="406" t="s">
        <v>10304</v>
      </c>
    </row>
    <row r="5142" spans="2:5">
      <c r="B5142" s="406" t="s">
        <v>9829</v>
      </c>
      <c r="C5142" s="407">
        <v>15992</v>
      </c>
      <c r="D5142" s="408">
        <v>45440</v>
      </c>
      <c r="E5142" s="406" t="s">
        <v>10305</v>
      </c>
    </row>
    <row r="5143" spans="2:5">
      <c r="B5143" s="406" t="s">
        <v>9829</v>
      </c>
      <c r="C5143" s="407">
        <v>15991</v>
      </c>
      <c r="D5143" s="408">
        <v>45440</v>
      </c>
      <c r="E5143" s="406" t="s">
        <v>10306</v>
      </c>
    </row>
    <row r="5144" spans="2:5">
      <c r="B5144" s="406" t="s">
        <v>9829</v>
      </c>
      <c r="C5144" s="407">
        <v>15988</v>
      </c>
      <c r="D5144" s="408">
        <v>45440</v>
      </c>
      <c r="E5144" s="406" t="s">
        <v>10307</v>
      </c>
    </row>
    <row r="5145" spans="2:5">
      <c r="B5145" s="406" t="s">
        <v>9829</v>
      </c>
      <c r="C5145" s="407">
        <v>15986</v>
      </c>
      <c r="D5145" s="408">
        <v>45440</v>
      </c>
      <c r="E5145" s="406" t="s">
        <v>10308</v>
      </c>
    </row>
    <row r="5146" spans="2:5">
      <c r="B5146" s="406" t="s">
        <v>9829</v>
      </c>
      <c r="C5146" s="407">
        <v>15983</v>
      </c>
      <c r="D5146" s="408">
        <v>45440</v>
      </c>
      <c r="E5146" s="406" t="s">
        <v>10448</v>
      </c>
    </row>
    <row r="5147" spans="2:5">
      <c r="B5147" s="406" t="s">
        <v>9829</v>
      </c>
      <c r="C5147" s="407">
        <v>15979</v>
      </c>
      <c r="D5147" s="408">
        <v>45440</v>
      </c>
      <c r="E5147" s="406" t="s">
        <v>10309</v>
      </c>
    </row>
    <row r="5148" spans="2:5">
      <c r="B5148" s="406" t="s">
        <v>9829</v>
      </c>
      <c r="C5148" s="407">
        <v>15975</v>
      </c>
      <c r="D5148" s="408">
        <v>45440</v>
      </c>
      <c r="E5148" s="406" t="s">
        <v>10449</v>
      </c>
    </row>
    <row r="5149" spans="2:5">
      <c r="B5149" s="406" t="s">
        <v>9829</v>
      </c>
      <c r="C5149" s="407">
        <v>15973</v>
      </c>
      <c r="D5149" s="408">
        <v>45440</v>
      </c>
      <c r="E5149" s="406" t="s">
        <v>10450</v>
      </c>
    </row>
    <row r="5150" spans="2:5">
      <c r="B5150" s="406" t="s">
        <v>9829</v>
      </c>
      <c r="C5150" s="407">
        <v>15971</v>
      </c>
      <c r="D5150" s="408">
        <v>45440</v>
      </c>
      <c r="E5150" s="406" t="s">
        <v>10310</v>
      </c>
    </row>
    <row r="5151" spans="2:5">
      <c r="B5151" s="406" t="s">
        <v>9829</v>
      </c>
      <c r="C5151" s="407">
        <v>15956</v>
      </c>
      <c r="D5151" s="408">
        <v>45440</v>
      </c>
      <c r="E5151" s="406" t="s">
        <v>10451</v>
      </c>
    </row>
    <row r="5152" spans="2:5">
      <c r="B5152" s="406" t="s">
        <v>9829</v>
      </c>
      <c r="C5152" s="407">
        <v>15950</v>
      </c>
      <c r="D5152" s="408">
        <v>45440</v>
      </c>
      <c r="E5152" s="406" t="s">
        <v>10452</v>
      </c>
    </row>
    <row r="5153" spans="2:5">
      <c r="B5153" s="406" t="s">
        <v>9829</v>
      </c>
      <c r="C5153" s="407">
        <v>15943</v>
      </c>
      <c r="D5153" s="408">
        <v>45440</v>
      </c>
      <c r="E5153" s="406" t="s">
        <v>10311</v>
      </c>
    </row>
    <row r="5154" spans="2:5">
      <c r="B5154" s="406" t="s">
        <v>9829</v>
      </c>
      <c r="C5154" s="407">
        <v>15942</v>
      </c>
      <c r="D5154" s="408">
        <v>45440</v>
      </c>
      <c r="E5154" s="406" t="s">
        <v>10312</v>
      </c>
    </row>
    <row r="5155" spans="2:5">
      <c r="B5155" s="406" t="s">
        <v>9829</v>
      </c>
      <c r="C5155" s="407">
        <v>15941</v>
      </c>
      <c r="D5155" s="408">
        <v>45440</v>
      </c>
      <c r="E5155" s="406" t="s">
        <v>10453</v>
      </c>
    </row>
    <row r="5156" spans="2:5">
      <c r="B5156" s="406" t="s">
        <v>9829</v>
      </c>
      <c r="C5156" s="407">
        <v>15934</v>
      </c>
      <c r="D5156" s="408">
        <v>45440</v>
      </c>
      <c r="E5156" s="406" t="s">
        <v>10313</v>
      </c>
    </row>
    <row r="5157" spans="2:5">
      <c r="B5157" s="406" t="s">
        <v>9829</v>
      </c>
      <c r="C5157" s="407">
        <v>15928</v>
      </c>
      <c r="D5157" s="408">
        <v>45440</v>
      </c>
      <c r="E5157" s="406" t="s">
        <v>10454</v>
      </c>
    </row>
    <row r="5158" spans="2:5">
      <c r="B5158" s="406" t="s">
        <v>9829</v>
      </c>
      <c r="C5158" s="407">
        <v>15926</v>
      </c>
      <c r="D5158" s="408">
        <v>45440</v>
      </c>
      <c r="E5158" s="406" t="s">
        <v>10314</v>
      </c>
    </row>
    <row r="5159" spans="2:5">
      <c r="B5159" s="406" t="s">
        <v>9829</v>
      </c>
      <c r="C5159" s="407">
        <v>15925</v>
      </c>
      <c r="D5159" s="408">
        <v>45440</v>
      </c>
      <c r="E5159" s="406" t="s">
        <v>10455</v>
      </c>
    </row>
    <row r="5160" spans="2:5">
      <c r="B5160" s="406" t="s">
        <v>9829</v>
      </c>
      <c r="C5160" s="407">
        <v>15920</v>
      </c>
      <c r="D5160" s="408">
        <v>45440</v>
      </c>
      <c r="E5160" s="406" t="s">
        <v>10315</v>
      </c>
    </row>
    <row r="5161" spans="2:5">
      <c r="B5161" s="406" t="s">
        <v>9829</v>
      </c>
      <c r="C5161" s="407">
        <v>15913</v>
      </c>
      <c r="D5161" s="408">
        <v>45440</v>
      </c>
      <c r="E5161" s="406" t="s">
        <v>10316</v>
      </c>
    </row>
    <row r="5162" spans="2:5">
      <c r="B5162" s="406" t="s">
        <v>9829</v>
      </c>
      <c r="C5162" s="407">
        <v>15912</v>
      </c>
      <c r="D5162" s="408">
        <v>45440</v>
      </c>
      <c r="E5162" s="406" t="s">
        <v>10456</v>
      </c>
    </row>
    <row r="5163" spans="2:5">
      <c r="B5163" s="406" t="s">
        <v>9829</v>
      </c>
      <c r="C5163" s="407">
        <v>15911</v>
      </c>
      <c r="D5163" s="408">
        <v>45440</v>
      </c>
      <c r="E5163" s="406" t="s">
        <v>10317</v>
      </c>
    </row>
    <row r="5164" spans="2:5">
      <c r="B5164" s="406" t="s">
        <v>9829</v>
      </c>
      <c r="C5164" s="407">
        <v>15908</v>
      </c>
      <c r="D5164" s="408">
        <v>45440</v>
      </c>
      <c r="E5164" s="406" t="s">
        <v>10457</v>
      </c>
    </row>
    <row r="5165" spans="2:5">
      <c r="B5165" s="406" t="s">
        <v>9829</v>
      </c>
      <c r="C5165" s="407">
        <v>15903</v>
      </c>
      <c r="D5165" s="408">
        <v>45440</v>
      </c>
      <c r="E5165" s="406" t="s">
        <v>10318</v>
      </c>
    </row>
    <row r="5166" spans="2:5">
      <c r="B5166" s="406" t="s">
        <v>9829</v>
      </c>
      <c r="C5166" s="407">
        <v>15895</v>
      </c>
      <c r="D5166" s="408">
        <v>45440</v>
      </c>
      <c r="E5166" s="406" t="s">
        <v>10319</v>
      </c>
    </row>
    <row r="5167" spans="2:5">
      <c r="B5167" s="406" t="s">
        <v>9829</v>
      </c>
      <c r="C5167" s="407">
        <v>15894</v>
      </c>
      <c r="D5167" s="408">
        <v>45440</v>
      </c>
      <c r="E5167" s="406" t="s">
        <v>10458</v>
      </c>
    </row>
    <row r="5168" spans="2:5">
      <c r="B5168" s="406" t="s">
        <v>9829</v>
      </c>
      <c r="C5168" s="407">
        <v>15891</v>
      </c>
      <c r="D5168" s="408">
        <v>45440</v>
      </c>
      <c r="E5168" s="406" t="s">
        <v>10459</v>
      </c>
    </row>
    <row r="5169" spans="2:5">
      <c r="B5169" s="406" t="s">
        <v>9829</v>
      </c>
      <c r="C5169" s="407">
        <v>15885</v>
      </c>
      <c r="D5169" s="408">
        <v>45440</v>
      </c>
      <c r="E5169" s="406" t="s">
        <v>10320</v>
      </c>
    </row>
    <row r="5170" spans="2:5">
      <c r="B5170" s="406" t="s">
        <v>9829</v>
      </c>
      <c r="C5170" s="407">
        <v>15882</v>
      </c>
      <c r="D5170" s="408">
        <v>45440</v>
      </c>
      <c r="E5170" s="406" t="s">
        <v>10321</v>
      </c>
    </row>
    <row r="5171" spans="2:5">
      <c r="B5171" s="406" t="s">
        <v>9829</v>
      </c>
      <c r="C5171" s="407">
        <v>15881</v>
      </c>
      <c r="D5171" s="408">
        <v>45440</v>
      </c>
      <c r="E5171" s="406" t="s">
        <v>10460</v>
      </c>
    </row>
    <row r="5172" spans="2:5">
      <c r="B5172" s="406" t="s">
        <v>9829</v>
      </c>
      <c r="C5172" s="407">
        <v>15877</v>
      </c>
      <c r="D5172" s="408">
        <v>45440</v>
      </c>
      <c r="E5172" s="406" t="s">
        <v>10322</v>
      </c>
    </row>
    <row r="5173" spans="2:5">
      <c r="B5173" s="406" t="s">
        <v>9829</v>
      </c>
      <c r="C5173" s="407">
        <v>15871</v>
      </c>
      <c r="D5173" s="408">
        <v>45440</v>
      </c>
      <c r="E5173" s="406" t="s">
        <v>10323</v>
      </c>
    </row>
    <row r="5174" spans="2:5">
      <c r="B5174" s="406" t="s">
        <v>9829</v>
      </c>
      <c r="C5174" s="407">
        <v>15868</v>
      </c>
      <c r="D5174" s="408">
        <v>45440</v>
      </c>
      <c r="E5174" s="406" t="s">
        <v>10461</v>
      </c>
    </row>
    <row r="5175" spans="2:5">
      <c r="B5175" s="406" t="s">
        <v>9829</v>
      </c>
      <c r="C5175" s="407">
        <v>15861</v>
      </c>
      <c r="D5175" s="408">
        <v>45440</v>
      </c>
      <c r="E5175" s="406" t="s">
        <v>10324</v>
      </c>
    </row>
    <row r="5176" spans="2:5">
      <c r="B5176" s="406" t="s">
        <v>9829</v>
      </c>
      <c r="C5176" s="407">
        <v>15842</v>
      </c>
      <c r="D5176" s="408">
        <v>45440</v>
      </c>
      <c r="E5176" s="406" t="s">
        <v>10462</v>
      </c>
    </row>
    <row r="5177" spans="2:5">
      <c r="B5177" s="406" t="s">
        <v>9829</v>
      </c>
      <c r="C5177" s="407">
        <v>15840</v>
      </c>
      <c r="D5177" s="408">
        <v>45440</v>
      </c>
      <c r="E5177" s="406" t="s">
        <v>10463</v>
      </c>
    </row>
    <row r="5178" spans="2:5">
      <c r="B5178" s="406" t="s">
        <v>9829</v>
      </c>
      <c r="C5178" s="407">
        <v>15834</v>
      </c>
      <c r="D5178" s="408">
        <v>45440</v>
      </c>
      <c r="E5178" s="406" t="s">
        <v>10464</v>
      </c>
    </row>
    <row r="5179" spans="2:5">
      <c r="B5179" s="406" t="s">
        <v>9829</v>
      </c>
      <c r="C5179" s="407">
        <v>15831</v>
      </c>
      <c r="D5179" s="408">
        <v>45440</v>
      </c>
      <c r="E5179" s="406" t="s">
        <v>10465</v>
      </c>
    </row>
    <row r="5180" spans="2:5">
      <c r="B5180" s="406" t="s">
        <v>9829</v>
      </c>
      <c r="C5180" s="407">
        <v>15829</v>
      </c>
      <c r="D5180" s="408">
        <v>45440</v>
      </c>
      <c r="E5180" s="406" t="s">
        <v>10325</v>
      </c>
    </row>
    <row r="5181" spans="2:5">
      <c r="B5181" s="406" t="s">
        <v>9829</v>
      </c>
      <c r="C5181" s="407">
        <v>15824</v>
      </c>
      <c r="D5181" s="408">
        <v>45440</v>
      </c>
      <c r="E5181" s="406" t="s">
        <v>10326</v>
      </c>
    </row>
    <row r="5182" spans="2:5">
      <c r="B5182" s="406" t="s">
        <v>9829</v>
      </c>
      <c r="C5182" s="407">
        <v>15821</v>
      </c>
      <c r="D5182" s="408">
        <v>45440</v>
      </c>
      <c r="E5182" s="406" t="s">
        <v>10466</v>
      </c>
    </row>
    <row r="5183" spans="2:5">
      <c r="B5183" s="406" t="s">
        <v>9829</v>
      </c>
      <c r="C5183" s="407">
        <v>15816</v>
      </c>
      <c r="D5183" s="408">
        <v>45440</v>
      </c>
      <c r="E5183" s="406" t="s">
        <v>10467</v>
      </c>
    </row>
    <row r="5184" spans="2:5">
      <c r="B5184" s="406" t="s">
        <v>9829</v>
      </c>
      <c r="C5184" s="407">
        <v>15815</v>
      </c>
      <c r="D5184" s="408">
        <v>45440</v>
      </c>
      <c r="E5184" s="406" t="s">
        <v>10468</v>
      </c>
    </row>
    <row r="5185" spans="2:8">
      <c r="B5185" s="406" t="s">
        <v>9829</v>
      </c>
      <c r="C5185" s="407">
        <v>15805</v>
      </c>
      <c r="D5185" s="408">
        <v>45440</v>
      </c>
      <c r="E5185" s="406" t="s">
        <v>10469</v>
      </c>
    </row>
    <row r="5186" spans="2:8">
      <c r="B5186" s="406" t="s">
        <v>9829</v>
      </c>
      <c r="C5186" s="407">
        <v>15793</v>
      </c>
      <c r="D5186" s="408">
        <v>45440</v>
      </c>
      <c r="E5186" s="406" t="s">
        <v>10470</v>
      </c>
    </row>
    <row r="5187" spans="2:8">
      <c r="B5187" s="406" t="s">
        <v>9829</v>
      </c>
      <c r="C5187" s="407">
        <v>15789</v>
      </c>
      <c r="D5187" s="408">
        <v>45440</v>
      </c>
      <c r="E5187" s="406" t="s">
        <v>10471</v>
      </c>
    </row>
    <row r="5188" spans="2:8">
      <c r="B5188" s="406" t="s">
        <v>9829</v>
      </c>
      <c r="C5188" s="407">
        <v>15788</v>
      </c>
      <c r="D5188" s="408">
        <v>45440</v>
      </c>
      <c r="E5188" s="406" t="s">
        <v>10472</v>
      </c>
    </row>
    <row r="5189" spans="2:8">
      <c r="B5189" s="406" t="s">
        <v>9829</v>
      </c>
      <c r="C5189" s="407">
        <v>15780</v>
      </c>
      <c r="D5189" s="408">
        <v>45440</v>
      </c>
      <c r="E5189" s="406" t="s">
        <v>10473</v>
      </c>
    </row>
    <row r="5190" spans="2:8">
      <c r="B5190" s="406" t="s">
        <v>9829</v>
      </c>
      <c r="C5190" s="407">
        <v>15778</v>
      </c>
      <c r="D5190" s="408">
        <v>45440</v>
      </c>
      <c r="E5190" s="406" t="s">
        <v>10474</v>
      </c>
    </row>
    <row r="5191" spans="2:8">
      <c r="B5191" s="406" t="s">
        <v>9829</v>
      </c>
      <c r="C5191" s="407">
        <v>15773</v>
      </c>
      <c r="D5191" s="408">
        <v>45440</v>
      </c>
      <c r="E5191" s="406" t="s">
        <v>10475</v>
      </c>
    </row>
    <row r="5192" spans="2:8">
      <c r="B5192" s="406" t="s">
        <v>9829</v>
      </c>
      <c r="C5192" s="407">
        <v>15771</v>
      </c>
      <c r="D5192" s="408">
        <v>45440</v>
      </c>
      <c r="E5192" s="406" t="s">
        <v>10476</v>
      </c>
    </row>
    <row r="5193" spans="2:8">
      <c r="B5193" s="406" t="s">
        <v>9829</v>
      </c>
      <c r="C5193" s="407">
        <v>15768</v>
      </c>
      <c r="D5193" s="408">
        <v>45439</v>
      </c>
      <c r="E5193" s="406" t="s">
        <v>9955</v>
      </c>
    </row>
    <row r="5194" spans="2:8">
      <c r="B5194" s="406" t="s">
        <v>9829</v>
      </c>
      <c r="C5194" s="407">
        <v>15767</v>
      </c>
      <c r="D5194" s="408">
        <v>45439</v>
      </c>
      <c r="E5194" s="406" t="s">
        <v>9831</v>
      </c>
      <c r="F5194" s="406">
        <v>3</v>
      </c>
      <c r="H5194" s="406" t="s">
        <v>10052</v>
      </c>
    </row>
    <row r="5195" spans="2:8">
      <c r="B5195" s="406" t="s">
        <v>9829</v>
      </c>
      <c r="C5195" s="407">
        <v>15765</v>
      </c>
      <c r="D5195" s="408">
        <v>45439</v>
      </c>
      <c r="E5195" s="406" t="s">
        <v>9956</v>
      </c>
    </row>
    <row r="5196" spans="2:8">
      <c r="B5196" s="406" t="s">
        <v>9829</v>
      </c>
      <c r="C5196" s="407">
        <v>15756</v>
      </c>
      <c r="D5196" s="408">
        <v>45439</v>
      </c>
      <c r="E5196" s="406" t="s">
        <v>9832</v>
      </c>
      <c r="F5196" s="406">
        <v>5</v>
      </c>
      <c r="H5196" s="406" t="s">
        <v>10053</v>
      </c>
    </row>
    <row r="5197" spans="2:8">
      <c r="B5197" s="406" t="s">
        <v>9829</v>
      </c>
      <c r="C5197" s="407">
        <v>15754</v>
      </c>
      <c r="D5197" s="408">
        <v>45439</v>
      </c>
      <c r="E5197" s="406" t="s">
        <v>9957</v>
      </c>
    </row>
    <row r="5198" spans="2:8">
      <c r="B5198" s="406" t="s">
        <v>9829</v>
      </c>
      <c r="C5198" s="407">
        <v>15750</v>
      </c>
      <c r="D5198" s="408">
        <v>45439</v>
      </c>
      <c r="E5198" s="406" t="s">
        <v>9958</v>
      </c>
    </row>
    <row r="5199" spans="2:8">
      <c r="B5199" s="406" t="s">
        <v>9829</v>
      </c>
      <c r="C5199" s="407">
        <v>15744</v>
      </c>
      <c r="D5199" s="408">
        <v>45439</v>
      </c>
      <c r="E5199" s="406" t="s">
        <v>9833</v>
      </c>
      <c r="F5199" s="406">
        <v>3</v>
      </c>
      <c r="H5199" s="406" t="s">
        <v>10054</v>
      </c>
    </row>
    <row r="5200" spans="2:8">
      <c r="B5200" s="406" t="s">
        <v>9829</v>
      </c>
      <c r="C5200" s="407">
        <v>15743</v>
      </c>
      <c r="D5200" s="408">
        <v>45439</v>
      </c>
      <c r="E5200" s="406" t="s">
        <v>9834</v>
      </c>
      <c r="F5200" s="406">
        <v>5</v>
      </c>
      <c r="H5200" s="406" t="s">
        <v>10053</v>
      </c>
    </row>
    <row r="5201" spans="2:8">
      <c r="B5201" s="406" t="s">
        <v>9829</v>
      </c>
      <c r="C5201" s="407">
        <v>15739</v>
      </c>
      <c r="D5201" s="408">
        <v>45439</v>
      </c>
      <c r="E5201" s="406" t="s">
        <v>9959</v>
      </c>
    </row>
    <row r="5202" spans="2:8">
      <c r="B5202" s="406" t="s">
        <v>9829</v>
      </c>
      <c r="C5202" s="407">
        <v>15732</v>
      </c>
      <c r="D5202" s="408">
        <v>45439</v>
      </c>
      <c r="E5202" s="406" t="s">
        <v>9835</v>
      </c>
      <c r="F5202" s="406">
        <v>2</v>
      </c>
      <c r="H5202" s="406" t="s">
        <v>10055</v>
      </c>
    </row>
    <row r="5203" spans="2:8">
      <c r="B5203" s="406" t="s">
        <v>9829</v>
      </c>
      <c r="C5203" s="407">
        <v>15731</v>
      </c>
      <c r="D5203" s="408">
        <v>45439</v>
      </c>
      <c r="E5203" s="406" t="s">
        <v>9836</v>
      </c>
      <c r="F5203" s="406">
        <v>4</v>
      </c>
      <c r="H5203" s="406" t="s">
        <v>10056</v>
      </c>
    </row>
    <row r="5204" spans="2:8">
      <c r="B5204" s="406" t="s">
        <v>9829</v>
      </c>
      <c r="C5204" s="407">
        <v>15729</v>
      </c>
      <c r="D5204" s="408">
        <v>45439</v>
      </c>
      <c r="E5204" s="406" t="s">
        <v>9960</v>
      </c>
    </row>
    <row r="5205" spans="2:8">
      <c r="B5205" s="406" t="s">
        <v>9829</v>
      </c>
      <c r="C5205" s="407">
        <v>15727</v>
      </c>
      <c r="D5205" s="408">
        <v>45439</v>
      </c>
      <c r="E5205" s="406" t="s">
        <v>9961</v>
      </c>
    </row>
    <row r="5206" spans="2:8">
      <c r="B5206" s="406" t="s">
        <v>9829</v>
      </c>
      <c r="C5206" s="407">
        <v>15723</v>
      </c>
      <c r="D5206" s="408">
        <v>45439</v>
      </c>
      <c r="E5206" s="406" t="s">
        <v>9962</v>
      </c>
    </row>
    <row r="5207" spans="2:8">
      <c r="B5207" s="406" t="s">
        <v>9829</v>
      </c>
      <c r="C5207" s="407">
        <v>15722</v>
      </c>
      <c r="D5207" s="408">
        <v>45439</v>
      </c>
      <c r="E5207" s="406" t="s">
        <v>9837</v>
      </c>
      <c r="F5207" s="406">
        <v>3</v>
      </c>
      <c r="H5207" s="406" t="s">
        <v>10057</v>
      </c>
    </row>
    <row r="5208" spans="2:8">
      <c r="B5208" s="406" t="s">
        <v>9829</v>
      </c>
      <c r="C5208" s="407">
        <v>15719</v>
      </c>
      <c r="D5208" s="408">
        <v>45439</v>
      </c>
      <c r="E5208" s="406" t="s">
        <v>9963</v>
      </c>
    </row>
    <row r="5209" spans="2:8">
      <c r="B5209" s="406" t="s">
        <v>9829</v>
      </c>
      <c r="C5209" s="407">
        <v>15712</v>
      </c>
      <c r="D5209" s="408">
        <v>45439</v>
      </c>
      <c r="E5209" s="406" t="s">
        <v>9964</v>
      </c>
    </row>
    <row r="5210" spans="2:8">
      <c r="B5210" s="406" t="s">
        <v>9829</v>
      </c>
      <c r="C5210" s="407">
        <v>15709</v>
      </c>
      <c r="D5210" s="408">
        <v>45439</v>
      </c>
      <c r="E5210" s="406" t="s">
        <v>9838</v>
      </c>
      <c r="F5210" s="406">
        <v>3</v>
      </c>
      <c r="H5210" s="406" t="s">
        <v>10058</v>
      </c>
    </row>
    <row r="5211" spans="2:8" s="49" customFormat="1">
      <c r="B5211" s="49" t="s">
        <v>9829</v>
      </c>
      <c r="C5211" s="409">
        <v>15706</v>
      </c>
      <c r="D5211" s="410">
        <v>45439</v>
      </c>
      <c r="E5211" s="49" t="s">
        <v>9839</v>
      </c>
      <c r="F5211" s="49">
        <v>7</v>
      </c>
      <c r="H5211" s="49" t="s">
        <v>10059</v>
      </c>
    </row>
    <row r="5212" spans="2:8">
      <c r="B5212" s="406" t="s">
        <v>9829</v>
      </c>
      <c r="C5212" s="407">
        <v>15699</v>
      </c>
      <c r="D5212" s="408">
        <v>45439</v>
      </c>
      <c r="E5212" s="406" t="s">
        <v>9965</v>
      </c>
    </row>
    <row r="5213" spans="2:8">
      <c r="B5213" s="406" t="s">
        <v>9829</v>
      </c>
      <c r="C5213" s="407">
        <v>15687</v>
      </c>
      <c r="D5213" s="408">
        <v>45439</v>
      </c>
      <c r="E5213" s="406" t="s">
        <v>9966</v>
      </c>
    </row>
    <row r="5214" spans="2:8">
      <c r="B5214" s="406" t="s">
        <v>9829</v>
      </c>
      <c r="C5214" s="407">
        <v>15682</v>
      </c>
      <c r="D5214" s="408">
        <v>45439</v>
      </c>
      <c r="E5214" s="406" t="s">
        <v>9840</v>
      </c>
      <c r="F5214" s="406">
        <v>4</v>
      </c>
      <c r="H5214" s="406" t="s">
        <v>10060</v>
      </c>
    </row>
    <row r="5215" spans="2:8">
      <c r="B5215" s="406" t="s">
        <v>9829</v>
      </c>
      <c r="C5215" s="407">
        <v>15676</v>
      </c>
      <c r="D5215" s="408">
        <v>45439</v>
      </c>
      <c r="E5215" s="406" t="s">
        <v>9967</v>
      </c>
    </row>
    <row r="5216" spans="2:8">
      <c r="B5216" s="406" t="s">
        <v>9829</v>
      </c>
      <c r="C5216" s="407">
        <v>15673</v>
      </c>
      <c r="D5216" s="408">
        <v>45439</v>
      </c>
      <c r="E5216" s="406" t="s">
        <v>9841</v>
      </c>
      <c r="F5216" s="406">
        <v>3</v>
      </c>
      <c r="H5216" s="406" t="s">
        <v>10061</v>
      </c>
    </row>
    <row r="5217" spans="2:8">
      <c r="B5217" s="406" t="s">
        <v>9829</v>
      </c>
      <c r="C5217" s="407">
        <v>15662</v>
      </c>
      <c r="D5217" s="408">
        <v>45439</v>
      </c>
      <c r="E5217" s="406" t="s">
        <v>9842</v>
      </c>
      <c r="F5217" s="406">
        <v>3</v>
      </c>
      <c r="H5217" s="406" t="s">
        <v>10062</v>
      </c>
    </row>
    <row r="5218" spans="2:8">
      <c r="B5218" s="406" t="s">
        <v>9829</v>
      </c>
      <c r="C5218" s="407">
        <v>15655</v>
      </c>
      <c r="D5218" s="408">
        <v>45439</v>
      </c>
      <c r="E5218" s="49" t="s">
        <v>9968</v>
      </c>
    </row>
    <row r="5219" spans="2:8">
      <c r="B5219" s="406" t="s">
        <v>9829</v>
      </c>
      <c r="C5219" s="407">
        <v>15644</v>
      </c>
      <c r="D5219" s="408">
        <v>45439</v>
      </c>
      <c r="E5219" s="406" t="s">
        <v>9843</v>
      </c>
      <c r="F5219" s="406">
        <v>4</v>
      </c>
      <c r="H5219" s="406" t="s">
        <v>10054</v>
      </c>
    </row>
    <row r="5220" spans="2:8">
      <c r="B5220" s="406" t="s">
        <v>9829</v>
      </c>
      <c r="C5220" s="407">
        <v>15643</v>
      </c>
      <c r="D5220" s="408">
        <v>45439</v>
      </c>
      <c r="E5220" s="406" t="s">
        <v>9969</v>
      </c>
    </row>
    <row r="5221" spans="2:8">
      <c r="B5221" s="406" t="s">
        <v>9829</v>
      </c>
      <c r="C5221" s="407">
        <v>15642</v>
      </c>
      <c r="D5221" s="408">
        <v>45439</v>
      </c>
      <c r="E5221" s="406" t="s">
        <v>9844</v>
      </c>
      <c r="F5221" s="406">
        <v>3</v>
      </c>
      <c r="H5221" s="406" t="s">
        <v>10063</v>
      </c>
    </row>
    <row r="5222" spans="2:8">
      <c r="B5222" s="406" t="s">
        <v>9829</v>
      </c>
      <c r="C5222" s="407">
        <v>15636</v>
      </c>
      <c r="D5222" s="408">
        <v>45439</v>
      </c>
      <c r="E5222" s="406" t="s">
        <v>9970</v>
      </c>
    </row>
    <row r="5223" spans="2:8">
      <c r="B5223" s="406" t="s">
        <v>9829</v>
      </c>
      <c r="C5223" s="407">
        <v>15632</v>
      </c>
      <c r="D5223" s="408">
        <v>45439</v>
      </c>
      <c r="E5223" s="406" t="s">
        <v>9845</v>
      </c>
      <c r="F5223" s="406">
        <v>3</v>
      </c>
      <c r="H5223" s="406" t="s">
        <v>10054</v>
      </c>
    </row>
    <row r="5224" spans="2:8">
      <c r="B5224" s="406" t="s">
        <v>9829</v>
      </c>
      <c r="C5224" s="407">
        <v>15625</v>
      </c>
      <c r="D5224" s="408">
        <v>45439</v>
      </c>
      <c r="E5224" s="406" t="s">
        <v>9971</v>
      </c>
    </row>
    <row r="5225" spans="2:8">
      <c r="B5225" s="406" t="s">
        <v>9829</v>
      </c>
      <c r="C5225" s="407">
        <v>15624</v>
      </c>
      <c r="D5225" s="408">
        <v>45439</v>
      </c>
      <c r="E5225" s="406" t="s">
        <v>9846</v>
      </c>
      <c r="F5225" s="406">
        <v>3</v>
      </c>
      <c r="H5225" s="406" t="s">
        <v>10064</v>
      </c>
    </row>
    <row r="5226" spans="2:8">
      <c r="B5226" s="406" t="s">
        <v>9829</v>
      </c>
      <c r="C5226" s="407">
        <v>15618</v>
      </c>
      <c r="D5226" s="408">
        <v>45439</v>
      </c>
      <c r="E5226" s="406" t="s">
        <v>9847</v>
      </c>
      <c r="F5226" s="406">
        <v>4</v>
      </c>
      <c r="H5226" s="406" t="s">
        <v>10065</v>
      </c>
    </row>
    <row r="5227" spans="2:8">
      <c r="B5227" s="406" t="s">
        <v>9829</v>
      </c>
      <c r="C5227" s="407">
        <v>15616</v>
      </c>
      <c r="D5227" s="408">
        <v>45439</v>
      </c>
      <c r="E5227" s="406" t="s">
        <v>9972</v>
      </c>
    </row>
    <row r="5228" spans="2:8">
      <c r="B5228" s="406" t="s">
        <v>9829</v>
      </c>
      <c r="C5228" s="407">
        <v>15613</v>
      </c>
      <c r="D5228" s="408">
        <v>45439</v>
      </c>
      <c r="E5228" s="406" t="s">
        <v>9848</v>
      </c>
      <c r="F5228" s="406">
        <v>5</v>
      </c>
      <c r="H5228" s="406" t="s">
        <v>10066</v>
      </c>
    </row>
    <row r="5229" spans="2:8">
      <c r="B5229" s="406" t="s">
        <v>9829</v>
      </c>
      <c r="C5229" s="407">
        <v>15605</v>
      </c>
      <c r="D5229" s="408">
        <v>45439</v>
      </c>
      <c r="E5229" s="406" t="s">
        <v>9849</v>
      </c>
      <c r="F5229" s="406">
        <v>4</v>
      </c>
      <c r="H5229" s="406" t="s">
        <v>10067</v>
      </c>
    </row>
    <row r="5230" spans="2:8">
      <c r="B5230" s="406" t="s">
        <v>9829</v>
      </c>
      <c r="C5230" s="407">
        <v>15603</v>
      </c>
      <c r="D5230" s="408">
        <v>45439</v>
      </c>
      <c r="E5230" s="406" t="s">
        <v>9850</v>
      </c>
      <c r="F5230" s="406">
        <v>3</v>
      </c>
      <c r="H5230" s="406" t="s">
        <v>10068</v>
      </c>
    </row>
    <row r="5231" spans="2:8">
      <c r="B5231" s="406" t="s">
        <v>9829</v>
      </c>
      <c r="C5231" s="407">
        <v>15600</v>
      </c>
      <c r="D5231" s="408">
        <v>45439</v>
      </c>
      <c r="E5231" s="406" t="s">
        <v>9973</v>
      </c>
    </row>
    <row r="5232" spans="2:8">
      <c r="B5232" s="406" t="s">
        <v>9829</v>
      </c>
      <c r="C5232" s="407">
        <v>15599</v>
      </c>
      <c r="D5232" s="408">
        <v>45439</v>
      </c>
      <c r="E5232" s="406" t="s">
        <v>9851</v>
      </c>
      <c r="F5232" s="406">
        <v>2</v>
      </c>
      <c r="H5232" s="406" t="s">
        <v>10069</v>
      </c>
    </row>
    <row r="5233" spans="2:8">
      <c r="B5233" s="406" t="s">
        <v>9829</v>
      </c>
      <c r="C5233" s="407">
        <v>15598</v>
      </c>
      <c r="D5233" s="408">
        <v>45439</v>
      </c>
      <c r="E5233" s="406" t="s">
        <v>9852</v>
      </c>
      <c r="F5233" s="406">
        <v>5</v>
      </c>
      <c r="H5233" s="406" t="s">
        <v>10070</v>
      </c>
    </row>
    <row r="5234" spans="2:8">
      <c r="B5234" s="406" t="s">
        <v>9829</v>
      </c>
      <c r="C5234" s="407">
        <v>15593</v>
      </c>
      <c r="D5234" s="408">
        <v>45439</v>
      </c>
      <c r="E5234" s="406" t="s">
        <v>9853</v>
      </c>
      <c r="F5234" s="406">
        <v>4</v>
      </c>
      <c r="H5234" s="406" t="s">
        <v>10071</v>
      </c>
    </row>
    <row r="5235" spans="2:8">
      <c r="B5235" s="406" t="s">
        <v>9829</v>
      </c>
      <c r="C5235" s="407">
        <v>15589</v>
      </c>
      <c r="D5235" s="408">
        <v>45439</v>
      </c>
      <c r="E5235" s="406" t="s">
        <v>9854</v>
      </c>
      <c r="F5235" s="406">
        <v>2</v>
      </c>
      <c r="H5235" s="406" t="s">
        <v>10072</v>
      </c>
    </row>
    <row r="5236" spans="2:8">
      <c r="B5236" s="406" t="s">
        <v>9829</v>
      </c>
      <c r="C5236" s="407">
        <v>15586</v>
      </c>
      <c r="D5236" s="408">
        <v>45439</v>
      </c>
      <c r="E5236" s="406" t="s">
        <v>9855</v>
      </c>
      <c r="F5236" s="406">
        <v>3</v>
      </c>
      <c r="H5236" s="406" t="s">
        <v>10073</v>
      </c>
    </row>
    <row r="5237" spans="2:8">
      <c r="B5237" s="406" t="s">
        <v>9829</v>
      </c>
      <c r="C5237" s="407">
        <v>15583</v>
      </c>
      <c r="D5237" s="408">
        <v>45439</v>
      </c>
      <c r="E5237" s="406" t="s">
        <v>9856</v>
      </c>
      <c r="F5237" s="406">
        <v>3</v>
      </c>
      <c r="H5237" s="406" t="s">
        <v>10074</v>
      </c>
    </row>
    <row r="5238" spans="2:8">
      <c r="B5238" s="406" t="s">
        <v>9829</v>
      </c>
      <c r="C5238" s="407">
        <v>15579</v>
      </c>
      <c r="D5238" s="408">
        <v>45439</v>
      </c>
      <c r="E5238" s="406" t="s">
        <v>9974</v>
      </c>
    </row>
    <row r="5239" spans="2:8">
      <c r="B5239" s="406" t="s">
        <v>9829</v>
      </c>
      <c r="C5239" s="407">
        <v>15564</v>
      </c>
      <c r="D5239" s="408">
        <v>45439</v>
      </c>
      <c r="E5239" s="406" t="s">
        <v>9857</v>
      </c>
      <c r="F5239" s="406">
        <v>3</v>
      </c>
      <c r="H5239" s="406" t="s">
        <v>10075</v>
      </c>
    </row>
    <row r="5240" spans="2:8">
      <c r="B5240" s="406" t="s">
        <v>9829</v>
      </c>
      <c r="C5240" s="407">
        <v>15557</v>
      </c>
      <c r="D5240" s="408">
        <v>45439</v>
      </c>
      <c r="E5240" s="406" t="s">
        <v>9858</v>
      </c>
      <c r="F5240" s="406">
        <v>3</v>
      </c>
      <c r="H5240" s="406" t="s">
        <v>10075</v>
      </c>
    </row>
    <row r="5241" spans="2:8">
      <c r="B5241" s="406" t="s">
        <v>9829</v>
      </c>
      <c r="C5241" s="407">
        <v>15556</v>
      </c>
      <c r="D5241" s="408">
        <v>45439</v>
      </c>
      <c r="E5241" s="406" t="s">
        <v>9859</v>
      </c>
      <c r="F5241" s="406">
        <v>3</v>
      </c>
      <c r="H5241" s="406" t="s">
        <v>10076</v>
      </c>
    </row>
    <row r="5242" spans="2:8">
      <c r="B5242" s="49" t="s">
        <v>9829</v>
      </c>
      <c r="C5242" s="409">
        <v>15551</v>
      </c>
      <c r="D5242" s="410">
        <v>45439</v>
      </c>
      <c r="E5242" s="49" t="s">
        <v>9860</v>
      </c>
      <c r="F5242" s="49">
        <v>7</v>
      </c>
      <c r="G5242" s="49"/>
      <c r="H5242" s="49" t="s">
        <v>10077</v>
      </c>
    </row>
    <row r="5243" spans="2:8">
      <c r="B5243" s="406" t="s">
        <v>9829</v>
      </c>
      <c r="C5243" s="407">
        <v>15545</v>
      </c>
      <c r="D5243" s="408">
        <v>45439</v>
      </c>
      <c r="E5243" s="406" t="s">
        <v>9975</v>
      </c>
    </row>
    <row r="5244" spans="2:8">
      <c r="B5244" s="406" t="s">
        <v>9829</v>
      </c>
      <c r="C5244" s="407">
        <v>15544</v>
      </c>
      <c r="D5244" s="408">
        <v>45439</v>
      </c>
      <c r="E5244" s="406" t="s">
        <v>9976</v>
      </c>
    </row>
    <row r="5245" spans="2:8">
      <c r="B5245" s="406" t="s">
        <v>9829</v>
      </c>
      <c r="C5245" s="407">
        <v>15542</v>
      </c>
      <c r="D5245" s="408">
        <v>45439</v>
      </c>
      <c r="E5245" s="406" t="s">
        <v>9977</v>
      </c>
    </row>
    <row r="5246" spans="2:8">
      <c r="B5246" s="406" t="s">
        <v>9829</v>
      </c>
      <c r="C5246" s="407">
        <v>15540</v>
      </c>
      <c r="D5246" s="408">
        <v>45439</v>
      </c>
      <c r="E5246" s="406" t="s">
        <v>9861</v>
      </c>
      <c r="F5246" s="406">
        <v>5</v>
      </c>
      <c r="H5246" s="406" t="s">
        <v>10078</v>
      </c>
    </row>
    <row r="5247" spans="2:8">
      <c r="B5247" s="406" t="s">
        <v>9829</v>
      </c>
      <c r="C5247" s="407">
        <v>15539</v>
      </c>
      <c r="D5247" s="408">
        <v>45439</v>
      </c>
      <c r="E5247" s="406" t="s">
        <v>9978</v>
      </c>
    </row>
    <row r="5248" spans="2:8">
      <c r="B5248" s="406" t="s">
        <v>9829</v>
      </c>
      <c r="C5248" s="407">
        <v>15524</v>
      </c>
      <c r="D5248" s="408">
        <v>45439</v>
      </c>
      <c r="E5248" s="406" t="s">
        <v>9979</v>
      </c>
    </row>
    <row r="5249" spans="2:8">
      <c r="B5249" s="406" t="s">
        <v>9829</v>
      </c>
      <c r="C5249" s="407">
        <v>15523</v>
      </c>
      <c r="D5249" s="408">
        <v>45439</v>
      </c>
      <c r="E5249" s="406" t="s">
        <v>9980</v>
      </c>
    </row>
    <row r="5250" spans="2:8">
      <c r="B5250" s="406" t="s">
        <v>9829</v>
      </c>
      <c r="C5250" s="407">
        <v>15517</v>
      </c>
      <c r="D5250" s="408">
        <v>45439</v>
      </c>
      <c r="E5250" s="406" t="s">
        <v>9981</v>
      </c>
    </row>
    <row r="5251" spans="2:8">
      <c r="B5251" s="406" t="s">
        <v>9829</v>
      </c>
      <c r="C5251" s="407">
        <v>15514</v>
      </c>
      <c r="D5251" s="408">
        <v>45439</v>
      </c>
      <c r="E5251" s="406" t="s">
        <v>9982</v>
      </c>
    </row>
    <row r="5252" spans="2:8">
      <c r="B5252" s="406" t="s">
        <v>9829</v>
      </c>
      <c r="C5252" s="407">
        <v>15512</v>
      </c>
      <c r="D5252" s="408">
        <v>45439</v>
      </c>
      <c r="E5252" s="406" t="s">
        <v>9862</v>
      </c>
      <c r="F5252" s="406">
        <v>3</v>
      </c>
      <c r="H5252" s="406" t="s">
        <v>10079</v>
      </c>
    </row>
    <row r="5253" spans="2:8">
      <c r="B5253" s="406" t="s">
        <v>9829</v>
      </c>
      <c r="C5253" s="407">
        <v>15509</v>
      </c>
      <c r="D5253" s="408">
        <v>45439</v>
      </c>
      <c r="E5253" s="406" t="s">
        <v>9983</v>
      </c>
    </row>
    <row r="5254" spans="2:8">
      <c r="B5254" s="406" t="s">
        <v>9829</v>
      </c>
      <c r="C5254" s="407">
        <v>15508</v>
      </c>
      <c r="D5254" s="408">
        <v>45439</v>
      </c>
      <c r="E5254" s="406" t="s">
        <v>9984</v>
      </c>
    </row>
    <row r="5255" spans="2:8" s="49" customFormat="1">
      <c r="B5255" s="49" t="s">
        <v>9829</v>
      </c>
      <c r="C5255" s="409">
        <v>15506</v>
      </c>
      <c r="D5255" s="410">
        <v>45439</v>
      </c>
      <c r="E5255" s="49" t="s">
        <v>9863</v>
      </c>
      <c r="F5255" s="49">
        <v>9</v>
      </c>
      <c r="H5255" s="49" t="s">
        <v>10080</v>
      </c>
    </row>
    <row r="5256" spans="2:8">
      <c r="B5256" s="406" t="s">
        <v>9829</v>
      </c>
      <c r="C5256" s="407">
        <v>15505</v>
      </c>
      <c r="D5256" s="408">
        <v>45439</v>
      </c>
      <c r="E5256" s="406" t="s">
        <v>9864</v>
      </c>
      <c r="F5256" s="406">
        <v>4</v>
      </c>
      <c r="H5256" s="406" t="s">
        <v>10081</v>
      </c>
    </row>
    <row r="5257" spans="2:8">
      <c r="B5257" s="406" t="s">
        <v>9829</v>
      </c>
      <c r="C5257" s="407">
        <v>15500</v>
      </c>
      <c r="D5257" s="408">
        <v>45439</v>
      </c>
      <c r="E5257" s="406" t="s">
        <v>9985</v>
      </c>
    </row>
    <row r="5258" spans="2:8">
      <c r="B5258" s="406" t="s">
        <v>9829</v>
      </c>
      <c r="C5258" s="407">
        <v>15495</v>
      </c>
      <c r="D5258" s="408">
        <v>45439</v>
      </c>
      <c r="E5258" s="406" t="s">
        <v>9865</v>
      </c>
      <c r="F5258" s="406">
        <v>3</v>
      </c>
      <c r="H5258" s="406" t="s">
        <v>10062</v>
      </c>
    </row>
    <row r="5259" spans="2:8">
      <c r="B5259" s="406" t="s">
        <v>9829</v>
      </c>
      <c r="C5259" s="407">
        <v>15489</v>
      </c>
      <c r="D5259" s="408">
        <v>45439</v>
      </c>
      <c r="E5259" s="406" t="s">
        <v>9986</v>
      </c>
    </row>
    <row r="5260" spans="2:8">
      <c r="B5260" s="406" t="s">
        <v>9829</v>
      </c>
      <c r="C5260" s="407">
        <v>15485</v>
      </c>
      <c r="D5260" s="408">
        <v>45439</v>
      </c>
      <c r="E5260" s="406" t="s">
        <v>9987</v>
      </c>
    </row>
    <row r="5261" spans="2:8">
      <c r="B5261" s="406" t="s">
        <v>9829</v>
      </c>
      <c r="C5261" s="407">
        <v>15481</v>
      </c>
      <c r="D5261" s="408">
        <v>45439</v>
      </c>
      <c r="E5261" s="406" t="s">
        <v>9866</v>
      </c>
      <c r="F5261" s="406">
        <v>7</v>
      </c>
      <c r="H5261" s="406" t="s">
        <v>10082</v>
      </c>
    </row>
    <row r="5262" spans="2:8">
      <c r="B5262" s="406" t="s">
        <v>9829</v>
      </c>
      <c r="C5262" s="407">
        <v>15480</v>
      </c>
      <c r="D5262" s="408">
        <v>45439</v>
      </c>
      <c r="E5262" s="406" t="s">
        <v>9867</v>
      </c>
      <c r="F5262" s="406">
        <v>3</v>
      </c>
      <c r="H5262" s="406" t="s">
        <v>10083</v>
      </c>
    </row>
    <row r="5263" spans="2:8">
      <c r="B5263" s="406" t="s">
        <v>9829</v>
      </c>
      <c r="C5263" s="407">
        <v>15476</v>
      </c>
      <c r="D5263" s="408">
        <v>45439</v>
      </c>
      <c r="E5263" s="406" t="s">
        <v>9868</v>
      </c>
      <c r="F5263" s="406">
        <v>3</v>
      </c>
      <c r="H5263" s="406" t="s">
        <v>10084</v>
      </c>
    </row>
    <row r="5264" spans="2:8">
      <c r="B5264" s="406" t="s">
        <v>9829</v>
      </c>
      <c r="C5264" s="407">
        <v>15474</v>
      </c>
      <c r="D5264" s="408">
        <v>45439</v>
      </c>
      <c r="E5264" s="406" t="s">
        <v>9869</v>
      </c>
    </row>
    <row r="5265" spans="2:5">
      <c r="B5265" s="406" t="s">
        <v>9829</v>
      </c>
      <c r="C5265" s="407">
        <v>15473</v>
      </c>
      <c r="D5265" s="408">
        <v>45439</v>
      </c>
      <c r="E5265" s="406" t="s">
        <v>9988</v>
      </c>
    </row>
    <row r="5266" spans="2:5">
      <c r="B5266" s="406" t="s">
        <v>9829</v>
      </c>
      <c r="C5266" s="407">
        <v>15459</v>
      </c>
      <c r="D5266" s="408">
        <v>45439</v>
      </c>
      <c r="E5266" s="406" t="s">
        <v>9989</v>
      </c>
    </row>
    <row r="5267" spans="2:5">
      <c r="B5267" s="406" t="s">
        <v>9829</v>
      </c>
      <c r="C5267" s="407">
        <v>15458</v>
      </c>
      <c r="D5267" s="408">
        <v>45439</v>
      </c>
      <c r="E5267" s="406" t="s">
        <v>9870</v>
      </c>
    </row>
    <row r="5268" spans="2:5">
      <c r="B5268" s="406" t="s">
        <v>9829</v>
      </c>
      <c r="C5268" s="407">
        <v>15452</v>
      </c>
      <c r="D5268" s="408">
        <v>45439</v>
      </c>
      <c r="E5268" s="406" t="s">
        <v>9990</v>
      </c>
    </row>
    <row r="5269" spans="2:5">
      <c r="B5269" s="406" t="s">
        <v>9829</v>
      </c>
      <c r="C5269" s="407">
        <v>15446</v>
      </c>
      <c r="D5269" s="408">
        <v>45439</v>
      </c>
      <c r="E5269" s="406" t="s">
        <v>9871</v>
      </c>
    </row>
    <row r="5270" spans="2:5">
      <c r="B5270" s="406" t="s">
        <v>9829</v>
      </c>
      <c r="C5270" s="407">
        <v>15444</v>
      </c>
      <c r="D5270" s="408">
        <v>45439</v>
      </c>
      <c r="E5270" s="406" t="s">
        <v>9872</v>
      </c>
    </row>
    <row r="5271" spans="2:5">
      <c r="B5271" s="406" t="s">
        <v>9829</v>
      </c>
      <c r="C5271" s="407">
        <v>15443</v>
      </c>
      <c r="D5271" s="408">
        <v>45439</v>
      </c>
      <c r="E5271" s="406" t="s">
        <v>9873</v>
      </c>
    </row>
    <row r="5272" spans="2:5">
      <c r="B5272" s="406" t="s">
        <v>9829</v>
      </c>
      <c r="C5272" s="407">
        <v>15442</v>
      </c>
      <c r="D5272" s="408">
        <v>45439</v>
      </c>
      <c r="E5272" s="406" t="s">
        <v>9991</v>
      </c>
    </row>
    <row r="5273" spans="2:5">
      <c r="B5273" s="406" t="s">
        <v>9829</v>
      </c>
      <c r="C5273" s="407">
        <v>15441</v>
      </c>
      <c r="D5273" s="408">
        <v>45439</v>
      </c>
      <c r="E5273" s="406" t="s">
        <v>9992</v>
      </c>
    </row>
    <row r="5274" spans="2:5">
      <c r="B5274" s="406" t="s">
        <v>9829</v>
      </c>
      <c r="C5274" s="407">
        <v>15438</v>
      </c>
      <c r="D5274" s="408">
        <v>45439</v>
      </c>
      <c r="E5274" s="406" t="s">
        <v>9993</v>
      </c>
    </row>
    <row r="5275" spans="2:5">
      <c r="B5275" s="406" t="s">
        <v>9829</v>
      </c>
      <c r="C5275" s="407">
        <v>15434</v>
      </c>
      <c r="D5275" s="408">
        <v>45439</v>
      </c>
      <c r="E5275" s="406" t="s">
        <v>9994</v>
      </c>
    </row>
    <row r="5276" spans="2:5">
      <c r="B5276" s="406" t="s">
        <v>9829</v>
      </c>
      <c r="C5276" s="407">
        <v>15431</v>
      </c>
      <c r="D5276" s="408">
        <v>45439</v>
      </c>
      <c r="E5276" s="406" t="s">
        <v>9995</v>
      </c>
    </row>
    <row r="5277" spans="2:5">
      <c r="B5277" s="422">
        <v>2405</v>
      </c>
      <c r="C5277" s="407">
        <v>15430</v>
      </c>
      <c r="D5277" s="408">
        <v>45439</v>
      </c>
      <c r="E5277" s="406" t="s">
        <v>9874</v>
      </c>
    </row>
    <row r="5278" spans="2:5">
      <c r="B5278" s="422">
        <v>2405</v>
      </c>
      <c r="C5278" s="407">
        <v>15429</v>
      </c>
      <c r="D5278" s="408">
        <v>45439</v>
      </c>
      <c r="E5278" s="406" t="s">
        <v>9875</v>
      </c>
    </row>
    <row r="5279" spans="2:5">
      <c r="B5279" s="422">
        <v>2405</v>
      </c>
      <c r="C5279" s="407">
        <v>15428</v>
      </c>
      <c r="D5279" s="408">
        <v>45439</v>
      </c>
      <c r="E5279" s="406" t="s">
        <v>9996</v>
      </c>
    </row>
    <row r="5280" spans="2:5">
      <c r="B5280" s="422">
        <v>2405</v>
      </c>
      <c r="C5280" s="407">
        <v>15424</v>
      </c>
      <c r="D5280" s="408">
        <v>45439</v>
      </c>
      <c r="E5280" s="406" t="s">
        <v>9876</v>
      </c>
    </row>
    <row r="5281" spans="2:5">
      <c r="B5281" s="422">
        <v>2405</v>
      </c>
      <c r="C5281" s="407">
        <v>15423</v>
      </c>
      <c r="D5281" s="408">
        <v>45439</v>
      </c>
      <c r="E5281" s="406" t="s">
        <v>9877</v>
      </c>
    </row>
    <row r="5282" spans="2:5">
      <c r="B5282" s="422">
        <v>2405</v>
      </c>
      <c r="C5282" s="407">
        <v>15421</v>
      </c>
      <c r="D5282" s="408">
        <v>45439</v>
      </c>
      <c r="E5282" s="406" t="s">
        <v>9878</v>
      </c>
    </row>
    <row r="5283" spans="2:5">
      <c r="B5283" s="422">
        <v>2405</v>
      </c>
      <c r="C5283" s="407">
        <v>15412</v>
      </c>
      <c r="D5283" s="408">
        <v>45439</v>
      </c>
      <c r="E5283" s="406" t="s">
        <v>9997</v>
      </c>
    </row>
    <row r="5284" spans="2:5">
      <c r="B5284" s="422">
        <v>2405</v>
      </c>
      <c r="C5284" s="407">
        <v>15407</v>
      </c>
      <c r="D5284" s="408">
        <v>45439</v>
      </c>
      <c r="E5284" s="406" t="s">
        <v>9879</v>
      </c>
    </row>
    <row r="5285" spans="2:5">
      <c r="B5285" s="422">
        <v>2405</v>
      </c>
      <c r="C5285" s="407">
        <v>15406</v>
      </c>
      <c r="D5285" s="408">
        <v>45439</v>
      </c>
      <c r="E5285" s="406" t="s">
        <v>9998</v>
      </c>
    </row>
    <row r="5286" spans="2:5">
      <c r="B5286" s="422">
        <v>2405</v>
      </c>
      <c r="C5286" s="407">
        <v>15403</v>
      </c>
      <c r="D5286" s="408">
        <v>45439</v>
      </c>
      <c r="E5286" s="406" t="s">
        <v>9880</v>
      </c>
    </row>
    <row r="5287" spans="2:5">
      <c r="B5287" s="422">
        <v>2405</v>
      </c>
      <c r="C5287" s="407">
        <v>15393</v>
      </c>
      <c r="D5287" s="408">
        <v>45439</v>
      </c>
      <c r="E5287" s="406" t="s">
        <v>9999</v>
      </c>
    </row>
    <row r="5288" spans="2:5">
      <c r="B5288" s="422">
        <v>2405</v>
      </c>
      <c r="C5288" s="407">
        <v>15389</v>
      </c>
      <c r="D5288" s="408">
        <v>45439</v>
      </c>
      <c r="E5288" s="406" t="s">
        <v>9881</v>
      </c>
    </row>
    <row r="5289" spans="2:5">
      <c r="B5289" s="422">
        <v>2405</v>
      </c>
      <c r="C5289" s="407">
        <v>15384</v>
      </c>
      <c r="D5289" s="408">
        <v>45439</v>
      </c>
      <c r="E5289" s="406" t="s">
        <v>9882</v>
      </c>
    </row>
    <row r="5290" spans="2:5">
      <c r="B5290" s="422">
        <v>2405</v>
      </c>
      <c r="C5290" s="407">
        <v>15379</v>
      </c>
      <c r="D5290" s="408">
        <v>45439</v>
      </c>
      <c r="E5290" s="406" t="s">
        <v>10000</v>
      </c>
    </row>
    <row r="5291" spans="2:5">
      <c r="B5291" s="422">
        <v>2405</v>
      </c>
      <c r="C5291" s="407">
        <v>15376</v>
      </c>
      <c r="D5291" s="408">
        <v>45439</v>
      </c>
      <c r="E5291" s="406" t="s">
        <v>9883</v>
      </c>
    </row>
    <row r="5292" spans="2:5">
      <c r="B5292" s="422">
        <v>2405</v>
      </c>
      <c r="C5292" s="407">
        <v>15369</v>
      </c>
      <c r="D5292" s="408">
        <v>45439</v>
      </c>
      <c r="E5292" s="406" t="s">
        <v>9884</v>
      </c>
    </row>
    <row r="5293" spans="2:5">
      <c r="B5293" s="422">
        <v>2405</v>
      </c>
      <c r="C5293" s="407">
        <v>15362</v>
      </c>
      <c r="D5293" s="408">
        <v>45439</v>
      </c>
      <c r="E5293" s="406" t="s">
        <v>9885</v>
      </c>
    </row>
    <row r="5294" spans="2:5">
      <c r="B5294" s="422">
        <v>2405</v>
      </c>
      <c r="C5294" s="407">
        <v>15358</v>
      </c>
      <c r="D5294" s="408">
        <v>45439</v>
      </c>
      <c r="E5294" s="406" t="s">
        <v>10001</v>
      </c>
    </row>
    <row r="5295" spans="2:5">
      <c r="B5295" s="422">
        <v>2405</v>
      </c>
      <c r="C5295" s="407">
        <v>15357</v>
      </c>
      <c r="D5295" s="408">
        <v>45439</v>
      </c>
      <c r="E5295" s="406" t="s">
        <v>10002</v>
      </c>
    </row>
    <row r="5296" spans="2:5">
      <c r="B5296" s="422">
        <v>2405</v>
      </c>
      <c r="C5296" s="407">
        <v>15346</v>
      </c>
      <c r="D5296" s="408">
        <v>45439</v>
      </c>
      <c r="E5296" s="406" t="s">
        <v>10003</v>
      </c>
    </row>
    <row r="5297" spans="2:5">
      <c r="B5297" s="422">
        <v>2405</v>
      </c>
      <c r="C5297" s="407">
        <v>15337</v>
      </c>
      <c r="D5297" s="408">
        <v>45439</v>
      </c>
      <c r="E5297" s="406" t="s">
        <v>10004</v>
      </c>
    </row>
    <row r="5298" spans="2:5">
      <c r="B5298" s="422">
        <v>2405</v>
      </c>
      <c r="C5298" s="407">
        <v>15332</v>
      </c>
      <c r="D5298" s="408">
        <v>45439</v>
      </c>
      <c r="E5298" s="406" t="s">
        <v>9886</v>
      </c>
    </row>
    <row r="5299" spans="2:5">
      <c r="B5299" s="422">
        <v>2405</v>
      </c>
      <c r="C5299" s="407">
        <v>15330</v>
      </c>
      <c r="D5299" s="408">
        <v>45439</v>
      </c>
      <c r="E5299" s="49" t="s">
        <v>10005</v>
      </c>
    </row>
    <row r="5300" spans="2:5">
      <c r="B5300" s="422">
        <v>2405</v>
      </c>
      <c r="C5300" s="407">
        <v>15328</v>
      </c>
      <c r="D5300" s="408">
        <v>45439</v>
      </c>
      <c r="E5300" s="406" t="s">
        <v>9887</v>
      </c>
    </row>
    <row r="5301" spans="2:5">
      <c r="B5301" s="422">
        <v>2405</v>
      </c>
      <c r="C5301" s="407">
        <v>15325</v>
      </c>
      <c r="D5301" s="408">
        <v>45439</v>
      </c>
      <c r="E5301" s="406" t="s">
        <v>9888</v>
      </c>
    </row>
    <row r="5302" spans="2:5">
      <c r="B5302" s="422">
        <v>2405</v>
      </c>
      <c r="C5302" s="407">
        <v>15317</v>
      </c>
      <c r="D5302" s="408">
        <v>45439</v>
      </c>
      <c r="E5302" s="406" t="s">
        <v>9889</v>
      </c>
    </row>
    <row r="5303" spans="2:5">
      <c r="B5303" s="422">
        <v>2405</v>
      </c>
      <c r="C5303" s="407">
        <v>15316</v>
      </c>
      <c r="D5303" s="408">
        <v>45439</v>
      </c>
      <c r="E5303" s="406" t="s">
        <v>9890</v>
      </c>
    </row>
    <row r="5304" spans="2:5">
      <c r="B5304" s="422">
        <v>2405</v>
      </c>
      <c r="C5304" s="407">
        <v>15314</v>
      </c>
      <c r="D5304" s="408">
        <v>45439</v>
      </c>
      <c r="E5304" s="406" t="s">
        <v>9891</v>
      </c>
    </row>
    <row r="5305" spans="2:5">
      <c r="B5305" s="422">
        <v>2405</v>
      </c>
      <c r="C5305" s="407">
        <v>15312</v>
      </c>
      <c r="D5305" s="408">
        <v>45439</v>
      </c>
      <c r="E5305" s="406" t="s">
        <v>9892</v>
      </c>
    </row>
    <row r="5306" spans="2:5">
      <c r="B5306" s="422">
        <v>2405</v>
      </c>
      <c r="C5306" s="407">
        <v>15310</v>
      </c>
      <c r="D5306" s="408">
        <v>45439</v>
      </c>
      <c r="E5306" s="406" t="s">
        <v>9893</v>
      </c>
    </row>
    <row r="5307" spans="2:5">
      <c r="B5307" s="422">
        <v>2405</v>
      </c>
      <c r="C5307" s="407">
        <v>15304</v>
      </c>
      <c r="D5307" s="408">
        <v>45439</v>
      </c>
      <c r="E5307" s="406" t="s">
        <v>9894</v>
      </c>
    </row>
    <row r="5308" spans="2:5">
      <c r="B5308" s="422">
        <v>2405</v>
      </c>
      <c r="C5308" s="407">
        <v>15303</v>
      </c>
      <c r="D5308" s="408">
        <v>45439</v>
      </c>
      <c r="E5308" s="406" t="s">
        <v>9895</v>
      </c>
    </row>
    <row r="5309" spans="2:5">
      <c r="B5309" s="422">
        <v>2405</v>
      </c>
      <c r="C5309" s="407">
        <v>15302</v>
      </c>
      <c r="D5309" s="408">
        <v>45439</v>
      </c>
      <c r="E5309" s="406" t="s">
        <v>10006</v>
      </c>
    </row>
    <row r="5310" spans="2:5">
      <c r="B5310" s="422">
        <v>2405</v>
      </c>
      <c r="C5310" s="407">
        <v>15301</v>
      </c>
      <c r="D5310" s="408">
        <v>45439</v>
      </c>
      <c r="E5310" s="406" t="s">
        <v>9896</v>
      </c>
    </row>
    <row r="5311" spans="2:5">
      <c r="B5311" s="422">
        <v>2405</v>
      </c>
      <c r="C5311" s="407">
        <v>15294</v>
      </c>
      <c r="D5311" s="408">
        <v>45439</v>
      </c>
      <c r="E5311" s="406" t="s">
        <v>10007</v>
      </c>
    </row>
    <row r="5312" spans="2:5">
      <c r="B5312" s="422">
        <v>2405</v>
      </c>
      <c r="C5312" s="407">
        <v>15292</v>
      </c>
      <c r="D5312" s="408">
        <v>45439</v>
      </c>
      <c r="E5312" s="406" t="s">
        <v>9897</v>
      </c>
    </row>
    <row r="5313" spans="2:5">
      <c r="B5313" s="422">
        <v>2405</v>
      </c>
      <c r="C5313" s="407">
        <v>15285</v>
      </c>
      <c r="D5313" s="408">
        <v>45439</v>
      </c>
      <c r="E5313" s="406" t="s">
        <v>9898</v>
      </c>
    </row>
    <row r="5314" spans="2:5">
      <c r="B5314" s="422">
        <v>2405</v>
      </c>
      <c r="C5314" s="407">
        <v>15282</v>
      </c>
      <c r="D5314" s="408">
        <v>45439</v>
      </c>
      <c r="E5314" s="406" t="s">
        <v>9899</v>
      </c>
    </row>
    <row r="5315" spans="2:5">
      <c r="B5315" s="422">
        <v>2405</v>
      </c>
      <c r="C5315" s="407">
        <v>15280</v>
      </c>
      <c r="D5315" s="408">
        <v>45439</v>
      </c>
      <c r="E5315" s="406" t="s">
        <v>10008</v>
      </c>
    </row>
    <row r="5316" spans="2:5">
      <c r="B5316" s="422">
        <v>2405</v>
      </c>
      <c r="C5316" s="407">
        <v>15273</v>
      </c>
      <c r="D5316" s="408">
        <v>45439</v>
      </c>
      <c r="E5316" s="406" t="s">
        <v>9900</v>
      </c>
    </row>
    <row r="5317" spans="2:5">
      <c r="B5317" s="422">
        <v>2405</v>
      </c>
      <c r="C5317" s="407">
        <v>15269</v>
      </c>
      <c r="D5317" s="408">
        <v>45439</v>
      </c>
      <c r="E5317" s="406" t="s">
        <v>10009</v>
      </c>
    </row>
    <row r="5318" spans="2:5">
      <c r="B5318" s="422">
        <v>2405</v>
      </c>
      <c r="C5318" s="407">
        <v>15268</v>
      </c>
      <c r="D5318" s="408">
        <v>45439</v>
      </c>
      <c r="E5318" s="406" t="s">
        <v>9901</v>
      </c>
    </row>
    <row r="5319" spans="2:5">
      <c r="B5319" s="422">
        <v>2405</v>
      </c>
      <c r="C5319" s="407">
        <v>15256</v>
      </c>
      <c r="D5319" s="408">
        <v>45439</v>
      </c>
      <c r="E5319" s="406" t="s">
        <v>9902</v>
      </c>
    </row>
    <row r="5320" spans="2:5">
      <c r="B5320" s="422">
        <v>2405</v>
      </c>
      <c r="C5320" s="407">
        <v>15254</v>
      </c>
      <c r="D5320" s="408">
        <v>45439</v>
      </c>
      <c r="E5320" s="406" t="s">
        <v>10010</v>
      </c>
    </row>
    <row r="5321" spans="2:5">
      <c r="B5321" s="422">
        <v>2405</v>
      </c>
      <c r="C5321" s="407">
        <v>15252</v>
      </c>
      <c r="D5321" s="408">
        <v>45439</v>
      </c>
      <c r="E5321" s="406" t="s">
        <v>9903</v>
      </c>
    </row>
    <row r="5322" spans="2:5">
      <c r="B5322" s="422">
        <v>2405</v>
      </c>
      <c r="C5322" s="407">
        <v>15251</v>
      </c>
      <c r="D5322" s="408">
        <v>45439</v>
      </c>
      <c r="E5322" s="406" t="s">
        <v>10011</v>
      </c>
    </row>
    <row r="5323" spans="2:5">
      <c r="B5323" s="422">
        <v>2405</v>
      </c>
      <c r="C5323" s="407">
        <v>15247</v>
      </c>
      <c r="D5323" s="408">
        <v>45439</v>
      </c>
      <c r="E5323" s="406" t="s">
        <v>9904</v>
      </c>
    </row>
    <row r="5324" spans="2:5">
      <c r="B5324" s="422">
        <v>2405</v>
      </c>
      <c r="C5324" s="407">
        <v>15245</v>
      </c>
      <c r="D5324" s="408">
        <v>45439</v>
      </c>
      <c r="E5324" s="406" t="s">
        <v>9905</v>
      </c>
    </row>
    <row r="5325" spans="2:5">
      <c r="B5325" s="422">
        <v>2405</v>
      </c>
      <c r="C5325" s="407">
        <v>15244</v>
      </c>
      <c r="D5325" s="408">
        <v>45439</v>
      </c>
      <c r="E5325" s="406" t="s">
        <v>9906</v>
      </c>
    </row>
    <row r="5326" spans="2:5">
      <c r="B5326" s="422">
        <v>2405</v>
      </c>
      <c r="C5326" s="407">
        <v>15240</v>
      </c>
      <c r="D5326" s="408">
        <v>45439</v>
      </c>
      <c r="E5326" s="406" t="s">
        <v>9907</v>
      </c>
    </row>
    <row r="5327" spans="2:5">
      <c r="B5327" s="422">
        <v>2405</v>
      </c>
      <c r="C5327" s="407">
        <v>15231</v>
      </c>
      <c r="D5327" s="408">
        <v>45439</v>
      </c>
      <c r="E5327" s="406" t="s">
        <v>9908</v>
      </c>
    </row>
    <row r="5328" spans="2:5">
      <c r="B5328" s="422">
        <v>2405</v>
      </c>
      <c r="C5328" s="407">
        <v>15230</v>
      </c>
      <c r="D5328" s="408">
        <v>45439</v>
      </c>
      <c r="E5328" s="406" t="s">
        <v>10012</v>
      </c>
    </row>
    <row r="5329" spans="2:5">
      <c r="B5329" s="422">
        <v>2405</v>
      </c>
      <c r="C5329" s="407">
        <v>15228</v>
      </c>
      <c r="D5329" s="408">
        <v>45439</v>
      </c>
      <c r="E5329" s="406" t="s">
        <v>9909</v>
      </c>
    </row>
    <row r="5330" spans="2:5">
      <c r="B5330" s="422">
        <v>2405</v>
      </c>
      <c r="C5330" s="407">
        <v>15223</v>
      </c>
      <c r="D5330" s="408">
        <v>45439</v>
      </c>
      <c r="E5330" s="406" t="s">
        <v>10013</v>
      </c>
    </row>
    <row r="5331" spans="2:5">
      <c r="B5331" s="422">
        <v>2405</v>
      </c>
      <c r="C5331" s="407">
        <v>15218</v>
      </c>
      <c r="D5331" s="408">
        <v>45439</v>
      </c>
      <c r="E5331" s="406" t="s">
        <v>9910</v>
      </c>
    </row>
    <row r="5332" spans="2:5">
      <c r="B5332" s="422">
        <v>2405</v>
      </c>
      <c r="C5332" s="407">
        <v>15216</v>
      </c>
      <c r="D5332" s="408">
        <v>45439</v>
      </c>
      <c r="E5332" s="406" t="s">
        <v>9911</v>
      </c>
    </row>
    <row r="5333" spans="2:5">
      <c r="B5333" s="422">
        <v>2405</v>
      </c>
      <c r="C5333" s="407">
        <v>15200</v>
      </c>
      <c r="D5333" s="408">
        <v>45439</v>
      </c>
      <c r="E5333" s="406" t="s">
        <v>9912</v>
      </c>
    </row>
    <row r="5334" spans="2:5">
      <c r="B5334" s="422">
        <v>2405</v>
      </c>
      <c r="C5334" s="407">
        <v>15194</v>
      </c>
      <c r="D5334" s="408">
        <v>45439</v>
      </c>
      <c r="E5334" s="406" t="s">
        <v>9913</v>
      </c>
    </row>
    <row r="5335" spans="2:5">
      <c r="B5335" s="422">
        <v>2405</v>
      </c>
      <c r="C5335" s="407">
        <v>15184</v>
      </c>
      <c r="D5335" s="408">
        <v>45439</v>
      </c>
      <c r="E5335" s="406" t="s">
        <v>10014</v>
      </c>
    </row>
    <row r="5336" spans="2:5">
      <c r="B5336" s="422">
        <v>2405</v>
      </c>
      <c r="C5336" s="407">
        <v>15177</v>
      </c>
      <c r="D5336" s="408">
        <v>45439</v>
      </c>
      <c r="E5336" s="406" t="s">
        <v>9914</v>
      </c>
    </row>
    <row r="5337" spans="2:5">
      <c r="B5337" s="422">
        <v>2405</v>
      </c>
      <c r="C5337" s="407">
        <v>15172</v>
      </c>
      <c r="D5337" s="408">
        <v>45439</v>
      </c>
      <c r="E5337" s="406" t="s">
        <v>10015</v>
      </c>
    </row>
    <row r="5338" spans="2:5">
      <c r="B5338" s="422">
        <v>2405</v>
      </c>
      <c r="C5338" s="407">
        <v>15167</v>
      </c>
      <c r="D5338" s="408">
        <v>45439</v>
      </c>
      <c r="E5338" s="406" t="s">
        <v>10016</v>
      </c>
    </row>
    <row r="5339" spans="2:5">
      <c r="B5339" s="422">
        <v>2405</v>
      </c>
      <c r="C5339" s="407">
        <v>15164</v>
      </c>
      <c r="D5339" s="408">
        <v>45439</v>
      </c>
      <c r="E5339" s="406" t="s">
        <v>10017</v>
      </c>
    </row>
    <row r="5340" spans="2:5">
      <c r="B5340" s="422">
        <v>2405</v>
      </c>
      <c r="C5340" s="407">
        <v>15158</v>
      </c>
      <c r="D5340" s="408">
        <v>45439</v>
      </c>
      <c r="E5340" s="406" t="s">
        <v>10018</v>
      </c>
    </row>
    <row r="5341" spans="2:5">
      <c r="B5341" s="422">
        <v>2405</v>
      </c>
      <c r="C5341" s="407">
        <v>15154</v>
      </c>
      <c r="D5341" s="408">
        <v>45439</v>
      </c>
      <c r="E5341" s="406" t="s">
        <v>10019</v>
      </c>
    </row>
    <row r="5342" spans="2:5">
      <c r="B5342" s="422">
        <v>2405</v>
      </c>
      <c r="C5342" s="407">
        <v>15150</v>
      </c>
      <c r="D5342" s="408">
        <v>45439</v>
      </c>
      <c r="E5342" s="406" t="s">
        <v>9915</v>
      </c>
    </row>
    <row r="5343" spans="2:5">
      <c r="B5343" s="422">
        <v>2405</v>
      </c>
      <c r="C5343" s="407">
        <v>15143</v>
      </c>
      <c r="D5343" s="408">
        <v>45439</v>
      </c>
      <c r="E5343" s="406" t="s">
        <v>9916</v>
      </c>
    </row>
    <row r="5344" spans="2:5">
      <c r="B5344" s="422">
        <v>2405</v>
      </c>
      <c r="C5344" s="407">
        <v>15140</v>
      </c>
      <c r="D5344" s="408">
        <v>45439</v>
      </c>
      <c r="E5344" s="406" t="s">
        <v>9917</v>
      </c>
    </row>
    <row r="5345" spans="2:5">
      <c r="B5345" s="422">
        <v>2405</v>
      </c>
      <c r="C5345" s="407">
        <v>15135</v>
      </c>
      <c r="D5345" s="408">
        <v>45439</v>
      </c>
      <c r="E5345" s="406" t="s">
        <v>9918</v>
      </c>
    </row>
    <row r="5346" spans="2:5">
      <c r="B5346" s="422">
        <v>2405</v>
      </c>
      <c r="C5346" s="407">
        <v>15132</v>
      </c>
      <c r="D5346" s="408">
        <v>45439</v>
      </c>
      <c r="E5346" s="406" t="s">
        <v>10020</v>
      </c>
    </row>
    <row r="5347" spans="2:5">
      <c r="B5347" s="422">
        <v>2405</v>
      </c>
      <c r="C5347" s="407">
        <v>15130</v>
      </c>
      <c r="D5347" s="408">
        <v>45439</v>
      </c>
      <c r="E5347" s="406" t="s">
        <v>10021</v>
      </c>
    </row>
    <row r="5348" spans="2:5">
      <c r="B5348" s="422">
        <v>2405</v>
      </c>
      <c r="C5348" s="407">
        <v>15124</v>
      </c>
      <c r="D5348" s="408">
        <v>45439</v>
      </c>
      <c r="E5348" s="406" t="s">
        <v>9919</v>
      </c>
    </row>
    <row r="5349" spans="2:5">
      <c r="B5349" s="422">
        <v>2405</v>
      </c>
      <c r="C5349" s="407">
        <v>15120</v>
      </c>
      <c r="D5349" s="408">
        <v>45439</v>
      </c>
      <c r="E5349" s="406" t="s">
        <v>9920</v>
      </c>
    </row>
    <row r="5350" spans="2:5">
      <c r="B5350" s="422">
        <v>2405</v>
      </c>
      <c r="C5350" s="407">
        <v>15119</v>
      </c>
      <c r="D5350" s="408">
        <v>45439</v>
      </c>
      <c r="E5350" s="406" t="s">
        <v>9921</v>
      </c>
    </row>
    <row r="5351" spans="2:5">
      <c r="B5351" s="422">
        <v>2405</v>
      </c>
      <c r="C5351" s="407">
        <v>15116</v>
      </c>
      <c r="D5351" s="408">
        <v>45439</v>
      </c>
      <c r="E5351" s="406" t="s">
        <v>9922</v>
      </c>
    </row>
    <row r="5352" spans="2:5">
      <c r="B5352" s="422">
        <v>2405</v>
      </c>
      <c r="C5352" s="407">
        <v>15115</v>
      </c>
      <c r="D5352" s="408">
        <v>45439</v>
      </c>
      <c r="E5352" s="406" t="s">
        <v>9923</v>
      </c>
    </row>
    <row r="5353" spans="2:5">
      <c r="B5353" s="422">
        <v>2405</v>
      </c>
      <c r="C5353" s="407">
        <v>15107</v>
      </c>
      <c r="D5353" s="408">
        <v>45439</v>
      </c>
      <c r="E5353" s="406" t="s">
        <v>10022</v>
      </c>
    </row>
    <row r="5354" spans="2:5">
      <c r="B5354" s="422">
        <v>2405</v>
      </c>
      <c r="C5354" s="407">
        <v>15106</v>
      </c>
      <c r="D5354" s="408">
        <v>45439</v>
      </c>
      <c r="E5354" s="406" t="s">
        <v>10025</v>
      </c>
    </row>
    <row r="5355" spans="2:5">
      <c r="B5355" s="422">
        <v>2405</v>
      </c>
      <c r="C5355" s="407">
        <v>15105</v>
      </c>
      <c r="D5355" s="408">
        <v>45439</v>
      </c>
      <c r="E5355" s="406" t="s">
        <v>10024</v>
      </c>
    </row>
    <row r="5356" spans="2:5">
      <c r="B5356" s="422">
        <v>2405</v>
      </c>
      <c r="C5356" s="407">
        <v>15103</v>
      </c>
      <c r="D5356" s="408">
        <v>45439</v>
      </c>
      <c r="E5356" s="49" t="s">
        <v>10023</v>
      </c>
    </row>
    <row r="5357" spans="2:5">
      <c r="B5357" s="422">
        <v>2405</v>
      </c>
      <c r="C5357" s="407">
        <v>15098</v>
      </c>
      <c r="D5357" s="408">
        <v>45439</v>
      </c>
      <c r="E5357" s="406" t="s">
        <v>10026</v>
      </c>
    </row>
    <row r="5358" spans="2:5">
      <c r="B5358" s="422">
        <v>2405</v>
      </c>
      <c r="C5358" s="407">
        <v>15096</v>
      </c>
      <c r="D5358" s="408">
        <v>45439</v>
      </c>
      <c r="E5358" s="406" t="s">
        <v>10027</v>
      </c>
    </row>
    <row r="5359" spans="2:5">
      <c r="B5359" s="422">
        <v>2405</v>
      </c>
      <c r="C5359" s="407">
        <v>15094</v>
      </c>
      <c r="D5359" s="408">
        <v>45439</v>
      </c>
      <c r="E5359" s="406" t="s">
        <v>9924</v>
      </c>
    </row>
    <row r="5360" spans="2:5">
      <c r="B5360" s="422">
        <v>2405</v>
      </c>
      <c r="C5360" s="407">
        <v>15090</v>
      </c>
      <c r="D5360" s="408">
        <v>45439</v>
      </c>
      <c r="E5360" s="406" t="s">
        <v>9925</v>
      </c>
    </row>
    <row r="5361" spans="2:5">
      <c r="B5361" s="422">
        <v>2405</v>
      </c>
      <c r="C5361" s="407">
        <v>15084</v>
      </c>
      <c r="D5361" s="408">
        <v>45439</v>
      </c>
      <c r="E5361" s="406" t="s">
        <v>10028</v>
      </c>
    </row>
    <row r="5362" spans="2:5">
      <c r="B5362" s="422">
        <v>2405</v>
      </c>
      <c r="C5362" s="407">
        <v>15081</v>
      </c>
      <c r="D5362" s="408">
        <v>45439</v>
      </c>
      <c r="E5362" s="406" t="s">
        <v>9926</v>
      </c>
    </row>
    <row r="5363" spans="2:5">
      <c r="B5363" s="422">
        <v>2405</v>
      </c>
      <c r="C5363" s="407">
        <v>15079</v>
      </c>
      <c r="D5363" s="408">
        <v>45439</v>
      </c>
      <c r="E5363" s="406" t="s">
        <v>9927</v>
      </c>
    </row>
    <row r="5364" spans="2:5">
      <c r="B5364" s="422">
        <v>2405</v>
      </c>
      <c r="C5364" s="407">
        <v>15074</v>
      </c>
      <c r="D5364" s="408">
        <v>45439</v>
      </c>
      <c r="E5364" s="406" t="s">
        <v>10029</v>
      </c>
    </row>
    <row r="5365" spans="2:5">
      <c r="B5365" s="422">
        <v>2405</v>
      </c>
      <c r="C5365" s="407">
        <v>15065</v>
      </c>
      <c r="D5365" s="408">
        <v>45439</v>
      </c>
      <c r="E5365" s="406" t="s">
        <v>9928</v>
      </c>
    </row>
    <row r="5366" spans="2:5">
      <c r="B5366" s="422">
        <v>2405</v>
      </c>
      <c r="C5366" s="407">
        <v>15063</v>
      </c>
      <c r="D5366" s="408">
        <v>45439</v>
      </c>
      <c r="E5366" s="406" t="s">
        <v>9929</v>
      </c>
    </row>
    <row r="5367" spans="2:5">
      <c r="B5367" s="422">
        <v>2405</v>
      </c>
      <c r="C5367" s="407">
        <v>15062</v>
      </c>
      <c r="D5367" s="408">
        <v>45439</v>
      </c>
      <c r="E5367" s="406" t="s">
        <v>9930</v>
      </c>
    </row>
    <row r="5368" spans="2:5">
      <c r="B5368" s="422">
        <v>2405</v>
      </c>
      <c r="C5368" s="407">
        <v>15059</v>
      </c>
      <c r="D5368" s="408">
        <v>45439</v>
      </c>
      <c r="E5368" s="406" t="s">
        <v>9931</v>
      </c>
    </row>
    <row r="5369" spans="2:5">
      <c r="B5369" s="422">
        <v>2405</v>
      </c>
      <c r="C5369" s="407">
        <v>15056</v>
      </c>
      <c r="D5369" s="408">
        <v>45439</v>
      </c>
      <c r="E5369" s="406" t="s">
        <v>9932</v>
      </c>
    </row>
    <row r="5370" spans="2:5">
      <c r="B5370" s="422">
        <v>2405</v>
      </c>
      <c r="C5370" s="407">
        <v>15055</v>
      </c>
      <c r="D5370" s="408">
        <v>45439</v>
      </c>
      <c r="E5370" s="406" t="s">
        <v>9933</v>
      </c>
    </row>
    <row r="5371" spans="2:5">
      <c r="B5371" s="422">
        <v>2405</v>
      </c>
      <c r="C5371" s="407">
        <v>15054</v>
      </c>
      <c r="D5371" s="408">
        <v>45439</v>
      </c>
      <c r="E5371" s="406" t="s">
        <v>10030</v>
      </c>
    </row>
    <row r="5372" spans="2:5">
      <c r="B5372" s="422">
        <v>2405</v>
      </c>
      <c r="C5372" s="407">
        <v>15052</v>
      </c>
      <c r="D5372" s="408">
        <v>45439</v>
      </c>
      <c r="E5372" s="406" t="s">
        <v>9934</v>
      </c>
    </row>
    <row r="5373" spans="2:5">
      <c r="B5373" s="422">
        <v>2405</v>
      </c>
      <c r="C5373" s="407">
        <v>15050</v>
      </c>
      <c r="D5373" s="408">
        <v>45439</v>
      </c>
      <c r="E5373" s="406" t="s">
        <v>10031</v>
      </c>
    </row>
    <row r="5374" spans="2:5">
      <c r="B5374" s="422">
        <v>2405</v>
      </c>
      <c r="C5374" s="407">
        <v>15047</v>
      </c>
      <c r="D5374" s="408">
        <v>45439</v>
      </c>
      <c r="E5374" s="406" t="s">
        <v>9935</v>
      </c>
    </row>
    <row r="5375" spans="2:5">
      <c r="B5375" s="422">
        <v>2405</v>
      </c>
      <c r="C5375" s="407">
        <v>15039</v>
      </c>
      <c r="D5375" s="408">
        <v>45439</v>
      </c>
      <c r="E5375" s="406" t="s">
        <v>10032</v>
      </c>
    </row>
    <row r="5376" spans="2:5">
      <c r="B5376" s="422">
        <v>2405</v>
      </c>
      <c r="C5376" s="407">
        <v>15036</v>
      </c>
      <c r="D5376" s="408">
        <v>45439</v>
      </c>
      <c r="E5376" s="406" t="s">
        <v>10033</v>
      </c>
    </row>
    <row r="5377" spans="2:5">
      <c r="B5377" s="422">
        <v>2405</v>
      </c>
      <c r="C5377" s="407">
        <v>15031</v>
      </c>
      <c r="D5377" s="408">
        <v>45439</v>
      </c>
      <c r="E5377" s="406" t="s">
        <v>9936</v>
      </c>
    </row>
    <row r="5378" spans="2:5">
      <c r="B5378" s="422">
        <v>2405</v>
      </c>
      <c r="C5378" s="407">
        <v>15025</v>
      </c>
      <c r="D5378" s="408">
        <v>45439</v>
      </c>
      <c r="E5378" s="406" t="s">
        <v>9937</v>
      </c>
    </row>
    <row r="5379" spans="2:5">
      <c r="B5379" s="422">
        <v>2405</v>
      </c>
      <c r="C5379" s="407">
        <v>15019</v>
      </c>
      <c r="D5379" s="408">
        <v>45439</v>
      </c>
      <c r="E5379" s="406" t="s">
        <v>10034</v>
      </c>
    </row>
    <row r="5380" spans="2:5">
      <c r="B5380" s="422">
        <v>2405</v>
      </c>
      <c r="C5380" s="407">
        <v>15018</v>
      </c>
      <c r="D5380" s="408">
        <v>45439</v>
      </c>
      <c r="E5380" s="406" t="s">
        <v>9938</v>
      </c>
    </row>
    <row r="5381" spans="2:5">
      <c r="B5381" s="422">
        <v>2405</v>
      </c>
      <c r="C5381" s="407">
        <v>15013</v>
      </c>
      <c r="D5381" s="408">
        <v>45439</v>
      </c>
      <c r="E5381" s="49" t="s">
        <v>9939</v>
      </c>
    </row>
    <row r="5382" spans="2:5">
      <c r="B5382" s="422">
        <v>2405</v>
      </c>
      <c r="C5382" s="407">
        <v>15012</v>
      </c>
      <c r="D5382" s="408">
        <v>45439</v>
      </c>
      <c r="E5382" s="406" t="s">
        <v>10035</v>
      </c>
    </row>
    <row r="5383" spans="2:5">
      <c r="B5383" s="422">
        <v>2405</v>
      </c>
      <c r="C5383" s="407">
        <v>15010</v>
      </c>
      <c r="D5383" s="408">
        <v>45439</v>
      </c>
      <c r="E5383" s="406" t="s">
        <v>9940</v>
      </c>
    </row>
    <row r="5384" spans="2:5">
      <c r="B5384" s="422">
        <v>2405</v>
      </c>
      <c r="C5384" s="407">
        <v>15007</v>
      </c>
      <c r="D5384" s="408">
        <v>45439</v>
      </c>
      <c r="E5384" s="406" t="s">
        <v>10036</v>
      </c>
    </row>
    <row r="5385" spans="2:5">
      <c r="B5385" s="422">
        <v>2405</v>
      </c>
      <c r="C5385" s="407">
        <v>15006</v>
      </c>
      <c r="D5385" s="408">
        <v>45439</v>
      </c>
      <c r="E5385" s="406" t="s">
        <v>9941</v>
      </c>
    </row>
    <row r="5386" spans="2:5">
      <c r="B5386" s="422">
        <v>2405</v>
      </c>
      <c r="C5386" s="407">
        <v>15002</v>
      </c>
      <c r="D5386" s="408">
        <v>45439</v>
      </c>
      <c r="E5386" s="406" t="s">
        <v>9942</v>
      </c>
    </row>
    <row r="5387" spans="2:5">
      <c r="B5387" s="422">
        <v>2405</v>
      </c>
      <c r="C5387" s="407">
        <v>14995</v>
      </c>
      <c r="D5387" s="408">
        <v>45439</v>
      </c>
      <c r="E5387" s="406" t="s">
        <v>10037</v>
      </c>
    </row>
    <row r="5388" spans="2:5">
      <c r="B5388" s="422">
        <v>2405</v>
      </c>
      <c r="C5388" s="407">
        <v>14992</v>
      </c>
      <c r="D5388" s="408">
        <v>45439</v>
      </c>
      <c r="E5388" s="406" t="s">
        <v>10038</v>
      </c>
    </row>
    <row r="5389" spans="2:5">
      <c r="B5389" s="422">
        <v>2405</v>
      </c>
      <c r="C5389" s="407">
        <v>14986</v>
      </c>
      <c r="D5389" s="408">
        <v>45439</v>
      </c>
      <c r="E5389" s="406" t="s">
        <v>10039</v>
      </c>
    </row>
    <row r="5390" spans="2:5">
      <c r="B5390" s="422">
        <v>2405</v>
      </c>
      <c r="C5390" s="407">
        <v>14982</v>
      </c>
      <c r="D5390" s="408">
        <v>45439</v>
      </c>
      <c r="E5390" s="406" t="s">
        <v>9943</v>
      </c>
    </row>
    <row r="5391" spans="2:5">
      <c r="B5391" s="422">
        <v>2405</v>
      </c>
      <c r="C5391" s="407">
        <v>14981</v>
      </c>
      <c r="D5391" s="408">
        <v>45439</v>
      </c>
      <c r="E5391" s="406" t="s">
        <v>9944</v>
      </c>
    </row>
    <row r="5392" spans="2:5">
      <c r="B5392" s="422">
        <v>2405</v>
      </c>
      <c r="C5392" s="407">
        <v>14973</v>
      </c>
      <c r="D5392" s="408">
        <v>45439</v>
      </c>
      <c r="E5392" s="406" t="s">
        <v>9945</v>
      </c>
    </row>
    <row r="5393" spans="2:5">
      <c r="B5393" s="422">
        <v>2405</v>
      </c>
      <c r="C5393" s="407">
        <v>14961</v>
      </c>
      <c r="D5393" s="408">
        <v>45439</v>
      </c>
      <c r="E5393" s="406" t="s">
        <v>10040</v>
      </c>
    </row>
    <row r="5394" spans="2:5">
      <c r="B5394" s="422">
        <v>2405</v>
      </c>
      <c r="C5394" s="407">
        <v>14957</v>
      </c>
      <c r="D5394" s="408">
        <v>45439</v>
      </c>
      <c r="E5394" s="406" t="s">
        <v>9946</v>
      </c>
    </row>
    <row r="5395" spans="2:5">
      <c r="B5395" s="422">
        <v>2405</v>
      </c>
      <c r="C5395" s="407">
        <v>14956</v>
      </c>
      <c r="D5395" s="408">
        <v>45439</v>
      </c>
      <c r="E5395" s="406" t="s">
        <v>10041</v>
      </c>
    </row>
    <row r="5396" spans="2:5">
      <c r="B5396" s="422">
        <v>2405</v>
      </c>
      <c r="C5396" s="407">
        <v>14953</v>
      </c>
      <c r="D5396" s="408">
        <v>45439</v>
      </c>
      <c r="E5396" s="406" t="s">
        <v>9947</v>
      </c>
    </row>
    <row r="5397" spans="2:5">
      <c r="B5397" s="422">
        <v>2405</v>
      </c>
      <c r="C5397" s="407">
        <v>14932</v>
      </c>
      <c r="D5397" s="408">
        <v>45439</v>
      </c>
      <c r="E5397" s="406" t="s">
        <v>9948</v>
      </c>
    </row>
    <row r="5398" spans="2:5">
      <c r="B5398" s="422">
        <v>2405</v>
      </c>
      <c r="C5398" s="407">
        <v>14930</v>
      </c>
      <c r="D5398" s="408">
        <v>45439</v>
      </c>
      <c r="E5398" s="406" t="s">
        <v>10042</v>
      </c>
    </row>
    <row r="5399" spans="2:5">
      <c r="B5399" s="422">
        <v>2405</v>
      </c>
      <c r="C5399" s="407">
        <v>14925</v>
      </c>
      <c r="D5399" s="408">
        <v>45439</v>
      </c>
      <c r="E5399" s="406" t="s">
        <v>10043</v>
      </c>
    </row>
    <row r="5400" spans="2:5">
      <c r="B5400" s="422">
        <v>2405</v>
      </c>
      <c r="C5400" s="407">
        <v>14923</v>
      </c>
      <c r="D5400" s="408">
        <v>45439</v>
      </c>
      <c r="E5400" s="406" t="s">
        <v>9949</v>
      </c>
    </row>
    <row r="5401" spans="2:5">
      <c r="B5401" s="422">
        <v>2405</v>
      </c>
      <c r="C5401" s="407">
        <v>14918</v>
      </c>
      <c r="D5401" s="408">
        <v>45439</v>
      </c>
      <c r="E5401" s="406" t="s">
        <v>9950</v>
      </c>
    </row>
    <row r="5402" spans="2:5">
      <c r="B5402" s="422">
        <v>2405</v>
      </c>
      <c r="C5402" s="407">
        <v>14917</v>
      </c>
      <c r="D5402" s="408">
        <v>45439</v>
      </c>
      <c r="E5402" s="406" t="s">
        <v>9951</v>
      </c>
    </row>
    <row r="5403" spans="2:5">
      <c r="B5403" s="422">
        <v>2405</v>
      </c>
      <c r="C5403" s="407">
        <v>14913</v>
      </c>
      <c r="D5403" s="408">
        <v>45439</v>
      </c>
      <c r="E5403" s="406" t="s">
        <v>10044</v>
      </c>
    </row>
    <row r="5404" spans="2:5">
      <c r="B5404" s="422">
        <v>2405</v>
      </c>
      <c r="C5404" s="407">
        <v>14908</v>
      </c>
      <c r="D5404" s="408">
        <v>45439</v>
      </c>
      <c r="E5404" s="406" t="s">
        <v>9952</v>
      </c>
    </row>
    <row r="5405" spans="2:5">
      <c r="B5405" s="422">
        <v>2405</v>
      </c>
      <c r="C5405" s="407">
        <v>14900</v>
      </c>
      <c r="D5405" s="408">
        <v>45439</v>
      </c>
      <c r="E5405" s="406" t="s">
        <v>10045</v>
      </c>
    </row>
    <row r="5406" spans="2:5">
      <c r="B5406" s="422">
        <v>2405</v>
      </c>
      <c r="C5406" s="407">
        <v>14899</v>
      </c>
      <c r="D5406" s="408">
        <v>45439</v>
      </c>
      <c r="E5406" s="406" t="s">
        <v>10046</v>
      </c>
    </row>
    <row r="5407" spans="2:5">
      <c r="B5407" s="422">
        <v>2405</v>
      </c>
      <c r="C5407" s="407">
        <v>14896</v>
      </c>
      <c r="D5407" s="408">
        <v>45439</v>
      </c>
      <c r="E5407" s="406" t="s">
        <v>10047</v>
      </c>
    </row>
    <row r="5408" spans="2:5">
      <c r="B5408" s="422">
        <v>2405</v>
      </c>
      <c r="C5408" s="407">
        <v>14893</v>
      </c>
      <c r="D5408" s="408">
        <v>45439</v>
      </c>
      <c r="E5408" s="406" t="s">
        <v>9953</v>
      </c>
    </row>
    <row r="5409" spans="2:5">
      <c r="B5409" s="422">
        <v>2405</v>
      </c>
      <c r="C5409" s="407">
        <v>14891</v>
      </c>
      <c r="D5409" s="408">
        <v>45439</v>
      </c>
      <c r="E5409" s="406" t="s">
        <v>10048</v>
      </c>
    </row>
    <row r="5410" spans="2:5">
      <c r="B5410" s="422">
        <v>2405</v>
      </c>
      <c r="C5410" s="407">
        <v>14885</v>
      </c>
      <c r="D5410" s="408">
        <v>45439</v>
      </c>
      <c r="E5410" s="406" t="s">
        <v>9954</v>
      </c>
    </row>
    <row r="5411" spans="2:5">
      <c r="B5411" s="422">
        <v>2405</v>
      </c>
      <c r="C5411" s="407">
        <v>14878</v>
      </c>
      <c r="D5411" s="408">
        <v>45439</v>
      </c>
      <c r="E5411" s="406" t="s">
        <v>10049</v>
      </c>
    </row>
    <row r="5412" spans="2:5">
      <c r="B5412" s="422">
        <v>2405</v>
      </c>
      <c r="C5412" s="407">
        <v>14877</v>
      </c>
      <c r="D5412" s="408">
        <v>45439</v>
      </c>
      <c r="E5412" s="406" t="s">
        <v>10050</v>
      </c>
    </row>
    <row r="5413" spans="2:5">
      <c r="B5413" s="409">
        <v>2405</v>
      </c>
      <c r="C5413" s="409">
        <v>14785</v>
      </c>
      <c r="D5413" s="410">
        <v>45448</v>
      </c>
      <c r="E5413" s="49" t="s">
        <v>11524</v>
      </c>
    </row>
    <row r="5414" spans="2:5">
      <c r="B5414" s="422">
        <v>2405</v>
      </c>
      <c r="C5414" s="422">
        <v>14156</v>
      </c>
      <c r="D5414" s="408">
        <v>45453</v>
      </c>
      <c r="E5414" s="420" t="s">
        <v>12502</v>
      </c>
    </row>
    <row r="5415" spans="2:5">
      <c r="B5415" s="422">
        <v>2405</v>
      </c>
      <c r="C5415" s="422">
        <v>14105</v>
      </c>
      <c r="D5415" s="408">
        <v>45472</v>
      </c>
      <c r="E5415" s="430" t="s">
        <v>12858</v>
      </c>
    </row>
    <row r="5416" spans="2:5">
      <c r="B5416" s="422">
        <v>2405</v>
      </c>
      <c r="C5416" s="407">
        <v>14018</v>
      </c>
      <c r="D5416" s="408">
        <v>45440</v>
      </c>
      <c r="E5416" s="406" t="s">
        <v>10477</v>
      </c>
    </row>
    <row r="5417" spans="2:5">
      <c r="B5417" s="422">
        <v>2405</v>
      </c>
      <c r="C5417" s="407">
        <v>13554</v>
      </c>
      <c r="D5417" s="408">
        <v>45453</v>
      </c>
      <c r="E5417" s="419" t="s">
        <v>12398</v>
      </c>
    </row>
    <row r="5418" spans="2:5">
      <c r="B5418" s="422">
        <v>2405</v>
      </c>
      <c r="C5418" s="407">
        <v>11290</v>
      </c>
      <c r="D5418" s="408">
        <v>45472</v>
      </c>
      <c r="E5418" s="430" t="s">
        <v>12838</v>
      </c>
    </row>
    <row r="5419" spans="2:5">
      <c r="B5419" s="422">
        <v>2405</v>
      </c>
      <c r="C5419" s="407">
        <v>11093</v>
      </c>
      <c r="D5419" s="408">
        <v>45453</v>
      </c>
      <c r="E5419" s="419" t="s">
        <v>12412</v>
      </c>
    </row>
    <row r="5420" spans="2:5">
      <c r="B5420" s="422">
        <v>2405</v>
      </c>
      <c r="C5420" s="407">
        <v>8498</v>
      </c>
      <c r="D5420" s="408">
        <v>45472</v>
      </c>
      <c r="E5420" s="430" t="s">
        <v>12899</v>
      </c>
    </row>
    <row r="5421" spans="2:5">
      <c r="B5421" s="422">
        <v>2405</v>
      </c>
      <c r="C5421" s="407">
        <v>8005</v>
      </c>
      <c r="D5421" s="408">
        <v>45450</v>
      </c>
      <c r="E5421" s="420" t="s">
        <v>11766</v>
      </c>
    </row>
    <row r="5422" spans="2:5">
      <c r="B5422" s="422">
        <v>2405</v>
      </c>
      <c r="C5422" s="407">
        <v>3913</v>
      </c>
      <c r="D5422" s="408">
        <v>45472</v>
      </c>
      <c r="E5422" s="430" t="s">
        <v>12866</v>
      </c>
    </row>
    <row r="5423" spans="2:5">
      <c r="B5423" s="422">
        <v>2405</v>
      </c>
      <c r="C5423" s="407">
        <v>3865</v>
      </c>
      <c r="D5423" s="408">
        <v>45450</v>
      </c>
      <c r="E5423" s="420" t="s">
        <v>11767</v>
      </c>
    </row>
    <row r="5424" spans="2:5">
      <c r="B5424" s="422">
        <v>2405</v>
      </c>
      <c r="C5424" s="407">
        <v>2525</v>
      </c>
      <c r="D5424" s="408">
        <v>45453</v>
      </c>
      <c r="E5424" s="420" t="s">
        <v>12513</v>
      </c>
    </row>
    <row r="5425" spans="2:5">
      <c r="B5425" s="422">
        <v>2405</v>
      </c>
      <c r="C5425" s="407">
        <v>1107</v>
      </c>
      <c r="D5425" s="408">
        <v>45453</v>
      </c>
      <c r="E5425" s="420" t="s">
        <v>12523</v>
      </c>
    </row>
    <row r="5426" spans="2:5">
      <c r="B5426" s="409">
        <v>2404</v>
      </c>
      <c r="C5426" s="409">
        <v>19227</v>
      </c>
      <c r="D5426" s="410">
        <v>45453</v>
      </c>
      <c r="E5426" s="424" t="s">
        <v>12451</v>
      </c>
    </row>
    <row r="5427" spans="2:5">
      <c r="B5427" s="422">
        <v>2404</v>
      </c>
      <c r="C5427" s="407">
        <v>18383</v>
      </c>
      <c r="D5427" s="408">
        <v>45472</v>
      </c>
      <c r="E5427" s="430" t="s">
        <v>12906</v>
      </c>
    </row>
    <row r="5428" spans="2:5">
      <c r="B5428" s="422">
        <v>2404</v>
      </c>
      <c r="C5428" s="407">
        <v>8458</v>
      </c>
      <c r="D5428" s="408">
        <v>45453</v>
      </c>
      <c r="E5428" s="420" t="s">
        <v>12434</v>
      </c>
    </row>
    <row r="5429" spans="2:5">
      <c r="B5429" s="422">
        <v>2404</v>
      </c>
      <c r="C5429" s="407">
        <v>7593</v>
      </c>
      <c r="D5429" s="408">
        <v>45453</v>
      </c>
      <c r="E5429" s="420" t="s">
        <v>12457</v>
      </c>
    </row>
    <row r="5430" spans="2:5">
      <c r="B5430" s="422">
        <v>2404</v>
      </c>
      <c r="C5430" s="407">
        <v>7049</v>
      </c>
      <c r="D5430" s="408">
        <v>45472</v>
      </c>
      <c r="E5430" s="430" t="s">
        <v>12905</v>
      </c>
    </row>
    <row r="5431" spans="2:5">
      <c r="B5431" s="422">
        <v>2404</v>
      </c>
      <c r="C5431" s="407">
        <v>5564</v>
      </c>
      <c r="D5431" s="408">
        <v>45472</v>
      </c>
      <c r="E5431" s="430" t="s">
        <v>12843</v>
      </c>
    </row>
    <row r="5432" spans="2:5">
      <c r="B5432" s="422">
        <v>2404</v>
      </c>
      <c r="C5432" s="407">
        <v>3189</v>
      </c>
      <c r="D5432" s="408">
        <v>45453</v>
      </c>
      <c r="E5432" s="420" t="s">
        <v>12512</v>
      </c>
    </row>
    <row r="5433" spans="2:5">
      <c r="B5433" s="422">
        <v>2404</v>
      </c>
      <c r="C5433" s="407">
        <v>1490</v>
      </c>
      <c r="D5433" s="408">
        <v>45453</v>
      </c>
      <c r="E5433" s="420" t="s">
        <v>12458</v>
      </c>
    </row>
    <row r="5434" spans="2:5">
      <c r="B5434" s="422">
        <v>2404</v>
      </c>
      <c r="C5434" s="407">
        <v>548</v>
      </c>
      <c r="D5434" s="408">
        <v>45472</v>
      </c>
      <c r="E5434" s="430" t="s">
        <v>12891</v>
      </c>
    </row>
    <row r="5435" spans="2:5">
      <c r="B5435" s="422">
        <v>2403</v>
      </c>
      <c r="C5435" s="407">
        <v>19369</v>
      </c>
      <c r="D5435" s="408">
        <v>45453</v>
      </c>
      <c r="E5435" s="420" t="s">
        <v>12489</v>
      </c>
    </row>
    <row r="5436" spans="2:5">
      <c r="B5436" s="422">
        <v>2403</v>
      </c>
      <c r="C5436" s="407">
        <v>11062</v>
      </c>
      <c r="D5436" s="408">
        <v>45472</v>
      </c>
      <c r="E5436" s="430" t="s">
        <v>12841</v>
      </c>
    </row>
    <row r="5437" spans="2:5">
      <c r="B5437" s="422">
        <v>2403</v>
      </c>
      <c r="C5437" s="407">
        <v>7750</v>
      </c>
      <c r="D5437" s="408">
        <v>45453</v>
      </c>
      <c r="E5437" s="420" t="s">
        <v>12507</v>
      </c>
    </row>
    <row r="5438" spans="2:5">
      <c r="B5438" s="422">
        <v>2403</v>
      </c>
      <c r="C5438" s="407">
        <v>4173</v>
      </c>
      <c r="D5438" s="408">
        <v>45453</v>
      </c>
      <c r="E5438" s="420" t="s">
        <v>12433</v>
      </c>
    </row>
    <row r="5439" spans="2:5">
      <c r="B5439" s="422">
        <v>2403</v>
      </c>
      <c r="C5439" s="407">
        <v>1444</v>
      </c>
      <c r="D5439" s="408">
        <v>45453</v>
      </c>
      <c r="E5439" s="420" t="s">
        <v>12445</v>
      </c>
    </row>
    <row r="5440" spans="2:5">
      <c r="B5440" s="422">
        <v>2402</v>
      </c>
      <c r="C5440" s="407">
        <v>17887</v>
      </c>
      <c r="D5440" s="408">
        <v>45472</v>
      </c>
      <c r="E5440" s="430" t="s">
        <v>12902</v>
      </c>
    </row>
    <row r="5441" spans="2:5">
      <c r="B5441" s="422">
        <v>2402</v>
      </c>
      <c r="C5441" s="407">
        <v>15478</v>
      </c>
      <c r="D5441" s="408">
        <v>45453</v>
      </c>
      <c r="E5441" s="420" t="s">
        <v>12483</v>
      </c>
    </row>
    <row r="5442" spans="2:5">
      <c r="B5442" s="422">
        <v>2402</v>
      </c>
      <c r="C5442" s="407">
        <v>12976</v>
      </c>
      <c r="D5442" s="408">
        <v>45453</v>
      </c>
      <c r="E5442" s="420" t="s">
        <v>12467</v>
      </c>
    </row>
    <row r="5443" spans="2:5">
      <c r="B5443" s="409">
        <v>2402</v>
      </c>
      <c r="C5443" s="409">
        <v>12908</v>
      </c>
      <c r="D5443" s="410">
        <v>45448</v>
      </c>
      <c r="E5443" s="49" t="s">
        <v>11525</v>
      </c>
    </row>
    <row r="5444" spans="2:5">
      <c r="B5444" s="422">
        <v>2402</v>
      </c>
      <c r="C5444" s="422">
        <v>15393</v>
      </c>
      <c r="D5444" s="423">
        <v>45453</v>
      </c>
      <c r="E5444" s="419" t="s">
        <v>12385</v>
      </c>
    </row>
    <row r="5445" spans="2:5">
      <c r="B5445" s="422">
        <v>2402</v>
      </c>
      <c r="C5445" s="422">
        <v>13903</v>
      </c>
      <c r="D5445" s="423">
        <v>45453</v>
      </c>
      <c r="E5445" s="420" t="s">
        <v>12448</v>
      </c>
    </row>
    <row r="5446" spans="2:5">
      <c r="B5446" s="422">
        <v>2402</v>
      </c>
      <c r="C5446" s="422">
        <v>13852</v>
      </c>
      <c r="D5446" s="423">
        <v>45453</v>
      </c>
      <c r="E5446" s="420" t="s">
        <v>12528</v>
      </c>
    </row>
    <row r="5447" spans="2:5">
      <c r="B5447" s="422">
        <v>2402</v>
      </c>
      <c r="C5447" s="422">
        <v>12767</v>
      </c>
      <c r="D5447" s="423">
        <v>45453</v>
      </c>
      <c r="E5447" s="420" t="s">
        <v>12533</v>
      </c>
    </row>
    <row r="5448" spans="2:5">
      <c r="B5448" s="422">
        <v>2402</v>
      </c>
      <c r="C5448" s="422">
        <v>12055</v>
      </c>
      <c r="D5448" s="423">
        <v>45472</v>
      </c>
      <c r="E5448" s="430" t="s">
        <v>12877</v>
      </c>
    </row>
    <row r="5449" spans="2:5">
      <c r="B5449" s="422">
        <v>2402</v>
      </c>
      <c r="C5449" s="422">
        <v>11968</v>
      </c>
      <c r="D5449" s="423">
        <v>45453</v>
      </c>
      <c r="E5449" s="420" t="s">
        <v>12484</v>
      </c>
    </row>
    <row r="5450" spans="2:5">
      <c r="B5450" s="422">
        <v>2402</v>
      </c>
      <c r="C5450" s="422">
        <v>11753</v>
      </c>
      <c r="D5450" s="423">
        <v>45453</v>
      </c>
      <c r="E5450" s="420" t="s">
        <v>12383</v>
      </c>
    </row>
    <row r="5451" spans="2:5">
      <c r="B5451" s="422">
        <v>2402</v>
      </c>
      <c r="C5451" s="422">
        <v>11709</v>
      </c>
      <c r="D5451" s="423">
        <v>45453</v>
      </c>
      <c r="E5451" s="420" t="s">
        <v>12447</v>
      </c>
    </row>
    <row r="5452" spans="2:5">
      <c r="B5452" s="422">
        <v>2402</v>
      </c>
      <c r="C5452" s="422">
        <v>11658</v>
      </c>
      <c r="D5452" s="423">
        <v>45472</v>
      </c>
      <c r="E5452" s="430" t="s">
        <v>12864</v>
      </c>
    </row>
    <row r="5453" spans="2:5">
      <c r="B5453" s="422">
        <v>2402</v>
      </c>
      <c r="C5453" s="422">
        <v>11224</v>
      </c>
      <c r="D5453" s="423">
        <v>45453</v>
      </c>
      <c r="E5453" s="420" t="s">
        <v>12554</v>
      </c>
    </row>
    <row r="5454" spans="2:5">
      <c r="B5454" s="422">
        <v>2402</v>
      </c>
      <c r="C5454" s="422">
        <v>7933</v>
      </c>
      <c r="D5454" s="423">
        <v>45453</v>
      </c>
      <c r="E5454" s="420" t="s">
        <v>12535</v>
      </c>
    </row>
    <row r="5455" spans="2:5">
      <c r="B5455" s="422">
        <v>2402</v>
      </c>
      <c r="C5455" s="422">
        <v>5758</v>
      </c>
      <c r="D5455" s="423">
        <v>45472</v>
      </c>
      <c r="E5455" s="430" t="s">
        <v>12887</v>
      </c>
    </row>
    <row r="5456" spans="2:5">
      <c r="B5456" s="422">
        <v>2402</v>
      </c>
      <c r="C5456" s="422">
        <v>5187</v>
      </c>
      <c r="D5456" s="423">
        <v>45453</v>
      </c>
      <c r="E5456" s="420" t="s">
        <v>12414</v>
      </c>
    </row>
    <row r="5457" spans="2:7">
      <c r="B5457" s="422">
        <v>2402</v>
      </c>
      <c r="C5457" s="422">
        <v>5044</v>
      </c>
      <c r="D5457" s="423">
        <v>45453</v>
      </c>
      <c r="E5457" s="420" t="s">
        <v>12510</v>
      </c>
    </row>
    <row r="5458" spans="2:7">
      <c r="B5458" s="422">
        <v>2402</v>
      </c>
      <c r="C5458" s="422">
        <v>4376</v>
      </c>
      <c r="D5458" s="423">
        <v>45472</v>
      </c>
      <c r="E5458" s="430" t="s">
        <v>12856</v>
      </c>
    </row>
    <row r="5459" spans="2:7">
      <c r="B5459" s="422">
        <v>2402</v>
      </c>
      <c r="C5459" s="422">
        <v>2172</v>
      </c>
      <c r="D5459" s="423">
        <v>45472</v>
      </c>
      <c r="E5459" s="430" t="s">
        <v>12927</v>
      </c>
    </row>
    <row r="5460" spans="2:7">
      <c r="B5460" s="422">
        <v>2402</v>
      </c>
      <c r="C5460" s="422">
        <v>712</v>
      </c>
      <c r="D5460" s="423">
        <v>45453</v>
      </c>
      <c r="E5460" s="420" t="s">
        <v>12496</v>
      </c>
    </row>
    <row r="5461" spans="2:7">
      <c r="B5461" s="422">
        <v>2402</v>
      </c>
      <c r="C5461" s="422">
        <v>534</v>
      </c>
      <c r="D5461" s="423">
        <v>45453</v>
      </c>
      <c r="E5461" s="420" t="s">
        <v>12549</v>
      </c>
    </row>
    <row r="5462" spans="2:7">
      <c r="B5462" s="422">
        <v>2402</v>
      </c>
      <c r="C5462" s="422">
        <v>93</v>
      </c>
      <c r="D5462" s="423">
        <v>45472</v>
      </c>
      <c r="E5462" s="430" t="s">
        <v>12817</v>
      </c>
    </row>
    <row r="5463" spans="2:7">
      <c r="B5463" s="422">
        <v>2402</v>
      </c>
      <c r="C5463" s="422">
        <v>35</v>
      </c>
      <c r="D5463" s="423">
        <v>45472</v>
      </c>
      <c r="E5463" s="430" t="s">
        <v>12855</v>
      </c>
    </row>
    <row r="5464" spans="2:7">
      <c r="B5464" s="422">
        <v>2401</v>
      </c>
      <c r="C5464" s="422">
        <v>17019</v>
      </c>
      <c r="D5464" s="423">
        <v>45453</v>
      </c>
      <c r="E5464" s="420" t="s">
        <v>12435</v>
      </c>
    </row>
    <row r="5465" spans="2:7">
      <c r="B5465" s="422">
        <v>2401</v>
      </c>
      <c r="C5465" s="422">
        <v>16845</v>
      </c>
      <c r="D5465" s="423">
        <v>45453</v>
      </c>
      <c r="E5465" s="420" t="s">
        <v>12425</v>
      </c>
    </row>
    <row r="5466" spans="2:7">
      <c r="B5466" s="422">
        <v>2401</v>
      </c>
      <c r="C5466" s="422">
        <v>13699</v>
      </c>
      <c r="D5466" s="423">
        <v>45472</v>
      </c>
      <c r="E5466" s="430" t="s">
        <v>12926</v>
      </c>
    </row>
    <row r="5467" spans="2:7">
      <c r="B5467" s="409">
        <v>2401</v>
      </c>
      <c r="C5467" s="409">
        <v>11708</v>
      </c>
      <c r="D5467" s="410">
        <v>45448</v>
      </c>
      <c r="E5467" s="49" t="s">
        <v>11526</v>
      </c>
    </row>
    <row r="5468" spans="2:7">
      <c r="B5468" s="422">
        <v>2401</v>
      </c>
      <c r="C5468" s="422">
        <v>7844</v>
      </c>
      <c r="D5468" s="423">
        <v>45453</v>
      </c>
      <c r="E5468" s="420" t="s">
        <v>12480</v>
      </c>
      <c r="F5468" s="49"/>
      <c r="G5468" s="49"/>
    </row>
    <row r="5469" spans="2:7">
      <c r="B5469" s="422">
        <v>2401</v>
      </c>
      <c r="C5469" s="422">
        <v>3811</v>
      </c>
      <c r="D5469" s="423">
        <v>45472</v>
      </c>
      <c r="E5469" s="430" t="s">
        <v>12885</v>
      </c>
      <c r="F5469" s="49"/>
      <c r="G5469" s="49"/>
    </row>
    <row r="5470" spans="2:7">
      <c r="B5470" s="422">
        <v>2312</v>
      </c>
      <c r="C5470" s="422">
        <v>15698</v>
      </c>
      <c r="D5470" s="423">
        <v>45453</v>
      </c>
      <c r="E5470" s="420" t="s">
        <v>12477</v>
      </c>
    </row>
    <row r="5471" spans="2:7">
      <c r="B5471" s="422">
        <v>2312</v>
      </c>
      <c r="C5471" s="422">
        <v>9969</v>
      </c>
      <c r="D5471" s="423">
        <v>45472</v>
      </c>
      <c r="E5471" s="430" t="s">
        <v>12867</v>
      </c>
    </row>
    <row r="5472" spans="2:7">
      <c r="B5472" s="409">
        <v>2312</v>
      </c>
      <c r="C5472" s="409">
        <v>7729</v>
      </c>
      <c r="D5472" s="410">
        <v>45453</v>
      </c>
      <c r="E5472" s="424" t="s">
        <v>12395</v>
      </c>
    </row>
    <row r="5473" spans="2:5">
      <c r="B5473" s="422">
        <v>2312</v>
      </c>
      <c r="C5473" s="422">
        <v>3511</v>
      </c>
      <c r="D5473" s="423">
        <v>45472</v>
      </c>
      <c r="E5473" s="430" t="s">
        <v>12935</v>
      </c>
    </row>
    <row r="5474" spans="2:5">
      <c r="B5474" s="422">
        <v>2312</v>
      </c>
      <c r="C5474" s="422">
        <v>2592</v>
      </c>
      <c r="D5474" s="423">
        <v>45453</v>
      </c>
      <c r="E5474" s="420" t="s">
        <v>12476</v>
      </c>
    </row>
    <row r="5475" spans="2:5">
      <c r="B5475" s="422">
        <v>2312</v>
      </c>
      <c r="C5475" s="422">
        <v>592</v>
      </c>
      <c r="D5475" s="423">
        <v>45472</v>
      </c>
      <c r="E5475" s="430" t="s">
        <v>12893</v>
      </c>
    </row>
    <row r="5476" spans="2:5">
      <c r="B5476" s="422">
        <v>2312</v>
      </c>
      <c r="C5476" s="422">
        <v>125</v>
      </c>
      <c r="D5476" s="423">
        <v>45472</v>
      </c>
      <c r="E5476" s="430" t="s">
        <v>12863</v>
      </c>
    </row>
    <row r="5477" spans="2:5">
      <c r="B5477" s="422">
        <v>2311</v>
      </c>
      <c r="C5477" s="422">
        <v>14127</v>
      </c>
      <c r="D5477" s="423">
        <v>45453</v>
      </c>
      <c r="E5477" s="420" t="s">
        <v>12555</v>
      </c>
    </row>
    <row r="5478" spans="2:5">
      <c r="B5478" s="422">
        <v>2311</v>
      </c>
      <c r="C5478" s="422">
        <v>11583</v>
      </c>
      <c r="D5478" s="423">
        <v>45472</v>
      </c>
      <c r="E5478" s="430" t="s">
        <v>12872</v>
      </c>
    </row>
    <row r="5479" spans="2:5">
      <c r="B5479" s="422">
        <v>2311</v>
      </c>
      <c r="C5479" s="422">
        <v>10843</v>
      </c>
      <c r="D5479" s="423">
        <v>45453</v>
      </c>
      <c r="E5479" s="420" t="s">
        <v>12497</v>
      </c>
    </row>
    <row r="5480" spans="2:5">
      <c r="B5480" s="422">
        <v>2311</v>
      </c>
      <c r="C5480" s="422">
        <v>9735</v>
      </c>
      <c r="D5480" s="423">
        <v>45472</v>
      </c>
      <c r="E5480" s="430" t="s">
        <v>12806</v>
      </c>
    </row>
    <row r="5481" spans="2:5">
      <c r="B5481" s="422">
        <v>2311</v>
      </c>
      <c r="C5481" s="422">
        <v>530</v>
      </c>
      <c r="D5481" s="423">
        <v>45453</v>
      </c>
      <c r="E5481" s="420" t="s">
        <v>12479</v>
      </c>
    </row>
    <row r="5482" spans="2:5">
      <c r="B5482" s="422">
        <v>2310</v>
      </c>
      <c r="C5482" s="422">
        <v>17976</v>
      </c>
      <c r="D5482" s="423">
        <v>45453</v>
      </c>
      <c r="E5482" s="420" t="s">
        <v>12502</v>
      </c>
    </row>
    <row r="5483" spans="2:5">
      <c r="B5483" s="422">
        <v>2310</v>
      </c>
      <c r="C5483" s="422">
        <v>15959</v>
      </c>
      <c r="D5483" s="423">
        <v>45472</v>
      </c>
      <c r="E5483" s="430" t="s">
        <v>12900</v>
      </c>
    </row>
    <row r="5484" spans="2:5">
      <c r="B5484" s="422">
        <v>2310</v>
      </c>
      <c r="C5484" s="422">
        <v>15123</v>
      </c>
      <c r="D5484" s="423">
        <v>45453</v>
      </c>
      <c r="E5484" s="420" t="s">
        <v>12413</v>
      </c>
    </row>
    <row r="5485" spans="2:5">
      <c r="B5485" s="422">
        <v>2310</v>
      </c>
      <c r="C5485" s="422">
        <v>12963</v>
      </c>
      <c r="D5485" s="423">
        <v>45472</v>
      </c>
      <c r="E5485" s="430" t="s">
        <v>12811</v>
      </c>
    </row>
    <row r="5486" spans="2:5">
      <c r="B5486" s="422">
        <v>2310</v>
      </c>
      <c r="C5486" s="422">
        <v>10375</v>
      </c>
      <c r="D5486" s="423">
        <v>45453</v>
      </c>
      <c r="E5486" s="420" t="s">
        <v>12492</v>
      </c>
    </row>
    <row r="5487" spans="2:5">
      <c r="B5487" s="422">
        <v>2310</v>
      </c>
      <c r="C5487" s="422">
        <v>5492</v>
      </c>
      <c r="D5487" s="423">
        <v>45453</v>
      </c>
      <c r="E5487" s="420" t="s">
        <v>12421</v>
      </c>
    </row>
    <row r="5488" spans="2:5">
      <c r="B5488" s="422">
        <v>2310</v>
      </c>
      <c r="C5488" s="422">
        <v>4361</v>
      </c>
      <c r="D5488" s="423">
        <v>45453</v>
      </c>
      <c r="E5488" s="420" t="s">
        <v>12485</v>
      </c>
    </row>
    <row r="5489" spans="2:5">
      <c r="B5489" s="422">
        <v>2310</v>
      </c>
      <c r="C5489" s="422">
        <v>3812</v>
      </c>
      <c r="D5489" s="423">
        <v>45472</v>
      </c>
      <c r="E5489" s="430" t="s">
        <v>12807</v>
      </c>
    </row>
    <row r="5490" spans="2:5">
      <c r="B5490" s="422">
        <v>2310</v>
      </c>
      <c r="C5490" s="422">
        <v>2772</v>
      </c>
      <c r="D5490" s="423">
        <v>45472</v>
      </c>
      <c r="E5490" s="430" t="s">
        <v>12933</v>
      </c>
    </row>
    <row r="5491" spans="2:5">
      <c r="B5491" s="422">
        <v>2309</v>
      </c>
      <c r="C5491" s="422">
        <v>16035</v>
      </c>
      <c r="D5491" s="423">
        <v>45472</v>
      </c>
      <c r="E5491" s="430" t="s">
        <v>12844</v>
      </c>
    </row>
    <row r="5492" spans="2:5">
      <c r="B5492" s="422">
        <v>2309</v>
      </c>
      <c r="C5492" s="422">
        <v>14237</v>
      </c>
      <c r="D5492" s="423">
        <v>45472</v>
      </c>
      <c r="E5492" s="430" t="s">
        <v>12932</v>
      </c>
    </row>
    <row r="5493" spans="2:5">
      <c r="B5493" s="422">
        <v>2309</v>
      </c>
      <c r="C5493" s="422">
        <v>6045</v>
      </c>
      <c r="D5493" s="423">
        <v>45472</v>
      </c>
      <c r="E5493" s="430" t="s">
        <v>12868</v>
      </c>
    </row>
    <row r="5494" spans="2:5">
      <c r="B5494" s="422">
        <v>2308</v>
      </c>
      <c r="C5494" s="422">
        <v>12568</v>
      </c>
      <c r="D5494" s="423">
        <v>45472</v>
      </c>
      <c r="E5494" s="430" t="s">
        <v>12854</v>
      </c>
    </row>
    <row r="5495" spans="2:5">
      <c r="B5495" s="422">
        <v>2308</v>
      </c>
      <c r="C5495" s="422">
        <v>2029</v>
      </c>
      <c r="D5495" s="423">
        <v>45472</v>
      </c>
      <c r="E5495" s="430" t="s">
        <v>12911</v>
      </c>
    </row>
    <row r="5496" spans="2:5">
      <c r="B5496" s="422">
        <v>2308</v>
      </c>
      <c r="C5496" s="422">
        <v>918</v>
      </c>
      <c r="D5496" s="423">
        <v>45453</v>
      </c>
      <c r="E5496" s="420" t="s">
        <v>12428</v>
      </c>
    </row>
    <row r="5497" spans="2:5">
      <c r="B5497" s="422">
        <v>2307</v>
      </c>
      <c r="C5497" s="422">
        <v>15180</v>
      </c>
      <c r="D5497" s="423">
        <v>45472</v>
      </c>
      <c r="E5497" s="430" t="s">
        <v>12836</v>
      </c>
    </row>
    <row r="5498" spans="2:5">
      <c r="B5498" s="422">
        <v>2307</v>
      </c>
      <c r="C5498" s="422">
        <v>3565</v>
      </c>
      <c r="D5498" s="423">
        <v>45472</v>
      </c>
      <c r="E5498" s="430" t="s">
        <v>12915</v>
      </c>
    </row>
    <row r="5499" spans="2:5">
      <c r="B5499" s="422">
        <v>2306</v>
      </c>
      <c r="C5499" s="422">
        <v>8590</v>
      </c>
      <c r="D5499" s="423">
        <v>45453</v>
      </c>
      <c r="E5499" s="420" t="s">
        <v>12460</v>
      </c>
    </row>
    <row r="5500" spans="2:5">
      <c r="B5500" s="422">
        <v>2306</v>
      </c>
      <c r="C5500" s="422">
        <v>344</v>
      </c>
      <c r="D5500" s="423">
        <v>45453</v>
      </c>
      <c r="E5500" s="420" t="s">
        <v>12461</v>
      </c>
    </row>
    <row r="5501" spans="2:5">
      <c r="B5501" s="422">
        <v>2303</v>
      </c>
      <c r="C5501" s="422">
        <v>15827</v>
      </c>
      <c r="D5501" s="423">
        <v>45453</v>
      </c>
      <c r="E5501" s="420" t="s">
        <v>12550</v>
      </c>
    </row>
    <row r="5502" spans="2:5">
      <c r="B5502" s="422">
        <v>2212</v>
      </c>
      <c r="C5502" s="422">
        <v>7892</v>
      </c>
      <c r="D5502" s="423">
        <v>45453</v>
      </c>
      <c r="E5502" s="420" t="s">
        <v>12532</v>
      </c>
    </row>
    <row r="5503" spans="2:5">
      <c r="B5503" s="422">
        <v>2209</v>
      </c>
      <c r="C5503" s="422">
        <v>14915</v>
      </c>
      <c r="D5503" s="423">
        <v>45453</v>
      </c>
      <c r="E5503" s="420" t="s">
        <v>12441</v>
      </c>
    </row>
    <row r="5504" spans="2:5">
      <c r="B5504" s="409">
        <v>2209</v>
      </c>
      <c r="C5504" s="409">
        <v>2814</v>
      </c>
      <c r="D5504" s="410">
        <v>45453</v>
      </c>
      <c r="E5504" s="424" t="s">
        <v>12498</v>
      </c>
    </row>
    <row r="5505" spans="2:5">
      <c r="B5505" s="422">
        <v>2201</v>
      </c>
      <c r="C5505" s="422">
        <v>13001</v>
      </c>
      <c r="D5505" s="423">
        <v>45453</v>
      </c>
      <c r="E5505" s="420" t="s">
        <v>12386</v>
      </c>
    </row>
    <row r="5506" spans="2:5">
      <c r="B5506" s="422">
        <v>2109</v>
      </c>
      <c r="C5506" s="422">
        <v>14501</v>
      </c>
      <c r="D5506" s="423">
        <v>45453</v>
      </c>
      <c r="E5506" s="419" t="s">
        <v>12384</v>
      </c>
    </row>
    <row r="5507" spans="2:5">
      <c r="B5507" s="422">
        <v>2105</v>
      </c>
      <c r="C5507" s="407">
        <v>13287</v>
      </c>
      <c r="D5507" s="416">
        <v>45448</v>
      </c>
      <c r="E5507" s="414" t="s">
        <v>11527</v>
      </c>
    </row>
  </sheetData>
  <phoneticPr fontId="97" type="noConversion"/>
  <hyperlinks>
    <hyperlink ref="A1" location="Main!A1" display="Main" xr:uid="{48DCCC68-879D-2E43-901B-3FA5384106DB}"/>
  </hyperlinks>
  <pageMargins left="0.7" right="0.7" top="0.75" bottom="0.75" header="0.3" footer="0.3"/>
  <pageSetup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B6E2A7-14EF-4DBD-8655-1F5FD24440A9}">
  <dimension ref="A1:J39"/>
  <sheetViews>
    <sheetView zoomScale="130" zoomScaleNormal="130" workbookViewId="0">
      <pane xSplit="2" ySplit="2" topLeftCell="C3" activePane="bottomRight" state="frozen"/>
      <selection pane="topRight" activeCell="C1" sqref="C1"/>
      <selection pane="bottomLeft" activeCell="A3" sqref="A3"/>
      <selection pane="bottomRight" activeCell="C3" sqref="C3"/>
    </sheetView>
  </sheetViews>
  <sheetFormatPr baseColWidth="10" defaultColWidth="9" defaultRowHeight="13"/>
  <cols>
    <col min="1" max="1" width="4.33203125" style="236" bestFit="1" customWidth="1"/>
    <col min="2" max="2" width="27.33203125" style="244" customWidth="1"/>
    <col min="3" max="3" width="4.6640625" style="243" bestFit="1" customWidth="1"/>
    <col min="4" max="4" width="45" style="236" bestFit="1" customWidth="1"/>
    <col min="5" max="5" width="39.5" style="236" bestFit="1" customWidth="1"/>
    <col min="6" max="16384" width="9" style="236"/>
  </cols>
  <sheetData>
    <row r="1" spans="1:6">
      <c r="A1" s="25" t="s">
        <v>1165</v>
      </c>
    </row>
    <row r="2" spans="1:6">
      <c r="B2" s="244" t="s">
        <v>5668</v>
      </c>
      <c r="C2" s="243" t="s">
        <v>1156</v>
      </c>
      <c r="D2" s="236" t="s">
        <v>5667</v>
      </c>
      <c r="E2" s="236" t="s">
        <v>6560</v>
      </c>
      <c r="F2" s="236" t="s">
        <v>7364</v>
      </c>
    </row>
    <row r="3" spans="1:6">
      <c r="B3" s="244">
        <v>80021</v>
      </c>
      <c r="C3" s="243">
        <v>1992</v>
      </c>
      <c r="D3" s="236" t="s">
        <v>5732</v>
      </c>
      <c r="E3" s="245" t="s">
        <v>7370</v>
      </c>
      <c r="F3" s="236" t="s">
        <v>7369</v>
      </c>
    </row>
    <row r="4" spans="1:6">
      <c r="B4" s="244">
        <v>34391</v>
      </c>
      <c r="C4" s="243">
        <v>1986</v>
      </c>
      <c r="D4" s="236" t="s">
        <v>7368</v>
      </c>
      <c r="E4" s="236" t="s">
        <v>7367</v>
      </c>
      <c r="F4" s="236" t="s">
        <v>5466</v>
      </c>
    </row>
    <row r="5" spans="1:6">
      <c r="B5" s="244">
        <v>21162</v>
      </c>
      <c r="C5" s="243">
        <v>1950</v>
      </c>
      <c r="D5" s="236" t="s">
        <v>4098</v>
      </c>
      <c r="E5" s="245" t="s">
        <v>7366</v>
      </c>
      <c r="F5" s="236" t="s">
        <v>7365</v>
      </c>
    </row>
    <row r="18" spans="2:10">
      <c r="B18" s="108"/>
      <c r="C18" s="109"/>
      <c r="D18" s="108"/>
      <c r="E18" s="108"/>
      <c r="F18" s="108"/>
      <c r="G18" s="108"/>
      <c r="H18" s="108"/>
      <c r="I18" s="108"/>
      <c r="J18" s="108"/>
    </row>
    <row r="19" spans="2:10">
      <c r="B19" s="135" t="s">
        <v>4213</v>
      </c>
      <c r="C19" s="109"/>
      <c r="D19" s="108"/>
      <c r="E19" s="108"/>
      <c r="F19" s="108"/>
      <c r="G19" s="108"/>
      <c r="H19" s="135" t="s">
        <v>5465</v>
      </c>
      <c r="I19" s="108"/>
      <c r="J19" s="108"/>
    </row>
    <row r="20" spans="2:10">
      <c r="B20" s="108" t="s">
        <v>4212</v>
      </c>
      <c r="C20" s="109"/>
      <c r="D20" s="108"/>
      <c r="E20" s="108"/>
      <c r="F20" s="108"/>
      <c r="G20" s="108"/>
      <c r="H20" s="205" t="s">
        <v>7215</v>
      </c>
      <c r="I20" s="108"/>
      <c r="J20" s="108"/>
    </row>
    <row r="21" spans="2:10">
      <c r="B21" s="108" t="s">
        <v>5380</v>
      </c>
      <c r="C21" s="109"/>
      <c r="D21" s="108"/>
      <c r="E21" s="108"/>
      <c r="F21" s="108"/>
      <c r="G21" s="108"/>
      <c r="H21" s="212" t="s">
        <v>7222</v>
      </c>
      <c r="I21" s="108"/>
      <c r="J21" s="108"/>
    </row>
    <row r="22" spans="2:10">
      <c r="B22" s="205" t="s">
        <v>7216</v>
      </c>
      <c r="C22" s="109"/>
      <c r="D22" s="108"/>
      <c r="E22" s="108"/>
      <c r="F22" s="108"/>
      <c r="G22" s="108"/>
      <c r="H22" s="212" t="s">
        <v>7221</v>
      </c>
      <c r="I22" s="108"/>
      <c r="J22" s="108"/>
    </row>
    <row r="23" spans="2:10">
      <c r="B23" s="108" t="s">
        <v>4211</v>
      </c>
      <c r="C23" s="109"/>
      <c r="D23" s="108"/>
      <c r="E23" s="108"/>
      <c r="F23" s="108"/>
      <c r="G23" s="108"/>
      <c r="H23" s="175" t="s">
        <v>6933</v>
      </c>
      <c r="I23" s="108"/>
      <c r="J23" s="108"/>
    </row>
    <row r="24" spans="2:10">
      <c r="B24" s="205" t="s">
        <v>7218</v>
      </c>
      <c r="C24" s="109"/>
      <c r="D24" s="108"/>
      <c r="E24" s="108"/>
      <c r="F24" s="108"/>
      <c r="G24" s="108"/>
      <c r="H24" s="205" t="s">
        <v>7214</v>
      </c>
      <c r="I24" s="108"/>
      <c r="J24" s="108"/>
    </row>
    <row r="25" spans="2:10">
      <c r="B25" s="108" t="s">
        <v>5378</v>
      </c>
      <c r="C25" s="109"/>
      <c r="D25" s="108"/>
      <c r="E25" s="108"/>
      <c r="F25" s="108"/>
      <c r="G25" s="108"/>
      <c r="H25" s="175" t="s">
        <v>6832</v>
      </c>
      <c r="I25" s="108"/>
      <c r="J25" s="108"/>
    </row>
    <row r="26" spans="2:10">
      <c r="B26" s="205" t="s">
        <v>7217</v>
      </c>
      <c r="C26" s="109"/>
      <c r="D26" s="108"/>
      <c r="E26" s="108"/>
      <c r="F26" s="108"/>
      <c r="G26" s="108"/>
      <c r="H26" s="175" t="s">
        <v>6815</v>
      </c>
      <c r="I26" s="108"/>
      <c r="J26" s="108"/>
    </row>
    <row r="27" spans="2:10">
      <c r="B27" s="108" t="s">
        <v>4210</v>
      </c>
      <c r="C27" s="109"/>
      <c r="D27" s="108"/>
      <c r="E27" s="108"/>
      <c r="F27" s="108"/>
      <c r="G27" s="108"/>
      <c r="H27" s="108" t="s">
        <v>6034</v>
      </c>
      <c r="I27" s="108"/>
      <c r="J27" s="108"/>
    </row>
    <row r="28" spans="2:10">
      <c r="B28" s="108" t="s">
        <v>4209</v>
      </c>
      <c r="C28" s="109"/>
      <c r="D28" s="108"/>
      <c r="E28" s="108"/>
      <c r="F28" s="108"/>
      <c r="G28" s="108"/>
      <c r="H28" s="175" t="s">
        <v>6924</v>
      </c>
      <c r="I28" s="108"/>
      <c r="J28" s="108"/>
    </row>
    <row r="29" spans="2:10">
      <c r="B29" s="212" t="s">
        <v>7220</v>
      </c>
      <c r="C29" s="109"/>
      <c r="D29" s="108"/>
      <c r="E29" s="108"/>
      <c r="F29" s="108"/>
      <c r="G29" s="108"/>
      <c r="H29" s="205" t="s">
        <v>7213</v>
      </c>
      <c r="I29" s="108"/>
      <c r="J29" s="108"/>
    </row>
    <row r="30" spans="2:10">
      <c r="B30" s="108" t="s">
        <v>4208</v>
      </c>
      <c r="C30" s="109"/>
      <c r="D30" s="108"/>
      <c r="E30" s="108"/>
      <c r="F30" s="108"/>
      <c r="G30" s="108"/>
      <c r="H30" s="175" t="s">
        <v>6873</v>
      </c>
      <c r="I30" s="108"/>
      <c r="J30" s="108"/>
    </row>
    <row r="31" spans="2:10">
      <c r="B31" s="108" t="s">
        <v>4207</v>
      </c>
      <c r="C31" s="109"/>
      <c r="D31" s="108"/>
      <c r="E31" s="108"/>
      <c r="F31" s="108"/>
      <c r="G31" s="108"/>
      <c r="H31" s="108" t="s">
        <v>6033</v>
      </c>
      <c r="I31" s="108"/>
      <c r="J31" s="108"/>
    </row>
    <row r="32" spans="2:10">
      <c r="B32" s="108" t="s">
        <v>5466</v>
      </c>
      <c r="C32" s="109"/>
      <c r="D32" s="108"/>
      <c r="E32" s="108"/>
      <c r="F32" s="108"/>
      <c r="G32" s="108"/>
      <c r="H32" s="212" t="s">
        <v>7219</v>
      </c>
      <c r="I32" s="108"/>
      <c r="J32" s="108"/>
    </row>
    <row r="33" spans="2:10">
      <c r="B33" s="108" t="s">
        <v>4206</v>
      </c>
      <c r="C33" s="109"/>
      <c r="D33" s="108"/>
      <c r="E33" s="108"/>
      <c r="F33" s="108"/>
      <c r="G33" s="108"/>
      <c r="H33" s="108"/>
      <c r="I33" s="108"/>
      <c r="J33" s="108"/>
    </row>
    <row r="34" spans="2:10">
      <c r="B34" s="108" t="s">
        <v>4205</v>
      </c>
      <c r="C34" s="109"/>
      <c r="D34" s="108"/>
      <c r="E34" s="108"/>
      <c r="F34" s="108"/>
      <c r="G34" s="108"/>
      <c r="H34" s="108"/>
      <c r="I34" s="108"/>
      <c r="J34" s="108"/>
    </row>
    <row r="35" spans="2:10">
      <c r="B35" s="386" t="s">
        <v>9609</v>
      </c>
      <c r="C35" s="109"/>
      <c r="D35" s="108"/>
      <c r="E35" s="108"/>
      <c r="F35" s="108"/>
      <c r="G35" s="108"/>
      <c r="H35" s="108"/>
      <c r="I35" s="108"/>
      <c r="J35" s="108"/>
    </row>
    <row r="36" spans="2:10">
      <c r="B36" s="108" t="s">
        <v>4204</v>
      </c>
      <c r="C36" s="109"/>
      <c r="D36" s="108"/>
      <c r="E36" s="108"/>
      <c r="F36" s="108"/>
      <c r="G36" s="108"/>
      <c r="H36" s="108"/>
      <c r="I36" s="108"/>
      <c r="J36" s="108"/>
    </row>
    <row r="37" spans="2:10">
      <c r="B37" s="108"/>
      <c r="C37" s="109"/>
      <c r="D37" s="108"/>
      <c r="E37" s="108"/>
      <c r="F37" s="108"/>
      <c r="G37" s="108"/>
      <c r="H37" s="108"/>
      <c r="I37" s="108"/>
      <c r="J37" s="108"/>
    </row>
    <row r="38" spans="2:10">
      <c r="B38" s="108"/>
      <c r="C38" s="109"/>
      <c r="D38" s="108"/>
      <c r="E38" s="108"/>
      <c r="F38" s="108"/>
      <c r="G38" s="108"/>
      <c r="H38" s="108"/>
      <c r="I38" s="108"/>
      <c r="J38" s="108"/>
    </row>
    <row r="39" spans="2:10">
      <c r="B39" s="108"/>
      <c r="C39" s="109"/>
      <c r="D39" s="108"/>
      <c r="E39" s="108"/>
      <c r="F39" s="108"/>
      <c r="G39" s="108"/>
      <c r="H39" s="108"/>
      <c r="I39" s="108"/>
      <c r="J39" s="108"/>
    </row>
  </sheetData>
  <hyperlinks>
    <hyperlink ref="A1" location="Main!A1" display="Main" xr:uid="{A587E74C-BDBD-48A5-B193-B3313EE8F0AE}"/>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27</vt:i4>
      </vt:variant>
    </vt:vector>
  </HeadingPairs>
  <TitlesOfParts>
    <vt:vector size="27" baseType="lpstr">
      <vt:lpstr>Main</vt:lpstr>
      <vt:lpstr>Companies</vt:lpstr>
      <vt:lpstr>Investors</vt:lpstr>
      <vt:lpstr>EO Avoid List</vt:lpstr>
      <vt:lpstr>Glossary</vt:lpstr>
      <vt:lpstr>Diffusion</vt:lpstr>
      <vt:lpstr>Papers</vt:lpstr>
      <vt:lpstr>arXiv</vt:lpstr>
      <vt:lpstr>Top Papers</vt:lpstr>
      <vt:lpstr>LLM Vendors</vt:lpstr>
      <vt:lpstr>Autoregressive</vt:lpstr>
      <vt:lpstr>Audio Papers</vt:lpstr>
      <vt:lpstr>TTS Companies</vt:lpstr>
      <vt:lpstr>Audio</vt:lpstr>
      <vt:lpstr>Images</vt:lpstr>
      <vt:lpstr>CUDA</vt:lpstr>
      <vt:lpstr>ASR</vt:lpstr>
      <vt:lpstr>Repos</vt:lpstr>
      <vt:lpstr>People</vt:lpstr>
      <vt:lpstr>Neural Networks</vt:lpstr>
      <vt:lpstr>Transformer</vt:lpstr>
      <vt:lpstr>PyTorch</vt:lpstr>
      <vt:lpstr>DeepMind</vt:lpstr>
      <vt:lpstr>OpenAI</vt:lpstr>
      <vt:lpstr>Meta</vt:lpstr>
      <vt:lpstr>Games</vt:lpstr>
      <vt:lpstr>Education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Shkreli</dc:creator>
  <cp:lastModifiedBy>Martin Shkreli</cp:lastModifiedBy>
  <dcterms:created xsi:type="dcterms:W3CDTF">2023-07-10T18:09:47Z</dcterms:created>
  <dcterms:modified xsi:type="dcterms:W3CDTF">2024-12-02T04:25:25Z</dcterms:modified>
</cp:coreProperties>
</file>