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408295E2-2231-4CD0-BB84-16CF1CDB0E8F}" xr6:coauthVersionLast="47" xr6:coauthVersionMax="47" xr10:uidLastSave="{00000000-0000-0000-0000-000000000000}"/>
  <bookViews>
    <workbookView xWindow="-51390" yWindow="255" windowWidth="25650" windowHeight="19635" tabRatio="566"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E30" i="71" l="1"/>
  <c r="FF30" i="71" s="1"/>
  <c r="FG30" i="71" s="1"/>
  <c r="FH30" i="71" s="1"/>
  <c r="FI30" i="71" s="1"/>
  <c r="FJ30" i="71" s="1"/>
  <c r="FD30" i="71"/>
  <c r="EY31" i="71"/>
  <c r="EZ31" i="71"/>
  <c r="DK6" i="71"/>
  <c r="DK86" i="71" s="1"/>
  <c r="DL6" i="71"/>
  <c r="DL5" i="71"/>
  <c r="DN6" i="71"/>
  <c r="DM6" i="71"/>
  <c r="EZ47" i="71"/>
  <c r="EZ46" i="71"/>
  <c r="EZ45" i="71"/>
  <c r="EY35" i="71"/>
  <c r="EY34" i="71"/>
  <c r="EY33" i="71"/>
  <c r="EZ35" i="71"/>
  <c r="EZ34" i="71"/>
  <c r="EZ33" i="71"/>
  <c r="EZ28" i="71"/>
  <c r="FA28" i="71" s="1"/>
  <c r="FB28" i="71" s="1"/>
  <c r="FC28" i="71" s="1"/>
  <c r="FD28" i="71" s="1"/>
  <c r="FE28" i="71" s="1"/>
  <c r="FF28" i="71" s="1"/>
  <c r="FG28" i="71" s="1"/>
  <c r="FH28" i="71" s="1"/>
  <c r="FI28" i="71" s="1"/>
  <c r="FJ28" i="71" s="1"/>
  <c r="EY20" i="71"/>
  <c r="EZ20" i="71"/>
  <c r="EZ6" i="71"/>
  <c r="FA6" i="71" s="1"/>
  <c r="FB6" i="71" s="1"/>
  <c r="FC6" i="71" s="1"/>
  <c r="DE31" i="71"/>
  <c r="E35" i="3"/>
  <c r="R6" i="3"/>
  <c r="DH70" i="71"/>
  <c r="DH52" i="71"/>
  <c r="DL52" i="71" s="1"/>
  <c r="DH170" i="71"/>
  <c r="DH166" i="71"/>
  <c r="DH155" i="71"/>
  <c r="DH148" i="71"/>
  <c r="DH147" i="71" s="1"/>
  <c r="DG216" i="71"/>
  <c r="DF217" i="71"/>
  <c r="DE217" i="71"/>
  <c r="DG215" i="71"/>
  <c r="DG217" i="71" s="1"/>
  <c r="DG208" i="71"/>
  <c r="DG211" i="71" s="1"/>
  <c r="DG203" i="71"/>
  <c r="DF203" i="71"/>
  <c r="DE203" i="71"/>
  <c r="DG183" i="71"/>
  <c r="DG179" i="71"/>
  <c r="DF179" i="71"/>
  <c r="DE179" i="71"/>
  <c r="DF177" i="71"/>
  <c r="DE177" i="71"/>
  <c r="DG168" i="71"/>
  <c r="DG166" i="71"/>
  <c r="DG155" i="71"/>
  <c r="DG148" i="71"/>
  <c r="DG147" i="71" s="1"/>
  <c r="DN147" i="71"/>
  <c r="DM147" i="71"/>
  <c r="DL147" i="71"/>
  <c r="DK147" i="71"/>
  <c r="DJ147" i="71"/>
  <c r="DI147" i="71"/>
  <c r="DF147" i="71"/>
  <c r="DE147" i="71"/>
  <c r="DL94" i="71"/>
  <c r="DI94" i="71"/>
  <c r="DH94" i="71"/>
  <c r="DI93" i="71"/>
  <c r="DH93" i="71"/>
  <c r="DI92" i="71"/>
  <c r="DN91" i="71"/>
  <c r="DM91" i="71"/>
  <c r="DK91" i="71"/>
  <c r="DI89" i="71"/>
  <c r="DH89" i="71"/>
  <c r="DK88" i="71"/>
  <c r="DI88" i="71"/>
  <c r="DH88" i="71"/>
  <c r="DI87" i="71"/>
  <c r="DH87" i="71"/>
  <c r="DI86" i="71"/>
  <c r="DH86" i="71"/>
  <c r="DI85" i="71"/>
  <c r="DH85" i="71"/>
  <c r="DI84" i="71"/>
  <c r="DH84" i="71"/>
  <c r="DM37" i="71"/>
  <c r="DL37" i="71"/>
  <c r="DK37" i="71"/>
  <c r="DM36" i="71"/>
  <c r="DL36" i="71"/>
  <c r="DK36" i="71"/>
  <c r="DM32" i="71"/>
  <c r="DL32" i="71"/>
  <c r="DK32" i="71"/>
  <c r="EZ32" i="71" s="1"/>
  <c r="DM27" i="71"/>
  <c r="DM89" i="71" s="1"/>
  <c r="DL27" i="71"/>
  <c r="DL89" i="71" s="1"/>
  <c r="DK27" i="71"/>
  <c r="DK89" i="71" s="1"/>
  <c r="DM26" i="71"/>
  <c r="EZ26" i="71" s="1"/>
  <c r="DL26" i="71"/>
  <c r="DK26" i="71"/>
  <c r="DM19" i="71"/>
  <c r="DL19" i="71"/>
  <c r="DK19" i="71"/>
  <c r="DM18" i="71"/>
  <c r="DL18" i="71"/>
  <c r="DK18" i="71"/>
  <c r="DM14" i="71"/>
  <c r="DL14" i="71"/>
  <c r="DK14" i="71"/>
  <c r="DM12" i="71"/>
  <c r="DL12" i="71"/>
  <c r="DK12" i="71"/>
  <c r="DM11" i="71"/>
  <c r="DM88" i="71" s="1"/>
  <c r="DL11" i="71"/>
  <c r="DL88" i="71" s="1"/>
  <c r="DK11" i="71"/>
  <c r="DM86" i="71"/>
  <c r="DL86" i="71"/>
  <c r="DM5" i="71"/>
  <c r="DM87" i="71" s="1"/>
  <c r="DL87" i="71"/>
  <c r="DK5" i="71"/>
  <c r="DK87" i="71" s="1"/>
  <c r="DN4" i="71"/>
  <c r="DN85" i="71" s="1"/>
  <c r="DM4" i="71"/>
  <c r="DM85" i="71" s="1"/>
  <c r="DL4" i="71"/>
  <c r="DL85" i="71" s="1"/>
  <c r="DK4" i="71"/>
  <c r="DK85" i="71" s="1"/>
  <c r="DM3" i="71"/>
  <c r="DM84" i="71" s="1"/>
  <c r="DL3" i="71"/>
  <c r="DL84" i="71" s="1"/>
  <c r="DK3" i="71"/>
  <c r="DK84" i="71" s="1"/>
  <c r="DM48" i="71"/>
  <c r="DL48" i="71"/>
  <c r="DK48" i="71"/>
  <c r="DK52" i="71"/>
  <c r="DJ52" i="71"/>
  <c r="DN52" i="71" s="1"/>
  <c r="DM52" i="71"/>
  <c r="DM50" i="71"/>
  <c r="DK50" i="71"/>
  <c r="DJ50" i="71"/>
  <c r="DN50" i="71" s="1"/>
  <c r="DL50" i="71"/>
  <c r="DL49" i="71"/>
  <c r="DL91" i="71" s="1"/>
  <c r="DK49" i="71"/>
  <c r="EZ49" i="71" s="1"/>
  <c r="DJ49" i="71"/>
  <c r="DN49" i="71" s="1"/>
  <c r="DM49" i="71"/>
  <c r="DL53" i="71"/>
  <c r="DL92" i="71" s="1"/>
  <c r="DK53" i="71"/>
  <c r="DK92" i="71" s="1"/>
  <c r="DJ53" i="71"/>
  <c r="DN53" i="71" s="1"/>
  <c r="DN92" i="71" s="1"/>
  <c r="DM53" i="71"/>
  <c r="DM92" i="71" s="1"/>
  <c r="DK60" i="71"/>
  <c r="DJ60" i="71"/>
  <c r="DN60" i="71" s="1"/>
  <c r="DM60" i="71"/>
  <c r="DL60" i="71"/>
  <c r="DK57" i="71"/>
  <c r="DK94" i="71" s="1"/>
  <c r="DJ57" i="71"/>
  <c r="DN57" i="71" s="1"/>
  <c r="DN94" i="71" s="1"/>
  <c r="DM57" i="71"/>
  <c r="DM94" i="71" s="1"/>
  <c r="DL57" i="71"/>
  <c r="DL56" i="71"/>
  <c r="DL93" i="71" s="1"/>
  <c r="DK56" i="71"/>
  <c r="DK93" i="71" s="1"/>
  <c r="DJ56" i="71"/>
  <c r="DN56" i="71" s="1"/>
  <c r="DN93" i="71" s="1"/>
  <c r="DM56" i="71"/>
  <c r="DM93" i="71" s="1"/>
  <c r="DN82" i="71"/>
  <c r="DM82" i="71"/>
  <c r="DL82" i="71"/>
  <c r="DK82" i="71"/>
  <c r="DN81" i="71"/>
  <c r="DM81" i="71"/>
  <c r="DL81" i="71"/>
  <c r="DK81" i="71"/>
  <c r="DN68" i="71"/>
  <c r="DM68" i="71"/>
  <c r="DL68" i="71"/>
  <c r="DK68" i="71"/>
  <c r="DJ68" i="71"/>
  <c r="DI68" i="71"/>
  <c r="DH68" i="71"/>
  <c r="DI76" i="71"/>
  <c r="DJ76" i="71" s="1"/>
  <c r="DK76" i="71" s="1"/>
  <c r="DL76" i="71" s="1"/>
  <c r="DM76" i="71" s="1"/>
  <c r="DN76" i="71" s="1"/>
  <c r="DF70" i="71"/>
  <c r="DF31" i="71"/>
  <c r="DJ6" i="71"/>
  <c r="DJ81" i="71"/>
  <c r="DI81" i="71"/>
  <c r="DH81" i="71"/>
  <c r="DG81" i="71"/>
  <c r="DF81" i="71"/>
  <c r="DE81" i="71"/>
  <c r="DD81" i="71"/>
  <c r="DC81" i="71"/>
  <c r="DG70" i="71"/>
  <c r="DI82" i="71"/>
  <c r="DH82" i="71"/>
  <c r="DG63" i="71"/>
  <c r="DG99" i="71" s="1"/>
  <c r="DG93" i="71"/>
  <c r="DG94" i="71"/>
  <c r="DG92" i="71"/>
  <c r="DG91" i="71"/>
  <c r="DG89" i="71"/>
  <c r="DG88" i="71"/>
  <c r="DG87" i="71"/>
  <c r="DG86" i="71"/>
  <c r="DG85" i="71"/>
  <c r="DG84" i="71"/>
  <c r="DG82" i="71"/>
  <c r="DG68" i="71"/>
  <c r="DJ33" i="71"/>
  <c r="DK33" i="71" s="1"/>
  <c r="DL33" i="71" s="1"/>
  <c r="DM33" i="71" s="1"/>
  <c r="DN33" i="71" s="1"/>
  <c r="DJ28" i="71"/>
  <c r="DK28" i="71" s="1"/>
  <c r="DL28" i="71" s="1"/>
  <c r="DM28" i="71" s="1"/>
  <c r="DN28" i="71" s="1"/>
  <c r="CZ218" i="71"/>
  <c r="DB218" i="71" s="1"/>
  <c r="CZ214" i="71"/>
  <c r="DB214" i="71" s="1"/>
  <c r="CZ213" i="71"/>
  <c r="DB213" i="71" s="1"/>
  <c r="CZ210" i="71"/>
  <c r="CZ209" i="71"/>
  <c r="DB209" i="71" s="1"/>
  <c r="CZ205" i="71"/>
  <c r="DB205" i="71" s="1"/>
  <c r="CZ202" i="71"/>
  <c r="DB202" i="71" s="1"/>
  <c r="CZ201" i="71"/>
  <c r="DB201" i="71" s="1"/>
  <c r="CZ200" i="71"/>
  <c r="DB200" i="71" s="1"/>
  <c r="CZ199" i="71"/>
  <c r="DB199" i="71" s="1"/>
  <c r="CZ198" i="71"/>
  <c r="DB198" i="71" s="1"/>
  <c r="CZ197" i="71"/>
  <c r="DB197" i="71" s="1"/>
  <c r="CZ196" i="71"/>
  <c r="DB196" i="71" s="1"/>
  <c r="CZ195" i="71"/>
  <c r="DB195" i="71" s="1"/>
  <c r="CZ194" i="71"/>
  <c r="CZ193" i="71"/>
  <c r="DB193" i="71" s="1"/>
  <c r="CZ192" i="71"/>
  <c r="DB192" i="71" s="1"/>
  <c r="CZ191" i="71"/>
  <c r="DB191" i="71" s="1"/>
  <c r="DD218" i="71"/>
  <c r="DD214" i="71"/>
  <c r="DD213" i="71"/>
  <c r="DC206" i="71"/>
  <c r="DD206" i="71" s="1"/>
  <c r="DD210" i="71"/>
  <c r="DD209" i="71"/>
  <c r="DD205" i="71"/>
  <c r="DD202" i="71"/>
  <c r="DD201" i="71"/>
  <c r="DD200" i="71"/>
  <c r="DD199" i="71"/>
  <c r="DD198" i="71"/>
  <c r="DD197" i="71"/>
  <c r="DD196" i="71"/>
  <c r="DD195" i="71"/>
  <c r="DD194" i="71"/>
  <c r="DD193" i="71"/>
  <c r="DD192" i="71"/>
  <c r="DD191" i="71"/>
  <c r="DD148" i="71"/>
  <c r="DD153" i="71" s="1"/>
  <c r="DD183" i="71"/>
  <c r="DD176" i="71"/>
  <c r="DD168" i="71"/>
  <c r="DD166" i="71"/>
  <c r="DD155" i="71"/>
  <c r="DD70" i="71"/>
  <c r="DD53" i="71"/>
  <c r="DH92" i="71" s="1"/>
  <c r="DD49" i="71"/>
  <c r="DH91" i="71" s="1"/>
  <c r="DE70" i="71"/>
  <c r="DE68" i="71"/>
  <c r="DI91" i="71"/>
  <c r="BS48" i="71"/>
  <c r="BX68" i="71"/>
  <c r="BT70" i="71"/>
  <c r="BS70" i="71"/>
  <c r="BT68" i="71"/>
  <c r="BS68" i="71"/>
  <c r="BW68" i="71"/>
  <c r="BT25" i="71"/>
  <c r="BU68" i="71"/>
  <c r="BU11" i="71"/>
  <c r="BV68" i="71"/>
  <c r="BV56" i="71"/>
  <c r="BV11" i="71"/>
  <c r="CI89" i="71"/>
  <c r="CH89" i="71"/>
  <c r="CG89" i="71"/>
  <c r="CF89" i="71"/>
  <c r="CI88" i="71"/>
  <c r="CL89" i="71"/>
  <c r="CK89" i="71"/>
  <c r="CJ89" i="71"/>
  <c r="CL88" i="71"/>
  <c r="CK88" i="71"/>
  <c r="CJ88" i="71"/>
  <c r="CL87" i="71"/>
  <c r="CL90" i="71"/>
  <c r="CK90" i="71"/>
  <c r="CJ90" i="71"/>
  <c r="CI90" i="71"/>
  <c r="CH90" i="71"/>
  <c r="CG90" i="71"/>
  <c r="CF90"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L84" i="71"/>
  <c r="CK84" i="71"/>
  <c r="CJ84" i="71"/>
  <c r="CI84" i="71"/>
  <c r="CH84" i="71"/>
  <c r="CG84" i="71"/>
  <c r="CF84" i="71"/>
  <c r="CE84" i="71"/>
  <c r="CD84" i="71"/>
  <c r="CC84" i="71"/>
  <c r="CB84" i="71"/>
  <c r="CA84" i="71"/>
  <c r="CJ82" i="71"/>
  <c r="CI82" i="71"/>
  <c r="CH82" i="71"/>
  <c r="CG82" i="71"/>
  <c r="CF82" i="71"/>
  <c r="CE82" i="71"/>
  <c r="CD82" i="71"/>
  <c r="CC82" i="71"/>
  <c r="CB82" i="71"/>
  <c r="CA82" i="71"/>
  <c r="CL81" i="71"/>
  <c r="CK81" i="71"/>
  <c r="CJ81" i="71"/>
  <c r="CI81" i="71"/>
  <c r="CH81" i="71"/>
  <c r="CG81" i="71"/>
  <c r="CF81" i="71"/>
  <c r="CE81" i="71"/>
  <c r="CC81" i="71"/>
  <c r="CB81" i="71"/>
  <c r="CA81" i="71"/>
  <c r="CA25" i="71"/>
  <c r="BW56" i="71"/>
  <c r="CA11" i="71"/>
  <c r="BW11" i="71"/>
  <c r="BX11" i="71"/>
  <c r="CB11" i="71"/>
  <c r="CF88" i="71" s="1"/>
  <c r="BY68" i="71"/>
  <c r="CC70" i="71"/>
  <c r="CC68" i="71"/>
  <c r="BY56" i="71"/>
  <c r="CC56" i="71"/>
  <c r="CC11" i="71"/>
  <c r="CG88" i="71" s="1"/>
  <c r="BY11" i="71"/>
  <c r="BZ56" i="71"/>
  <c r="BZ11" i="71"/>
  <c r="CD11" i="71"/>
  <c r="CA70" i="71"/>
  <c r="CA68" i="71"/>
  <c r="CE70" i="71"/>
  <c r="CE68" i="71"/>
  <c r="CA56" i="71"/>
  <c r="CE56" i="71"/>
  <c r="CE63" i="71" s="1"/>
  <c r="CE65" i="71" s="1"/>
  <c r="CB68" i="71"/>
  <c r="CF68" i="71"/>
  <c r="CB56" i="71"/>
  <c r="CF56" i="71"/>
  <c r="CF63" i="71" s="1"/>
  <c r="CF65" i="71" s="1"/>
  <c r="CG70" i="71"/>
  <c r="CG68" i="71"/>
  <c r="CG56" i="71"/>
  <c r="CG63" i="71" s="1"/>
  <c r="CD70" i="71"/>
  <c r="CD68" i="71"/>
  <c r="CH70" i="71"/>
  <c r="CH68" i="71"/>
  <c r="CD56" i="71"/>
  <c r="CH56" i="71"/>
  <c r="CH60" i="71"/>
  <c r="DC215" i="71"/>
  <c r="DD215" i="71" s="1"/>
  <c r="DC216" i="71"/>
  <c r="DC217" i="71" s="1"/>
  <c r="DC208" i="71"/>
  <c r="DD208" i="71" s="1"/>
  <c r="DC203" i="71"/>
  <c r="DB183" i="71"/>
  <c r="DC183" i="71"/>
  <c r="DC168" i="71"/>
  <c r="DC166" i="71"/>
  <c r="DC155" i="71"/>
  <c r="DC148" i="71"/>
  <c r="DC153" i="71" s="1"/>
  <c r="FJ70" i="71"/>
  <c r="FI70" i="71"/>
  <c r="FH70" i="71"/>
  <c r="FG70" i="71"/>
  <c r="FF70" i="71"/>
  <c r="EY45" i="71"/>
  <c r="EX45" i="71"/>
  <c r="EY43" i="71"/>
  <c r="EX43" i="71"/>
  <c r="EY42" i="71"/>
  <c r="EX42" i="71"/>
  <c r="EY41" i="71"/>
  <c r="EX41" i="71"/>
  <c r="EY40" i="71"/>
  <c r="EX40" i="71"/>
  <c r="EY39" i="71"/>
  <c r="EX39" i="71"/>
  <c r="EY38" i="71"/>
  <c r="EX38" i="71"/>
  <c r="EX24" i="71"/>
  <c r="EX23" i="71"/>
  <c r="EX22" i="71"/>
  <c r="EX21" i="71"/>
  <c r="EX20" i="71"/>
  <c r="EY17" i="71"/>
  <c r="EX17" i="71"/>
  <c r="EY16" i="71"/>
  <c r="EX16" i="71"/>
  <c r="EY15" i="71"/>
  <c r="EX15" i="71"/>
  <c r="EY9" i="71"/>
  <c r="EX9" i="71"/>
  <c r="EY8" i="71"/>
  <c r="EX8" i="71"/>
  <c r="DJ32" i="71"/>
  <c r="DN32" i="71" s="1"/>
  <c r="DJ27" i="71"/>
  <c r="DN27" i="71" s="1"/>
  <c r="DN89" i="71" s="1"/>
  <c r="DJ4" i="71"/>
  <c r="DJ85" i="71" s="1"/>
  <c r="DJ5" i="71"/>
  <c r="DN5" i="71" s="1"/>
  <c r="DN87" i="71" s="1"/>
  <c r="DA217" i="71"/>
  <c r="DA211" i="71"/>
  <c r="DA203" i="71"/>
  <c r="EU76" i="71"/>
  <c r="ET76" i="71"/>
  <c r="ES76" i="71"/>
  <c r="EU73" i="71"/>
  <c r="ES67" i="71"/>
  <c r="ES64" i="71"/>
  <c r="EU67" i="71"/>
  <c r="ET67" i="71"/>
  <c r="ET64" i="71"/>
  <c r="EU66" i="71"/>
  <c r="EU64" i="71"/>
  <c r="EW73" i="71"/>
  <c r="EW67" i="71"/>
  <c r="EW64" i="71"/>
  <c r="EW60" i="71"/>
  <c r="EW62" i="71"/>
  <c r="EV62" i="71"/>
  <c r="EV140" i="71"/>
  <c r="EW140" i="71"/>
  <c r="DB168" i="71"/>
  <c r="DB166" i="71"/>
  <c r="DB155" i="71"/>
  <c r="DB148" i="71"/>
  <c r="DB147" i="71" s="1"/>
  <c r="EW147" i="71" s="1"/>
  <c r="EU62" i="71"/>
  <c r="ET62" i="71"/>
  <c r="ES62" i="71"/>
  <c r="EV60" i="71"/>
  <c r="EU60" i="71"/>
  <c r="ET60" i="71"/>
  <c r="ES60" i="71"/>
  <c r="ES59" i="71"/>
  <c r="ES58" i="71"/>
  <c r="EW57" i="71"/>
  <c r="EV57" i="71"/>
  <c r="EU57" i="71"/>
  <c r="ET57" i="71"/>
  <c r="ES57" i="71"/>
  <c r="EW56" i="71"/>
  <c r="EV56" i="71"/>
  <c r="EU56" i="71"/>
  <c r="EW53" i="71"/>
  <c r="EV53" i="71"/>
  <c r="EU53" i="71"/>
  <c r="ET53" i="71"/>
  <c r="ES53" i="71"/>
  <c r="EW49" i="71"/>
  <c r="EV49" i="71"/>
  <c r="EU49" i="71"/>
  <c r="ET49" i="71"/>
  <c r="ES49" i="71"/>
  <c r="EW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2" i="71"/>
  <c r="EV32" i="71"/>
  <c r="EU32" i="71"/>
  <c r="ET32" i="71"/>
  <c r="ES32" i="71"/>
  <c r="EW31" i="71"/>
  <c r="EV31" i="71"/>
  <c r="EU31" i="71"/>
  <c r="ET31" i="71"/>
  <c r="ES31"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1" i="71"/>
  <c r="DC63" i="71"/>
  <c r="DC65" i="71" s="1"/>
  <c r="DC89" i="71"/>
  <c r="DJ26" i="71"/>
  <c r="DN26" i="71" s="1"/>
  <c r="DB63" i="71"/>
  <c r="DB65" i="71" s="1"/>
  <c r="DB70" i="71"/>
  <c r="DB81" i="71"/>
  <c r="CY216" i="71"/>
  <c r="CZ216" i="71" s="1"/>
  <c r="CY215" i="71"/>
  <c r="CY208" i="71"/>
  <c r="CY207" i="71"/>
  <c r="CY203" i="71"/>
  <c r="CZ168" i="71"/>
  <c r="CZ166" i="71"/>
  <c r="CZ155" i="71"/>
  <c r="CZ148" i="71"/>
  <c r="CZ147" i="71" s="1"/>
  <c r="DA170" i="71"/>
  <c r="DA166" i="71"/>
  <c r="DA155" i="71"/>
  <c r="DA148" i="71"/>
  <c r="DA147" i="71" s="1"/>
  <c r="DA81" i="71"/>
  <c r="CT94" i="71"/>
  <c r="CS94" i="71"/>
  <c r="CR94" i="71"/>
  <c r="CQ94" i="71"/>
  <c r="CP94" i="71"/>
  <c r="CO94" i="71"/>
  <c r="CN94" i="71"/>
  <c r="CM94" i="71"/>
  <c r="CT92" i="71"/>
  <c r="CS92" i="71"/>
  <c r="CR92" i="71"/>
  <c r="CQ92" i="71"/>
  <c r="CP92" i="71"/>
  <c r="CO92" i="71"/>
  <c r="CN92" i="71"/>
  <c r="CM92" i="71"/>
  <c r="CT91" i="71"/>
  <c r="CS91" i="71"/>
  <c r="CR91" i="71"/>
  <c r="CQ91" i="71"/>
  <c r="CP91" i="71"/>
  <c r="CO91" i="71"/>
  <c r="CN91" i="71"/>
  <c r="CM91" i="71"/>
  <c r="CT90" i="71"/>
  <c r="CS90" i="71"/>
  <c r="CR90" i="71"/>
  <c r="CQ90" i="71"/>
  <c r="CP90" i="71"/>
  <c r="CO90" i="71"/>
  <c r="CN90" i="71"/>
  <c r="CM90" i="71"/>
  <c r="CI70" i="71"/>
  <c r="CI68" i="71"/>
  <c r="CM70" i="71"/>
  <c r="CM68" i="71"/>
  <c r="CM89" i="71"/>
  <c r="CM88" i="71"/>
  <c r="CM87" i="71"/>
  <c r="CM86" i="71"/>
  <c r="CM85" i="71"/>
  <c r="CM84" i="71"/>
  <c r="CM82" i="71"/>
  <c r="CM81" i="71"/>
  <c r="CN89" i="71"/>
  <c r="CN88" i="71"/>
  <c r="CN87" i="71"/>
  <c r="CN86" i="71"/>
  <c r="CN85" i="71"/>
  <c r="CN84" i="71"/>
  <c r="CN82" i="71"/>
  <c r="CN81" i="71"/>
  <c r="CJ68" i="71"/>
  <c r="CN68" i="71"/>
  <c r="CJ56" i="71"/>
  <c r="CJ63" i="71" s="1"/>
  <c r="CJ65" i="71" s="1"/>
  <c r="CN56" i="71"/>
  <c r="CR93" i="71" s="1"/>
  <c r="CI56" i="71"/>
  <c r="CI63" i="71" s="1"/>
  <c r="CI65" i="71" s="1"/>
  <c r="CM56" i="71"/>
  <c r="CQ93" i="71" s="1"/>
  <c r="CL70" i="71"/>
  <c r="CL66" i="71"/>
  <c r="CL68" i="71" s="1"/>
  <c r="CP66" i="71"/>
  <c r="CT82" i="71" s="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T84" i="71"/>
  <c r="CS84" i="71"/>
  <c r="CR84" i="71"/>
  <c r="CQ84" i="71"/>
  <c r="CP84" i="71"/>
  <c r="CO84" i="71"/>
  <c r="CR82" i="71"/>
  <c r="CQ82" i="71"/>
  <c r="CT81" i="71"/>
  <c r="CS81" i="71"/>
  <c r="CR81" i="71"/>
  <c r="CQ81" i="71"/>
  <c r="CP81" i="71"/>
  <c r="CO81" i="71"/>
  <c r="CP70" i="71"/>
  <c r="CL56" i="71"/>
  <c r="CP56" i="71"/>
  <c r="CT93" i="71" s="1"/>
  <c r="DF219" i="71" l="1"/>
  <c r="DE219" i="71"/>
  <c r="EZ27" i="71"/>
  <c r="DN86" i="71"/>
  <c r="EZ5" i="71"/>
  <c r="FA5" i="71" s="1"/>
  <c r="FB5" i="71" s="1"/>
  <c r="FC5" i="71" s="1"/>
  <c r="DJ92" i="71"/>
  <c r="EZ4" i="71"/>
  <c r="DJ93" i="71"/>
  <c r="DJ86" i="71"/>
  <c r="DH153" i="71"/>
  <c r="DH158" i="71" s="1"/>
  <c r="DH171" i="71"/>
  <c r="DH177" i="71" s="1"/>
  <c r="DG219" i="71"/>
  <c r="DJ91" i="71"/>
  <c r="DJ87" i="71"/>
  <c r="DG153" i="71"/>
  <c r="DG158" i="71" s="1"/>
  <c r="DJ94" i="71"/>
  <c r="DH63" i="71"/>
  <c r="DH65" i="71" s="1"/>
  <c r="DJ89" i="71"/>
  <c r="DG171" i="71"/>
  <c r="DG177" i="71" s="1"/>
  <c r="DD171" i="71"/>
  <c r="DD177" i="71" s="1"/>
  <c r="DG65" i="71"/>
  <c r="DG97" i="71" s="1"/>
  <c r="DD158" i="71"/>
  <c r="CD63" i="71"/>
  <c r="CD65" i="71" s="1"/>
  <c r="CD69" i="71" s="1"/>
  <c r="CD72" i="71" s="1"/>
  <c r="CD74" i="71" s="1"/>
  <c r="CD75" i="71" s="1"/>
  <c r="DC147" i="71"/>
  <c r="DG98" i="71"/>
  <c r="DG79" i="71"/>
  <c r="DC158" i="71"/>
  <c r="CH63" i="71"/>
  <c r="CH65" i="71" s="1"/>
  <c r="CH69" i="71" s="1"/>
  <c r="CH72" i="71" s="1"/>
  <c r="CH74" i="71" s="1"/>
  <c r="CH75" i="71" s="1"/>
  <c r="DC171" i="71"/>
  <c r="DC177" i="71" s="1"/>
  <c r="CC63" i="71"/>
  <c r="CC65" i="71" s="1"/>
  <c r="CC69" i="71" s="1"/>
  <c r="CC72" i="71" s="1"/>
  <c r="CC74" i="71" s="1"/>
  <c r="CC75" i="71" s="1"/>
  <c r="CZ207" i="71"/>
  <c r="DB207" i="71" s="1"/>
  <c r="CZ208" i="71"/>
  <c r="DB208" i="71" s="1"/>
  <c r="EX27" i="71"/>
  <c r="CA63" i="71"/>
  <c r="CA65" i="71" s="1"/>
  <c r="CA69" i="71" s="1"/>
  <c r="CA72" i="71" s="1"/>
  <c r="CA74" i="71" s="1"/>
  <c r="CA75" i="71" s="1"/>
  <c r="CZ215" i="71"/>
  <c r="CZ217" i="71" s="1"/>
  <c r="CH88" i="71"/>
  <c r="DB216" i="71"/>
  <c r="DD216" i="71"/>
  <c r="DD217" i="71" s="1"/>
  <c r="DD203" i="71"/>
  <c r="DB210" i="71"/>
  <c r="CZ203" i="71"/>
  <c r="DB194" i="71"/>
  <c r="DB203" i="71" s="1"/>
  <c r="DD211" i="71"/>
  <c r="DD179" i="71"/>
  <c r="DC211" i="71"/>
  <c r="DC219" i="71" s="1"/>
  <c r="DD147" i="71"/>
  <c r="CL82" i="71"/>
  <c r="CB63" i="71"/>
  <c r="CB65" i="71" s="1"/>
  <c r="CB69" i="71" s="1"/>
  <c r="CB72" i="71" s="1"/>
  <c r="CB74" i="71" s="1"/>
  <c r="CB75" i="71" s="1"/>
  <c r="CE69" i="71"/>
  <c r="CE72" i="71" s="1"/>
  <c r="CE74" i="71" s="1"/>
  <c r="CE75" i="71" s="1"/>
  <c r="CG65" i="71"/>
  <c r="CG69" i="71" s="1"/>
  <c r="CG72" i="71" s="1"/>
  <c r="CG74" i="71" s="1"/>
  <c r="CG75" i="71" s="1"/>
  <c r="CI79" i="71"/>
  <c r="CJ79" i="71"/>
  <c r="CF69" i="71"/>
  <c r="CF72" i="71" s="1"/>
  <c r="CF74" i="71" s="1"/>
  <c r="CF75" i="71" s="1"/>
  <c r="DJ25" i="71"/>
  <c r="DK25" i="71" s="1"/>
  <c r="EX25" i="71"/>
  <c r="EY6" i="71"/>
  <c r="FD6" i="71" s="1"/>
  <c r="FE6" i="71" s="1"/>
  <c r="FF6" i="71" s="1"/>
  <c r="FG6" i="71" s="1"/>
  <c r="FH6" i="71" s="1"/>
  <c r="FI6" i="71" s="1"/>
  <c r="FJ6" i="71" s="1"/>
  <c r="EX46" i="71"/>
  <c r="EX4" i="71"/>
  <c r="EX32" i="71"/>
  <c r="EY5" i="71"/>
  <c r="EX6" i="71"/>
  <c r="EY32" i="71"/>
  <c r="DB171" i="71"/>
  <c r="DB177" i="71" s="1"/>
  <c r="EX5" i="71"/>
  <c r="EY46" i="71"/>
  <c r="EY26" i="71"/>
  <c r="DA219" i="71"/>
  <c r="DJ29" i="71"/>
  <c r="DK29" i="71" s="1"/>
  <c r="EX28" i="71"/>
  <c r="EY27" i="71"/>
  <c r="EX26" i="71"/>
  <c r="DB153" i="71"/>
  <c r="DB158" i="71" s="1"/>
  <c r="EX29" i="71"/>
  <c r="CZ171" i="71"/>
  <c r="CZ177" i="71" s="1"/>
  <c r="CY217" i="71"/>
  <c r="CY211" i="71"/>
  <c r="DA171" i="71"/>
  <c r="DA177" i="71" s="1"/>
  <c r="CZ153" i="71"/>
  <c r="CZ158" i="71" s="1"/>
  <c r="DA153" i="71"/>
  <c r="DA158" i="71" s="1"/>
  <c r="CJ69" i="71"/>
  <c r="CJ72" i="71" s="1"/>
  <c r="CJ74" i="71" s="1"/>
  <c r="CJ75" i="71" s="1"/>
  <c r="CM93" i="71"/>
  <c r="CP68" i="71"/>
  <c r="CN93" i="71"/>
  <c r="CP93" i="71"/>
  <c r="CP82" i="71"/>
  <c r="CI69" i="71"/>
  <c r="CI72" i="71" s="1"/>
  <c r="CI74" i="71" s="1"/>
  <c r="CI75" i="71" s="1"/>
  <c r="CK70" i="71"/>
  <c r="ES70" i="71" s="1"/>
  <c r="CK73" i="71"/>
  <c r="ES73" i="71" s="1"/>
  <c r="CO73" i="71"/>
  <c r="ET73" i="71" s="1"/>
  <c r="CK66" i="71"/>
  <c r="CK82" i="71" s="1"/>
  <c r="CO66" i="71"/>
  <c r="CO70" i="71"/>
  <c r="ET70" i="71" s="1"/>
  <c r="CL63" i="71"/>
  <c r="CL65" i="71" s="1"/>
  <c r="CL69" i="71" s="1"/>
  <c r="CL72" i="71" s="1"/>
  <c r="CL74" i="71" s="1"/>
  <c r="CL75" i="71" s="1"/>
  <c r="CM63" i="71"/>
  <c r="CN63" i="71"/>
  <c r="CP63" i="71"/>
  <c r="CK56" i="71"/>
  <c r="CO56" i="71"/>
  <c r="CV63" i="71"/>
  <c r="CV65" i="71" s="1"/>
  <c r="CV97" i="71" s="1"/>
  <c r="CV70" i="71"/>
  <c r="CZ70" i="71"/>
  <c r="CZ68" i="71"/>
  <c r="EU24" i="71"/>
  <c r="EU23" i="71"/>
  <c r="EU22" i="71"/>
  <c r="EU21" i="71"/>
  <c r="EU19" i="71"/>
  <c r="EU14" i="71"/>
  <c r="EU11" i="71"/>
  <c r="EU10" i="71"/>
  <c r="EU7" i="71"/>
  <c r="EU6" i="71"/>
  <c r="EU5" i="71"/>
  <c r="EU4" i="71"/>
  <c r="EU3" i="71"/>
  <c r="CX168" i="71"/>
  <c r="CX176" i="71"/>
  <c r="DB179" i="71" s="1"/>
  <c r="CX166" i="71"/>
  <c r="CX155" i="71"/>
  <c r="CX148" i="71"/>
  <c r="CX147" i="71" s="1"/>
  <c r="CY176" i="71"/>
  <c r="DC179" i="71" s="1"/>
  <c r="CY168" i="71"/>
  <c r="CY166" i="71"/>
  <c r="CY155" i="71"/>
  <c r="CY148" i="71"/>
  <c r="FE70" i="71"/>
  <c r="FD70" i="71"/>
  <c r="FC70" i="71"/>
  <c r="FB70" i="71"/>
  <c r="FA70" i="71"/>
  <c r="EV66" i="71"/>
  <c r="EV76" i="71"/>
  <c r="EV73" i="71"/>
  <c r="EV64" i="71"/>
  <c r="EV67" i="71"/>
  <c r="EV81" i="71" s="1"/>
  <c r="EW24" i="71"/>
  <c r="EW23" i="71"/>
  <c r="EW22" i="71"/>
  <c r="EW21" i="71"/>
  <c r="EW20" i="71"/>
  <c r="EV7" i="71"/>
  <c r="EV24" i="71"/>
  <c r="EV23" i="71"/>
  <c r="EV22" i="71"/>
  <c r="EV21" i="71"/>
  <c r="EV20" i="71"/>
  <c r="EV19" i="71"/>
  <c r="EV14" i="71"/>
  <c r="EV11" i="71"/>
  <c r="EV10" i="71"/>
  <c r="EV6" i="71"/>
  <c r="EV5" i="71"/>
  <c r="EV4" i="71"/>
  <c r="EV3" i="71"/>
  <c r="CX94" i="71"/>
  <c r="CW94" i="71"/>
  <c r="CV94" i="71"/>
  <c r="CU94" i="71"/>
  <c r="CX93" i="71"/>
  <c r="CW93" i="71"/>
  <c r="CV93" i="71"/>
  <c r="CU93" i="71"/>
  <c r="CY94" i="71"/>
  <c r="CY93" i="71"/>
  <c r="CX92" i="71"/>
  <c r="CW92" i="71"/>
  <c r="CV92" i="71"/>
  <c r="CU92" i="71"/>
  <c r="CY92" i="71"/>
  <c r="CX91" i="71"/>
  <c r="CW91" i="71"/>
  <c r="CV91" i="71"/>
  <c r="CU91" i="71"/>
  <c r="CY91" i="71"/>
  <c r="DC94" i="71"/>
  <c r="DF94" i="71"/>
  <c r="DE94" i="71"/>
  <c r="DD94" i="71"/>
  <c r="DC93" i="71"/>
  <c r="DF93" i="71"/>
  <c r="DA93" i="71"/>
  <c r="CZ93" i="71"/>
  <c r="DC92" i="71"/>
  <c r="DF92" i="71"/>
  <c r="DE92" i="71"/>
  <c r="CZ92" i="71"/>
  <c r="DC91" i="71"/>
  <c r="DF91" i="71"/>
  <c r="DE91" i="71"/>
  <c r="DD91" i="71"/>
  <c r="DJ48" i="71"/>
  <c r="DN48" i="71" s="1"/>
  <c r="EZ48" i="71" s="1"/>
  <c r="DJ18" i="71"/>
  <c r="DN18" i="71" s="1"/>
  <c r="EZ18" i="71" s="1"/>
  <c r="DJ19" i="71"/>
  <c r="DN19" i="71" s="1"/>
  <c r="EZ19" i="71" s="1"/>
  <c r="DJ37" i="71"/>
  <c r="DN37" i="71" s="1"/>
  <c r="EZ37" i="71" s="1"/>
  <c r="DJ36" i="71"/>
  <c r="DN36" i="71" s="1"/>
  <c r="EZ36" i="71" s="1"/>
  <c r="DJ14" i="71"/>
  <c r="DN14" i="71" s="1"/>
  <c r="EZ14" i="71" s="1"/>
  <c r="DJ12" i="71"/>
  <c r="DN12" i="71" s="1"/>
  <c r="EZ12" i="71" s="1"/>
  <c r="DC88" i="71"/>
  <c r="CX89" i="71"/>
  <c r="CW89" i="71"/>
  <c r="CV89" i="71"/>
  <c r="CU89" i="71"/>
  <c r="CY89" i="71"/>
  <c r="CX88" i="71"/>
  <c r="CW88" i="71"/>
  <c r="CV88" i="71"/>
  <c r="CU88" i="71"/>
  <c r="CY88" i="71"/>
  <c r="DC84" i="71"/>
  <c r="DC85" i="71"/>
  <c r="DB85" i="71"/>
  <c r="CZ85" i="71"/>
  <c r="DC87" i="71"/>
  <c r="DF87" i="71"/>
  <c r="DE87" i="71"/>
  <c r="CZ87" i="71"/>
  <c r="CZ84" i="71"/>
  <c r="CZ81" i="71"/>
  <c r="CX87" i="71"/>
  <c r="CW87" i="71"/>
  <c r="CV87" i="71"/>
  <c r="CU87" i="71"/>
  <c r="CY87" i="71"/>
  <c r="DC86" i="71"/>
  <c r="DF86" i="71"/>
  <c r="DE86" i="71"/>
  <c r="CZ86" i="71"/>
  <c r="CU90" i="71"/>
  <c r="CU86" i="71"/>
  <c r="CU85" i="71"/>
  <c r="CU84" i="71"/>
  <c r="CU82" i="71"/>
  <c r="CU81" i="71"/>
  <c r="CQ68" i="71"/>
  <c r="CU48" i="71"/>
  <c r="CQ63" i="71"/>
  <c r="CQ65" i="71" s="1"/>
  <c r="CQ97" i="71" s="1"/>
  <c r="CX90" i="71"/>
  <c r="CW90" i="71"/>
  <c r="CV90" i="71"/>
  <c r="CY90" i="71"/>
  <c r="DC90" i="71"/>
  <c r="CZ90" i="71"/>
  <c r="CV86" i="71"/>
  <c r="CV85" i="71"/>
  <c r="CV84" i="71"/>
  <c r="CV82" i="71"/>
  <c r="CV81" i="71"/>
  <c r="CR70" i="71"/>
  <c r="EU70" i="71" s="1"/>
  <c r="CR68" i="71"/>
  <c r="CX86" i="71"/>
  <c r="CW86" i="71"/>
  <c r="CY86" i="71"/>
  <c r="CX85" i="71"/>
  <c r="CW85" i="71"/>
  <c r="CY85" i="71"/>
  <c r="CX84" i="71"/>
  <c r="CW84" i="71"/>
  <c r="CY84" i="71"/>
  <c r="CX82" i="71"/>
  <c r="CW82" i="71"/>
  <c r="CY82" i="71"/>
  <c r="CX81" i="71"/>
  <c r="CW81" i="71"/>
  <c r="CY81" i="71"/>
  <c r="CW68" i="71"/>
  <c r="CV68" i="71"/>
  <c r="CU68" i="71"/>
  <c r="CT68" i="71"/>
  <c r="CS68" i="71"/>
  <c r="CX70" i="71"/>
  <c r="CX68" i="71"/>
  <c r="CX63" i="71"/>
  <c r="CW63" i="71"/>
  <c r="CW65" i="71" s="1"/>
  <c r="CW97" i="71" s="1"/>
  <c r="CT63" i="71"/>
  <c r="CT65" i="71" s="1"/>
  <c r="CT97" i="71" s="1"/>
  <c r="CS63" i="71"/>
  <c r="CS65" i="71" s="1"/>
  <c r="CS97" i="71" s="1"/>
  <c r="CR63" i="71"/>
  <c r="CR65" i="71" s="1"/>
  <c r="CR97" i="71" s="1"/>
  <c r="CU70" i="71"/>
  <c r="CY70" i="71"/>
  <c r="CY68" i="71"/>
  <c r="CY63" i="71"/>
  <c r="CY65" i="71" s="1"/>
  <c r="CY97" i="71" s="1"/>
  <c r="BZ84" i="71"/>
  <c r="BV86" i="71"/>
  <c r="BR11" i="71"/>
  <c r="BR48" i="71"/>
  <c r="BZ91" i="71"/>
  <c r="BZ92" i="71"/>
  <c r="BR56" i="71"/>
  <c r="BZ95" i="71"/>
  <c r="BY85" i="71"/>
  <c r="BY86" i="71"/>
  <c r="BQ11" i="71"/>
  <c r="BQ48" i="71"/>
  <c r="BY91" i="71"/>
  <c r="BY92" i="71"/>
  <c r="BQ56" i="71"/>
  <c r="BU95" i="71"/>
  <c r="BX84" i="71"/>
  <c r="BX85" i="71"/>
  <c r="BX86" i="71"/>
  <c r="BT11" i="71"/>
  <c r="BX91" i="71"/>
  <c r="BX92" i="71"/>
  <c r="BX95" i="71"/>
  <c r="BW84" i="71"/>
  <c r="BW85" i="71"/>
  <c r="BW86" i="71"/>
  <c r="BS11" i="71"/>
  <c r="BW91" i="71"/>
  <c r="BW92" i="71"/>
  <c r="BW95" i="71"/>
  <c r="BY81" i="71"/>
  <c r="BX81" i="71"/>
  <c r="BW81" i="71"/>
  <c r="BY82" i="71"/>
  <c r="BX82" i="71"/>
  <c r="BW82" i="71"/>
  <c r="BZ82" i="71"/>
  <c r="EO22" i="71"/>
  <c r="EP22" i="71" s="1"/>
  <c r="EQ22" i="71" s="1"/>
  <c r="ER22" i="71" s="1"/>
  <c r="ES22" i="71" s="1"/>
  <c r="ET22" i="71" s="1"/>
  <c r="FN78" i="71"/>
  <c r="BM85" i="71"/>
  <c r="BL85" i="71"/>
  <c r="BK85" i="71"/>
  <c r="BS85" i="71"/>
  <c r="BR85" i="71"/>
  <c r="BQ85" i="71"/>
  <c r="BP85" i="71"/>
  <c r="BO85" i="71"/>
  <c r="BN85" i="71"/>
  <c r="BT86" i="71"/>
  <c r="BL86" i="71"/>
  <c r="BK86" i="71"/>
  <c r="BR86" i="71"/>
  <c r="BQ86" i="71"/>
  <c r="BP86" i="71"/>
  <c r="BO86" i="71"/>
  <c r="BN86" i="71"/>
  <c r="BM86" i="71"/>
  <c r="BS86" i="71"/>
  <c r="BS84" i="71"/>
  <c r="BS95" i="71"/>
  <c r="BS92" i="71"/>
  <c r="BS91" i="71"/>
  <c r="BS82" i="71"/>
  <c r="BS81" i="71"/>
  <c r="BG56" i="71"/>
  <c r="BG112" i="71" s="1"/>
  <c r="BM56" i="71"/>
  <c r="BL56" i="71"/>
  <c r="BK56" i="71"/>
  <c r="BJ56" i="71"/>
  <c r="BJ112" i="71" s="1"/>
  <c r="BI56" i="71"/>
  <c r="BI112" i="71" s="1"/>
  <c r="BN56" i="71"/>
  <c r="BO56" i="71"/>
  <c r="BP56" i="71"/>
  <c r="EY81" i="71"/>
  <c r="EX81" i="71"/>
  <c r="EU81" i="71"/>
  <c r="ET81" i="71"/>
  <c r="ES81" i="71"/>
  <c r="ER81" i="71"/>
  <c r="EQ81" i="71"/>
  <c r="EP81" i="71"/>
  <c r="EN58" i="71"/>
  <c r="EO58" i="71" s="1"/>
  <c r="EP58" i="71" s="1"/>
  <c r="EQ58" i="71" s="1"/>
  <c r="EN60" i="71"/>
  <c r="EO60" i="71" s="1"/>
  <c r="EP60" i="71" s="1"/>
  <c r="EQ60" i="71" s="1"/>
  <c r="EM60" i="71"/>
  <c r="EL60" i="71"/>
  <c r="EV2" i="71"/>
  <c r="EW2" i="71" s="1"/>
  <c r="EX2" i="71" s="1"/>
  <c r="EY2" i="71" s="1"/>
  <c r="EZ2" i="71" s="1"/>
  <c r="FA2" i="71" s="1"/>
  <c r="FB2" i="71" s="1"/>
  <c r="FC2" i="71" s="1"/>
  <c r="FD2" i="71" s="1"/>
  <c r="FE2" i="71" s="1"/>
  <c r="FF2" i="71" s="1"/>
  <c r="FG2" i="71" s="1"/>
  <c r="FH2" i="71" s="1"/>
  <c r="FI2" i="71" s="1"/>
  <c r="FJ2" i="71" s="1"/>
  <c r="EN29" i="71"/>
  <c r="EO29" i="71" s="1"/>
  <c r="EP29" i="71" s="1"/>
  <c r="EQ29" i="71" s="1"/>
  <c r="EN76" i="71"/>
  <c r="EO76" i="71" s="1"/>
  <c r="EP76" i="71" s="1"/>
  <c r="EQ76" i="71" s="1"/>
  <c r="EM76" i="71"/>
  <c r="EN67" i="71"/>
  <c r="EM66" i="71"/>
  <c r="EM64" i="71"/>
  <c r="EN64" i="71"/>
  <c r="EN62" i="71"/>
  <c r="EO62" i="71" s="1"/>
  <c r="EN59" i="71"/>
  <c r="EN57" i="71"/>
  <c r="EO57" i="71" s="1"/>
  <c r="EP57" i="71" s="1"/>
  <c r="EQ57" i="71" s="1"/>
  <c r="EN53" i="71"/>
  <c r="EO53" i="71" s="1"/>
  <c r="EP53" i="71" s="1"/>
  <c r="EQ53" i="71" s="1"/>
  <c r="EN49" i="71"/>
  <c r="EO49" i="71" s="1"/>
  <c r="EP49" i="71" s="1"/>
  <c r="EQ49" i="71" s="1"/>
  <c r="EN24" i="71"/>
  <c r="EN46" i="71"/>
  <c r="EN18" i="71"/>
  <c r="EN22" i="71"/>
  <c r="EN16" i="71"/>
  <c r="EN35" i="71"/>
  <c r="EN12" i="71"/>
  <c r="EN34" i="71"/>
  <c r="EN10" i="71"/>
  <c r="EN6" i="71"/>
  <c r="EN4" i="71"/>
  <c r="EM3" i="71"/>
  <c r="EN3" i="71"/>
  <c r="BQ214" i="71"/>
  <c r="BR214" i="71" s="1"/>
  <c r="BP186" i="71"/>
  <c r="BP185" i="71" s="1"/>
  <c r="BP213" i="71"/>
  <c r="BQ213" i="71" s="1"/>
  <c r="BR213" i="71" s="1"/>
  <c r="BP207" i="71"/>
  <c r="BQ207" i="71" s="1"/>
  <c r="BR207" i="71" s="1"/>
  <c r="BP205" i="71"/>
  <c r="BQ205"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6" i="71"/>
  <c r="BQ196" i="71" s="1"/>
  <c r="BR196" i="71" s="1"/>
  <c r="BP193" i="71"/>
  <c r="BQ193" i="71" s="1"/>
  <c r="BR193" i="71" s="1"/>
  <c r="BP192" i="71"/>
  <c r="BQ192" i="71" s="1"/>
  <c r="BR192" i="71" s="1"/>
  <c r="BP191" i="71"/>
  <c r="BQ191" i="71" s="1"/>
  <c r="BO194" i="71"/>
  <c r="BP194" i="71" s="1"/>
  <c r="BQ194" i="71" s="1"/>
  <c r="BR194" i="71" s="1"/>
  <c r="BN187" i="71"/>
  <c r="BM187" i="71"/>
  <c r="BL187" i="71"/>
  <c r="BK187" i="71"/>
  <c r="BJ187" i="71"/>
  <c r="BO183" i="71"/>
  <c r="BN183" i="71"/>
  <c r="BO185" i="71"/>
  <c r="BN185" i="71"/>
  <c r="BM185" i="71"/>
  <c r="BJ183" i="71"/>
  <c r="BJ155" i="71"/>
  <c r="BJ148" i="71"/>
  <c r="BJ153" i="71" s="1"/>
  <c r="BJ176" i="71"/>
  <c r="BJ166" i="71"/>
  <c r="BJ171" i="71" s="1"/>
  <c r="BK183" i="71"/>
  <c r="BK155" i="71"/>
  <c r="BK148" i="71"/>
  <c r="BK153" i="71" s="1"/>
  <c r="BK176" i="71"/>
  <c r="BK166" i="71"/>
  <c r="BK171" i="71" s="1"/>
  <c r="BL183" i="71"/>
  <c r="BL155" i="71"/>
  <c r="BL148" i="71"/>
  <c r="BL153" i="71" s="1"/>
  <c r="BL176" i="71"/>
  <c r="BL166" i="71"/>
  <c r="BL171" i="71" s="1"/>
  <c r="BM183" i="71"/>
  <c r="BM155" i="71"/>
  <c r="BM176" i="71"/>
  <c r="BM166" i="71"/>
  <c r="BM171" i="71" s="1"/>
  <c r="BM148" i="71"/>
  <c r="BM144" i="71" s="1"/>
  <c r="BP183" i="71"/>
  <c r="BR183" i="71"/>
  <c r="BR155" i="71"/>
  <c r="BR176" i="71"/>
  <c r="BR166" i="71"/>
  <c r="BR171" i="71" s="1"/>
  <c r="BR148" i="71"/>
  <c r="BR153" i="71" s="1"/>
  <c r="BP66" i="71"/>
  <c r="EN66" i="71" s="1"/>
  <c r="BT95" i="71"/>
  <c r="BT92" i="71"/>
  <c r="BT91" i="71"/>
  <c r="BQ183" i="71"/>
  <c r="BQ176" i="71"/>
  <c r="BQ166" i="71"/>
  <c r="BQ171" i="71" s="1"/>
  <c r="BQ155" i="71"/>
  <c r="BQ148" i="71"/>
  <c r="BQ144" i="71" s="1"/>
  <c r="BT84" i="71"/>
  <c r="BT85" i="71"/>
  <c r="BT81" i="71"/>
  <c r="BO187" i="71"/>
  <c r="EM62" i="71"/>
  <c r="EM119" i="71" s="1"/>
  <c r="EM231" i="71" s="1"/>
  <c r="EM59" i="71"/>
  <c r="EM58" i="71"/>
  <c r="EM57" i="71"/>
  <c r="EM53" i="71"/>
  <c r="EM49" i="71"/>
  <c r="EL29" i="71"/>
  <c r="EL24" i="71"/>
  <c r="EM29" i="71"/>
  <c r="EM38" i="71"/>
  <c r="EM24" i="71"/>
  <c r="EM46" i="71"/>
  <c r="EM22" i="71"/>
  <c r="EM18" i="71"/>
  <c r="EM16" i="71"/>
  <c r="EM35" i="71"/>
  <c r="EM12" i="71"/>
  <c r="BN155" i="71"/>
  <c r="BN148" i="71"/>
  <c r="BN153" i="71" s="1"/>
  <c r="BN176" i="71"/>
  <c r="BN166" i="71"/>
  <c r="BN171" i="71" s="1"/>
  <c r="BP176" i="71"/>
  <c r="BP166" i="71"/>
  <c r="BP171" i="71" s="1"/>
  <c r="BP155" i="71"/>
  <c r="BP148" i="71"/>
  <c r="BP153" i="71" s="1"/>
  <c r="EM21" i="71"/>
  <c r="EM34" i="71"/>
  <c r="EL34" i="71"/>
  <c r="EL21" i="71"/>
  <c r="EM10" i="71"/>
  <c r="EL10" i="71"/>
  <c r="EM6" i="71"/>
  <c r="EL6" i="71"/>
  <c r="EM4" i="71"/>
  <c r="EL4" i="71"/>
  <c r="BN71" i="71"/>
  <c r="EM71" i="71" s="1"/>
  <c r="BN48" i="71"/>
  <c r="BP48" i="71"/>
  <c r="BO71" i="71"/>
  <c r="EN71" i="71" s="1"/>
  <c r="BO48" i="71"/>
  <c r="BO11" i="71"/>
  <c r="BO176" i="71"/>
  <c r="BO166" i="71"/>
  <c r="BO171" i="71" s="1"/>
  <c r="BO155" i="71"/>
  <c r="BO148" i="71"/>
  <c r="BO153" i="71" s="1"/>
  <c r="BP11" i="71"/>
  <c r="BN11" i="71"/>
  <c r="EL3" i="71"/>
  <c r="BP92" i="71"/>
  <c r="BN92" i="71"/>
  <c r="BN91" i="71"/>
  <c r="BP95" i="71"/>
  <c r="BN95" i="71"/>
  <c r="BP84" i="71"/>
  <c r="BN84" i="71"/>
  <c r="BL82" i="71"/>
  <c r="BK82" i="71"/>
  <c r="BJ82" i="71"/>
  <c r="BI82" i="71"/>
  <c r="BH82" i="71"/>
  <c r="BG82" i="71"/>
  <c r="BF82" i="71"/>
  <c r="BE82" i="71"/>
  <c r="BD82" i="71"/>
  <c r="BM82" i="71"/>
  <c r="BQ81" i="71"/>
  <c r="BG81" i="71"/>
  <c r="BF81" i="71"/>
  <c r="BE81" i="71"/>
  <c r="BD81" i="71"/>
  <c r="BL81" i="71"/>
  <c r="BK81" i="71"/>
  <c r="BJ81" i="71"/>
  <c r="BI81" i="71"/>
  <c r="BH81" i="71"/>
  <c r="BM81" i="71"/>
  <c r="BP81" i="71"/>
  <c r="BO81" i="71"/>
  <c r="BQ82" i="71"/>
  <c r="BO82" i="71"/>
  <c r="BO95" i="71"/>
  <c r="BR92" i="71"/>
  <c r="BQ92" i="71"/>
  <c r="BR91" i="71"/>
  <c r="BP91" i="71"/>
  <c r="BO91" i="71"/>
  <c r="BM92" i="71"/>
  <c r="BM91" i="71"/>
  <c r="BM84" i="71"/>
  <c r="BM95" i="71"/>
  <c r="BK84" i="71"/>
  <c r="BK70" i="71"/>
  <c r="BG48" i="71"/>
  <c r="BI11" i="71"/>
  <c r="BI48" i="71" s="1"/>
  <c r="BM70" i="71"/>
  <c r="BO84" i="71"/>
  <c r="BQ84" i="71"/>
  <c r="BQ91" i="71"/>
  <c r="BQ95" i="71"/>
  <c r="BO92" i="71"/>
  <c r="BM48" i="71"/>
  <c r="BM11" i="71"/>
  <c r="BL95" i="71"/>
  <c r="BK95" i="71"/>
  <c r="BL92" i="71"/>
  <c r="BK92" i="71"/>
  <c r="BL91" i="71"/>
  <c r="BK91" i="71"/>
  <c r="EK3" i="71"/>
  <c r="EJ3" i="71"/>
  <c r="BL73" i="71"/>
  <c r="EM73" i="71" s="1"/>
  <c r="BL84" i="71"/>
  <c r="BL48" i="71"/>
  <c r="BL11" i="71"/>
  <c r="BK11" i="71"/>
  <c r="EL76" i="71"/>
  <c r="EL67" i="71"/>
  <c r="EL66" i="71"/>
  <c r="EL130" i="71"/>
  <c r="EM67" i="71"/>
  <c r="BR81" i="71"/>
  <c r="BN81" i="71"/>
  <c r="BN82" i="71"/>
  <c r="BR82" i="71"/>
  <c r="BJ119" i="71"/>
  <c r="BJ73" i="71"/>
  <c r="EL73" i="71" s="1"/>
  <c r="BJ70" i="71"/>
  <c r="BJ95" i="71"/>
  <c r="BJ94" i="71"/>
  <c r="BJ93" i="71"/>
  <c r="BJ92" i="71"/>
  <c r="BJ91" i="71"/>
  <c r="BJ84" i="71"/>
  <c r="BJ48" i="71"/>
  <c r="BJ105" i="71" s="1"/>
  <c r="BF48" i="71"/>
  <c r="BF105" i="71" s="1"/>
  <c r="EK62" i="71"/>
  <c r="EK119" i="71" s="1"/>
  <c r="EK231" i="71" s="1"/>
  <c r="EK60" i="71"/>
  <c r="EK59" i="71"/>
  <c r="EK58" i="71"/>
  <c r="EK55" i="71"/>
  <c r="EK54" i="71"/>
  <c r="EK53" i="71"/>
  <c r="EK49" i="71"/>
  <c r="EK18" i="71"/>
  <c r="EK17" i="71"/>
  <c r="EK16" i="71"/>
  <c r="EK35" i="71"/>
  <c r="EK15" i="71"/>
  <c r="EK12" i="71"/>
  <c r="EK21" i="71"/>
  <c r="EK34" i="71"/>
  <c r="EK11" i="71"/>
  <c r="EK10" i="71"/>
  <c r="EK9" i="71"/>
  <c r="EL62" i="71"/>
  <c r="EL119" i="71" s="1"/>
  <c r="EL231" i="71" s="1"/>
  <c r="EL59" i="71"/>
  <c r="EL58" i="71"/>
  <c r="EL55" i="71"/>
  <c r="EM94" i="71" s="1"/>
  <c r="EL54" i="71"/>
  <c r="EM93" i="71" s="1"/>
  <c r="EL53" i="71"/>
  <c r="EL49" i="71"/>
  <c r="EL22" i="71"/>
  <c r="EL38" i="71"/>
  <c r="EL18" i="71"/>
  <c r="EL17" i="71"/>
  <c r="EL16" i="71"/>
  <c r="EL35" i="71"/>
  <c r="EL15" i="71"/>
  <c r="EL12" i="71"/>
  <c r="EL9" i="71"/>
  <c r="BE185" i="71"/>
  <c r="BD185" i="71"/>
  <c r="BH214" i="71"/>
  <c r="BI214" i="71" s="1"/>
  <c r="BH213" i="71"/>
  <c r="BI213" i="71" s="1"/>
  <c r="BH207" i="71"/>
  <c r="BI207" i="71" s="1"/>
  <c r="BH202" i="71"/>
  <c r="BI202" i="71" s="1"/>
  <c r="BH201" i="71"/>
  <c r="BI201" i="71" s="1"/>
  <c r="BH200" i="71"/>
  <c r="BI200" i="71" s="1"/>
  <c r="BH199" i="71"/>
  <c r="BI199" i="71" s="1"/>
  <c r="BH198" i="71"/>
  <c r="BI198" i="71" s="1"/>
  <c r="BH197" i="71"/>
  <c r="BI197" i="71" s="1"/>
  <c r="BH196" i="71"/>
  <c r="BI196" i="71" s="1"/>
  <c r="BH193" i="71"/>
  <c r="BI193" i="71" s="1"/>
  <c r="BH192" i="71"/>
  <c r="BI192" i="71" s="1"/>
  <c r="BH191" i="71"/>
  <c r="BI191" i="71" s="1"/>
  <c r="BH186" i="71"/>
  <c r="BH166" i="71"/>
  <c r="BH171" i="71" s="1"/>
  <c r="BH155" i="71"/>
  <c r="BH148" i="71"/>
  <c r="BH144" i="71" s="1"/>
  <c r="BH176" i="71"/>
  <c r="BH179" i="71" s="1"/>
  <c r="BD207" i="71"/>
  <c r="BE207" i="71" s="1"/>
  <c r="BF207" i="71" s="1"/>
  <c r="BG205" i="71"/>
  <c r="BH205" i="71" s="1"/>
  <c r="BG203" i="71"/>
  <c r="BC187" i="71"/>
  <c r="BF186" i="71"/>
  <c r="BG166" i="71"/>
  <c r="BG171" i="71" s="1"/>
  <c r="BG155" i="71"/>
  <c r="BG148" i="71"/>
  <c r="BG176" i="71"/>
  <c r="BI155" i="71"/>
  <c r="BI148" i="71"/>
  <c r="BI144" i="71" s="1"/>
  <c r="BI176" i="71"/>
  <c r="BI166" i="71"/>
  <c r="BI171" i="71" s="1"/>
  <c r="BI119" i="71"/>
  <c r="BH119" i="71"/>
  <c r="BH112" i="71"/>
  <c r="BI95" i="71"/>
  <c r="BI94" i="71"/>
  <c r="BI93" i="71"/>
  <c r="BI92" i="71"/>
  <c r="BI91" i="71"/>
  <c r="BI84" i="71"/>
  <c r="BH91" i="71"/>
  <c r="BH84" i="71"/>
  <c r="BI70" i="71"/>
  <c r="BH48" i="71"/>
  <c r="BH105" i="71" s="1"/>
  <c r="BR84" i="71"/>
  <c r="BH95" i="71"/>
  <c r="BH94" i="71"/>
  <c r="BH93" i="71"/>
  <c r="BH92" i="71"/>
  <c r="BH70" i="71"/>
  <c r="BG70" i="71"/>
  <c r="BG119" i="71"/>
  <c r="BG95" i="71"/>
  <c r="BG94" i="71"/>
  <c r="BG93" i="71"/>
  <c r="BG92" i="71"/>
  <c r="BG91" i="71"/>
  <c r="BG84" i="71"/>
  <c r="BE119" i="71"/>
  <c r="BF119" i="71"/>
  <c r="BD119" i="71"/>
  <c r="BC119" i="71"/>
  <c r="BC121" i="71" s="1"/>
  <c r="BE112" i="71"/>
  <c r="BF112" i="71"/>
  <c r="BD112" i="71"/>
  <c r="BC112" i="71"/>
  <c r="BC114" i="71" s="1"/>
  <c r="BF176" i="71"/>
  <c r="BF179" i="71" s="1"/>
  <c r="BF166" i="71"/>
  <c r="BF171" i="71" s="1"/>
  <c r="BF155" i="71"/>
  <c r="BF148" i="71"/>
  <c r="BF144" i="71" s="1"/>
  <c r="BF95" i="71"/>
  <c r="BF94" i="71"/>
  <c r="BF93" i="71"/>
  <c r="BF92" i="71"/>
  <c r="BF91" i="71"/>
  <c r="BF84" i="71"/>
  <c r="BF73" i="71"/>
  <c r="BF71"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6" i="71"/>
  <c r="BE179" i="71" s="1"/>
  <c r="BL66" i="9"/>
  <c r="BL68" i="9"/>
  <c r="EK70" i="71"/>
  <c r="EK76" i="71"/>
  <c r="EK239" i="71" s="1"/>
  <c r="EK67" i="71"/>
  <c r="EK66" i="71"/>
  <c r="BD214" i="71"/>
  <c r="BE214" i="71" s="1"/>
  <c r="BF214" i="71" s="1"/>
  <c r="BD213" i="71"/>
  <c r="BE213" i="71" s="1"/>
  <c r="BF213" i="71" s="1"/>
  <c r="BD205" i="71"/>
  <c r="BD187"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6" i="71"/>
  <c r="BE196" i="71" s="1"/>
  <c r="BF196" i="71" s="1"/>
  <c r="BD194" i="71"/>
  <c r="BE194" i="71" s="1"/>
  <c r="BF194" i="71" s="1"/>
  <c r="BD193" i="71"/>
  <c r="BE193" i="71" s="1"/>
  <c r="BF193" i="71" s="1"/>
  <c r="BD192" i="71"/>
  <c r="BE192" i="71" s="1"/>
  <c r="BF192" i="71" s="1"/>
  <c r="BD191" i="71"/>
  <c r="BE191" i="71" s="1"/>
  <c r="AT179" i="71"/>
  <c r="AU179" i="71"/>
  <c r="AV179" i="71"/>
  <c r="AW179" i="71"/>
  <c r="AX179" i="71"/>
  <c r="AY179" i="71"/>
  <c r="AZ179" i="71"/>
  <c r="BA179" i="71"/>
  <c r="BB179" i="71"/>
  <c r="BC179" i="71"/>
  <c r="BD179" i="71"/>
  <c r="BD155" i="71"/>
  <c r="BD148" i="71"/>
  <c r="BD144" i="71" s="1"/>
  <c r="BD166" i="71"/>
  <c r="BD171" i="71" s="1"/>
  <c r="BD177" i="71" s="1"/>
  <c r="BE166" i="71"/>
  <c r="BE171" i="71" s="1"/>
  <c r="BE155" i="71"/>
  <c r="BE148" i="71"/>
  <c r="BE153" i="71" s="1"/>
  <c r="BE95" i="71"/>
  <c r="BE94" i="71"/>
  <c r="BE93" i="71"/>
  <c r="BE92" i="71"/>
  <c r="BE91" i="71"/>
  <c r="BE84" i="71"/>
  <c r="BE48" i="71"/>
  <c r="BE105" i="71" s="1"/>
  <c r="S15" i="74"/>
  <c r="S16" i="74"/>
  <c r="BD73" i="71"/>
  <c r="AH92" i="71"/>
  <c r="AG92" i="71"/>
  <c r="AF92" i="71"/>
  <c r="AE92" i="71"/>
  <c r="AO92" i="71"/>
  <c r="AN92" i="71"/>
  <c r="AM92" i="71"/>
  <c r="AL92" i="71"/>
  <c r="AK92" i="71"/>
  <c r="AJ92" i="71"/>
  <c r="AI92" i="71"/>
  <c r="AW92" i="71"/>
  <c r="AV92" i="71"/>
  <c r="AU92" i="71"/>
  <c r="AT92" i="71"/>
  <c r="AS92" i="71"/>
  <c r="AR92" i="71"/>
  <c r="AQ92" i="71"/>
  <c r="AP92" i="71"/>
  <c r="BD48" i="71"/>
  <c r="BD105" i="71" s="1"/>
  <c r="BC84" i="71"/>
  <c r="EL236" i="71"/>
  <c r="EK236" i="71"/>
  <c r="EJ236" i="71"/>
  <c r="EI236" i="71"/>
  <c r="EH236" i="71"/>
  <c r="EG236" i="71"/>
  <c r="EF236" i="71"/>
  <c r="EE236" i="71"/>
  <c r="ED236" i="71"/>
  <c r="EC236" i="71"/>
  <c r="EB236" i="71"/>
  <c r="EA236" i="71"/>
  <c r="DZ236" i="71"/>
  <c r="DY236" i="71"/>
  <c r="DX236" i="71"/>
  <c r="DW236" i="71"/>
  <c r="DV236" i="71"/>
  <c r="DU236" i="71"/>
  <c r="DT236" i="71"/>
  <c r="DS236" i="71"/>
  <c r="DR236" i="71"/>
  <c r="DQ236" i="71"/>
  <c r="EG239" i="71"/>
  <c r="EB239" i="71"/>
  <c r="S14" i="74"/>
  <c r="S13" i="74"/>
  <c r="S12" i="74"/>
  <c r="S11" i="74"/>
  <c r="S10" i="74"/>
  <c r="S9" i="74"/>
  <c r="S8" i="74"/>
  <c r="S7" i="74"/>
  <c r="S6" i="74"/>
  <c r="S5" i="74"/>
  <c r="BD94" i="71"/>
  <c r="BD92" i="71"/>
  <c r="BD84" i="71"/>
  <c r="BD95" i="71"/>
  <c r="BD93" i="71"/>
  <c r="BD91" i="71"/>
  <c r="BC260" i="71"/>
  <c r="BB260" i="71"/>
  <c r="BA260" i="71"/>
  <c r="AZ260" i="71"/>
  <c r="AY260" i="71"/>
  <c r="AX260" i="71"/>
  <c r="AW260" i="71"/>
  <c r="AV260" i="71"/>
  <c r="AU260" i="71"/>
  <c r="AY264" i="71"/>
  <c r="AX264" i="71"/>
  <c r="AU264" i="71"/>
  <c r="AT264" i="71"/>
  <c r="AS264" i="71"/>
  <c r="AR264" i="71"/>
  <c r="AQ264" i="71"/>
  <c r="BC264" i="71"/>
  <c r="AU259" i="71"/>
  <c r="AV259" i="71"/>
  <c r="AW259" i="71"/>
  <c r="AX259" i="71"/>
  <c r="BC259" i="71"/>
  <c r="BB259" i="71"/>
  <c r="BA259" i="71"/>
  <c r="AZ259" i="71"/>
  <c r="AY259" i="71"/>
  <c r="BD259" i="71"/>
  <c r="AY187" i="71"/>
  <c r="BC203" i="71"/>
  <c r="BC220" i="71" s="1"/>
  <c r="BC155" i="71"/>
  <c r="BC148" i="71"/>
  <c r="BC144" i="71" s="1"/>
  <c r="BC166" i="71"/>
  <c r="BC171" i="71" s="1"/>
  <c r="BC177" i="71" s="1"/>
  <c r="BC94" i="71"/>
  <c r="BC93" i="71"/>
  <c r="AU37" i="22"/>
  <c r="AU36" i="22"/>
  <c r="AU34" i="22"/>
  <c r="AU33" i="22"/>
  <c r="AU31" i="22"/>
  <c r="AU30" i="22"/>
  <c r="AU28" i="22"/>
  <c r="AU27" i="22"/>
  <c r="AU24" i="22"/>
  <c r="AU23" i="22"/>
  <c r="AU18" i="22"/>
  <c r="AU50" i="22"/>
  <c r="AU15" i="22"/>
  <c r="AU49" i="22"/>
  <c r="AU12" i="22"/>
  <c r="AU48" i="22"/>
  <c r="AU9" i="22"/>
  <c r="AQ6" i="22"/>
  <c r="AU26" i="22"/>
  <c r="AU3" i="22"/>
  <c r="AU45" i="22"/>
  <c r="AT4" i="22"/>
  <c r="BC73" i="71"/>
  <c r="BC71" i="71"/>
  <c r="BC95" i="71"/>
  <c r="BC92" i="71"/>
  <c r="BC91" i="71"/>
  <c r="BC48" i="71"/>
  <c r="BC105" i="71" s="1"/>
  <c r="AZ191" i="71"/>
  <c r="BA191" i="71" s="1"/>
  <c r="BB191" i="71" s="1"/>
  <c r="AY203" i="71"/>
  <c r="AY220" i="71" s="1"/>
  <c r="BB155" i="71"/>
  <c r="BB148" i="71"/>
  <c r="BB153" i="71" s="1"/>
  <c r="BB166" i="71"/>
  <c r="BB171" i="71" s="1"/>
  <c r="BB177" i="71" s="1"/>
  <c r="BA155" i="71"/>
  <c r="BA148" i="71"/>
  <c r="BA144" i="71" s="1"/>
  <c r="BA166" i="71"/>
  <c r="BA171" i="71" s="1"/>
  <c r="BA177" i="71" s="1"/>
  <c r="EI143" i="71"/>
  <c r="EH143" i="71"/>
  <c r="EJ143" i="71"/>
  <c r="EJ166" i="71"/>
  <c r="EJ171" i="71" s="1"/>
  <c r="EJ155" i="71"/>
  <c r="EJ148" i="71"/>
  <c r="EJ144" i="71" s="1"/>
  <c r="EH130" i="71"/>
  <c r="EI130" i="71"/>
  <c r="EJ130" i="71"/>
  <c r="EJ62" i="71"/>
  <c r="EJ119" i="71" s="1"/>
  <c r="EJ60" i="71"/>
  <c r="EJ59" i="71"/>
  <c r="EJ58" i="71"/>
  <c r="EJ55" i="71"/>
  <c r="EJ54" i="71"/>
  <c r="EJ53" i="71"/>
  <c r="EJ49" i="71"/>
  <c r="BB73" i="71"/>
  <c r="BB71" i="71"/>
  <c r="BB64" i="71"/>
  <c r="BB95" i="71"/>
  <c r="BB94" i="71"/>
  <c r="BB93" i="71"/>
  <c r="BB92" i="71"/>
  <c r="BB91" i="71"/>
  <c r="BB84" i="71"/>
  <c r="BB48" i="71"/>
  <c r="BB63" i="71" s="1"/>
  <c r="BA95" i="71"/>
  <c r="BA94" i="71"/>
  <c r="BA93" i="71"/>
  <c r="BA92" i="71"/>
  <c r="BA91" i="71"/>
  <c r="BA84" i="71"/>
  <c r="BA48" i="71"/>
  <c r="BA63" i="71" s="1"/>
  <c r="BA98" i="71" s="1"/>
  <c r="C55" i="29"/>
  <c r="C56" i="29"/>
  <c r="C57" i="29"/>
  <c r="C58" i="29"/>
  <c r="C59" i="29"/>
  <c r="C60" i="29"/>
  <c r="C61" i="29"/>
  <c r="C62" i="29"/>
  <c r="AZ95" i="71"/>
  <c r="AZ94" i="71"/>
  <c r="AZ93" i="71"/>
  <c r="AZ92" i="71"/>
  <c r="AZ91" i="71"/>
  <c r="AY91" i="71"/>
  <c r="AX91" i="71"/>
  <c r="AY92" i="71"/>
  <c r="AX92" i="71"/>
  <c r="EJ9" i="71"/>
  <c r="AE4" i="40"/>
  <c r="AD4" i="40"/>
  <c r="K4" i="40"/>
  <c r="AC4" i="40"/>
  <c r="G4" i="40"/>
  <c r="AB4" i="40"/>
  <c r="AE3" i="40"/>
  <c r="AD3" i="40"/>
  <c r="AC3" i="40"/>
  <c r="AB3" i="40"/>
  <c r="AZ214" i="71"/>
  <c r="BA214" i="71" s="1"/>
  <c r="BB214" i="71" s="1"/>
  <c r="AZ213" i="71"/>
  <c r="BA213" i="71" s="1"/>
  <c r="BB213" i="71" s="1"/>
  <c r="AZ207" i="71"/>
  <c r="BA207" i="71" s="1"/>
  <c r="BB207" i="71" s="1"/>
  <c r="AZ205" i="71"/>
  <c r="BA205" i="71" s="1"/>
  <c r="BB205" i="71" s="1"/>
  <c r="BB187" i="71" s="1"/>
  <c r="AZ202" i="71"/>
  <c r="BA202" i="71" s="1"/>
  <c r="BB202" i="71" s="1"/>
  <c r="AZ201" i="71"/>
  <c r="BA201" i="71" s="1"/>
  <c r="BB201" i="71" s="1"/>
  <c r="AZ200" i="71"/>
  <c r="BA200" i="71" s="1"/>
  <c r="BB200" i="71" s="1"/>
  <c r="AZ199" i="71"/>
  <c r="AZ198" i="71"/>
  <c r="BA198" i="71" s="1"/>
  <c r="BB198" i="71" s="1"/>
  <c r="AZ197" i="71"/>
  <c r="BA197" i="71" s="1"/>
  <c r="BB197" i="71" s="1"/>
  <c r="AZ196" i="71"/>
  <c r="BA196" i="71" s="1"/>
  <c r="BB196" i="71" s="1"/>
  <c r="AZ193" i="71"/>
  <c r="BA193" i="71" s="1"/>
  <c r="AZ192" i="71"/>
  <c r="BA192" i="71" s="1"/>
  <c r="BB192" i="71" s="1"/>
  <c r="AZ166" i="71"/>
  <c r="AZ171" i="71" s="1"/>
  <c r="AZ177" i="71" s="1"/>
  <c r="AZ155" i="71"/>
  <c r="AZ148" i="71"/>
  <c r="AZ144" i="71" s="1"/>
  <c r="AS207" i="71"/>
  <c r="AT207" i="71" s="1"/>
  <c r="AR214" i="71"/>
  <c r="AS214" i="71" s="1"/>
  <c r="AT214" i="71" s="1"/>
  <c r="AR213" i="71"/>
  <c r="AS213" i="71" s="1"/>
  <c r="AT213" i="71" s="1"/>
  <c r="AU207" i="71"/>
  <c r="AV207" i="71" s="1"/>
  <c r="AW207" i="71" s="1"/>
  <c r="AX207" i="71" s="1"/>
  <c r="AV214" i="71"/>
  <c r="AW214" i="71" s="1"/>
  <c r="AX214" i="71" s="1"/>
  <c r="AV213" i="71"/>
  <c r="AW213" i="71" s="1"/>
  <c r="AX213" i="71" s="1"/>
  <c r="AV186" i="71"/>
  <c r="AW186" i="71" s="1"/>
  <c r="AX186" i="71" s="1"/>
  <c r="AY148" i="71"/>
  <c r="AY153" i="71" s="1"/>
  <c r="AW166" i="71"/>
  <c r="AW171" i="71" s="1"/>
  <c r="AW177" i="71" s="1"/>
  <c r="AW155" i="71"/>
  <c r="AW148" i="71"/>
  <c r="AW144" i="71" s="1"/>
  <c r="AX155" i="71"/>
  <c r="AX148" i="71"/>
  <c r="AX144" i="71" s="1"/>
  <c r="AX166" i="71"/>
  <c r="AX171" i="71" s="1"/>
  <c r="AX177" i="71" s="1"/>
  <c r="AY166" i="71"/>
  <c r="AY171" i="71" s="1"/>
  <c r="AY177" i="71" s="1"/>
  <c r="AY155" i="71"/>
  <c r="EG148" i="71"/>
  <c r="EG153" i="71" s="1"/>
  <c r="AM148" i="71"/>
  <c r="AM153" i="71" s="1"/>
  <c r="BB119" i="71"/>
  <c r="BA119" i="71"/>
  <c r="EJ70" i="71"/>
  <c r="AZ48" i="71"/>
  <c r="AZ63" i="71" s="1"/>
  <c r="AZ65" i="71" s="1"/>
  <c r="AZ97"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9" i="71"/>
  <c r="AZ255" i="71" s="1"/>
  <c r="AZ112" i="71"/>
  <c r="DY17" i="71"/>
  <c r="DW34" i="71"/>
  <c r="DV34"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8" i="71"/>
  <c r="L108" i="71"/>
  <c r="M108" i="71"/>
  <c r="N108" i="71"/>
  <c r="O108" i="71"/>
  <c r="P108" i="71"/>
  <c r="Q108" i="71"/>
  <c r="R108" i="71"/>
  <c r="E2" i="45"/>
  <c r="F2" i="45"/>
  <c r="G2" i="45"/>
  <c r="H2" i="45"/>
  <c r="I2" i="45"/>
  <c r="J2" i="45"/>
  <c r="K2" i="45"/>
  <c r="L2" i="45"/>
  <c r="M2" i="45"/>
  <c r="N2" i="45"/>
  <c r="O2" i="45"/>
  <c r="P2" i="45"/>
  <c r="Q2" i="45"/>
  <c r="R2" i="45"/>
  <c r="S2" i="45"/>
  <c r="T2" i="45"/>
  <c r="U2" i="45"/>
  <c r="V2" i="45"/>
  <c r="W2" i="45"/>
  <c r="X2" i="45"/>
  <c r="S108" i="71"/>
  <c r="T108" i="71"/>
  <c r="U108" i="71"/>
  <c r="V108" i="71"/>
  <c r="W108" i="71"/>
  <c r="X108" i="71"/>
  <c r="Y108" i="71"/>
  <c r="S71" i="71"/>
  <c r="M65" i="9"/>
  <c r="EE62" i="71"/>
  <c r="EE60" i="71"/>
  <c r="EE59" i="71"/>
  <c r="EE53" i="71"/>
  <c r="EE54" i="71"/>
  <c r="EE55" i="71"/>
  <c r="EF62" i="71"/>
  <c r="EF119" i="71" s="1"/>
  <c r="EF60" i="71"/>
  <c r="EF59" i="71"/>
  <c r="EF49" i="71"/>
  <c r="EF53" i="71"/>
  <c r="EF54" i="71"/>
  <c r="EF55" i="71"/>
  <c r="EE49" i="71"/>
  <c r="EA48" i="71"/>
  <c r="EB48" i="71"/>
  <c r="EC48" i="71"/>
  <c r="ED48" i="71"/>
  <c r="ED62" i="71"/>
  <c r="ED61" i="71"/>
  <c r="ED60" i="71"/>
  <c r="ED59" i="71"/>
  <c r="ED55" i="71"/>
  <c r="ED54" i="71"/>
  <c r="ED53" i="71"/>
  <c r="ED49" i="71"/>
  <c r="EC61" i="71"/>
  <c r="EC60" i="71"/>
  <c r="EC59" i="71"/>
  <c r="EC55" i="71"/>
  <c r="EC54" i="71"/>
  <c r="EC53" i="71"/>
  <c r="EC49" i="71"/>
  <c r="S49" i="71"/>
  <c r="EB49" i="71" s="1"/>
  <c r="R49" i="71"/>
  <c r="Q49" i="71"/>
  <c r="P49" i="71"/>
  <c r="O49" i="71"/>
  <c r="AN17" i="71"/>
  <c r="AM17" i="71"/>
  <c r="AL17" i="71"/>
  <c r="AL40" i="71"/>
  <c r="AK40" i="71"/>
  <c r="AJ40" i="71"/>
  <c r="AI40" i="71"/>
  <c r="AH40" i="71"/>
  <c r="AG40" i="71"/>
  <c r="AF40" i="71"/>
  <c r="AE40" i="71"/>
  <c r="AD40" i="71"/>
  <c r="AC40" i="71"/>
  <c r="AB40" i="71"/>
  <c r="AA40" i="71"/>
  <c r="Z40" i="71"/>
  <c r="Y40" i="71"/>
  <c r="X40" i="71"/>
  <c r="W40" i="71"/>
  <c r="V40" i="71"/>
  <c r="U40" i="71"/>
  <c r="T40" i="71"/>
  <c r="S40" i="71"/>
  <c r="AN8" i="71"/>
  <c r="AM8" i="71"/>
  <c r="AL8" i="71"/>
  <c r="S8" i="71"/>
  <c r="R8" i="71"/>
  <c r="Q8" i="71"/>
  <c r="P8" i="71"/>
  <c r="O8" i="71"/>
  <c r="AN3" i="71"/>
  <c r="AR84" i="71" s="1"/>
  <c r="AM3" i="71"/>
  <c r="AQ84" i="71" s="1"/>
  <c r="AL3" i="71"/>
  <c r="AP84" i="71" s="1"/>
  <c r="AK3" i="71"/>
  <c r="AO84" i="71" s="1"/>
  <c r="AJ3" i="71"/>
  <c r="AI3" i="71"/>
  <c r="AH3" i="71"/>
  <c r="AG3" i="71"/>
  <c r="AF3" i="71"/>
  <c r="AE3" i="71"/>
  <c r="AD3" i="71"/>
  <c r="AC3" i="71"/>
  <c r="AB3" i="71"/>
  <c r="AA3" i="71"/>
  <c r="Z3" i="71"/>
  <c r="Y3" i="71"/>
  <c r="X3" i="71"/>
  <c r="W3" i="71"/>
  <c r="V3" i="71"/>
  <c r="U3" i="71"/>
  <c r="T3" i="71"/>
  <c r="S3" i="71"/>
  <c r="R3" i="71"/>
  <c r="R84" i="71" s="1"/>
  <c r="Q3" i="71"/>
  <c r="Q84" i="71" s="1"/>
  <c r="P3" i="71"/>
  <c r="P84" i="71" s="1"/>
  <c r="O3" i="71"/>
  <c r="O84" i="71" s="1"/>
  <c r="AN41" i="71"/>
  <c r="AM41" i="71"/>
  <c r="AL41" i="71"/>
  <c r="AJ41" i="71"/>
  <c r="AN21" i="71"/>
  <c r="AM21" i="71"/>
  <c r="AL21" i="71"/>
  <c r="V21" i="71"/>
  <c r="U21" i="71"/>
  <c r="T21" i="71"/>
  <c r="S21" i="71"/>
  <c r="EJ21" i="71"/>
  <c r="AN34" i="71"/>
  <c r="S34" i="71"/>
  <c r="R34" i="71"/>
  <c r="Q34" i="71"/>
  <c r="P34" i="71"/>
  <c r="O34"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1" i="71"/>
  <c r="AV48" i="71"/>
  <c r="AV63" i="71" s="1"/>
  <c r="AV262" i="71" s="1"/>
  <c r="AW48" i="71"/>
  <c r="AX48" i="71"/>
  <c r="AX63" i="71" s="1"/>
  <c r="AX262" i="71" s="1"/>
  <c r="EI49" i="71"/>
  <c r="EI53" i="71"/>
  <c r="EI54" i="71"/>
  <c r="EI55" i="71"/>
  <c r="EI58" i="71"/>
  <c r="EI59" i="71"/>
  <c r="EI60" i="71"/>
  <c r="EI62" i="71"/>
  <c r="EI119" i="71" s="1"/>
  <c r="EI3" i="71"/>
  <c r="EI10" i="71"/>
  <c r="EI34" i="71"/>
  <c r="EI17" i="71"/>
  <c r="EI21" i="71"/>
  <c r="EI12" i="71"/>
  <c r="AW15" i="71"/>
  <c r="EI15" i="71" s="1"/>
  <c r="EI35" i="71"/>
  <c r="EI16" i="71"/>
  <c r="EI43" i="71"/>
  <c r="EI18" i="71"/>
  <c r="EI64" i="71"/>
  <c r="AT48" i="71"/>
  <c r="AT105" i="71" s="1"/>
  <c r="AS11" i="71"/>
  <c r="AS48" i="71" s="1"/>
  <c r="AR11" i="71"/>
  <c r="AR21" i="71"/>
  <c r="AQ11" i="71"/>
  <c r="AQ21" i="71"/>
  <c r="EH49" i="71"/>
  <c r="EH43" i="71"/>
  <c r="EH41" i="71"/>
  <c r="EH16" i="71"/>
  <c r="EH35" i="71"/>
  <c r="EH15" i="71"/>
  <c r="EH12" i="71"/>
  <c r="EH17" i="71"/>
  <c r="EH34" i="71"/>
  <c r="EH10" i="71"/>
  <c r="EH9" i="71"/>
  <c r="EH3" i="71"/>
  <c r="EH53" i="71"/>
  <c r="EH54" i="71"/>
  <c r="EH55" i="71"/>
  <c r="EH58" i="71"/>
  <c r="EH59" i="71"/>
  <c r="EH60" i="71"/>
  <c r="AQ61" i="71"/>
  <c r="AQ112" i="71" s="1"/>
  <c r="AR61" i="71"/>
  <c r="AR112" i="71" s="1"/>
  <c r="AS61" i="71"/>
  <c r="AS112" i="71" s="1"/>
  <c r="EH62" i="71"/>
  <c r="EH119" i="71" s="1"/>
  <c r="EH64" i="71"/>
  <c r="EH66" i="71"/>
  <c r="AT67" i="71"/>
  <c r="EH67" i="71" s="1"/>
  <c r="AR70" i="71"/>
  <c r="EH70" i="71" s="1"/>
  <c r="AS71" i="71"/>
  <c r="AT71" i="71" s="1"/>
  <c r="EH71" i="71" s="1"/>
  <c r="EH76" i="71"/>
  <c r="EH239" i="71" s="1"/>
  <c r="EI66" i="71"/>
  <c r="EI67" i="71"/>
  <c r="EI70" i="71"/>
  <c r="AX71" i="71"/>
  <c r="EI71" i="71" s="1"/>
  <c r="AX73" i="71"/>
  <c r="EI73" i="71" s="1"/>
  <c r="EG62" i="71"/>
  <c r="EG119" i="71" s="1"/>
  <c r="AM34" i="71"/>
  <c r="AO48" i="71"/>
  <c r="AO105" i="71" s="1"/>
  <c r="AP48" i="71"/>
  <c r="AP105" i="71" s="1"/>
  <c r="AY93" i="71"/>
  <c r="AY94" i="71"/>
  <c r="AY84" i="71"/>
  <c r="AE8" i="71"/>
  <c r="AF8" i="71"/>
  <c r="AG8" i="71"/>
  <c r="AH8" i="71"/>
  <c r="AE34" i="71"/>
  <c r="AF34" i="71"/>
  <c r="AG34" i="71"/>
  <c r="AH34" i="71"/>
  <c r="AE17" i="71"/>
  <c r="AF17" i="71"/>
  <c r="AG17" i="71"/>
  <c r="AH17" i="71"/>
  <c r="AE21" i="71"/>
  <c r="AF21" i="71"/>
  <c r="AG21" i="71"/>
  <c r="AH21" i="71"/>
  <c r="AE15" i="71"/>
  <c r="AF15" i="71"/>
  <c r="AG15" i="71"/>
  <c r="AH15" i="71"/>
  <c r="AE41" i="71"/>
  <c r="AF41" i="71"/>
  <c r="AG41" i="71"/>
  <c r="AH41" i="71"/>
  <c r="EE58" i="71"/>
  <c r="AA8" i="71"/>
  <c r="AB8" i="71"/>
  <c r="AC8" i="71"/>
  <c r="AD8" i="71"/>
  <c r="AA34" i="71"/>
  <c r="AB34" i="71"/>
  <c r="AC34" i="71"/>
  <c r="AD34" i="71"/>
  <c r="AA17" i="71"/>
  <c r="AB17" i="71"/>
  <c r="AC17" i="71"/>
  <c r="AD17" i="71"/>
  <c r="AA21" i="71"/>
  <c r="AB21" i="71"/>
  <c r="AC21" i="71"/>
  <c r="AD21" i="71"/>
  <c r="ED42" i="71"/>
  <c r="ED39" i="71"/>
  <c r="AA41" i="71"/>
  <c r="AB41" i="71"/>
  <c r="AC41" i="71"/>
  <c r="AD41" i="71"/>
  <c r="ED58" i="71"/>
  <c r="W8" i="71"/>
  <c r="X8" i="71"/>
  <c r="Y8" i="71"/>
  <c r="Z8" i="71"/>
  <c r="W34" i="71"/>
  <c r="X34" i="71"/>
  <c r="Y34" i="71"/>
  <c r="Z34" i="71"/>
  <c r="W17" i="71"/>
  <c r="X17" i="71"/>
  <c r="Y17" i="71"/>
  <c r="Z17" i="71"/>
  <c r="W21" i="71"/>
  <c r="X21" i="71"/>
  <c r="Y21" i="71"/>
  <c r="Z21" i="71"/>
  <c r="EC39" i="71"/>
  <c r="W41" i="71"/>
  <c r="X41" i="71"/>
  <c r="Y41" i="71"/>
  <c r="Z41" i="71"/>
  <c r="EC58" i="71"/>
  <c r="AI21" i="71"/>
  <c r="AJ21" i="71"/>
  <c r="AK21" i="71"/>
  <c r="AI8" i="71"/>
  <c r="AJ8" i="71"/>
  <c r="AK8" i="71"/>
  <c r="AI34" i="71"/>
  <c r="AJ34" i="71"/>
  <c r="AK34" i="71"/>
  <c r="AL34" i="71"/>
  <c r="EF58" i="71"/>
  <c r="EG49" i="71"/>
  <c r="EG53" i="71"/>
  <c r="EG54" i="71"/>
  <c r="EG55" i="71"/>
  <c r="EG58" i="71"/>
  <c r="EG59" i="71"/>
  <c r="EG60" i="71"/>
  <c r="AM61" i="71"/>
  <c r="AM112" i="71" s="1"/>
  <c r="AM252" i="71" s="1"/>
  <c r="AN61" i="71"/>
  <c r="AN112" i="71" s="1"/>
  <c r="AN114" i="71" s="1"/>
  <c r="AO61" i="71"/>
  <c r="AO112" i="71" s="1"/>
  <c r="AP61" i="71"/>
  <c r="AL61" i="71"/>
  <c r="AL112" i="71" s="1"/>
  <c r="AL114" i="71" s="1"/>
  <c r="AK17" i="71"/>
  <c r="AK15" i="71"/>
  <c r="AK41" i="71"/>
  <c r="AK61" i="71"/>
  <c r="AJ17" i="71"/>
  <c r="AJ15" i="71"/>
  <c r="AJ61" i="71"/>
  <c r="AJ112" i="71" s="1"/>
  <c r="AI17" i="71"/>
  <c r="AI15" i="71"/>
  <c r="AI41" i="71"/>
  <c r="AI61" i="71"/>
  <c r="AI112" i="71" s="1"/>
  <c r="AH61" i="71"/>
  <c r="AH112" i="71" s="1"/>
  <c r="AH114" i="71" s="1"/>
  <c r="AG61" i="71"/>
  <c r="AG112" i="71" s="1"/>
  <c r="AF61" i="71"/>
  <c r="AE61" i="71"/>
  <c r="AY48" i="71"/>
  <c r="AY105" i="71" s="1"/>
  <c r="AY249" i="71" s="1"/>
  <c r="EI76" i="71"/>
  <c r="EI23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2" i="71"/>
  <c r="AU252" i="71" s="1"/>
  <c r="AY112" i="71"/>
  <c r="AY119" i="71"/>
  <c r="AY255" i="71" s="1"/>
  <c r="AU119" i="71"/>
  <c r="AU255"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4" i="71"/>
  <c r="D34" i="71"/>
  <c r="E34" i="71"/>
  <c r="F34" i="71"/>
  <c r="G34" i="71"/>
  <c r="H34" i="71"/>
  <c r="I34" i="71"/>
  <c r="J34" i="71"/>
  <c r="K34" i="71"/>
  <c r="L34" i="71"/>
  <c r="M34" i="71"/>
  <c r="N34" i="71"/>
  <c r="T34" i="71"/>
  <c r="U34" i="71"/>
  <c r="V34"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9" i="71"/>
  <c r="DY39" i="71"/>
  <c r="L39" i="71"/>
  <c r="M39" i="71"/>
  <c r="N39" i="71"/>
  <c r="O39" i="71"/>
  <c r="P39" i="71"/>
  <c r="Q39" i="71"/>
  <c r="R39" i="71"/>
  <c r="EB39" i="71"/>
  <c r="C40" i="71"/>
  <c r="D40" i="71"/>
  <c r="E40" i="71"/>
  <c r="F40" i="71"/>
  <c r="G40" i="71"/>
  <c r="H40" i="71"/>
  <c r="I40" i="71"/>
  <c r="J40" i="71"/>
  <c r="K40" i="71"/>
  <c r="L40" i="71"/>
  <c r="M40" i="71"/>
  <c r="N40" i="71"/>
  <c r="O40" i="71"/>
  <c r="P40" i="71"/>
  <c r="Q40" i="71"/>
  <c r="R40" i="71"/>
  <c r="C41" i="71"/>
  <c r="D41" i="71"/>
  <c r="E41" i="71"/>
  <c r="F41" i="71"/>
  <c r="G41" i="71"/>
  <c r="H41" i="71"/>
  <c r="I41" i="71"/>
  <c r="J41" i="71"/>
  <c r="K41" i="71"/>
  <c r="L41" i="71"/>
  <c r="M41" i="71"/>
  <c r="N41" i="71"/>
  <c r="O41" i="71"/>
  <c r="P41" i="71"/>
  <c r="Q41" i="71"/>
  <c r="R41" i="71"/>
  <c r="S41" i="71"/>
  <c r="T41" i="71"/>
  <c r="U41" i="71"/>
  <c r="V41" i="71"/>
  <c r="DW49" i="71"/>
  <c r="G49" i="71"/>
  <c r="C49" i="71" s="1"/>
  <c r="H49" i="71"/>
  <c r="D49" i="71" s="1"/>
  <c r="I49" i="71"/>
  <c r="E49" i="71" s="1"/>
  <c r="J49" i="71"/>
  <c r="F49" i="71"/>
  <c r="EA53" i="71"/>
  <c r="EA92" i="71" s="1"/>
  <c r="EB53" i="71"/>
  <c r="DX54" i="71"/>
  <c r="G54" i="71"/>
  <c r="C54" i="71" s="1"/>
  <c r="H54" i="71"/>
  <c r="L93" i="71" s="1"/>
  <c r="I54" i="71"/>
  <c r="M93" i="71" s="1"/>
  <c r="J54" i="71"/>
  <c r="DZ54" i="71"/>
  <c r="EA54" i="71"/>
  <c r="EB54" i="71"/>
  <c r="F54" i="71"/>
  <c r="G55" i="71"/>
  <c r="K94" i="71" s="1"/>
  <c r="H55" i="71"/>
  <c r="I55" i="71"/>
  <c r="M94" i="71" s="1"/>
  <c r="F55" i="71"/>
  <c r="J55" i="71"/>
  <c r="N94" i="71" s="1"/>
  <c r="DZ55" i="71"/>
  <c r="EA55" i="71"/>
  <c r="EB55" i="71"/>
  <c r="G58" i="71"/>
  <c r="C58" i="71" s="1"/>
  <c r="H58" i="71"/>
  <c r="D58" i="71" s="1"/>
  <c r="I58" i="71"/>
  <c r="F58" i="71"/>
  <c r="J58" i="71"/>
  <c r="K58" i="71"/>
  <c r="L58" i="71"/>
  <c r="M58" i="71"/>
  <c r="N58" i="71"/>
  <c r="EA58" i="71"/>
  <c r="EB58" i="71"/>
  <c r="DW59" i="71"/>
  <c r="G59" i="71"/>
  <c r="C59" i="71" s="1"/>
  <c r="H59" i="71"/>
  <c r="I59" i="71"/>
  <c r="J59" i="71"/>
  <c r="K59" i="71"/>
  <c r="L59" i="71"/>
  <c r="M59" i="71"/>
  <c r="N59" i="71"/>
  <c r="EA59" i="71"/>
  <c r="EB59" i="71"/>
  <c r="F59" i="71"/>
  <c r="DX60" i="71"/>
  <c r="DW60" i="71" s="1"/>
  <c r="G60" i="71"/>
  <c r="K95" i="71" s="1"/>
  <c r="H60" i="71"/>
  <c r="L95" i="71" s="1"/>
  <c r="I60" i="71"/>
  <c r="M95" i="71" s="1"/>
  <c r="J60" i="71"/>
  <c r="N95" i="71" s="1"/>
  <c r="EA60" i="71"/>
  <c r="EB60" i="71"/>
  <c r="F60" i="71"/>
  <c r="DY61" i="71"/>
  <c r="EA61" i="71"/>
  <c r="EB61" i="71"/>
  <c r="DY64" i="71"/>
  <c r="DY65" i="71" s="1"/>
  <c r="EG64" i="71"/>
  <c r="DP65" i="71"/>
  <c r="DP69" i="71" s="1"/>
  <c r="DQ65" i="71"/>
  <c r="DQ97" i="71" s="1"/>
  <c r="DR65" i="71"/>
  <c r="DR69" i="71" s="1"/>
  <c r="DS65" i="71"/>
  <c r="DS69" i="71" s="1"/>
  <c r="DS100" i="71" s="1"/>
  <c r="DT65" i="71"/>
  <c r="DT97" i="71" s="1"/>
  <c r="DU65" i="71"/>
  <c r="DU233" i="71" s="1"/>
  <c r="DV65" i="71"/>
  <c r="DV69" i="71" s="1"/>
  <c r="DV100" i="71" s="1"/>
  <c r="DW65" i="71"/>
  <c r="DX65" i="71"/>
  <c r="DX69" i="71" s="1"/>
  <c r="DZ65" i="71"/>
  <c r="DZ233" i="71" s="1"/>
  <c r="EA65" i="71"/>
  <c r="EA233" i="71" s="1"/>
  <c r="EB65" i="71"/>
  <c r="EB233" i="71" s="1"/>
  <c r="C65" i="71"/>
  <c r="C69" i="71" s="1"/>
  <c r="D65" i="71"/>
  <c r="D97" i="71" s="1"/>
  <c r="E65" i="71"/>
  <c r="E69" i="71" s="1"/>
  <c r="E100" i="71" s="1"/>
  <c r="F65" i="71"/>
  <c r="F97" i="71" s="1"/>
  <c r="G65" i="71"/>
  <c r="G69" i="71" s="1"/>
  <c r="G100" i="71" s="1"/>
  <c r="H65" i="71"/>
  <c r="H69" i="71" s="1"/>
  <c r="H100" i="71" s="1"/>
  <c r="I65" i="71"/>
  <c r="I69" i="71" s="1"/>
  <c r="I100" i="71" s="1"/>
  <c r="J65" i="71"/>
  <c r="J69" i="71" s="1"/>
  <c r="J72" i="71" s="1"/>
  <c r="K65" i="71"/>
  <c r="K69" i="71" s="1"/>
  <c r="K100" i="71" s="1"/>
  <c r="L65" i="71"/>
  <c r="L97" i="71" s="1"/>
  <c r="M65" i="71"/>
  <c r="M69" i="71" s="1"/>
  <c r="M100" i="71" s="1"/>
  <c r="N65" i="71"/>
  <c r="N69" i="71" s="1"/>
  <c r="N72" i="71" s="1"/>
  <c r="O65" i="71"/>
  <c r="O69" i="71" s="1"/>
  <c r="P65" i="71"/>
  <c r="P69" i="71" s="1"/>
  <c r="P100" i="71" s="1"/>
  <c r="Q65" i="71"/>
  <c r="Q69" i="71" s="1"/>
  <c r="Q100" i="71" s="1"/>
  <c r="R65" i="71"/>
  <c r="R69" i="71" s="1"/>
  <c r="S65" i="71"/>
  <c r="S69" i="71" s="1"/>
  <c r="S100" i="71" s="1"/>
  <c r="T65" i="71"/>
  <c r="T97" i="71" s="1"/>
  <c r="U65" i="71"/>
  <c r="U69" i="71" s="1"/>
  <c r="U100" i="71" s="1"/>
  <c r="V65" i="71"/>
  <c r="V97" i="71" s="1"/>
  <c r="W65" i="71"/>
  <c r="X65" i="71"/>
  <c r="X69" i="71" s="1"/>
  <c r="Y65" i="71"/>
  <c r="Y69" i="71" s="1"/>
  <c r="Z65" i="71"/>
  <c r="EG66" i="71"/>
  <c r="AN67" i="71"/>
  <c r="EG67" i="71" s="1"/>
  <c r="DP70" i="71"/>
  <c r="DQ70" i="71"/>
  <c r="DR70" i="71"/>
  <c r="DS70" i="71"/>
  <c r="DT70" i="71"/>
  <c r="DU70" i="71"/>
  <c r="DV71" i="71"/>
  <c r="DW71" i="71"/>
  <c r="DX71" i="71"/>
  <c r="DY71" i="71"/>
  <c r="DZ71" i="71"/>
  <c r="EA71" i="71"/>
  <c r="EB71" i="71"/>
  <c r="EC71" i="71"/>
  <c r="ED71" i="71"/>
  <c r="EE71" i="71"/>
  <c r="EF71" i="71"/>
  <c r="C71" i="71"/>
  <c r="D71" i="71"/>
  <c r="E71" i="71"/>
  <c r="G71" i="71"/>
  <c r="H71" i="71"/>
  <c r="I71" i="71"/>
  <c r="K71" i="71"/>
  <c r="L71" i="71"/>
  <c r="M71" i="71"/>
  <c r="O71" i="71"/>
  <c r="P71" i="71"/>
  <c r="Q71" i="71"/>
  <c r="T71" i="71"/>
  <c r="U71" i="71"/>
  <c r="W71" i="71"/>
  <c r="X71" i="71"/>
  <c r="Y71" i="71"/>
  <c r="AA71" i="71"/>
  <c r="AB71" i="71"/>
  <c r="AC71" i="71"/>
  <c r="AG71" i="71"/>
  <c r="AH73" i="71"/>
  <c r="DP76" i="71"/>
  <c r="DQ76" i="71"/>
  <c r="DQ239" i="71" s="1"/>
  <c r="DR76" i="71"/>
  <c r="DR239" i="71" s="1"/>
  <c r="DS76" i="71"/>
  <c r="DS239" i="71" s="1"/>
  <c r="DT76" i="71"/>
  <c r="DT239" i="71" s="1"/>
  <c r="DU76" i="71"/>
  <c r="DU239" i="71" s="1"/>
  <c r="DV76" i="71"/>
  <c r="DV239" i="71" s="1"/>
  <c r="DW76" i="71"/>
  <c r="DW239" i="71" s="1"/>
  <c r="DX76" i="71"/>
  <c r="DX239" i="71" s="1"/>
  <c r="DY76" i="71"/>
  <c r="DY239" i="71" s="1"/>
  <c r="DZ76" i="71"/>
  <c r="DZ239" i="71" s="1"/>
  <c r="EA76" i="71"/>
  <c r="EA239" i="71" s="1"/>
  <c r="EC76" i="71"/>
  <c r="EC239" i="71" s="1"/>
  <c r="ED76" i="71"/>
  <c r="ED239" i="71" s="1"/>
  <c r="EE76" i="71"/>
  <c r="EE239" i="71" s="1"/>
  <c r="EF76" i="71"/>
  <c r="EF239" i="71" s="1"/>
  <c r="C76" i="71"/>
  <c r="D76" i="71"/>
  <c r="E76" i="71"/>
  <c r="F76" i="71"/>
  <c r="G76" i="71"/>
  <c r="H76" i="71"/>
  <c r="I76" i="71"/>
  <c r="J76" i="71"/>
  <c r="K76" i="71"/>
  <c r="L76" i="71"/>
  <c r="M76" i="71"/>
  <c r="N76" i="71"/>
  <c r="O76" i="71"/>
  <c r="P76" i="71"/>
  <c r="Q76" i="71"/>
  <c r="R76" i="71"/>
  <c r="S76" i="71"/>
  <c r="Z76" i="71"/>
  <c r="DQ79" i="71"/>
  <c r="DR79" i="71"/>
  <c r="DS79" i="71"/>
  <c r="DT79" i="71"/>
  <c r="DU79" i="71"/>
  <c r="DV79" i="71"/>
  <c r="DW79" i="71"/>
  <c r="DX79" i="71"/>
  <c r="DY79" i="71"/>
  <c r="DZ79" i="71"/>
  <c r="EA79" i="71"/>
  <c r="EB79" i="71"/>
  <c r="H79" i="71"/>
  <c r="I79" i="71"/>
  <c r="J79" i="71"/>
  <c r="K79" i="71"/>
  <c r="L79" i="71"/>
  <c r="M79" i="71"/>
  <c r="N79" i="71"/>
  <c r="O79" i="71"/>
  <c r="P79" i="71"/>
  <c r="Q79" i="71"/>
  <c r="R79" i="71"/>
  <c r="S79" i="71"/>
  <c r="T79" i="71"/>
  <c r="U79" i="71"/>
  <c r="V79" i="71"/>
  <c r="W79" i="71"/>
  <c r="X79" i="71"/>
  <c r="Y79" i="71"/>
  <c r="Z79" i="71"/>
  <c r="EF84" i="71"/>
  <c r="AS84" i="71"/>
  <c r="AT84" i="71"/>
  <c r="AU84" i="71"/>
  <c r="AV84" i="71"/>
  <c r="AW84" i="71"/>
  <c r="AX84" i="71"/>
  <c r="O93" i="71"/>
  <c r="P93" i="71"/>
  <c r="Q93" i="71"/>
  <c r="R93" i="71"/>
  <c r="S93" i="71"/>
  <c r="T93" i="71"/>
  <c r="U93" i="71"/>
  <c r="V93" i="71"/>
  <c r="W93" i="71"/>
  <c r="X93" i="71"/>
  <c r="Y93" i="71"/>
  <c r="Z93" i="71"/>
  <c r="AA93" i="71"/>
  <c r="AB93" i="71"/>
  <c r="AC93" i="71"/>
  <c r="AD93" i="71"/>
  <c r="AE93" i="71"/>
  <c r="AF93" i="71"/>
  <c r="AG93" i="71"/>
  <c r="AH93" i="71"/>
  <c r="AI93" i="71"/>
  <c r="AJ93" i="71"/>
  <c r="AK93" i="71"/>
  <c r="AL93" i="71"/>
  <c r="AM93" i="71"/>
  <c r="AN93" i="71"/>
  <c r="AO93" i="71"/>
  <c r="AP93" i="71"/>
  <c r="AQ93" i="71"/>
  <c r="AR93" i="71"/>
  <c r="AS93" i="71"/>
  <c r="AT93" i="71"/>
  <c r="AU93" i="71"/>
  <c r="AV93" i="71"/>
  <c r="AW93" i="71"/>
  <c r="AX93"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AY95" i="71"/>
  <c r="DP98" i="71"/>
  <c r="DQ98" i="71"/>
  <c r="DR98" i="71"/>
  <c r="DS98" i="71"/>
  <c r="DT98" i="71"/>
  <c r="DU98" i="71"/>
  <c r="DV98" i="71"/>
  <c r="DW98" i="71"/>
  <c r="DX98" i="71"/>
  <c r="DY98" i="71"/>
  <c r="DZ98" i="71"/>
  <c r="EA98" i="71"/>
  <c r="EB98" i="71"/>
  <c r="C98" i="71"/>
  <c r="D98" i="71"/>
  <c r="E98" i="71"/>
  <c r="F98" i="71"/>
  <c r="G98" i="71"/>
  <c r="H98" i="71"/>
  <c r="I98" i="71"/>
  <c r="J98" i="71"/>
  <c r="K98" i="71"/>
  <c r="L98" i="71"/>
  <c r="M98" i="71"/>
  <c r="N98" i="71"/>
  <c r="O98" i="71"/>
  <c r="P98" i="71"/>
  <c r="Q98" i="71"/>
  <c r="R98" i="71"/>
  <c r="S98" i="71"/>
  <c r="T98" i="71"/>
  <c r="U98" i="71"/>
  <c r="V98" i="71"/>
  <c r="W98" i="71"/>
  <c r="X98" i="71"/>
  <c r="Y98" i="71"/>
  <c r="Z98"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EF106" i="71"/>
  <c r="EF107" i="71" s="1"/>
  <c r="DS107" i="71"/>
  <c r="DT107" i="71"/>
  <c r="DU107" i="71"/>
  <c r="DV107" i="71"/>
  <c r="DW107" i="71"/>
  <c r="DX107" i="71"/>
  <c r="DY107" i="71"/>
  <c r="DZ107" i="71"/>
  <c r="EA107" i="71"/>
  <c r="EB107" i="71"/>
  <c r="EC107" i="71"/>
  <c r="ED107" i="71"/>
  <c r="EE107" i="71"/>
  <c r="W107" i="71"/>
  <c r="X107" i="71"/>
  <c r="Y107" i="71"/>
  <c r="Z107" i="71"/>
  <c r="AA107" i="71"/>
  <c r="AB107" i="71"/>
  <c r="AC107" i="71"/>
  <c r="AD107" i="71"/>
  <c r="AE107" i="71"/>
  <c r="DS108" i="71"/>
  <c r="DT108" i="71"/>
  <c r="DU108" i="71"/>
  <c r="DV108" i="71"/>
  <c r="DW108" i="71"/>
  <c r="DX108" i="71"/>
  <c r="DY108" i="71"/>
  <c r="DZ108" i="71"/>
  <c r="EA108" i="71"/>
  <c r="EB108" i="71"/>
  <c r="Z108" i="71"/>
  <c r="DT109" i="71"/>
  <c r="DU109" i="71"/>
  <c r="DV109" i="71"/>
  <c r="DW109" i="71"/>
  <c r="DX109" i="71"/>
  <c r="DY109" i="71"/>
  <c r="DZ109" i="71"/>
  <c r="EA109" i="71"/>
  <c r="EB109" i="71"/>
  <c r="EC109" i="71"/>
  <c r="ED109" i="71"/>
  <c r="EE109" i="71"/>
  <c r="EF109" i="71"/>
  <c r="AT112" i="71"/>
  <c r="AV112" i="71"/>
  <c r="AV252" i="71" s="1"/>
  <c r="AW112" i="71"/>
  <c r="AX112" i="71"/>
  <c r="AM113" i="71"/>
  <c r="DS114" i="71"/>
  <c r="DT114" i="71"/>
  <c r="DU114" i="71"/>
  <c r="DV114" i="71"/>
  <c r="DW114" i="71"/>
  <c r="DX114" i="71"/>
  <c r="DY114" i="71"/>
  <c r="DZ114" i="71"/>
  <c r="EA114" i="71"/>
  <c r="EB114" i="71"/>
  <c r="ED114" i="71"/>
  <c r="W114" i="71"/>
  <c r="X114" i="71"/>
  <c r="Y114" i="71"/>
  <c r="Z114" i="71"/>
  <c r="AA114" i="71"/>
  <c r="AB114" i="71"/>
  <c r="AC114" i="71"/>
  <c r="AD114" i="71"/>
  <c r="AE114" i="71"/>
  <c r="DS115" i="71"/>
  <c r="DT115" i="71"/>
  <c r="DU115" i="71"/>
  <c r="DV115" i="71"/>
  <c r="DW115" i="71"/>
  <c r="DX115" i="71"/>
  <c r="DY115" i="71"/>
  <c r="DZ115" i="71"/>
  <c r="EA115" i="71"/>
  <c r="EB115" i="71"/>
  <c r="Z115" i="71"/>
  <c r="S119" i="71"/>
  <c r="T119" i="71"/>
  <c r="U119" i="71"/>
  <c r="V119" i="71"/>
  <c r="W119" i="71"/>
  <c r="W121" i="71" s="1"/>
  <c r="X119" i="71"/>
  <c r="X121" i="71" s="1"/>
  <c r="Y119" i="71"/>
  <c r="Y121" i="71" s="1"/>
  <c r="Z119" i="71"/>
  <c r="Z121" i="71" s="1"/>
  <c r="AA119" i="71"/>
  <c r="AA121" i="71" s="1"/>
  <c r="AB119" i="71"/>
  <c r="AB121" i="71" s="1"/>
  <c r="AC119" i="71"/>
  <c r="AD119" i="71"/>
  <c r="AD121" i="71" s="1"/>
  <c r="AE119" i="71"/>
  <c r="AE121" i="71" s="1"/>
  <c r="AF119" i="71"/>
  <c r="AF121" i="71" s="1"/>
  <c r="AG119" i="71"/>
  <c r="AG121" i="71" s="1"/>
  <c r="AH119" i="71"/>
  <c r="AH121" i="71" s="1"/>
  <c r="AI119" i="71"/>
  <c r="AI121" i="71" s="1"/>
  <c r="AJ119" i="71"/>
  <c r="AJ121" i="71" s="1"/>
  <c r="AK119" i="71"/>
  <c r="AK121" i="71" s="1"/>
  <c r="AL119" i="71"/>
  <c r="AL121" i="71" s="1"/>
  <c r="AM119" i="71"/>
  <c r="AM121" i="71" s="1"/>
  <c r="AN119" i="71"/>
  <c r="AN121" i="71" s="1"/>
  <c r="AO119" i="71"/>
  <c r="AO255" i="71" s="1"/>
  <c r="AP119" i="71"/>
  <c r="AP255" i="71" s="1"/>
  <c r="AQ119" i="71"/>
  <c r="AR119" i="71"/>
  <c r="AS119" i="71"/>
  <c r="AS255" i="71" s="1"/>
  <c r="AT119" i="71"/>
  <c r="AT255" i="71" s="1"/>
  <c r="AV119" i="71"/>
  <c r="AW119" i="71"/>
  <c r="AW255" i="71" s="1"/>
  <c r="AX119" i="71"/>
  <c r="AX255" i="71" s="1"/>
  <c r="DS121" i="71"/>
  <c r="DT121" i="71"/>
  <c r="DU121" i="71"/>
  <c r="DV121" i="71"/>
  <c r="DW121" i="71"/>
  <c r="DX121" i="71"/>
  <c r="DY121" i="71"/>
  <c r="DZ121" i="71"/>
  <c r="EA121" i="71"/>
  <c r="EB121" i="71"/>
  <c r="EC121" i="71"/>
  <c r="ED121" i="71"/>
  <c r="EE121" i="71"/>
  <c r="DS122" i="71"/>
  <c r="DT122" i="71"/>
  <c r="DU122" i="71"/>
  <c r="DV122" i="71"/>
  <c r="DW122" i="71"/>
  <c r="DX122" i="71"/>
  <c r="DY122" i="71"/>
  <c r="DZ122" i="71"/>
  <c r="EA122" i="71"/>
  <c r="EB122" i="71"/>
  <c r="EB130" i="71"/>
  <c r="EC130" i="71"/>
  <c r="ED130" i="71"/>
  <c r="EE130" i="71"/>
  <c r="EF130" i="71"/>
  <c r="EF148" i="71"/>
  <c r="AP148" i="71"/>
  <c r="AP144" i="71" s="1"/>
  <c r="AQ148" i="71"/>
  <c r="AQ144" i="71" s="1"/>
  <c r="AR148" i="71"/>
  <c r="AR144" i="71" s="1"/>
  <c r="AS148" i="71"/>
  <c r="AS144" i="71" s="1"/>
  <c r="AT148" i="71"/>
  <c r="AT144" i="71" s="1"/>
  <c r="AU148" i="71"/>
  <c r="AU144" i="71" s="1"/>
  <c r="AV148" i="71"/>
  <c r="AV144" i="71" s="1"/>
  <c r="EG155" i="71"/>
  <c r="AM155" i="71"/>
  <c r="AP155" i="71"/>
  <c r="AQ155" i="71"/>
  <c r="AR155" i="71"/>
  <c r="AS155" i="71"/>
  <c r="AT155" i="71"/>
  <c r="AU155" i="71"/>
  <c r="AV155" i="71"/>
  <c r="EG166" i="71"/>
  <c r="EG171" i="71" s="1"/>
  <c r="AM166" i="71"/>
  <c r="AM171" i="71" s="1"/>
  <c r="AM177" i="71" s="1"/>
  <c r="AI186" i="71"/>
  <c r="AI187" i="71" s="1"/>
  <c r="AM186" i="71"/>
  <c r="AM187" i="71" s="1"/>
  <c r="AR186" i="71"/>
  <c r="AQ187" i="71"/>
  <c r="AR205" i="71"/>
  <c r="AS205" i="71" s="1"/>
  <c r="AT205" i="71" s="1"/>
  <c r="AU187" i="71"/>
  <c r="AV205" i="71"/>
  <c r="AW205" i="71" s="1"/>
  <c r="AR192" i="71"/>
  <c r="AS192" i="71" s="1"/>
  <c r="AT192" i="71" s="1"/>
  <c r="AV192" i="71"/>
  <c r="AW192" i="71" s="1"/>
  <c r="AX192" i="71" s="1"/>
  <c r="AR193" i="71"/>
  <c r="AS193" i="71" s="1"/>
  <c r="AT193" i="71" s="1"/>
  <c r="AV193" i="71"/>
  <c r="AW193" i="71" s="1"/>
  <c r="AX193" i="71" s="1"/>
  <c r="AR194" i="71"/>
  <c r="AS194" i="71" s="1"/>
  <c r="AT194" i="71" s="1"/>
  <c r="AV194" i="71"/>
  <c r="AX194"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DS227" i="71"/>
  <c r="DT227" i="71"/>
  <c r="DU227" i="71"/>
  <c r="DV227" i="71"/>
  <c r="DW227" i="71"/>
  <c r="DX227" i="71"/>
  <c r="DY227" i="71"/>
  <c r="DZ227" i="71"/>
  <c r="EA227" i="71"/>
  <c r="EB227" i="71"/>
  <c r="EC227" i="71"/>
  <c r="ED227" i="71"/>
  <c r="EE227" i="71"/>
  <c r="EF227" i="71"/>
  <c r="DS229" i="71"/>
  <c r="DT229" i="71"/>
  <c r="DU229" i="71"/>
  <c r="DV229" i="71"/>
  <c r="DW229" i="71"/>
  <c r="DX229" i="71"/>
  <c r="DY229" i="71"/>
  <c r="DZ229" i="71"/>
  <c r="EA229" i="71"/>
  <c r="EB229" i="71"/>
  <c r="ED229" i="71"/>
  <c r="DS231" i="71"/>
  <c r="DT231" i="71"/>
  <c r="DU231" i="71"/>
  <c r="DV231" i="71"/>
  <c r="DW231" i="71"/>
  <c r="DX231" i="71"/>
  <c r="DY231" i="71"/>
  <c r="DZ231" i="71"/>
  <c r="EA231" i="71"/>
  <c r="EB231" i="71"/>
  <c r="EC231" i="71"/>
  <c r="ED231" i="71"/>
  <c r="EE231" i="71"/>
  <c r="G247" i="71"/>
  <c r="H247" i="71"/>
  <c r="I247" i="71"/>
  <c r="J247" i="71"/>
  <c r="G248" i="71"/>
  <c r="H248" i="71"/>
  <c r="I248" i="71"/>
  <c r="J248" i="71"/>
  <c r="DY249" i="71"/>
  <c r="DZ249" i="71"/>
  <c r="EA249"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S252" i="71"/>
  <c r="T252" i="71"/>
  <c r="U252" i="71"/>
  <c r="V252" i="71"/>
  <c r="W252" i="71"/>
  <c r="X252" i="71"/>
  <c r="Y252" i="71"/>
  <c r="Z252" i="71"/>
  <c r="AA252" i="71"/>
  <c r="AB252" i="71"/>
  <c r="AC252" i="71"/>
  <c r="AD252" i="71"/>
  <c r="AE252" i="71"/>
  <c r="EB255" i="71"/>
  <c r="EC255" i="71"/>
  <c r="ED255" i="71"/>
  <c r="EE255" i="71"/>
  <c r="EF25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4"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5" i="71"/>
  <c r="EJ34"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3" i="71"/>
  <c r="EJ16" i="71"/>
  <c r="K15" i="11" s="1"/>
  <c r="EJ76" i="71"/>
  <c r="EJ239" i="71" s="1"/>
  <c r="EJ67" i="71"/>
  <c r="EJ66" i="71"/>
  <c r="EJ18" i="71"/>
  <c r="BA112"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5"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2"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4" i="71"/>
  <c r="AB15" i="69"/>
  <c r="P62" i="5"/>
  <c r="O65" i="5"/>
  <c r="V44" i="5"/>
  <c r="V46" i="5"/>
  <c r="V47" i="5"/>
  <c r="V48" i="5"/>
  <c r="V49" i="5"/>
  <c r="U46" i="5"/>
  <c r="U47" i="5"/>
  <c r="U48" i="5"/>
  <c r="U49" i="5"/>
  <c r="I68" i="5"/>
  <c r="J69" i="5"/>
  <c r="S33" i="5"/>
  <c r="S34" i="5"/>
  <c r="R34" i="5"/>
  <c r="S32" i="5"/>
  <c r="AF22" i="45"/>
  <c r="R32" i="5"/>
  <c r="R37" i="5"/>
  <c r="R38" i="5"/>
  <c r="I74" i="5"/>
  <c r="I75" i="5"/>
  <c r="AA12" i="69"/>
  <c r="AB12" i="69"/>
  <c r="EN94" i="71"/>
  <c r="EN93"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4" i="71"/>
  <c r="EO93"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4" i="71"/>
  <c r="EQ94" i="71"/>
  <c r="EQ93" i="71"/>
  <c r="EP93"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L25" i="71" l="1"/>
  <c r="DM25" i="71" s="1"/>
  <c r="DN25" i="71" s="1"/>
  <c r="EZ25" i="71"/>
  <c r="DL29" i="71"/>
  <c r="DM29" i="71" s="1"/>
  <c r="DN29" i="71" s="1"/>
  <c r="EZ29" i="71"/>
  <c r="CI83" i="71"/>
  <c r="DG69" i="71"/>
  <c r="CH83" i="71"/>
  <c r="CZ211" i="71"/>
  <c r="CZ219" i="71" s="1"/>
  <c r="CY219" i="71"/>
  <c r="CG83" i="71"/>
  <c r="CH79" i="71"/>
  <c r="DG72" i="71"/>
  <c r="DG74" i="71" s="1"/>
  <c r="DG100" i="71"/>
  <c r="CF79" i="71"/>
  <c r="DB211" i="71"/>
  <c r="CG79" i="71"/>
  <c r="DD219" i="71"/>
  <c r="CF83" i="71"/>
  <c r="DB215" i="71"/>
  <c r="DB217" i="71" s="1"/>
  <c r="CE79" i="71"/>
  <c r="CE83" i="71"/>
  <c r="CL83" i="71"/>
  <c r="DB219" i="71"/>
  <c r="CJ83" i="71"/>
  <c r="EY4" i="71"/>
  <c r="BZ81" i="71"/>
  <c r="CD81" i="71"/>
  <c r="BZ68" i="71"/>
  <c r="BX63" i="71"/>
  <c r="BX65" i="71" s="1"/>
  <c r="BX69" i="71" s="1"/>
  <c r="CL79" i="71"/>
  <c r="EY25" i="71"/>
  <c r="FA25" i="71"/>
  <c r="FB25" i="71" s="1"/>
  <c r="FC25" i="71" s="1"/>
  <c r="FD25" i="71" s="1"/>
  <c r="FE25" i="71" s="1"/>
  <c r="FF25" i="71" s="1"/>
  <c r="FG25" i="71" s="1"/>
  <c r="FH25" i="71" s="1"/>
  <c r="FI25" i="71" s="1"/>
  <c r="FJ25" i="71" s="1"/>
  <c r="EW70" i="71"/>
  <c r="EY29" i="71"/>
  <c r="FA29" i="71" s="1"/>
  <c r="FB29" i="71" s="1"/>
  <c r="FC29" i="71" s="1"/>
  <c r="FD29" i="71" s="1"/>
  <c r="FE29" i="71" s="1"/>
  <c r="FF29" i="71" s="1"/>
  <c r="FG29" i="71" s="1"/>
  <c r="FH29" i="71" s="1"/>
  <c r="FI29" i="71" s="1"/>
  <c r="FJ29" i="71" s="1"/>
  <c r="DF88" i="71"/>
  <c r="DJ11" i="71"/>
  <c r="DE84" i="71"/>
  <c r="CO68" i="71"/>
  <c r="ET66" i="71"/>
  <c r="CK68" i="71"/>
  <c r="ES66" i="71"/>
  <c r="EX12" i="71"/>
  <c r="EY12" i="71"/>
  <c r="EX18" i="71"/>
  <c r="EY18" i="71"/>
  <c r="EX13" i="71"/>
  <c r="EY36" i="71"/>
  <c r="FA36" i="71" s="1"/>
  <c r="FB36" i="71" s="1"/>
  <c r="FC36" i="71" s="1"/>
  <c r="FD36" i="71" s="1"/>
  <c r="FE36" i="71" s="1"/>
  <c r="FF36" i="71" s="1"/>
  <c r="FG36" i="71" s="1"/>
  <c r="FH36" i="71" s="1"/>
  <c r="FI36" i="71" s="1"/>
  <c r="FJ36" i="71" s="1"/>
  <c r="EX36" i="71"/>
  <c r="EY37" i="71"/>
  <c r="FA37" i="71" s="1"/>
  <c r="FB37" i="71" s="1"/>
  <c r="FC37" i="71" s="1"/>
  <c r="FD37" i="71" s="1"/>
  <c r="FE37" i="71" s="1"/>
  <c r="FF37" i="71" s="1"/>
  <c r="EX37" i="71"/>
  <c r="EY19" i="71"/>
  <c r="EX19" i="71"/>
  <c r="EY14" i="71"/>
  <c r="EX14" i="71"/>
  <c r="EY48" i="71"/>
  <c r="EX48" i="71"/>
  <c r="EY28" i="71"/>
  <c r="CO63" i="71"/>
  <c r="CO65" i="71" s="1"/>
  <c r="ET56" i="71"/>
  <c r="DD88" i="71"/>
  <c r="EX11" i="71"/>
  <c r="DE88" i="71"/>
  <c r="CK63" i="71"/>
  <c r="CK79" i="71" s="1"/>
  <c r="ES56" i="71"/>
  <c r="DF84" i="71"/>
  <c r="DJ3" i="71"/>
  <c r="DJ13" i="71"/>
  <c r="DK13" i="71" s="1"/>
  <c r="CU63" i="71"/>
  <c r="CU79" i="71" s="1"/>
  <c r="EV48" i="71"/>
  <c r="CX65" i="71"/>
  <c r="CX97" i="71" s="1"/>
  <c r="DB79" i="71"/>
  <c r="EW81" i="71"/>
  <c r="EJ94" i="71"/>
  <c r="CX153" i="71"/>
  <c r="CX158"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4" i="71"/>
  <c r="DB84" i="71"/>
  <c r="CS93" i="71"/>
  <c r="CO93" i="71"/>
  <c r="CO82" i="71"/>
  <c r="CS82" i="71"/>
  <c r="CY147" i="71"/>
  <c r="CT79" i="71"/>
  <c r="CP65" i="71"/>
  <c r="CP69" i="71" s="1"/>
  <c r="CP72" i="71" s="1"/>
  <c r="CP74" i="71" s="1"/>
  <c r="CP75" i="71" s="1"/>
  <c r="CP83" i="71" s="1"/>
  <c r="R7" i="3"/>
  <c r="CR79" i="71"/>
  <c r="CN65" i="71"/>
  <c r="CN69" i="71" s="1"/>
  <c r="CN72" i="71" s="1"/>
  <c r="CN74" i="71" s="1"/>
  <c r="CN75" i="71" s="1"/>
  <c r="CN83" i="71" s="1"/>
  <c r="CN79" i="71"/>
  <c r="CM65" i="71"/>
  <c r="CM69" i="71" s="1"/>
  <c r="CM72" i="71" s="1"/>
  <c r="CM74" i="71" s="1"/>
  <c r="CM75" i="71" s="1"/>
  <c r="CM79" i="71"/>
  <c r="CQ79" i="71"/>
  <c r="CP79" i="71"/>
  <c r="BI188" i="71"/>
  <c r="CX171" i="71"/>
  <c r="CX177" i="71" s="1"/>
  <c r="CY171" i="71"/>
  <c r="CY177" i="71" s="1"/>
  <c r="EV68" i="71"/>
  <c r="EW84" i="71"/>
  <c r="EV70" i="71"/>
  <c r="CY153" i="71"/>
  <c r="CY158" i="71" s="1"/>
  <c r="EW10" i="71"/>
  <c r="FA26" i="71"/>
  <c r="FB26" i="71" s="1"/>
  <c r="FC26" i="71" s="1"/>
  <c r="FD26" i="71" s="1"/>
  <c r="FE26" i="71" s="1"/>
  <c r="FF26" i="71" s="1"/>
  <c r="FG26" i="71" s="1"/>
  <c r="FH26" i="71" s="1"/>
  <c r="FI26" i="71" s="1"/>
  <c r="FJ26" i="71" s="1"/>
  <c r="EX57" i="71"/>
  <c r="EY57" i="71" s="1"/>
  <c r="EZ57" i="71" s="1"/>
  <c r="FA57" i="71" s="1"/>
  <c r="FB57" i="71" s="1"/>
  <c r="FC57" i="71" s="1"/>
  <c r="FD57" i="71" s="1"/>
  <c r="FE57" i="71" s="1"/>
  <c r="FF57" i="71" s="1"/>
  <c r="FG57" i="71" s="1"/>
  <c r="FH57" i="71" s="1"/>
  <c r="FI57" i="71" s="1"/>
  <c r="FJ57" i="71" s="1"/>
  <c r="EW11" i="71"/>
  <c r="FA27" i="71"/>
  <c r="FB27" i="71" s="1"/>
  <c r="FC27" i="71" s="1"/>
  <c r="FD27" i="71" s="1"/>
  <c r="FE27" i="71" s="1"/>
  <c r="FF27" i="71" s="1"/>
  <c r="FG27" i="71" s="1"/>
  <c r="FH27" i="71" s="1"/>
  <c r="FI27" i="71" s="1"/>
  <c r="FJ27" i="71" s="1"/>
  <c r="EW14" i="71"/>
  <c r="FA45" i="71"/>
  <c r="FB45" i="71" s="1"/>
  <c r="FC45" i="71" s="1"/>
  <c r="FD45" i="71" s="1"/>
  <c r="FE45" i="71" s="1"/>
  <c r="FF45" i="71" s="1"/>
  <c r="FG45" i="71" s="1"/>
  <c r="FH45" i="71" s="1"/>
  <c r="FI45" i="71" s="1"/>
  <c r="FJ45" i="71" s="1"/>
  <c r="EW95" i="71"/>
  <c r="FA46" i="71"/>
  <c r="FB46" i="71" s="1"/>
  <c r="FC46" i="71" s="1"/>
  <c r="FD46" i="71" s="1"/>
  <c r="FE46" i="71" s="1"/>
  <c r="FF46" i="71" s="1"/>
  <c r="FG46" i="71" s="1"/>
  <c r="FH46" i="71" s="1"/>
  <c r="FI46" i="71" s="1"/>
  <c r="FJ46" i="71" s="1"/>
  <c r="EW19" i="71"/>
  <c r="FA32" i="71"/>
  <c r="FB32" i="71" s="1"/>
  <c r="FC32" i="71" s="1"/>
  <c r="FD32" i="71" s="1"/>
  <c r="FE32" i="71" s="1"/>
  <c r="FF32" i="71" s="1"/>
  <c r="FG32" i="71" s="1"/>
  <c r="FH32" i="71" s="1"/>
  <c r="FI32" i="71" s="1"/>
  <c r="FJ32" i="71" s="1"/>
  <c r="EW4" i="71"/>
  <c r="EX49" i="71"/>
  <c r="EY49" i="71" s="1"/>
  <c r="FA49" i="71" s="1"/>
  <c r="FB49" i="71" s="1"/>
  <c r="FC49" i="71" s="1"/>
  <c r="FD49" i="71" s="1"/>
  <c r="FE49" i="71" s="1"/>
  <c r="FF49" i="71" s="1"/>
  <c r="FG49" i="71" s="1"/>
  <c r="FH49" i="71" s="1"/>
  <c r="FI49" i="71" s="1"/>
  <c r="FJ49" i="71" s="1"/>
  <c r="EW5" i="71"/>
  <c r="FD5" i="71" s="1"/>
  <c r="FE5" i="71" s="1"/>
  <c r="FF5" i="71" s="1"/>
  <c r="FG5" i="71" s="1"/>
  <c r="FH5" i="71" s="1"/>
  <c r="FI5" i="71" s="1"/>
  <c r="FJ5" i="71" s="1"/>
  <c r="EX53" i="71"/>
  <c r="EY53" i="71" s="1"/>
  <c r="EZ53" i="71" s="1"/>
  <c r="FA53" i="71" s="1"/>
  <c r="FB53" i="71" s="1"/>
  <c r="FC53" i="71" s="1"/>
  <c r="FD53" i="71" s="1"/>
  <c r="FE53" i="71" s="1"/>
  <c r="FF53" i="71" s="1"/>
  <c r="FG53" i="71" s="1"/>
  <c r="FH53" i="71" s="1"/>
  <c r="FI53" i="71" s="1"/>
  <c r="FJ53" i="71" s="1"/>
  <c r="EX76" i="71"/>
  <c r="EY76" i="71" s="1"/>
  <c r="EZ76" i="71" s="1"/>
  <c r="FA76" i="71" s="1"/>
  <c r="FB76" i="71" s="1"/>
  <c r="EW6" i="71"/>
  <c r="AZ69" i="71"/>
  <c r="AZ72" i="71" s="1"/>
  <c r="AZ74" i="71" s="1"/>
  <c r="AZ103" i="71" s="1"/>
  <c r="AZ99" i="71"/>
  <c r="AZ105" i="71"/>
  <c r="AZ108" i="71" s="1"/>
  <c r="EG92" i="71"/>
  <c r="DA94" i="71"/>
  <c r="DD87" i="71"/>
  <c r="DD92" i="71"/>
  <c r="CZ94" i="71"/>
  <c r="CZ88" i="71"/>
  <c r="DE93" i="71"/>
  <c r="CZ91" i="71"/>
  <c r="DA91" i="71"/>
  <c r="DB91" i="71"/>
  <c r="CQ98" i="71"/>
  <c r="DA87" i="71"/>
  <c r="CR98" i="71"/>
  <c r="DA92" i="71"/>
  <c r="DB93" i="71"/>
  <c r="CS98" i="71"/>
  <c r="DD93" i="71"/>
  <c r="CW98" i="71"/>
  <c r="CT99" i="71"/>
  <c r="CX98" i="71"/>
  <c r="CV99" i="71"/>
  <c r="CW99" i="71"/>
  <c r="CX99" i="71"/>
  <c r="CY98" i="71"/>
  <c r="CY99" i="71"/>
  <c r="DA88" i="71"/>
  <c r="DB92" i="71"/>
  <c r="DB94" i="71"/>
  <c r="CT98" i="71"/>
  <c r="CQ99" i="71"/>
  <c r="DB88" i="71"/>
  <c r="CR99" i="71"/>
  <c r="DB86" i="71"/>
  <c r="CV98" i="71"/>
  <c r="CS99" i="71"/>
  <c r="DA89" i="71"/>
  <c r="CZ89" i="71"/>
  <c r="DA86" i="71"/>
  <c r="DF85" i="71"/>
  <c r="CY69" i="71"/>
  <c r="DE85" i="71"/>
  <c r="DB90" i="71"/>
  <c r="DA85" i="71"/>
  <c r="DD85" i="71"/>
  <c r="DB87" i="71"/>
  <c r="DA63" i="71"/>
  <c r="CZ63" i="71"/>
  <c r="CZ65" i="71" s="1"/>
  <c r="CZ69" i="71" s="1"/>
  <c r="DD90" i="71"/>
  <c r="CV79" i="71"/>
  <c r="DD86" i="71"/>
  <c r="DA90" i="71"/>
  <c r="CQ69" i="71"/>
  <c r="CR69" i="71"/>
  <c r="CV69" i="71"/>
  <c r="BR63" i="71"/>
  <c r="BR99" i="71" s="1"/>
  <c r="CW69" i="71"/>
  <c r="BV92" i="71"/>
  <c r="CW79" i="71"/>
  <c r="CX79" i="71"/>
  <c r="CS69" i="71"/>
  <c r="CT69" i="71"/>
  <c r="BV85" i="71"/>
  <c r="L69" i="71"/>
  <c r="L100" i="71" s="1"/>
  <c r="AW153" i="71"/>
  <c r="AW158" i="71" s="1"/>
  <c r="D54" i="71"/>
  <c r="H93" i="71" s="1"/>
  <c r="EH94" i="71"/>
  <c r="EK82" i="71"/>
  <c r="EQ95" i="71"/>
  <c r="EP95" i="71"/>
  <c r="EO95" i="71"/>
  <c r="BA105" i="71"/>
  <c r="BE109" i="71" s="1"/>
  <c r="BD63" i="71"/>
  <c r="BD115" i="71" s="1"/>
  <c r="EH92" i="71"/>
  <c r="E60" i="71"/>
  <c r="I95" i="71" s="1"/>
  <c r="S84" i="71"/>
  <c r="BE177" i="71"/>
  <c r="AL252" i="71"/>
  <c r="EG93" i="71"/>
  <c r="AC84" i="71"/>
  <c r="AM114" i="71"/>
  <c r="BP179" i="71"/>
  <c r="EO10" i="71"/>
  <c r="EP10" i="71" s="1"/>
  <c r="EQ10" i="71" s="1"/>
  <c r="D69" i="71"/>
  <c r="D100" i="71" s="1"/>
  <c r="EJ92" i="71"/>
  <c r="EO34" i="71"/>
  <c r="EP34" i="71" s="1"/>
  <c r="EQ34" i="71" s="1"/>
  <c r="AL116" i="71"/>
  <c r="P97" i="71"/>
  <c r="EH95" i="71"/>
  <c r="AN84" i="71"/>
  <c r="EP62" i="71"/>
  <c r="EQ62" i="71" s="1"/>
  <c r="EQ119" i="71" s="1"/>
  <c r="EQ231" i="71" s="1"/>
  <c r="EO119" i="71"/>
  <c r="EO231" i="71" s="1"/>
  <c r="EI95" i="71"/>
  <c r="BB158" i="71"/>
  <c r="EK73" i="71"/>
  <c r="BJ63" i="71"/>
  <c r="BJ99" i="71" s="1"/>
  <c r="EG94" i="71"/>
  <c r="EN119" i="71"/>
  <c r="EN231" i="71" s="1"/>
  <c r="I97" i="71"/>
  <c r="EI93" i="71"/>
  <c r="EG12" i="71"/>
  <c r="AB84" i="71"/>
  <c r="ED95" i="71"/>
  <c r="EN95" i="71"/>
  <c r="BF123" i="71"/>
  <c r="BN105" i="71"/>
  <c r="DU97" i="71"/>
  <c r="N97" i="71"/>
  <c r="EC16" i="71"/>
  <c r="ED15" i="71"/>
  <c r="H249" i="71"/>
  <c r="H72" i="71"/>
  <c r="H74" i="71" s="1"/>
  <c r="H103" i="71" s="1"/>
  <c r="H97" i="71"/>
  <c r="AN252" i="71"/>
  <c r="DU69" i="71"/>
  <c r="DU100" i="71" s="1"/>
  <c r="AW63" i="71"/>
  <c r="BA79" i="71" s="1"/>
  <c r="BA130" i="71" s="1"/>
  <c r="BA127" i="71" s="1"/>
  <c r="BA264" i="71" s="1"/>
  <c r="V84" i="71"/>
  <c r="EG34" i="71"/>
  <c r="J93" i="71"/>
  <c r="DV232" i="71"/>
  <c r="DS233" i="71"/>
  <c r="AY158" i="71"/>
  <c r="EM84" i="71"/>
  <c r="DY15" i="71"/>
  <c r="Y72" i="71"/>
  <c r="Y102" i="71" s="1"/>
  <c r="EG41" i="71"/>
  <c r="Z84" i="71"/>
  <c r="EE40" i="71"/>
  <c r="EA49" i="71"/>
  <c r="EF92" i="71"/>
  <c r="BI179" i="71"/>
  <c r="AV145" i="71"/>
  <c r="ED232" i="71"/>
  <c r="EG16" i="71"/>
  <c r="EF95" i="71"/>
  <c r="AE84" i="71"/>
  <c r="EG21" i="71"/>
  <c r="Y100" i="71"/>
  <c r="AY63" i="71"/>
  <c r="AY262" i="71" s="1"/>
  <c r="DZ41" i="71"/>
  <c r="EA40" i="71"/>
  <c r="DX40" i="71"/>
  <c r="K93" i="71"/>
  <c r="N93" i="71"/>
  <c r="EG17" i="71"/>
  <c r="Q97" i="71"/>
  <c r="BI63" i="71"/>
  <c r="BV81" i="71"/>
  <c r="BV84" i="71"/>
  <c r="BU86" i="71"/>
  <c r="BT105" i="71"/>
  <c r="Y97" i="71"/>
  <c r="AS63" i="71"/>
  <c r="AS99" i="71" s="1"/>
  <c r="BL179" i="71"/>
  <c r="BD123" i="71"/>
  <c r="BD124" i="71" s="1"/>
  <c r="EK95" i="71"/>
  <c r="EL84" i="71"/>
  <c r="EK81" i="71"/>
  <c r="EE15" i="71"/>
  <c r="EB21" i="71"/>
  <c r="EJ93" i="71"/>
  <c r="EA97" i="71"/>
  <c r="BB144" i="71"/>
  <c r="BC188" i="71" s="1"/>
  <c r="BK158" i="71"/>
  <c r="BC107" i="71"/>
  <c r="BC109" i="71"/>
  <c r="AI114" i="71"/>
  <c r="AM116" i="71"/>
  <c r="EE34" i="71"/>
  <c r="BC63" i="71"/>
  <c r="BC145" i="71" s="1"/>
  <c r="EI94" i="71"/>
  <c r="EB40" i="71"/>
  <c r="EN86" i="71"/>
  <c r="BT82" i="71"/>
  <c r="BC123" i="71"/>
  <c r="DT232" i="71"/>
  <c r="EB93" i="71"/>
  <c r="EC41" i="71"/>
  <c r="ED34" i="71"/>
  <c r="AD84" i="71"/>
  <c r="BN144" i="71"/>
  <c r="BN188" i="71" s="1"/>
  <c r="BR144" i="71"/>
  <c r="BR188" i="71" s="1"/>
  <c r="DV233" i="71"/>
  <c r="BC153" i="71"/>
  <c r="BC158" i="71" s="1"/>
  <c r="EH93" i="71"/>
  <c r="DZ17" i="71"/>
  <c r="EC34" i="71"/>
  <c r="EI112" i="71"/>
  <c r="EI229" i="71" s="1"/>
  <c r="EJ95" i="71"/>
  <c r="G72" i="71"/>
  <c r="G101" i="71" s="1"/>
  <c r="EB17" i="71"/>
  <c r="EB34" i="71"/>
  <c r="DX8" i="71"/>
  <c r="EB8" i="71"/>
  <c r="EF93" i="71"/>
  <c r="EA94" i="71"/>
  <c r="AA63" i="71"/>
  <c r="AA108" i="71" s="1"/>
  <c r="AL84" i="71"/>
  <c r="EC95" i="71"/>
  <c r="EE92" i="71"/>
  <c r="AM158" i="71"/>
  <c r="BM63" i="71"/>
  <c r="BM145" i="71" s="1"/>
  <c r="G97" i="71"/>
  <c r="BM179" i="71"/>
  <c r="EN84" i="71"/>
  <c r="EK84" i="71"/>
  <c r="R97" i="71"/>
  <c r="I249" i="71"/>
  <c r="DY54" i="71"/>
  <c r="DY93" i="71" s="1"/>
  <c r="EG3" i="71"/>
  <c r="EG84" i="71" s="1"/>
  <c r="AV188" i="71"/>
  <c r="BP82" i="71"/>
  <c r="BH177" i="71"/>
  <c r="EO23" i="71"/>
  <c r="EP23" i="71" s="1"/>
  <c r="DZ69" i="71"/>
  <c r="DZ97" i="71"/>
  <c r="AZ98" i="71"/>
  <c r="M97" i="71"/>
  <c r="AS123" i="71"/>
  <c r="DX97" i="71"/>
  <c r="EA93" i="71"/>
  <c r="DY40" i="71"/>
  <c r="DX34" i="71"/>
  <c r="AR48" i="71"/>
  <c r="AR105" i="71" s="1"/>
  <c r="AE48" i="71"/>
  <c r="AE63" i="71" s="1"/>
  <c r="AE65" i="71" s="1"/>
  <c r="AE69" i="71" s="1"/>
  <c r="AE100" i="71" s="1"/>
  <c r="EB15" i="71"/>
  <c r="EG15" i="71"/>
  <c r="EF21" i="71"/>
  <c r="X84" i="71"/>
  <c r="AJ84" i="71"/>
  <c r="ED94" i="71"/>
  <c r="EF94" i="71"/>
  <c r="BA123" i="71"/>
  <c r="BA124" i="71" s="1"/>
  <c r="AY144" i="71"/>
  <c r="AY188" i="71" s="1"/>
  <c r="BI123" i="71"/>
  <c r="BR105" i="71"/>
  <c r="DZ21" i="71"/>
  <c r="F69" i="71"/>
  <c r="F100" i="71" s="1"/>
  <c r="DS97" i="71"/>
  <c r="DS72" i="71"/>
  <c r="DS101" i="71" s="1"/>
  <c r="AZ79" i="71"/>
  <c r="AZ130" i="71" s="1"/>
  <c r="AZ127" i="71" s="1"/>
  <c r="AZ264" i="71" s="1"/>
  <c r="AV99" i="71"/>
  <c r="AI84" i="71"/>
  <c r="AW123" i="71"/>
  <c r="AH252" i="71"/>
  <c r="EB97" i="71"/>
  <c r="BA153" i="71"/>
  <c r="BA158" i="71" s="1"/>
  <c r="AQ123" i="71"/>
  <c r="S72" i="71"/>
  <c r="S101" i="71" s="1"/>
  <c r="BB255" i="71"/>
  <c r="AV65" i="71"/>
  <c r="AV97" i="71" s="1"/>
  <c r="V69" i="71"/>
  <c r="EJ48" i="71"/>
  <c r="EJ63" i="71" s="1"/>
  <c r="Z122" i="71"/>
  <c r="C55" i="71"/>
  <c r="G94" i="71" s="1"/>
  <c r="AV98" i="71"/>
  <c r="AX153" i="71"/>
  <c r="AX158" i="71" s="1"/>
  <c r="J94" i="71"/>
  <c r="DY21" i="71"/>
  <c r="BO63" i="71"/>
  <c r="BO99" i="71" s="1"/>
  <c r="BV91" i="71"/>
  <c r="BF63" i="71"/>
  <c r="BF108" i="71" s="1"/>
  <c r="AZ122" i="71"/>
  <c r="AV115" i="71"/>
  <c r="AI252" i="71"/>
  <c r="BB105" i="71"/>
  <c r="BB108" i="71" s="1"/>
  <c r="AO123" i="71"/>
  <c r="AV105" i="71"/>
  <c r="AV108" i="71" s="1"/>
  <c r="J249" i="71"/>
  <c r="EB232" i="71"/>
  <c r="EB234" i="71" s="1"/>
  <c r="EE93" i="71"/>
  <c r="K72" i="71"/>
  <c r="K102" i="71" s="1"/>
  <c r="EK112" i="71"/>
  <c r="EK229" i="71" s="1"/>
  <c r="K97" i="71"/>
  <c r="AS105" i="71"/>
  <c r="AS109" i="71" s="1"/>
  <c r="DX232" i="71"/>
  <c r="BE116" i="71"/>
  <c r="EL94" i="71"/>
  <c r="BK177" i="71"/>
  <c r="BQ186" i="71"/>
  <c r="BQ185" i="71" s="1"/>
  <c r="AS116" i="71"/>
  <c r="BG63" i="71"/>
  <c r="BG98" i="71" s="1"/>
  <c r="AZ153" i="71"/>
  <c r="AZ158" i="71" s="1"/>
  <c r="EL93" i="71"/>
  <c r="T69" i="71"/>
  <c r="DV97" i="71"/>
  <c r="DZ58" i="71"/>
  <c r="AQ255" i="71"/>
  <c r="D60" i="71"/>
  <c r="H95" i="71" s="1"/>
  <c r="BI116" i="71"/>
  <c r="BQ105" i="71"/>
  <c r="BO179" i="71"/>
  <c r="BU81" i="71"/>
  <c r="EK93" i="71"/>
  <c r="AF84" i="71"/>
  <c r="EE94" i="71"/>
  <c r="AX105" i="71"/>
  <c r="AX109" i="71" s="1"/>
  <c r="AZ187" i="71"/>
  <c r="BA187" i="71"/>
  <c r="EB69" i="71"/>
  <c r="X97" i="71"/>
  <c r="AU123" i="71"/>
  <c r="BK179" i="71"/>
  <c r="J100" i="71"/>
  <c r="AX98" i="71"/>
  <c r="U97" i="71"/>
  <c r="DT69" i="71"/>
  <c r="DT100" i="71" s="1"/>
  <c r="EK48" i="71"/>
  <c r="EK63" i="71" s="1"/>
  <c r="DW232" i="71"/>
  <c r="M72" i="71"/>
  <c r="M74" i="71" s="1"/>
  <c r="EF61" i="71"/>
  <c r="EF112" i="71" s="1"/>
  <c r="AU116" i="71"/>
  <c r="EI84" i="71"/>
  <c r="EE16" i="71"/>
  <c r="EC15" i="71"/>
  <c r="EC3" i="71"/>
  <c r="EC84" i="71" s="1"/>
  <c r="AI48" i="71"/>
  <c r="AI105" i="71" s="1"/>
  <c r="AI107" i="71" s="1"/>
  <c r="ED40" i="71"/>
  <c r="EG158" i="71"/>
  <c r="EG176" i="71" s="1"/>
  <c r="T84" i="71"/>
  <c r="AX145" i="71"/>
  <c r="EB92" i="71"/>
  <c r="BA255" i="71"/>
  <c r="AX115" i="71"/>
  <c r="AW105" i="71"/>
  <c r="AP123" i="71"/>
  <c r="EC17" i="71"/>
  <c r="ED41" i="71"/>
  <c r="ED17" i="71"/>
  <c r="EE41" i="71"/>
  <c r="EM82" i="71"/>
  <c r="EO35" i="71"/>
  <c r="EP35" i="71" s="1"/>
  <c r="EQ35" i="71" s="1"/>
  <c r="BV82" i="71"/>
  <c r="AX99" i="71"/>
  <c r="Q72" i="71"/>
  <c r="Q74" i="71" s="1"/>
  <c r="AX65" i="71"/>
  <c r="DT233" i="71"/>
  <c r="DU232" i="71"/>
  <c r="DU234" i="71" s="1"/>
  <c r="EN82" i="71"/>
  <c r="BL177" i="71"/>
  <c r="BJ158" i="71"/>
  <c r="EF34" i="71"/>
  <c r="AO63" i="71"/>
  <c r="AO115" i="71" s="1"/>
  <c r="DP97" i="71"/>
  <c r="EG61" i="71"/>
  <c r="EG112" i="71" s="1"/>
  <c r="EG229" i="71" s="1"/>
  <c r="BJ116" i="71"/>
  <c r="BR158" i="71"/>
  <c r="BI177" i="71"/>
  <c r="EO24" i="71"/>
  <c r="EP24" i="71" s="1"/>
  <c r="EQ24" i="71" s="1"/>
  <c r="ER24" i="71" s="1"/>
  <c r="ES24" i="71" s="1"/>
  <c r="ET24" i="71" s="1"/>
  <c r="BE63" i="71"/>
  <c r="BE115" i="71" s="1"/>
  <c r="U72" i="71"/>
  <c r="U101" i="71" s="1"/>
  <c r="DV72" i="71"/>
  <c r="DV101" i="71" s="1"/>
  <c r="EA41" i="71"/>
  <c r="DX41" i="71"/>
  <c r="DZ39" i="71"/>
  <c r="DZ15" i="71"/>
  <c r="EA21" i="71"/>
  <c r="DX21" i="71"/>
  <c r="EH21" i="71"/>
  <c r="ED16" i="71"/>
  <c r="AN48" i="71"/>
  <c r="AN105" i="71" s="1"/>
  <c r="AL48" i="71"/>
  <c r="AL105" i="71" s="1"/>
  <c r="AP109" i="71" s="1"/>
  <c r="BE144" i="71"/>
  <c r="BF188" i="71" s="1"/>
  <c r="EM11" i="71"/>
  <c r="BQ63" i="71"/>
  <c r="BQ145" i="71" s="1"/>
  <c r="AR116" i="71"/>
  <c r="AV116" i="71"/>
  <c r="BB262" i="71"/>
  <c r="BB263" i="71" s="1"/>
  <c r="BB65" i="71"/>
  <c r="BB97" i="71" s="1"/>
  <c r="BB145" i="71"/>
  <c r="BB122" i="71"/>
  <c r="BB79" i="71"/>
  <c r="BB130" i="71" s="1"/>
  <c r="BB127" i="71" s="1"/>
  <c r="BB264" i="71" s="1"/>
  <c r="BB99" i="71"/>
  <c r="BB98" i="71"/>
  <c r="AJ252" i="71"/>
  <c r="AJ114" i="71"/>
  <c r="AN116" i="71"/>
  <c r="X100" i="71"/>
  <c r="X72" i="71"/>
  <c r="DP100" i="71"/>
  <c r="DP72" i="71"/>
  <c r="AT123" i="71"/>
  <c r="AP112" i="71"/>
  <c r="AP116" i="71" s="1"/>
  <c r="EI92" i="71"/>
  <c r="EM86" i="71"/>
  <c r="EO59" i="71"/>
  <c r="EP59" i="71" s="1"/>
  <c r="EQ59" i="71" s="1"/>
  <c r="EM95" i="71"/>
  <c r="AF48" i="71"/>
  <c r="AF105" i="71" s="1"/>
  <c r="AF249" i="71" s="1"/>
  <c r="AQ116" i="71"/>
  <c r="AQ48" i="71"/>
  <c r="ED3" i="71"/>
  <c r="BE158" i="71"/>
  <c r="BF177" i="71"/>
  <c r="BL105" i="71"/>
  <c r="BY95" i="71"/>
  <c r="EJ84" i="71"/>
  <c r="EA3" i="71"/>
  <c r="DY60" i="71"/>
  <c r="DZ59" i="71"/>
  <c r="AZ262" i="71"/>
  <c r="AZ263" i="71" s="1"/>
  <c r="AM84" i="71"/>
  <c r="E55" i="71"/>
  <c r="I94" i="71" s="1"/>
  <c r="AQ188" i="71"/>
  <c r="EL82" i="71"/>
  <c r="AY123" i="71"/>
  <c r="AH84" i="71"/>
  <c r="AA84" i="71"/>
  <c r="I72" i="71"/>
  <c r="J95" i="71"/>
  <c r="EG8" i="71"/>
  <c r="AT63" i="71"/>
  <c r="AT122" i="71" s="1"/>
  <c r="BH116" i="71"/>
  <c r="BG177" i="71"/>
  <c r="BM177" i="71"/>
  <c r="N100" i="71"/>
  <c r="AD63" i="71"/>
  <c r="W84" i="71"/>
  <c r="AZ145" i="71"/>
  <c r="DR97" i="71"/>
  <c r="EE17" i="71"/>
  <c r="DQ69" i="71"/>
  <c r="DQ100" i="71" s="1"/>
  <c r="EN48" i="71"/>
  <c r="EO48" i="71" s="1"/>
  <c r="EP48" i="71" s="1"/>
  <c r="EQ48" i="71" s="1"/>
  <c r="EO4" i="71"/>
  <c r="EO85" i="71" s="1"/>
  <c r="BU85" i="71"/>
  <c r="C97" i="71"/>
  <c r="AM48" i="71"/>
  <c r="AM63" i="71" s="1"/>
  <c r="AM122" i="71" s="1"/>
  <c r="BU91" i="71"/>
  <c r="BB115" i="71"/>
  <c r="EK94" i="71"/>
  <c r="EA232" i="71"/>
  <c r="EA234" i="71" s="1"/>
  <c r="AK112" i="71"/>
  <c r="AK116" i="71" s="1"/>
  <c r="BM105" i="71"/>
  <c r="AP63" i="71"/>
  <c r="DX233" i="71"/>
  <c r="EA8" i="71"/>
  <c r="EC40" i="71"/>
  <c r="EK71" i="71"/>
  <c r="BN63" i="71"/>
  <c r="BN98" i="71" s="1"/>
  <c r="EJ153" i="71"/>
  <c r="EJ158" i="71" s="1"/>
  <c r="AT188" i="71"/>
  <c r="DY41" i="71"/>
  <c r="DZ40" i="71"/>
  <c r="EA39" i="71"/>
  <c r="DX15" i="71"/>
  <c r="DY8" i="71"/>
  <c r="BE123" i="71"/>
  <c r="BG179" i="71"/>
  <c r="BK48" i="71"/>
  <c r="BK105" i="71" s="1"/>
  <c r="BJ144" i="71"/>
  <c r="BJ188" i="71" s="1"/>
  <c r="BP187" i="71"/>
  <c r="BR177" i="71"/>
  <c r="BL158" i="71"/>
  <c r="EH61" i="71"/>
  <c r="EH112" i="71" s="1"/>
  <c r="P72" i="71"/>
  <c r="P101" i="71" s="1"/>
  <c r="BH123" i="71"/>
  <c r="BG187" i="71"/>
  <c r="BG144" i="71"/>
  <c r="BG188" i="71" s="1"/>
  <c r="BG153" i="71"/>
  <c r="BG158" i="71" s="1"/>
  <c r="EG123" i="71"/>
  <c r="EG125" i="71" s="1"/>
  <c r="EG121" i="71"/>
  <c r="EG231" i="71"/>
  <c r="BV63" i="71"/>
  <c r="O72" i="71"/>
  <c r="O74" i="71" s="1"/>
  <c r="O100" i="71"/>
  <c r="AK48" i="71"/>
  <c r="AK63" i="71" s="1"/>
  <c r="AC63" i="71"/>
  <c r="AC122" i="71" s="1"/>
  <c r="AH48" i="71"/>
  <c r="AH63" i="71" s="1"/>
  <c r="AX188" i="71"/>
  <c r="AW188" i="71"/>
  <c r="AR255" i="71"/>
  <c r="AR123" i="71"/>
  <c r="EJ231" i="71"/>
  <c r="EJ123" i="71"/>
  <c r="EJ125" i="71" s="1"/>
  <c r="C72" i="71"/>
  <c r="C100" i="71"/>
  <c r="AF112" i="71"/>
  <c r="EE61" i="71"/>
  <c r="EE112" i="71" s="1"/>
  <c r="EE229" i="71" s="1"/>
  <c r="EE232" i="71" s="1"/>
  <c r="AZ252" i="71"/>
  <c r="AZ115" i="71"/>
  <c r="AZ116" i="71"/>
  <c r="AZ118" i="71" s="1"/>
  <c r="BD116" i="71"/>
  <c r="BD118" i="71" s="1"/>
  <c r="AZ203" i="71"/>
  <c r="AZ220" i="71" s="1"/>
  <c r="BA199" i="71"/>
  <c r="BB199" i="71" s="1"/>
  <c r="G249" i="71"/>
  <c r="W97" i="71"/>
  <c r="W69" i="71"/>
  <c r="W100" i="71" s="1"/>
  <c r="EH231" i="71"/>
  <c r="EH123" i="71"/>
  <c r="EH121" i="71"/>
  <c r="ED93" i="71"/>
  <c r="EC93" i="71"/>
  <c r="EF121" i="71"/>
  <c r="EF231" i="71"/>
  <c r="BE203" i="71"/>
  <c r="L94" i="71"/>
  <c r="D55" i="71"/>
  <c r="DW54" i="71"/>
  <c r="DX93" i="71" s="1"/>
  <c r="DY34" i="71"/>
  <c r="AY252" i="71"/>
  <c r="AY116" i="71"/>
  <c r="BC116" i="71"/>
  <c r="BA145" i="71"/>
  <c r="BA262" i="71"/>
  <c r="BA99" i="71"/>
  <c r="BA115" i="71"/>
  <c r="BA122" i="71"/>
  <c r="BA65" i="71"/>
  <c r="EL112" i="71"/>
  <c r="EL229" i="71" s="1"/>
  <c r="DY55" i="71"/>
  <c r="DP239" i="71"/>
  <c r="U84" i="71"/>
  <c r="Y84" i="71"/>
  <c r="AG84" i="71"/>
  <c r="AK84" i="71"/>
  <c r="AG48" i="71"/>
  <c r="AG63" i="71" s="1"/>
  <c r="AG115" i="71" s="1"/>
  <c r="J101" i="71"/>
  <c r="J74" i="71"/>
  <c r="J102" i="71"/>
  <c r="BD188" i="71"/>
  <c r="BU63" i="71"/>
  <c r="AC121" i="71"/>
  <c r="BA116" i="71"/>
  <c r="DX100" i="71"/>
  <c r="DX72" i="71"/>
  <c r="DX102" i="71" s="1"/>
  <c r="DY233" i="71"/>
  <c r="DY97" i="71"/>
  <c r="DY69" i="71"/>
  <c r="E58" i="71"/>
  <c r="DY58" i="71"/>
  <c r="AU48" i="71"/>
  <c r="EI48" i="71" s="1"/>
  <c r="EI41" i="71"/>
  <c r="EA34" i="71"/>
  <c r="BP105" i="71"/>
  <c r="BP63" i="71"/>
  <c r="BB193" i="71"/>
  <c r="DW233" i="71"/>
  <c r="DW69" i="71"/>
  <c r="DW97" i="71"/>
  <c r="EI123" i="71"/>
  <c r="S97" i="71"/>
  <c r="BN158" i="71"/>
  <c r="AX123" i="71"/>
  <c r="DS232" i="71"/>
  <c r="DX95" i="71"/>
  <c r="EC21" i="71"/>
  <c r="EC8" i="71"/>
  <c r="ED21" i="71"/>
  <c r="EE21" i="71"/>
  <c r="BH203" i="71"/>
  <c r="BH220" i="71" s="1"/>
  <c r="BO158" i="71"/>
  <c r="BU92" i="71"/>
  <c r="BU82" i="71"/>
  <c r="BM153" i="71"/>
  <c r="BM158" i="71" s="1"/>
  <c r="AU188" i="71"/>
  <c r="BF116" i="71"/>
  <c r="BB123" i="71"/>
  <c r="BE205" i="71"/>
  <c r="BH63" i="71"/>
  <c r="BH153" i="71"/>
  <c r="BH158" i="71" s="1"/>
  <c r="EL81" i="71"/>
  <c r="BK144" i="71"/>
  <c r="BB116" i="71"/>
  <c r="EL95" i="71"/>
  <c r="J97" i="71"/>
  <c r="EA69" i="71"/>
  <c r="EA72" i="71" s="1"/>
  <c r="DY49" i="71"/>
  <c r="EE95" i="71"/>
  <c r="BP158" i="71"/>
  <c r="BQ153" i="71"/>
  <c r="BQ158" i="71" s="1"/>
  <c r="BJ177" i="71"/>
  <c r="AW116" i="71"/>
  <c r="EN11" i="71"/>
  <c r="BZ86" i="71"/>
  <c r="AX122" i="71"/>
  <c r="DY232" i="71"/>
  <c r="DZ232" i="71"/>
  <c r="DZ234" i="71" s="1"/>
  <c r="BJ123" i="71"/>
  <c r="E72" i="71"/>
  <c r="E102" i="71" s="1"/>
  <c r="EM81" i="71"/>
  <c r="BP203" i="71"/>
  <c r="BP220" i="71" s="1"/>
  <c r="BT63" i="71"/>
  <c r="EM56" i="71"/>
  <c r="EM112" i="71" s="1"/>
  <c r="EO18" i="71"/>
  <c r="EP18" i="71" s="1"/>
  <c r="EQ18" i="71" s="1"/>
  <c r="EB41" i="71"/>
  <c r="EA15" i="71"/>
  <c r="EA17" i="71"/>
  <c r="DZ34" i="71"/>
  <c r="EL70" i="71"/>
  <c r="BV95" i="71"/>
  <c r="EO6" i="71"/>
  <c r="AG114" i="71"/>
  <c r="AG252" i="71"/>
  <c r="EF8" i="71"/>
  <c r="AJ48" i="71"/>
  <c r="AJ63" i="71" s="1"/>
  <c r="AB63" i="71"/>
  <c r="ED8" i="71"/>
  <c r="EE8" i="71"/>
  <c r="BJ109" i="71"/>
  <c r="EC94" i="71"/>
  <c r="EB94" i="71"/>
  <c r="N74" i="71"/>
  <c r="N102" i="71"/>
  <c r="N101" i="71"/>
  <c r="DR100" i="71"/>
  <c r="DR72" i="71"/>
  <c r="EA95" i="71"/>
  <c r="EB95" i="71"/>
  <c r="AX205" i="71"/>
  <c r="AX187" i="71" s="1"/>
  <c r="AW187" i="71"/>
  <c r="Z69" i="71"/>
  <c r="Z97" i="71"/>
  <c r="R72" i="71"/>
  <c r="R100" i="71"/>
  <c r="AT109" i="71"/>
  <c r="BG123" i="71"/>
  <c r="AR188" i="71"/>
  <c r="AS188" i="71"/>
  <c r="AV255" i="71"/>
  <c r="AZ123" i="71"/>
  <c r="AZ124" i="71" s="1"/>
  <c r="AV123" i="71"/>
  <c r="AV122" i="71"/>
  <c r="EJ112" i="71"/>
  <c r="AS186" i="71"/>
  <c r="AR187" i="71"/>
  <c r="EI121" i="71"/>
  <c r="EI231" i="71"/>
  <c r="EC112" i="71"/>
  <c r="EC92" i="71"/>
  <c r="ED92" i="71"/>
  <c r="EG95" i="71"/>
  <c r="BA188" i="71"/>
  <c r="EO12" i="71"/>
  <c r="EP12" i="71" s="1"/>
  <c r="EQ12" i="71" s="1"/>
  <c r="BI205" i="71"/>
  <c r="BQ177" i="71"/>
  <c r="BQ179" i="71"/>
  <c r="BS63" i="71"/>
  <c r="BS65" i="71" s="1"/>
  <c r="BS105" i="71"/>
  <c r="EO46" i="71"/>
  <c r="EP46" i="71" s="1"/>
  <c r="EQ46" i="71" s="1"/>
  <c r="AV187" i="71"/>
  <c r="O97" i="71"/>
  <c r="E54" i="71"/>
  <c r="I93" i="71" s="1"/>
  <c r="BH109" i="71"/>
  <c r="BV105" i="71"/>
  <c r="EO11" i="71"/>
  <c r="EP11" i="71" s="1"/>
  <c r="EQ11" i="71" s="1"/>
  <c r="E97" i="71"/>
  <c r="C60" i="71"/>
  <c r="G95" i="71" s="1"/>
  <c r="E59" i="71"/>
  <c r="BF191" i="71"/>
  <c r="BF203" i="71" s="1"/>
  <c r="BN177" i="71"/>
  <c r="BN179" i="71"/>
  <c r="BR179" i="71"/>
  <c r="D59" i="71"/>
  <c r="G93" i="71"/>
  <c r="EN85" i="71"/>
  <c r="EM85" i="71"/>
  <c r="BL144" i="71"/>
  <c r="EN81" i="71"/>
  <c r="EO81" i="71"/>
  <c r="EO19" i="71"/>
  <c r="EP19" i="71" s="1"/>
  <c r="EQ19" i="71" s="1"/>
  <c r="DY59" i="71"/>
  <c r="BH187" i="71"/>
  <c r="EL11" i="71"/>
  <c r="BI105" i="71"/>
  <c r="BQ203" i="71"/>
  <c r="BQ220" i="71" s="1"/>
  <c r="BR191" i="71"/>
  <c r="BR203" i="71" s="1"/>
  <c r="BZ85" i="71"/>
  <c r="BI203" i="71"/>
  <c r="BG105" i="71"/>
  <c r="EL48" i="71"/>
  <c r="BR205" i="71"/>
  <c r="EO3" i="71"/>
  <c r="BU105" i="71"/>
  <c r="BU84" i="71"/>
  <c r="AX116" i="71"/>
  <c r="BH185" i="71"/>
  <c r="BF185" i="71"/>
  <c r="BG185" i="71"/>
  <c r="EN56" i="71"/>
  <c r="BG220" i="71"/>
  <c r="BO105" i="71"/>
  <c r="BG116" i="71"/>
  <c r="BD203" i="71"/>
  <c r="BD220" i="71" s="1"/>
  <c r="BI153" i="71"/>
  <c r="BI158" i="71" s="1"/>
  <c r="BO144" i="71"/>
  <c r="BP144" i="71"/>
  <c r="BF153" i="71"/>
  <c r="BF158" i="71" s="1"/>
  <c r="BI186" i="71"/>
  <c r="BO203" i="71"/>
  <c r="BO220" i="71" s="1"/>
  <c r="BJ179" i="71"/>
  <c r="BL63" i="71"/>
  <c r="BO177" i="71"/>
  <c r="BD153" i="71"/>
  <c r="BD158" i="71" s="1"/>
  <c r="BP177" i="71"/>
  <c r="DL13" i="71" l="1"/>
  <c r="DM13" i="71" s="1"/>
  <c r="DN13" i="71" s="1"/>
  <c r="EZ13" i="71"/>
  <c r="DJ84" i="71"/>
  <c r="DN3" i="71"/>
  <c r="DG75" i="71"/>
  <c r="DG190" i="71"/>
  <c r="DN11" i="71"/>
  <c r="DJ88" i="71"/>
  <c r="FA4" i="71"/>
  <c r="FB4" i="71" s="1"/>
  <c r="FC4" i="71" s="1"/>
  <c r="FD4" i="71" s="1"/>
  <c r="FE4" i="71" s="1"/>
  <c r="FF4" i="71" s="1"/>
  <c r="FG4" i="71" s="1"/>
  <c r="FH4" i="71" s="1"/>
  <c r="FI4" i="71" s="1"/>
  <c r="FJ4" i="71" s="1"/>
  <c r="BU98" i="71"/>
  <c r="BU65" i="71"/>
  <c r="BU69" i="71" s="1"/>
  <c r="BU100" i="71" s="1"/>
  <c r="CO69" i="71"/>
  <c r="CO72" i="71" s="1"/>
  <c r="CO74" i="71" s="1"/>
  <c r="CO75" i="71" s="1"/>
  <c r="BV99" i="71"/>
  <c r="BV65" i="71"/>
  <c r="BV69" i="71" s="1"/>
  <c r="EY11" i="71"/>
  <c r="CK65" i="71"/>
  <c r="CK69" i="71" s="1"/>
  <c r="CK72" i="71" s="1"/>
  <c r="CK74" i="71" s="1"/>
  <c r="CK75" i="71" s="1"/>
  <c r="CK83" i="71" s="1"/>
  <c r="BZ63" i="71"/>
  <c r="BY63" i="71"/>
  <c r="BY65" i="71" s="1"/>
  <c r="BY69" i="71" s="1"/>
  <c r="FG37" i="71"/>
  <c r="EX31" i="71"/>
  <c r="CX69" i="71"/>
  <c r="CX100" i="71" s="1"/>
  <c r="CU99" i="71"/>
  <c r="CU98" i="71"/>
  <c r="FA14" i="71"/>
  <c r="FB14" i="71" s="1"/>
  <c r="FC14" i="71" s="1"/>
  <c r="FD14" i="71" s="1"/>
  <c r="FE14" i="71" s="1"/>
  <c r="FF14" i="71" s="1"/>
  <c r="FG14" i="71" s="1"/>
  <c r="FH14" i="71" s="1"/>
  <c r="FI14" i="71" s="1"/>
  <c r="FJ14" i="71" s="1"/>
  <c r="CU65" i="71"/>
  <c r="CU97" i="71" s="1"/>
  <c r="EY13" i="71"/>
  <c r="DD84" i="71"/>
  <c r="EX3" i="71"/>
  <c r="CY79" i="71"/>
  <c r="DJ31" i="71"/>
  <c r="DK31" i="71" s="1"/>
  <c r="CS79" i="71"/>
  <c r="CO79" i="71"/>
  <c r="DA65" i="71"/>
  <c r="DA97"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FA19" i="71"/>
  <c r="FB19" i="71" s="1"/>
  <c r="FC19" i="71" s="1"/>
  <c r="FD19" i="71" s="1"/>
  <c r="FE19" i="71" s="1"/>
  <c r="FF19" i="71" s="1"/>
  <c r="FG19" i="71" s="1"/>
  <c r="FH19" i="71" s="1"/>
  <c r="FI19" i="71" s="1"/>
  <c r="FJ19" i="71" s="1"/>
  <c r="AZ100" i="71"/>
  <c r="CM83" i="71"/>
  <c r="AZ178" i="71"/>
  <c r="AZ190" i="71"/>
  <c r="AZ101" i="71"/>
  <c r="AZ102" i="71"/>
  <c r="AZ75" i="71"/>
  <c r="FA48" i="71"/>
  <c r="FB48" i="71" s="1"/>
  <c r="FC48" i="71" s="1"/>
  <c r="FD48" i="71" s="1"/>
  <c r="FE48" i="71" s="1"/>
  <c r="FF48" i="71" s="1"/>
  <c r="FG48" i="71" s="1"/>
  <c r="FH48" i="71" s="1"/>
  <c r="FI48" i="71" s="1"/>
  <c r="FJ48" i="71" s="1"/>
  <c r="FA12" i="71"/>
  <c r="FB12" i="71" s="1"/>
  <c r="FC12" i="71" s="1"/>
  <c r="FD12" i="71" s="1"/>
  <c r="FE12" i="71" s="1"/>
  <c r="FF12" i="71" s="1"/>
  <c r="FG12" i="71" s="1"/>
  <c r="FH12" i="71" s="1"/>
  <c r="FI12" i="71" s="1"/>
  <c r="FJ12" i="71" s="1"/>
  <c r="EW7" i="71"/>
  <c r="BD109" i="71"/>
  <c r="BD111" i="71" s="1"/>
  <c r="AZ249" i="71"/>
  <c r="EX60" i="71"/>
  <c r="FC76" i="71"/>
  <c r="BR98" i="71"/>
  <c r="BD99" i="71"/>
  <c r="BR108" i="71"/>
  <c r="BD98" i="71"/>
  <c r="DB97" i="71"/>
  <c r="BR65" i="71"/>
  <c r="BR97" i="71" s="1"/>
  <c r="EP119" i="71"/>
  <c r="EP231" i="71" s="1"/>
  <c r="EX62" i="71"/>
  <c r="EY62" i="71" s="1"/>
  <c r="BR145" i="71"/>
  <c r="BD65" i="71"/>
  <c r="BD69" i="71" s="1"/>
  <c r="BD72" i="71" s="1"/>
  <c r="CT72" i="71"/>
  <c r="CT74" i="71" s="1"/>
  <c r="CT75" i="71" s="1"/>
  <c r="CT83" i="71" s="1"/>
  <c r="CT100" i="71"/>
  <c r="CS72" i="71"/>
  <c r="CS74" i="71" s="1"/>
  <c r="CS75" i="71" s="1"/>
  <c r="CS100" i="71"/>
  <c r="CQ72" i="71"/>
  <c r="CQ74" i="71" s="1"/>
  <c r="CQ75" i="71" s="1"/>
  <c r="CQ83" i="71" s="1"/>
  <c r="CQ100" i="71"/>
  <c r="CW72" i="71"/>
  <c r="CW74" i="71" s="1"/>
  <c r="CW75" i="71" s="1"/>
  <c r="CW100" i="71"/>
  <c r="CZ79" i="71"/>
  <c r="CZ97" i="71"/>
  <c r="CZ99" i="71"/>
  <c r="DA79" i="71"/>
  <c r="DA99" i="71"/>
  <c r="CV72" i="71"/>
  <c r="CV74" i="71" s="1"/>
  <c r="CV75" i="71" s="1"/>
  <c r="CV100" i="71"/>
  <c r="CR72" i="71"/>
  <c r="CR74" i="71" s="1"/>
  <c r="CR75" i="71" s="1"/>
  <c r="CR83" i="71" s="1"/>
  <c r="CR100" i="71"/>
  <c r="CY72" i="71"/>
  <c r="CY74" i="71" s="1"/>
  <c r="CY100" i="71"/>
  <c r="DB89" i="71"/>
  <c r="L72" i="71"/>
  <c r="L101" i="71" s="1"/>
  <c r="AE72" i="71"/>
  <c r="AE101" i="71" s="1"/>
  <c r="BD262" i="71"/>
  <c r="BD263" i="71" s="1"/>
  <c r="BD145" i="71"/>
  <c r="BD79" i="71"/>
  <c r="BD130" i="71" s="1"/>
  <c r="BD122" i="71"/>
  <c r="AZ109" i="71"/>
  <c r="AZ111" i="71" s="1"/>
  <c r="U102" i="71"/>
  <c r="U74" i="71"/>
  <c r="U75" i="71" s="1"/>
  <c r="BA109" i="71"/>
  <c r="BA108" i="71"/>
  <c r="BK188" i="71"/>
  <c r="K74" i="71"/>
  <c r="K75" i="71" s="1"/>
  <c r="BH188" i="71"/>
  <c r="K101" i="71"/>
  <c r="BD108" i="71"/>
  <c r="BE79" i="71"/>
  <c r="BE130" i="71" s="1"/>
  <c r="AZ188" i="71"/>
  <c r="AS262" i="71"/>
  <c r="AV249" i="71"/>
  <c r="AN63" i="71"/>
  <c r="AN98" i="71" s="1"/>
  <c r="H75" i="71"/>
  <c r="BM99" i="71"/>
  <c r="DS234" i="71"/>
  <c r="AE97" i="71"/>
  <c r="BM65" i="71"/>
  <c r="BM69" i="71" s="1"/>
  <c r="AE99" i="71"/>
  <c r="AP115" i="71"/>
  <c r="AE122" i="71"/>
  <c r="BM108" i="71"/>
  <c r="AT116" i="71"/>
  <c r="BM98" i="71"/>
  <c r="AE98" i="71"/>
  <c r="H102" i="71"/>
  <c r="AE108" i="71"/>
  <c r="D72" i="71"/>
  <c r="D102" i="71" s="1"/>
  <c r="H101" i="71"/>
  <c r="AE115" i="71"/>
  <c r="BM79" i="71"/>
  <c r="BJ65" i="71"/>
  <c r="BJ97" i="71" s="1"/>
  <c r="BJ145" i="71"/>
  <c r="BJ98" i="71"/>
  <c r="BJ108" i="71"/>
  <c r="BN79" i="71"/>
  <c r="BJ122" i="71"/>
  <c r="BN65" i="71"/>
  <c r="BN69" i="71" s="1"/>
  <c r="BQ65" i="71"/>
  <c r="BQ69" i="71" s="1"/>
  <c r="BN108" i="71"/>
  <c r="EJ105" i="71"/>
  <c r="EJ227" i="71" s="1"/>
  <c r="BU108" i="71"/>
  <c r="BJ115" i="71"/>
  <c r="DU72" i="71"/>
  <c r="DU102" i="71" s="1"/>
  <c r="Q101" i="71"/>
  <c r="AW79" i="71"/>
  <c r="AW130" i="71" s="1"/>
  <c r="AW99" i="71"/>
  <c r="BB188" i="71"/>
  <c r="DX234" i="71"/>
  <c r="Y101" i="71"/>
  <c r="Y74" i="71"/>
  <c r="Y103" i="71" s="1"/>
  <c r="AC108" i="71"/>
  <c r="BF109" i="71"/>
  <c r="AY115" i="71"/>
  <c r="AY98" i="71"/>
  <c r="AY108" i="71"/>
  <c r="AY122" i="71"/>
  <c r="AY145" i="71"/>
  <c r="EI116" i="71"/>
  <c r="AY99" i="71"/>
  <c r="AY65" i="71"/>
  <c r="EJ65" i="71" s="1"/>
  <c r="EJ233" i="71" s="1"/>
  <c r="EI105" i="71"/>
  <c r="EI227" i="71" s="1"/>
  <c r="EI232" i="71" s="1"/>
  <c r="AS145" i="71"/>
  <c r="AS98" i="71"/>
  <c r="O101" i="71"/>
  <c r="BN99" i="71"/>
  <c r="P74" i="71"/>
  <c r="P75" i="71" s="1"/>
  <c r="Q102" i="71"/>
  <c r="AW98" i="71"/>
  <c r="AS122" i="71"/>
  <c r="AS115" i="71"/>
  <c r="DX101" i="71"/>
  <c r="BR79" i="71"/>
  <c r="P102" i="71"/>
  <c r="AW122" i="71"/>
  <c r="DW234" i="71"/>
  <c r="AW262" i="71"/>
  <c r="BB203" i="71"/>
  <c r="BB220" i="71" s="1"/>
  <c r="AW108" i="71"/>
  <c r="G74" i="71"/>
  <c r="G75" i="71" s="1"/>
  <c r="AW145" i="71"/>
  <c r="AV109" i="71"/>
  <c r="AW65" i="71"/>
  <c r="AS65" i="71"/>
  <c r="BN145" i="71"/>
  <c r="AP108" i="71"/>
  <c r="AC79" i="71"/>
  <c r="AW115" i="71"/>
  <c r="DV234" i="71"/>
  <c r="BE188" i="71"/>
  <c r="BR186" i="71"/>
  <c r="BR185" i="71" s="1"/>
  <c r="S102" i="71"/>
  <c r="BC108" i="71"/>
  <c r="EI63" i="71"/>
  <c r="EJ79" i="71" s="1"/>
  <c r="F72" i="71"/>
  <c r="F102" i="71" s="1"/>
  <c r="BC115" i="71"/>
  <c r="BC262" i="71"/>
  <c r="BC263" i="71" s="1"/>
  <c r="BC65" i="71"/>
  <c r="BC97" i="71" s="1"/>
  <c r="BG79" i="71"/>
  <c r="BG130" i="71" s="1"/>
  <c r="BC79" i="71"/>
  <c r="BC130" i="71" s="1"/>
  <c r="BQ187" i="71"/>
  <c r="AR109" i="71"/>
  <c r="AR63" i="71"/>
  <c r="AR262" i="71" s="1"/>
  <c r="AV263" i="71" s="1"/>
  <c r="BC99" i="71"/>
  <c r="BU99" i="71"/>
  <c r="BT108" i="71"/>
  <c r="S74" i="71"/>
  <c r="S103" i="71" s="1"/>
  <c r="O102" i="71"/>
  <c r="AF107" i="71"/>
  <c r="M101" i="71"/>
  <c r="DX74" i="71"/>
  <c r="DX241" i="71" s="1"/>
  <c r="BO108" i="71"/>
  <c r="EE48" i="71"/>
  <c r="EE63" i="71" s="1"/>
  <c r="BG115" i="71"/>
  <c r="BG122" i="71"/>
  <c r="BO145" i="71"/>
  <c r="BG65" i="71"/>
  <c r="BG97" i="71" s="1"/>
  <c r="BO65" i="71"/>
  <c r="BG99" i="71"/>
  <c r="BG145" i="71"/>
  <c r="BO98" i="71"/>
  <c r="BE122" i="71"/>
  <c r="M102" i="71"/>
  <c r="DT234" i="71"/>
  <c r="BI65" i="71"/>
  <c r="BI99" i="71"/>
  <c r="BI145" i="71"/>
  <c r="BI98" i="71"/>
  <c r="BI122" i="71"/>
  <c r="BI115" i="71"/>
  <c r="BF79" i="71"/>
  <c r="BF65" i="71"/>
  <c r="BF69" i="71" s="1"/>
  <c r="EK105" i="71"/>
  <c r="EK108" i="71" s="1"/>
  <c r="AT108" i="71"/>
  <c r="AA122" i="71"/>
  <c r="DZ93" i="71"/>
  <c r="BC122" i="71"/>
  <c r="BC98" i="71"/>
  <c r="BF99" i="71"/>
  <c r="BF122" i="71"/>
  <c r="AA65" i="71"/>
  <c r="AA69" i="71" s="1"/>
  <c r="BF145" i="71"/>
  <c r="DS102" i="71"/>
  <c r="AE79" i="71"/>
  <c r="AE130" i="71" s="1"/>
  <c r="BO188" i="71"/>
  <c r="DS74" i="71"/>
  <c r="DS241" i="71" s="1"/>
  <c r="G102" i="71"/>
  <c r="EH84" i="71"/>
  <c r="AV69" i="71"/>
  <c r="AV100" i="71" s="1"/>
  <c r="AA99" i="71"/>
  <c r="AA115" i="71"/>
  <c r="AA98" i="71"/>
  <c r="EF48" i="71"/>
  <c r="EF63" i="71" s="1"/>
  <c r="EF65" i="71" s="1"/>
  <c r="AM115" i="71"/>
  <c r="AA79" i="71"/>
  <c r="BS108" i="71"/>
  <c r="BB69" i="71"/>
  <c r="BB72" i="71" s="1"/>
  <c r="BF98" i="71"/>
  <c r="BF115" i="71"/>
  <c r="V100" i="71"/>
  <c r="V72" i="71"/>
  <c r="AS108" i="71"/>
  <c r="BJ79" i="71"/>
  <c r="BJ130" i="71" s="1"/>
  <c r="EN63" i="71"/>
  <c r="EN65" i="71" s="1"/>
  <c r="DQ72" i="71"/>
  <c r="DQ74" i="71" s="1"/>
  <c r="BQ99" i="71"/>
  <c r="AL63" i="71"/>
  <c r="AL65" i="71" s="1"/>
  <c r="AL97" i="71" s="1"/>
  <c r="BA203" i="71"/>
  <c r="BA220" i="71" s="1"/>
  <c r="E74" i="71"/>
  <c r="E75" i="71" s="1"/>
  <c r="AW109" i="71"/>
  <c r="DZ100" i="71"/>
  <c r="DZ72" i="71"/>
  <c r="AM65" i="71"/>
  <c r="AM97" i="71" s="1"/>
  <c r="AX108" i="71"/>
  <c r="BB109" i="71"/>
  <c r="AM98" i="71"/>
  <c r="BL108" i="71"/>
  <c r="AI249" i="71"/>
  <c r="DV74" i="71"/>
  <c r="DV103" i="71" s="1"/>
  <c r="AX97" i="71"/>
  <c r="AX69" i="71"/>
  <c r="AM99" i="71"/>
  <c r="AI63" i="71"/>
  <c r="AI65" i="71" s="1"/>
  <c r="AK114" i="71"/>
  <c r="DV102" i="71"/>
  <c r="T100" i="71"/>
  <c r="T72" i="71"/>
  <c r="BQ79" i="71"/>
  <c r="W72" i="71"/>
  <c r="W74" i="71" s="1"/>
  <c r="W75" i="71" s="1"/>
  <c r="AK252" i="71"/>
  <c r="AO108" i="71"/>
  <c r="AO122" i="71"/>
  <c r="AO65" i="71"/>
  <c r="AO98" i="71"/>
  <c r="AO99" i="71"/>
  <c r="EG48" i="71"/>
  <c r="EG63" i="71" s="1"/>
  <c r="AO116" i="71"/>
  <c r="DT72" i="71"/>
  <c r="DT101" i="71" s="1"/>
  <c r="AS79" i="71"/>
  <c r="AS130" i="71" s="1"/>
  <c r="BT98" i="71"/>
  <c r="BU79" i="71"/>
  <c r="BE108" i="71"/>
  <c r="BE65" i="71"/>
  <c r="BE99" i="71"/>
  <c r="BE98" i="71"/>
  <c r="BI79" i="71"/>
  <c r="BI130" i="71" s="1"/>
  <c r="BE145" i="71"/>
  <c r="EB100" i="71"/>
  <c r="EB72" i="71"/>
  <c r="AC65" i="71"/>
  <c r="AC69" i="71" s="1"/>
  <c r="EM48" i="71"/>
  <c r="EM105" i="71" s="1"/>
  <c r="EM227" i="71" s="1"/>
  <c r="DY234" i="71"/>
  <c r="BP188" i="71"/>
  <c r="E101" i="71"/>
  <c r="AC99" i="71"/>
  <c r="BQ108" i="71"/>
  <c r="BQ98" i="71"/>
  <c r="BE220" i="71"/>
  <c r="EC63" i="71"/>
  <c r="EC99" i="71" s="1"/>
  <c r="DX55" i="71"/>
  <c r="DW55" i="71" s="1"/>
  <c r="DX94" i="71" s="1"/>
  <c r="AH105" i="71"/>
  <c r="AH249" i="71" s="1"/>
  <c r="EE114" i="71"/>
  <c r="AJ105" i="71"/>
  <c r="AJ108" i="71" s="1"/>
  <c r="AK105" i="71"/>
  <c r="AK107" i="71" s="1"/>
  <c r="AM105" i="71"/>
  <c r="AM108" i="71" s="1"/>
  <c r="DZ95" i="71"/>
  <c r="DY95" i="71"/>
  <c r="AQ63" i="71"/>
  <c r="EH48" i="71"/>
  <c r="M103" i="71"/>
  <c r="M75" i="71"/>
  <c r="AP99" i="71"/>
  <c r="AP65" i="71"/>
  <c r="AP145" i="71"/>
  <c r="AP98" i="71"/>
  <c r="AP122" i="71"/>
  <c r="AQ105" i="71"/>
  <c r="EP4" i="71"/>
  <c r="BA69" i="71"/>
  <c r="BA100" i="71" s="1"/>
  <c r="BA97" i="71"/>
  <c r="BP108" i="71"/>
  <c r="AL107" i="71"/>
  <c r="BK63" i="71"/>
  <c r="AL249" i="71"/>
  <c r="AT98" i="71"/>
  <c r="AT99" i="71"/>
  <c r="AT262" i="71"/>
  <c r="AX263" i="71" s="1"/>
  <c r="AT65" i="71"/>
  <c r="AT115" i="71"/>
  <c r="AX79" i="71"/>
  <c r="AX130" i="71" s="1"/>
  <c r="AT145" i="71"/>
  <c r="AT79" i="71"/>
  <c r="AT130" i="71" s="1"/>
  <c r="H94" i="71"/>
  <c r="AD108" i="71"/>
  <c r="AD122" i="71"/>
  <c r="AD99" i="71"/>
  <c r="AD98" i="71"/>
  <c r="AD79" i="71"/>
  <c r="AD65" i="71"/>
  <c r="AD115" i="71"/>
  <c r="DP101" i="71"/>
  <c r="DP74" i="71"/>
  <c r="DP102" i="71"/>
  <c r="EE84" i="71"/>
  <c r="ED84" i="71"/>
  <c r="EN105" i="71"/>
  <c r="I101" i="71"/>
  <c r="I74" i="71"/>
  <c r="I102" i="71"/>
  <c r="X74" i="71"/>
  <c r="X102" i="71"/>
  <c r="X101" i="71"/>
  <c r="AF63" i="71"/>
  <c r="AF115" i="71" s="1"/>
  <c r="AH65" i="71"/>
  <c r="AH97" i="71" s="1"/>
  <c r="AH115" i="71"/>
  <c r="AH79" i="71"/>
  <c r="AH130" i="71" s="1"/>
  <c r="AH99" i="71"/>
  <c r="AH98" i="71"/>
  <c r="AH122" i="71"/>
  <c r="AK122" i="71"/>
  <c r="AK98" i="71"/>
  <c r="AK65" i="71"/>
  <c r="AK99" i="71"/>
  <c r="AO79" i="71"/>
  <c r="AO130" i="71" s="1"/>
  <c r="AK115" i="71"/>
  <c r="ED63" i="71"/>
  <c r="ED65" i="71" s="1"/>
  <c r="BP145" i="71"/>
  <c r="BP65" i="71"/>
  <c r="BP98" i="71"/>
  <c r="BP99" i="71"/>
  <c r="BH65" i="71"/>
  <c r="BH79" i="71"/>
  <c r="BH115" i="71"/>
  <c r="BH145" i="71"/>
  <c r="BH99" i="71"/>
  <c r="BF205" i="71"/>
  <c r="BE187" i="71"/>
  <c r="DY100" i="71"/>
  <c r="DY72" i="71"/>
  <c r="BH98" i="71"/>
  <c r="BV108" i="71"/>
  <c r="EH229" i="71"/>
  <c r="EH116" i="71"/>
  <c r="DX58" i="71"/>
  <c r="DW58" i="71" s="1"/>
  <c r="EP6" i="71"/>
  <c r="EO86" i="71"/>
  <c r="AJ116" i="71"/>
  <c r="AF252" i="71"/>
  <c r="AF114" i="71"/>
  <c r="DZ94" i="71"/>
  <c r="EA100" i="71"/>
  <c r="AU105" i="71"/>
  <c r="BV79" i="71"/>
  <c r="BV98" i="71"/>
  <c r="DW100" i="71"/>
  <c r="DW72" i="71"/>
  <c r="C102" i="71"/>
  <c r="C101" i="71"/>
  <c r="C74" i="71"/>
  <c r="Q103" i="71"/>
  <c r="Q75" i="71"/>
  <c r="AU63" i="71"/>
  <c r="BH122" i="71"/>
  <c r="AG105" i="71"/>
  <c r="AG108" i="71" s="1"/>
  <c r="EM229" i="71"/>
  <c r="BH108" i="71"/>
  <c r="AC98" i="71"/>
  <c r="AC115" i="71"/>
  <c r="BT65" i="71"/>
  <c r="BT79" i="71"/>
  <c r="BT99" i="71"/>
  <c r="J75" i="71"/>
  <c r="J103" i="71"/>
  <c r="AJ99" i="71"/>
  <c r="AJ98" i="71"/>
  <c r="AJ115" i="71"/>
  <c r="AJ122" i="71"/>
  <c r="AJ65" i="71"/>
  <c r="BM188" i="71"/>
  <c r="BL188" i="71"/>
  <c r="Z100" i="71"/>
  <c r="Z72" i="71"/>
  <c r="BW63" i="71"/>
  <c r="EJ145" i="71"/>
  <c r="EJ98" i="71"/>
  <c r="EK98" i="71" s="1"/>
  <c r="EJ122" i="71"/>
  <c r="EJ99" i="71"/>
  <c r="AN107" i="71"/>
  <c r="AN249" i="71"/>
  <c r="O103" i="71"/>
  <c r="O75" i="71"/>
  <c r="EK65" i="71"/>
  <c r="EK79" i="71"/>
  <c r="EK122" i="71"/>
  <c r="EK115" i="71"/>
  <c r="BY84" i="71"/>
  <c r="EP3" i="71"/>
  <c r="EO84" i="71"/>
  <c r="EO105" i="71"/>
  <c r="BS98" i="71"/>
  <c r="BS99" i="71"/>
  <c r="BS79" i="71"/>
  <c r="EJ116" i="71"/>
  <c r="EJ118" i="71" s="1"/>
  <c r="EJ229" i="71"/>
  <c r="EJ115" i="71"/>
  <c r="EC114" i="71"/>
  <c r="EC229" i="71"/>
  <c r="EC232" i="71" s="1"/>
  <c r="BI109" i="71"/>
  <c r="BI108" i="71"/>
  <c r="CB79" i="71"/>
  <c r="BL185" i="71"/>
  <c r="BI187" i="71"/>
  <c r="BJ185" i="71"/>
  <c r="BK185" i="71"/>
  <c r="EO56" i="71"/>
  <c r="EO63" i="71" s="1"/>
  <c r="EN112" i="71"/>
  <c r="BR220" i="71"/>
  <c r="EL63" i="71"/>
  <c r="EL105" i="71"/>
  <c r="AB98" i="71"/>
  <c r="AB79" i="71"/>
  <c r="AB65" i="71"/>
  <c r="AB108" i="71"/>
  <c r="AB99" i="71"/>
  <c r="AB115" i="71"/>
  <c r="AB122" i="71"/>
  <c r="BQ188" i="71"/>
  <c r="AT186" i="71"/>
  <c r="AT187" i="71" s="1"/>
  <c r="AS187" i="71"/>
  <c r="DR74" i="71"/>
  <c r="DR102" i="71"/>
  <c r="DR101" i="71"/>
  <c r="AK79" i="71"/>
  <c r="AK130" i="71" s="1"/>
  <c r="AG65" i="71"/>
  <c r="AG99" i="71"/>
  <c r="AG122" i="71"/>
  <c r="AG79" i="71"/>
  <c r="AG130" i="71" s="1"/>
  <c r="AG98" i="71"/>
  <c r="BL99" i="71"/>
  <c r="BL145" i="71"/>
  <c r="BL98" i="71"/>
  <c r="BL79" i="71"/>
  <c r="BL65" i="71"/>
  <c r="BP79" i="71"/>
  <c r="BI185" i="71"/>
  <c r="BG108" i="71"/>
  <c r="BG109" i="71"/>
  <c r="EG116" i="71"/>
  <c r="EF114" i="71"/>
  <c r="EF229" i="71"/>
  <c r="EF232" i="71" s="1"/>
  <c r="R74" i="71"/>
  <c r="R102" i="71"/>
  <c r="R101" i="71"/>
  <c r="EA102" i="71"/>
  <c r="EA101" i="71"/>
  <c r="EA74" i="71"/>
  <c r="BI220" i="71"/>
  <c r="N75" i="71"/>
  <c r="N103" i="71"/>
  <c r="DN88" i="71" l="1"/>
  <c r="EZ11" i="71"/>
  <c r="FA11" i="71" s="1"/>
  <c r="FB11" i="71" s="1"/>
  <c r="FC11" i="71" s="1"/>
  <c r="FD11" i="71" s="1"/>
  <c r="FE11" i="71" s="1"/>
  <c r="FF11" i="71" s="1"/>
  <c r="FG11" i="71" s="1"/>
  <c r="FH11" i="71" s="1"/>
  <c r="FI11" i="71" s="1"/>
  <c r="FJ11" i="71" s="1"/>
  <c r="DL31" i="71"/>
  <c r="DM31" i="71" s="1"/>
  <c r="DN31" i="71" s="1"/>
  <c r="DN84" i="71"/>
  <c r="EZ3" i="71"/>
  <c r="CS83" i="71"/>
  <c r="CD79" i="71"/>
  <c r="BZ65" i="71"/>
  <c r="BZ69" i="71" s="1"/>
  <c r="BZ72" i="71" s="1"/>
  <c r="CO83" i="71"/>
  <c r="CA79" i="71"/>
  <c r="BW65" i="71"/>
  <c r="BW69" i="71" s="1"/>
  <c r="BW72" i="71" s="1"/>
  <c r="EY3" i="71"/>
  <c r="CX72" i="71"/>
  <c r="CX74" i="71" s="1"/>
  <c r="CX75" i="71" s="1"/>
  <c r="CX83" i="71" s="1"/>
  <c r="CU69" i="71"/>
  <c r="CU100" i="71" s="1"/>
  <c r="FH37" i="71"/>
  <c r="DA68" i="71"/>
  <c r="DA69" i="71" s="1"/>
  <c r="EW66" i="71"/>
  <c r="EW68" i="71" s="1"/>
  <c r="CY75" i="71"/>
  <c r="CY190" i="71"/>
  <c r="Z68" i="42"/>
  <c r="M67" i="42"/>
  <c r="L65" i="42"/>
  <c r="AA65" i="42" s="1"/>
  <c r="L70" i="42"/>
  <c r="AA70" i="42" s="1"/>
  <c r="P62" i="42"/>
  <c r="AE62" i="42" s="1"/>
  <c r="N66" i="42"/>
  <c r="M69" i="42"/>
  <c r="AA69" i="42"/>
  <c r="L68" i="42"/>
  <c r="AA68" i="42" s="1"/>
  <c r="AE74" i="71"/>
  <c r="AE75" i="71" s="1"/>
  <c r="L74" i="71"/>
  <c r="L75" i="71" s="1"/>
  <c r="P83" i="71" s="1"/>
  <c r="BR69" i="71"/>
  <c r="BR100" i="71" s="1"/>
  <c r="K103" i="71"/>
  <c r="EY60" i="71"/>
  <c r="EX95" i="71"/>
  <c r="FD76" i="71"/>
  <c r="CV83" i="71"/>
  <c r="U103" i="71"/>
  <c r="BD100" i="71"/>
  <c r="BD97" i="71"/>
  <c r="DB68" i="71"/>
  <c r="DB69" i="71" s="1"/>
  <c r="AE102" i="71"/>
  <c r="DB99" i="71"/>
  <c r="DA98" i="71"/>
  <c r="DA82" i="71"/>
  <c r="L102" i="71"/>
  <c r="CW83" i="71"/>
  <c r="CZ98" i="71"/>
  <c r="CZ82" i="71"/>
  <c r="CZ72" i="71"/>
  <c r="DC79" i="71"/>
  <c r="DC97" i="71"/>
  <c r="DC99" i="71"/>
  <c r="EC108" i="71"/>
  <c r="E103" i="71"/>
  <c r="DD63" i="71"/>
  <c r="AW127" i="71"/>
  <c r="AW264" i="71" s="1"/>
  <c r="BM97" i="71"/>
  <c r="BQ97" i="71"/>
  <c r="EC122" i="71"/>
  <c r="EC65" i="71"/>
  <c r="EC97" i="71" s="1"/>
  <c r="AW263" i="71"/>
  <c r="AN65" i="71"/>
  <c r="AN69" i="71" s="1"/>
  <c r="AN99" i="71"/>
  <c r="S75" i="71"/>
  <c r="W83" i="71" s="1"/>
  <c r="AN122" i="71"/>
  <c r="AN79" i="71"/>
  <c r="AN130" i="71" s="1"/>
  <c r="AN108" i="71"/>
  <c r="AN115" i="71"/>
  <c r="EI99" i="71"/>
  <c r="D74" i="71"/>
  <c r="D103" i="71" s="1"/>
  <c r="BN97" i="71"/>
  <c r="D101" i="71"/>
  <c r="EI65" i="71"/>
  <c r="EI97" i="71" s="1"/>
  <c r="EI98" i="71"/>
  <c r="EI122" i="71"/>
  <c r="EI115" i="71"/>
  <c r="AY69" i="71"/>
  <c r="AY72" i="71" s="1"/>
  <c r="AY97" i="71"/>
  <c r="BG69" i="71"/>
  <c r="BG72" i="71" s="1"/>
  <c r="DQ102" i="71"/>
  <c r="BJ69" i="71"/>
  <c r="BJ72" i="71" s="1"/>
  <c r="EC115" i="71"/>
  <c r="DT74" i="71"/>
  <c r="DT241" i="71" s="1"/>
  <c r="DX75" i="71"/>
  <c r="DX240" i="71" s="1"/>
  <c r="DX103" i="71"/>
  <c r="BF97" i="71"/>
  <c r="DU74" i="71"/>
  <c r="DU75" i="71" s="1"/>
  <c r="DU240" i="71" s="1"/>
  <c r="DU101" i="71"/>
  <c r="DT102" i="71"/>
  <c r="EJ232" i="71"/>
  <c r="EJ234" i="71" s="1"/>
  <c r="EK109" i="71"/>
  <c r="BC69" i="71"/>
  <c r="BC100" i="71" s="1"/>
  <c r="EJ108" i="71"/>
  <c r="Y75" i="71"/>
  <c r="Y83" i="71" s="1"/>
  <c r="F101" i="71"/>
  <c r="F74" i="71"/>
  <c r="F103" i="71" s="1"/>
  <c r="EI108" i="71"/>
  <c r="EE99" i="71"/>
  <c r="EE108" i="71"/>
  <c r="P103" i="71"/>
  <c r="G103" i="71"/>
  <c r="AR115" i="71"/>
  <c r="BR187" i="71"/>
  <c r="AR99" i="71"/>
  <c r="AR122" i="71"/>
  <c r="BA263" i="71"/>
  <c r="AR79" i="71"/>
  <c r="AR130" i="71" s="1"/>
  <c r="AR145" i="71"/>
  <c r="AR98" i="71"/>
  <c r="EJ109" i="71"/>
  <c r="EJ111" i="71" s="1"/>
  <c r="AH69" i="71"/>
  <c r="AH100" i="71" s="1"/>
  <c r="AR65" i="71"/>
  <c r="Q83" i="71"/>
  <c r="DV241" i="71"/>
  <c r="AL98" i="71"/>
  <c r="AS69" i="71"/>
  <c r="AS97" i="71"/>
  <c r="AV72" i="71"/>
  <c r="AV101" i="71" s="1"/>
  <c r="ED99" i="71"/>
  <c r="EL65" i="71"/>
  <c r="EL69" i="71" s="1"/>
  <c r="DV75" i="71"/>
  <c r="DV240" i="71" s="1"/>
  <c r="AR108" i="71"/>
  <c r="AW97" i="71"/>
  <c r="AW69" i="71"/>
  <c r="AJ249" i="71"/>
  <c r="ED108" i="71"/>
  <c r="AL69" i="71"/>
  <c r="AL100" i="71" s="1"/>
  <c r="ED122" i="71"/>
  <c r="ED115" i="71"/>
  <c r="EE79" i="71"/>
  <c r="AL99" i="71"/>
  <c r="AL122" i="71"/>
  <c r="AL115" i="71"/>
  <c r="AL79" i="71"/>
  <c r="AL130" i="71" s="1"/>
  <c r="AL108" i="71"/>
  <c r="AV79" i="71"/>
  <c r="AV127" i="71" s="1"/>
  <c r="AV264" i="71" s="1"/>
  <c r="AG249" i="71"/>
  <c r="EF99" i="71"/>
  <c r="AG107" i="71"/>
  <c r="EE115" i="71"/>
  <c r="BU72" i="71"/>
  <c r="BU101" i="71" s="1"/>
  <c r="EE122" i="71"/>
  <c r="DQ101" i="71"/>
  <c r="EC79" i="71"/>
  <c r="EC98" i="71"/>
  <c r="EF108" i="71"/>
  <c r="EE98" i="71"/>
  <c r="EE65" i="71"/>
  <c r="EE69" i="71" s="1"/>
  <c r="BB100" i="71"/>
  <c r="EM232" i="71"/>
  <c r="DS75" i="71"/>
  <c r="DS240" i="71" s="1"/>
  <c r="AI98" i="71"/>
  <c r="AC97" i="71"/>
  <c r="ED79" i="71"/>
  <c r="DS103" i="71"/>
  <c r="AI108" i="71"/>
  <c r="BO97" i="71"/>
  <c r="BO69" i="71"/>
  <c r="EK227" i="71"/>
  <c r="EK232" i="71" s="1"/>
  <c r="EN122" i="71"/>
  <c r="EN108" i="71"/>
  <c r="K83" i="71"/>
  <c r="EM63" i="71"/>
  <c r="EM115" i="71" s="1"/>
  <c r="BI69" i="71"/>
  <c r="BI97" i="71"/>
  <c r="EF79" i="71"/>
  <c r="EF122" i="71"/>
  <c r="AJ79" i="71"/>
  <c r="AJ130" i="71" s="1"/>
  <c r="EJ97" i="71"/>
  <c r="AM69" i="71"/>
  <c r="EF98" i="71"/>
  <c r="EJ64" i="71"/>
  <c r="AA97" i="71"/>
  <c r="EF115" i="71"/>
  <c r="AF79" i="71"/>
  <c r="AF130" i="71" s="1"/>
  <c r="AP79" i="71"/>
  <c r="DZ101" i="71"/>
  <c r="DZ102" i="71"/>
  <c r="DZ74" i="71"/>
  <c r="V101" i="71"/>
  <c r="V74" i="71"/>
  <c r="V102" i="71"/>
  <c r="DY94" i="71"/>
  <c r="EJ69" i="71"/>
  <c r="EJ72" i="71" s="1"/>
  <c r="EJ101" i="71" s="1"/>
  <c r="EG79" i="71"/>
  <c r="EG65" i="71"/>
  <c r="EG69" i="71" s="1"/>
  <c r="EG99" i="71"/>
  <c r="EG98" i="71"/>
  <c r="EG122" i="71"/>
  <c r="EG115" i="71"/>
  <c r="T102" i="71"/>
  <c r="T74" i="71"/>
  <c r="T101" i="71"/>
  <c r="AJ107" i="71"/>
  <c r="BE97" i="71"/>
  <c r="BE69" i="71"/>
  <c r="AO97" i="71"/>
  <c r="AO69" i="71"/>
  <c r="AM79" i="71"/>
  <c r="AM130" i="71" s="1"/>
  <c r="AI99" i="71"/>
  <c r="EG105" i="71"/>
  <c r="EG227" i="71" s="1"/>
  <c r="EG232" i="71" s="1"/>
  <c r="BA72" i="71"/>
  <c r="BA102" i="71" s="1"/>
  <c r="EN227" i="71"/>
  <c r="AI122" i="71"/>
  <c r="EN109" i="71"/>
  <c r="AI79" i="71"/>
  <c r="AI130" i="71" s="1"/>
  <c r="EB74" i="71"/>
  <c r="EB101" i="71"/>
  <c r="EB102" i="71"/>
  <c r="AX72" i="71"/>
  <c r="AX100" i="71"/>
  <c r="AI115" i="71"/>
  <c r="W102" i="71"/>
  <c r="W101" i="71"/>
  <c r="N83" i="71"/>
  <c r="AH108" i="71"/>
  <c r="AK249" i="71"/>
  <c r="AO109" i="71"/>
  <c r="AK108" i="71"/>
  <c r="AH107" i="71"/>
  <c r="AM107" i="71"/>
  <c r="AM249" i="71"/>
  <c r="ED98" i="71"/>
  <c r="DP103" i="71"/>
  <c r="DP75" i="71"/>
  <c r="DP240" i="71" s="1"/>
  <c r="EH105" i="71"/>
  <c r="EH63" i="71"/>
  <c r="EQ4" i="71"/>
  <c r="EP85" i="71"/>
  <c r="AA100" i="71"/>
  <c r="AA72" i="71"/>
  <c r="AQ65" i="71"/>
  <c r="AQ122" i="71"/>
  <c r="AQ98" i="71"/>
  <c r="AQ262" i="71"/>
  <c r="AQ79" i="71"/>
  <c r="AQ115" i="71"/>
  <c r="AQ99" i="71"/>
  <c r="AQ145" i="71"/>
  <c r="AQ109" i="71"/>
  <c r="AQ108" i="71"/>
  <c r="AF99" i="71"/>
  <c r="AF122" i="71"/>
  <c r="AF65" i="71"/>
  <c r="AF108" i="71"/>
  <c r="AF98" i="71"/>
  <c r="AD69" i="71"/>
  <c r="AD97" i="71"/>
  <c r="AT69" i="71"/>
  <c r="AT97" i="71"/>
  <c r="BK99" i="71"/>
  <c r="BK65" i="71"/>
  <c r="BK98" i="71"/>
  <c r="BK145" i="71"/>
  <c r="BK79" i="71"/>
  <c r="BO79" i="71"/>
  <c r="AP69" i="71"/>
  <c r="AP97" i="71"/>
  <c r="I103" i="71"/>
  <c r="I75" i="71"/>
  <c r="M83" i="71" s="1"/>
  <c r="X103" i="71"/>
  <c r="X75" i="71"/>
  <c r="DP241" i="71"/>
  <c r="BK108" i="71"/>
  <c r="EP86" i="71"/>
  <c r="BT97" i="71"/>
  <c r="BT69" i="71"/>
  <c r="BQ100" i="71"/>
  <c r="BQ72" i="71"/>
  <c r="AU108" i="71"/>
  <c r="AU249" i="71"/>
  <c r="AU109" i="71"/>
  <c r="AY109" i="71"/>
  <c r="AU65" i="71"/>
  <c r="AU99" i="71"/>
  <c r="AU98" i="71"/>
  <c r="AU115" i="71"/>
  <c r="AU262" i="71"/>
  <c r="AU145" i="71"/>
  <c r="AU122" i="71"/>
  <c r="AY79" i="71"/>
  <c r="AY130" i="71" s="1"/>
  <c r="AU79" i="71"/>
  <c r="AU130" i="71" s="1"/>
  <c r="BD102" i="71"/>
  <c r="BD101" i="71"/>
  <c r="BD74" i="71"/>
  <c r="DW102" i="71"/>
  <c r="DW74" i="71"/>
  <c r="DW101" i="71"/>
  <c r="BP97" i="71"/>
  <c r="BP69" i="71"/>
  <c r="C75" i="71"/>
  <c r="C103" i="71"/>
  <c r="W103" i="71"/>
  <c r="DQ241" i="71"/>
  <c r="DQ103" i="71"/>
  <c r="DQ75" i="71"/>
  <c r="BH97" i="71"/>
  <c r="BH69" i="71"/>
  <c r="AI69" i="71"/>
  <c r="AI97" i="71"/>
  <c r="DY74" i="71"/>
  <c r="DY102" i="71"/>
  <c r="DY101" i="71"/>
  <c r="BM72" i="71"/>
  <c r="BM100" i="71"/>
  <c r="BF187" i="71"/>
  <c r="BF220" i="71"/>
  <c r="AK69" i="71"/>
  <c r="AK97" i="71"/>
  <c r="EO65" i="71"/>
  <c r="EO64" i="71" s="1"/>
  <c r="EO79" i="71"/>
  <c r="EO66" i="71"/>
  <c r="EO82" i="71" s="1"/>
  <c r="EO122" i="71"/>
  <c r="BN72" i="71"/>
  <c r="BN100" i="71"/>
  <c r="BL97" i="71"/>
  <c r="BL69" i="71"/>
  <c r="BB74" i="71"/>
  <c r="BB102" i="71"/>
  <c r="BB101" i="71"/>
  <c r="EL227" i="71"/>
  <c r="EL232" i="71" s="1"/>
  <c r="EL108" i="71"/>
  <c r="EM109" i="71"/>
  <c r="EL109" i="71"/>
  <c r="BS97" i="71"/>
  <c r="BS69" i="71"/>
  <c r="EA103" i="71"/>
  <c r="EA75" i="71"/>
  <c r="EA241" i="71"/>
  <c r="BF72" i="71"/>
  <c r="BF100" i="71"/>
  <c r="EL79" i="71"/>
  <c r="EL122" i="71"/>
  <c r="EL115" i="71"/>
  <c r="BX79" i="71"/>
  <c r="BX72" i="71"/>
  <c r="EF233" i="71"/>
  <c r="EF234" i="71" s="1"/>
  <c r="EF69" i="71"/>
  <c r="EF97" i="71"/>
  <c r="Z101" i="71"/>
  <c r="Z102" i="71"/>
  <c r="Z74" i="71"/>
  <c r="BZ79" i="71"/>
  <c r="EK233" i="71"/>
  <c r="EK97" i="71"/>
  <c r="EK69" i="71"/>
  <c r="BW79" i="71"/>
  <c r="EN229" i="71"/>
  <c r="EN115" i="71"/>
  <c r="O83" i="71"/>
  <c r="AG69" i="71"/>
  <c r="AG97" i="71"/>
  <c r="AB97" i="71"/>
  <c r="AB69" i="71"/>
  <c r="EP56" i="71"/>
  <c r="EP63" i="71" s="1"/>
  <c r="EP99" i="71" s="1"/>
  <c r="EO112" i="71"/>
  <c r="EO227" i="71"/>
  <c r="EO109" i="71"/>
  <c r="EO108" i="71"/>
  <c r="EN69" i="71"/>
  <c r="EN233" i="71"/>
  <c r="EN97" i="71"/>
  <c r="AC72" i="71"/>
  <c r="AC100" i="71"/>
  <c r="R75" i="71"/>
  <c r="R103" i="71"/>
  <c r="EQ3" i="71"/>
  <c r="EP84" i="71"/>
  <c r="EP105" i="71"/>
  <c r="U83" i="71"/>
  <c r="DR241" i="71"/>
  <c r="DR75" i="71"/>
  <c r="DR103" i="71"/>
  <c r="CC79" i="71"/>
  <c r="ED97" i="71"/>
  <c r="ED233" i="71"/>
  <c r="ED234" i="71" s="1"/>
  <c r="ED69" i="71"/>
  <c r="AJ69" i="71"/>
  <c r="AJ97" i="71"/>
  <c r="FA31" i="71" l="1"/>
  <c r="FB31" i="71" s="1"/>
  <c r="FC31" i="71" s="1"/>
  <c r="FD31" i="71" s="1"/>
  <c r="FE31" i="71" s="1"/>
  <c r="FF31" i="71" s="1"/>
  <c r="FG31" i="71" s="1"/>
  <c r="FH31" i="71" s="1"/>
  <c r="FI31" i="71" s="1"/>
  <c r="FJ31" i="71" s="1"/>
  <c r="DD65" i="71"/>
  <c r="CU72" i="71"/>
  <c r="CU74" i="71" s="1"/>
  <c r="CU75" i="71" s="1"/>
  <c r="FI37" i="71"/>
  <c r="CY83" i="71"/>
  <c r="L83" i="71"/>
  <c r="L103" i="71"/>
  <c r="BR72" i="71"/>
  <c r="BR101" i="71" s="1"/>
  <c r="AE103" i="71"/>
  <c r="N69" i="42"/>
  <c r="O66" i="42"/>
  <c r="AB69" i="42"/>
  <c r="N67" i="42"/>
  <c r="M65" i="42"/>
  <c r="AB65" i="42" s="1"/>
  <c r="M70" i="42"/>
  <c r="AB70" i="42" s="1"/>
  <c r="CU83" i="71"/>
  <c r="BJ100" i="71"/>
  <c r="S83" i="71"/>
  <c r="AH72" i="71"/>
  <c r="AH74" i="71" s="1"/>
  <c r="DB82" i="71"/>
  <c r="DB98" i="71"/>
  <c r="EY95" i="71"/>
  <c r="EZ60" i="71"/>
  <c r="FE76" i="71"/>
  <c r="FF76" i="71" s="1"/>
  <c r="FG76" i="71" s="1"/>
  <c r="FH76" i="71" s="1"/>
  <c r="FI76" i="71" s="1"/>
  <c r="FJ76" i="71" s="1"/>
  <c r="EC233" i="71"/>
  <c r="EC234" i="71" s="1"/>
  <c r="AN97" i="71"/>
  <c r="CZ74" i="71"/>
  <c r="CZ190" i="71" s="1"/>
  <c r="CZ100" i="71"/>
  <c r="DC98" i="71"/>
  <c r="DC82" i="71"/>
  <c r="DC68" i="71"/>
  <c r="DC69" i="71" s="1"/>
  <c r="DD79" i="71"/>
  <c r="DD99" i="71"/>
  <c r="DD97" i="71"/>
  <c r="DA100" i="71"/>
  <c r="DA72" i="71"/>
  <c r="DB100" i="71"/>
  <c r="DB72" i="71"/>
  <c r="DD89" i="71"/>
  <c r="EC69" i="71"/>
  <c r="EC100" i="71" s="1"/>
  <c r="DE63" i="71"/>
  <c r="AY100" i="71"/>
  <c r="D75" i="71"/>
  <c r="H83" i="71" s="1"/>
  <c r="EI69" i="71"/>
  <c r="EI100" i="71" s="1"/>
  <c r="EI233" i="71"/>
  <c r="EI234" i="71" s="1"/>
  <c r="DU241" i="71"/>
  <c r="BG100" i="71"/>
  <c r="DU103" i="71"/>
  <c r="F75" i="71"/>
  <c r="J83" i="71" s="1"/>
  <c r="AL72" i="71"/>
  <c r="AL102" i="71" s="1"/>
  <c r="BC72" i="71"/>
  <c r="BC101" i="71" s="1"/>
  <c r="EH109" i="71"/>
  <c r="AV74" i="71"/>
  <c r="AV103" i="71" s="1"/>
  <c r="AV102" i="71"/>
  <c r="DT103" i="71"/>
  <c r="EG108" i="71"/>
  <c r="DT75" i="71"/>
  <c r="DT83" i="71" s="1"/>
  <c r="BU102" i="71"/>
  <c r="EM122" i="71"/>
  <c r="AV130" i="71"/>
  <c r="EM79" i="71"/>
  <c r="EM108" i="71"/>
  <c r="EM65" i="71"/>
  <c r="EM233" i="71" s="1"/>
  <c r="EM234" i="71" s="1"/>
  <c r="AR97" i="71"/>
  <c r="AR69" i="71"/>
  <c r="EL64" i="71"/>
  <c r="AW100" i="71"/>
  <c r="AW72" i="71"/>
  <c r="AS100" i="71"/>
  <c r="AS72" i="71"/>
  <c r="EL97" i="71"/>
  <c r="EL233" i="71"/>
  <c r="EL234" i="71" s="1"/>
  <c r="BA101" i="71"/>
  <c r="BA74" i="71"/>
  <c r="BA75" i="71" s="1"/>
  <c r="EN79" i="71"/>
  <c r="EG109" i="71"/>
  <c r="EE233" i="71"/>
  <c r="EE234" i="71" s="1"/>
  <c r="EE97" i="71"/>
  <c r="EK234" i="71"/>
  <c r="BO100" i="71"/>
  <c r="BO72" i="71"/>
  <c r="EJ74" i="71"/>
  <c r="EJ75" i="71" s="1"/>
  <c r="EJ102" i="71"/>
  <c r="BI100" i="71"/>
  <c r="BI72" i="71"/>
  <c r="EG233" i="71"/>
  <c r="EG234" i="71" s="1"/>
  <c r="AM100" i="71"/>
  <c r="AM72" i="71"/>
  <c r="EG97" i="71"/>
  <c r="V103" i="71"/>
  <c r="V75" i="71"/>
  <c r="V83" i="71" s="1"/>
  <c r="DV83" i="71"/>
  <c r="DZ103" i="71"/>
  <c r="DZ75" i="71"/>
  <c r="DZ240" i="71" s="1"/>
  <c r="DZ241" i="71"/>
  <c r="EJ100" i="71"/>
  <c r="AX74" i="71"/>
  <c r="AX101" i="71"/>
  <c r="AX102" i="71"/>
  <c r="AY102" i="71"/>
  <c r="AY101" i="71"/>
  <c r="AY74" i="71"/>
  <c r="T75" i="71"/>
  <c r="T83" i="71" s="1"/>
  <c r="T103" i="71"/>
  <c r="EB75" i="71"/>
  <c r="EB240" i="71" s="1"/>
  <c r="EB103" i="71"/>
  <c r="EB241" i="71"/>
  <c r="BE100" i="71"/>
  <c r="BE72" i="71"/>
  <c r="AO72" i="71"/>
  <c r="AO100" i="71"/>
  <c r="EN232" i="71"/>
  <c r="EN234" i="71" s="1"/>
  <c r="BK69" i="71"/>
  <c r="BK97" i="71"/>
  <c r="AA74" i="71"/>
  <c r="AA102" i="71"/>
  <c r="AA101" i="71"/>
  <c r="AQ69" i="71"/>
  <c r="AQ97" i="71"/>
  <c r="AT100" i="71"/>
  <c r="AT72" i="71"/>
  <c r="EQ85" i="71"/>
  <c r="EH98" i="71"/>
  <c r="EH65" i="71"/>
  <c r="EH122" i="71"/>
  <c r="EH115" i="71"/>
  <c r="EH99" i="71"/>
  <c r="EH79" i="71"/>
  <c r="EI79" i="71"/>
  <c r="EH227" i="71"/>
  <c r="EH232" i="71" s="1"/>
  <c r="EH108" i="71"/>
  <c r="EI109" i="71"/>
  <c r="AF97" i="71"/>
  <c r="AF69" i="71"/>
  <c r="AP72" i="71"/>
  <c r="AP100" i="71"/>
  <c r="AD100" i="71"/>
  <c r="AD72" i="71"/>
  <c r="I83" i="71"/>
  <c r="BJ101" i="71"/>
  <c r="BJ74" i="71"/>
  <c r="BJ102" i="71"/>
  <c r="AU97" i="71"/>
  <c r="AU69" i="71"/>
  <c r="AK100" i="71"/>
  <c r="AK72" i="71"/>
  <c r="BH72" i="71"/>
  <c r="BH100" i="71"/>
  <c r="DQ83" i="71"/>
  <c r="DQ240" i="71"/>
  <c r="BV100" i="71"/>
  <c r="BV72" i="71"/>
  <c r="BM101" i="71"/>
  <c r="BM102" i="71"/>
  <c r="BM74" i="71"/>
  <c r="DY241" i="71"/>
  <c r="DY103" i="71"/>
  <c r="DY75" i="71"/>
  <c r="BP72" i="71"/>
  <c r="BP100" i="71"/>
  <c r="EQ86" i="71"/>
  <c r="AI72" i="71"/>
  <c r="AI100" i="71"/>
  <c r="BQ102" i="71"/>
  <c r="BQ74" i="71"/>
  <c r="BQ101" i="71"/>
  <c r="AY263" i="71"/>
  <c r="AU263" i="71"/>
  <c r="BD178" i="71"/>
  <c r="BD75" i="71"/>
  <c r="BD83" i="71" s="1"/>
  <c r="BD190" i="71"/>
  <c r="BD103" i="71"/>
  <c r="DW103" i="71"/>
  <c r="DW75" i="71"/>
  <c r="DW241" i="71"/>
  <c r="BT72" i="71"/>
  <c r="BT100" i="71"/>
  <c r="R83" i="71"/>
  <c r="EA240" i="71"/>
  <c r="BX74" i="71"/>
  <c r="BX75" i="71" s="1"/>
  <c r="CB83" i="71" s="1"/>
  <c r="BG102" i="71"/>
  <c r="BG74" i="71"/>
  <c r="BG101" i="71"/>
  <c r="EL72" i="71"/>
  <c r="EL100" i="71"/>
  <c r="EE100" i="71"/>
  <c r="EE72" i="71"/>
  <c r="BY72" i="71"/>
  <c r="BY79" i="71"/>
  <c r="EN100" i="71"/>
  <c r="EN72" i="71"/>
  <c r="BS100" i="71"/>
  <c r="BS72" i="71"/>
  <c r="Z75" i="71"/>
  <c r="Z103" i="71"/>
  <c r="EK72" i="71"/>
  <c r="EK100" i="71"/>
  <c r="BL72" i="71"/>
  <c r="BL100" i="71"/>
  <c r="AB72" i="71"/>
  <c r="AB100" i="71"/>
  <c r="AG100" i="71"/>
  <c r="AG72" i="71"/>
  <c r="DS83" i="71"/>
  <c r="DR240" i="71"/>
  <c r="DR83" i="71"/>
  <c r="BW74" i="71"/>
  <c r="BW75" i="71" s="1"/>
  <c r="CA83" i="71" s="1"/>
  <c r="EP65" i="71"/>
  <c r="EP79" i="71"/>
  <c r="EP122" i="71"/>
  <c r="ED100" i="71"/>
  <c r="ED72" i="71"/>
  <c r="EQ84" i="71"/>
  <c r="EQ105" i="71"/>
  <c r="BN102" i="71"/>
  <c r="BN74" i="71"/>
  <c r="BN101" i="71"/>
  <c r="BB190" i="71"/>
  <c r="BB75" i="71"/>
  <c r="BB103" i="71"/>
  <c r="BB178" i="71"/>
  <c r="EO115" i="71"/>
  <c r="EO229" i="71"/>
  <c r="EO232" i="71" s="1"/>
  <c r="EG100" i="71"/>
  <c r="EG72" i="71"/>
  <c r="BZ74" i="71"/>
  <c r="BZ75" i="71" s="1"/>
  <c r="CD83" i="71" s="1"/>
  <c r="BF102" i="71"/>
  <c r="BF101" i="71"/>
  <c r="BF74" i="71"/>
  <c r="EO233" i="71"/>
  <c r="EO69" i="71"/>
  <c r="EO97" i="71"/>
  <c r="EP227" i="71"/>
  <c r="EP109" i="71"/>
  <c r="EP108" i="71"/>
  <c r="AJ72" i="71"/>
  <c r="AJ100" i="71"/>
  <c r="AC74" i="71"/>
  <c r="AC101" i="71"/>
  <c r="AC102" i="71"/>
  <c r="EQ56" i="71"/>
  <c r="EP112" i="71"/>
  <c r="AN100" i="71"/>
  <c r="AN72" i="71"/>
  <c r="EF100" i="71"/>
  <c r="EF72" i="71"/>
  <c r="BR73" i="71" l="1"/>
  <c r="BR74" i="71" s="1"/>
  <c r="BR178" i="71" s="1"/>
  <c r="DE65" i="71"/>
  <c r="DE69" i="71" s="1"/>
  <c r="FJ37" i="71"/>
  <c r="EX7" i="71"/>
  <c r="AH102" i="71"/>
  <c r="AH101" i="71"/>
  <c r="N65" i="42"/>
  <c r="AC65" i="42" s="1"/>
  <c r="O67" i="42"/>
  <c r="N70" i="42"/>
  <c r="AC70" i="42" s="1"/>
  <c r="M68" i="42"/>
  <c r="AB68" i="42" s="1"/>
  <c r="P66" i="42"/>
  <c r="P69" i="42" s="1"/>
  <c r="O69" i="42"/>
  <c r="AC69" i="42"/>
  <c r="N68" i="42"/>
  <c r="AC68" i="42" s="1"/>
  <c r="EC72" i="71"/>
  <c r="EC73" i="71" s="1"/>
  <c r="EC102" i="71" s="1"/>
  <c r="CZ75" i="71"/>
  <c r="CZ83" i="71" s="1"/>
  <c r="EP64" i="71"/>
  <c r="EP97" i="71"/>
  <c r="EZ95" i="71"/>
  <c r="FA60" i="71"/>
  <c r="BR75" i="71"/>
  <c r="DD98" i="71"/>
  <c r="DD82" i="71"/>
  <c r="DD68" i="71"/>
  <c r="DD69" i="71" s="1"/>
  <c r="DE79" i="71"/>
  <c r="DE99" i="71"/>
  <c r="DC100" i="71"/>
  <c r="DC72" i="71"/>
  <c r="DB74" i="71"/>
  <c r="EI72" i="71"/>
  <c r="EI101" i="71" s="1"/>
  <c r="DA74" i="71"/>
  <c r="DF89" i="71"/>
  <c r="DE89" i="71"/>
  <c r="BR103" i="71"/>
  <c r="BR102" i="71"/>
  <c r="BC74" i="71"/>
  <c r="BC190" i="71" s="1"/>
  <c r="AV75" i="71"/>
  <c r="AZ83" i="71" s="1"/>
  <c r="BC102" i="71"/>
  <c r="AL101" i="71"/>
  <c r="AV190" i="71"/>
  <c r="AV178" i="71"/>
  <c r="AL74" i="71"/>
  <c r="AL75" i="71" s="1"/>
  <c r="EJ103" i="71"/>
  <c r="EJ241" i="71"/>
  <c r="BU74" i="71"/>
  <c r="BU103" i="71" s="1"/>
  <c r="DU83" i="71"/>
  <c r="EM97" i="71"/>
  <c r="EM69" i="71"/>
  <c r="EM100" i="71" s="1"/>
  <c r="DT240" i="71"/>
  <c r="EJ177" i="71"/>
  <c r="BA103" i="71"/>
  <c r="BA190" i="71"/>
  <c r="BA178" i="71"/>
  <c r="AR100" i="71"/>
  <c r="AR72" i="71"/>
  <c r="AS101" i="71"/>
  <c r="AS73" i="71"/>
  <c r="AS102" i="71" s="1"/>
  <c r="AW74" i="71"/>
  <c r="AW101" i="71"/>
  <c r="AW102" i="71"/>
  <c r="BI102" i="71"/>
  <c r="BI101" i="71"/>
  <c r="BI74" i="71"/>
  <c r="BO74" i="71"/>
  <c r="BO101" i="71"/>
  <c r="BO102" i="71"/>
  <c r="AM101" i="71"/>
  <c r="AM74" i="71"/>
  <c r="AM102" i="71"/>
  <c r="EA83" i="71"/>
  <c r="EB83" i="71"/>
  <c r="AY178" i="71"/>
  <c r="AY75" i="71"/>
  <c r="AY103" i="71"/>
  <c r="AY190" i="71"/>
  <c r="AO74" i="71"/>
  <c r="AO101" i="71"/>
  <c r="AO102" i="71"/>
  <c r="X83" i="71"/>
  <c r="BE101" i="71"/>
  <c r="BE74" i="71"/>
  <c r="BE102" i="71"/>
  <c r="AX75" i="71"/>
  <c r="BB83" i="71" s="1"/>
  <c r="AX103" i="71"/>
  <c r="AX178" i="71"/>
  <c r="AX190" i="71"/>
  <c r="EO234" i="71"/>
  <c r="AP73" i="71"/>
  <c r="AP101" i="71"/>
  <c r="AD74" i="71"/>
  <c r="AD102" i="71"/>
  <c r="AD101" i="71"/>
  <c r="AF100" i="71"/>
  <c r="AF72" i="71"/>
  <c r="AQ100" i="71"/>
  <c r="AQ72" i="71"/>
  <c r="EH97" i="71"/>
  <c r="EH69" i="71"/>
  <c r="EH233" i="71"/>
  <c r="EH234" i="71" s="1"/>
  <c r="ER85" i="71"/>
  <c r="AA103" i="71"/>
  <c r="AA75" i="71"/>
  <c r="AT73" i="71"/>
  <c r="AT101" i="71"/>
  <c r="BK100" i="71"/>
  <c r="BK72" i="71"/>
  <c r="AI102" i="71"/>
  <c r="AI74" i="71"/>
  <c r="AI101" i="71"/>
  <c r="BM103" i="71"/>
  <c r="BM190" i="71"/>
  <c r="BM75" i="71"/>
  <c r="BM178" i="71"/>
  <c r="ER86" i="71"/>
  <c r="BT102" i="71"/>
  <c r="BT101" i="71"/>
  <c r="BT74" i="71"/>
  <c r="BV102" i="71"/>
  <c r="BV101" i="71"/>
  <c r="BH101" i="71"/>
  <c r="BH74" i="71"/>
  <c r="BH102" i="71"/>
  <c r="BP101" i="71"/>
  <c r="BP74" i="71"/>
  <c r="BP102" i="71"/>
  <c r="AK101" i="71"/>
  <c r="AK102" i="71"/>
  <c r="AK74" i="71"/>
  <c r="DW83" i="71"/>
  <c r="DW240" i="71"/>
  <c r="DX83" i="71"/>
  <c r="DZ83" i="71"/>
  <c r="DY240" i="71"/>
  <c r="DY83" i="71"/>
  <c r="AU72" i="71"/>
  <c r="AU100" i="71"/>
  <c r="BQ178" i="71"/>
  <c r="BQ103" i="71"/>
  <c r="BQ75" i="71"/>
  <c r="BQ190" i="71"/>
  <c r="BJ103" i="71"/>
  <c r="BJ178" i="71"/>
  <c r="BJ75" i="71"/>
  <c r="BJ190" i="71"/>
  <c r="EF102" i="71"/>
  <c r="EF74" i="71"/>
  <c r="EF101" i="71"/>
  <c r="EK101" i="71"/>
  <c r="EK74" i="71"/>
  <c r="EK102" i="71"/>
  <c r="EE101" i="71"/>
  <c r="EE74" i="71"/>
  <c r="EE102" i="71"/>
  <c r="EG73" i="71"/>
  <c r="EG102" i="71" s="1"/>
  <c r="EG101" i="71"/>
  <c r="AG74" i="71"/>
  <c r="AG101" i="71"/>
  <c r="AG102" i="71"/>
  <c r="EL101" i="71"/>
  <c r="EL74" i="71"/>
  <c r="EL102" i="71"/>
  <c r="EM102" i="71" s="1"/>
  <c r="EN102" i="71" s="1"/>
  <c r="EO102" i="71" s="1"/>
  <c r="EN101" i="71"/>
  <c r="Z83" i="71"/>
  <c r="EP115" i="71"/>
  <c r="EP229" i="71"/>
  <c r="EP232" i="71" s="1"/>
  <c r="EX56" i="71"/>
  <c r="EY56" i="71" s="1"/>
  <c r="EZ56" i="71" s="1"/>
  <c r="FA56" i="71" s="1"/>
  <c r="FB56" i="71" s="1"/>
  <c r="FC56" i="71" s="1"/>
  <c r="FD56" i="71" s="1"/>
  <c r="FE56" i="71" s="1"/>
  <c r="FF56" i="71" s="1"/>
  <c r="FG56" i="71" s="1"/>
  <c r="FH56" i="71" s="1"/>
  <c r="FI56" i="71" s="1"/>
  <c r="FJ56" i="71" s="1"/>
  <c r="EQ112" i="71"/>
  <c r="EQ229" i="71" s="1"/>
  <c r="BN75" i="71"/>
  <c r="BN103" i="71"/>
  <c r="BN178" i="71"/>
  <c r="BN190" i="71"/>
  <c r="EP233" i="71"/>
  <c r="BG190" i="71"/>
  <c r="BG178" i="71"/>
  <c r="BG75" i="71"/>
  <c r="BG103" i="71"/>
  <c r="AB102" i="71"/>
  <c r="AB101" i="71"/>
  <c r="AB74" i="71"/>
  <c r="BY74" i="71"/>
  <c r="BY75" i="71" s="1"/>
  <c r="CC83" i="71" s="1"/>
  <c r="EQ109" i="71"/>
  <c r="EQ227" i="71"/>
  <c r="EQ63" i="71"/>
  <c r="EQ99" i="71" s="1"/>
  <c r="EJ240" i="71"/>
  <c r="EO100" i="71"/>
  <c r="BF103" i="71"/>
  <c r="BF75" i="71"/>
  <c r="BF178" i="71"/>
  <c r="BF190" i="71"/>
  <c r="AH75" i="71"/>
  <c r="AH103" i="71"/>
  <c r="AJ101" i="71"/>
  <c r="AJ74" i="71"/>
  <c r="AJ102" i="71"/>
  <c r="ER84" i="71"/>
  <c r="BL74" i="71"/>
  <c r="BL101" i="71"/>
  <c r="BL102" i="71"/>
  <c r="BS102" i="71"/>
  <c r="BS101" i="71"/>
  <c r="BS74" i="71"/>
  <c r="AN101" i="71"/>
  <c r="AN102" i="71"/>
  <c r="AN74" i="71"/>
  <c r="AC103" i="71"/>
  <c r="AC75" i="71"/>
  <c r="AC83" i="71" s="1"/>
  <c r="ED101" i="71"/>
  <c r="ED102" i="71"/>
  <c r="ED74" i="71"/>
  <c r="BR190" i="71" l="1"/>
  <c r="EN73" i="71"/>
  <c r="EN74" i="71" s="1"/>
  <c r="EN103" i="71" s="1"/>
  <c r="DE97" i="71"/>
  <c r="DB75" i="71"/>
  <c r="DB83" i="71" s="1"/>
  <c r="DB190" i="71"/>
  <c r="EC101" i="71"/>
  <c r="DA75" i="71"/>
  <c r="DA83" i="71" s="1"/>
  <c r="DA190" i="71"/>
  <c r="BR83" i="71"/>
  <c r="AE69" i="42"/>
  <c r="P67" i="42"/>
  <c r="O65" i="42"/>
  <c r="AD65" i="42" s="1"/>
  <c r="O70" i="42"/>
  <c r="AD70" i="42" s="1"/>
  <c r="AD69" i="42"/>
  <c r="EI102" i="71"/>
  <c r="EI74" i="71"/>
  <c r="EI75" i="71" s="1"/>
  <c r="FA95" i="71"/>
  <c r="FB60" i="71"/>
  <c r="BC75" i="71"/>
  <c r="BC83" i="71" s="1"/>
  <c r="BC178" i="71"/>
  <c r="DE82" i="71"/>
  <c r="DE98" i="71"/>
  <c r="DD100" i="71"/>
  <c r="DD72" i="71"/>
  <c r="BC103" i="71"/>
  <c r="DC74" i="71"/>
  <c r="DF63" i="71"/>
  <c r="DF65" i="71" s="1"/>
  <c r="AL103" i="71"/>
  <c r="BU75" i="71"/>
  <c r="BY83" i="71" s="1"/>
  <c r="EM72" i="71"/>
  <c r="EM74" i="71" s="1"/>
  <c r="AS74" i="71"/>
  <c r="AS178" i="71" s="1"/>
  <c r="AR74" i="71"/>
  <c r="AR101" i="71"/>
  <c r="AR102" i="71"/>
  <c r="AW75" i="71"/>
  <c r="AW103" i="71"/>
  <c r="AW178" i="71"/>
  <c r="AW190" i="71"/>
  <c r="BO103" i="71"/>
  <c r="BO190" i="71"/>
  <c r="BO178" i="71"/>
  <c r="BO75" i="71"/>
  <c r="BI75" i="71"/>
  <c r="BM83" i="71" s="1"/>
  <c r="BI178" i="71"/>
  <c r="BI103" i="71"/>
  <c r="BI190" i="71"/>
  <c r="AM75" i="71"/>
  <c r="AM103" i="71"/>
  <c r="AM178" i="71"/>
  <c r="EP234" i="71"/>
  <c r="AO103" i="71"/>
  <c r="AO75" i="71"/>
  <c r="BV74" i="71"/>
  <c r="BV103" i="71" s="1"/>
  <c r="BE178" i="71"/>
  <c r="BE75" i="71"/>
  <c r="BE190" i="71"/>
  <c r="BE103" i="71"/>
  <c r="ER63" i="71"/>
  <c r="AA83" i="71"/>
  <c r="AE83" i="71"/>
  <c r="EH72" i="71"/>
  <c r="EH100" i="71"/>
  <c r="ES85" i="71"/>
  <c r="AF74" i="71"/>
  <c r="AF102" i="71"/>
  <c r="AF101" i="71"/>
  <c r="AQ101" i="71"/>
  <c r="AQ74" i="71"/>
  <c r="AQ102" i="71"/>
  <c r="BK74" i="71"/>
  <c r="BK101" i="71"/>
  <c r="BK102" i="71"/>
  <c r="AD75" i="71"/>
  <c r="AD83" i="71" s="1"/>
  <c r="AD103" i="71"/>
  <c r="BQ83" i="71"/>
  <c r="AT74" i="71"/>
  <c r="EH73" i="71"/>
  <c r="AT102" i="71"/>
  <c r="AP74" i="71"/>
  <c r="AP102" i="71"/>
  <c r="AU101" i="71"/>
  <c r="AU102" i="71"/>
  <c r="AU74" i="71"/>
  <c r="ES86" i="71"/>
  <c r="BH103" i="71"/>
  <c r="BH75" i="71"/>
  <c r="BH83" i="71" s="1"/>
  <c r="BH190" i="71"/>
  <c r="BH178" i="71"/>
  <c r="BN83" i="71"/>
  <c r="EQ232" i="71"/>
  <c r="AK75" i="71"/>
  <c r="AK103" i="71"/>
  <c r="BT75" i="71"/>
  <c r="BT103" i="71"/>
  <c r="AI103" i="71"/>
  <c r="AI75" i="71"/>
  <c r="BP190" i="71"/>
  <c r="BP75" i="71"/>
  <c r="BP178" i="71"/>
  <c r="BP103" i="71"/>
  <c r="BL103" i="71"/>
  <c r="BL75" i="71"/>
  <c r="BL190" i="71"/>
  <c r="BL178" i="71"/>
  <c r="BF83" i="71"/>
  <c r="BJ83" i="71"/>
  <c r="AB103" i="71"/>
  <c r="AB75" i="71"/>
  <c r="EQ65" i="71"/>
  <c r="EQ79" i="71"/>
  <c r="EK241" i="71"/>
  <c r="EK103" i="71"/>
  <c r="EK75" i="71"/>
  <c r="EK148" i="71"/>
  <c r="AN75" i="71"/>
  <c r="AN103" i="71"/>
  <c r="ES84" i="71"/>
  <c r="ES63" i="71"/>
  <c r="BS75" i="71"/>
  <c r="BS103" i="71"/>
  <c r="ED241" i="71"/>
  <c r="ED103" i="71"/>
  <c r="ED75" i="71"/>
  <c r="EC74" i="71"/>
  <c r="AG75" i="71"/>
  <c r="AG103" i="71"/>
  <c r="EL75" i="71"/>
  <c r="EL103" i="71"/>
  <c r="EF103" i="71"/>
  <c r="EF75" i="71"/>
  <c r="EF241" i="71"/>
  <c r="EF77" i="71"/>
  <c r="AJ103" i="71"/>
  <c r="AJ75" i="71"/>
  <c r="EE241" i="71"/>
  <c r="EE75" i="71"/>
  <c r="EE103" i="71"/>
  <c r="AL83" i="71"/>
  <c r="EQ108" i="71"/>
  <c r="EG74" i="71"/>
  <c r="EN75" i="71" l="1"/>
  <c r="DH99" i="71"/>
  <c r="DH98" i="71"/>
  <c r="DH79" i="71"/>
  <c r="DJ7" i="71"/>
  <c r="DK7" i="71" s="1"/>
  <c r="DI63" i="71"/>
  <c r="DC75" i="71"/>
  <c r="DC190" i="71"/>
  <c r="ES99" i="71"/>
  <c r="ES65" i="71"/>
  <c r="ES97" i="71" s="1"/>
  <c r="EI241" i="71"/>
  <c r="EI103" i="71"/>
  <c r="P65" i="42"/>
  <c r="AE65" i="42" s="1"/>
  <c r="P70" i="42"/>
  <c r="O68" i="42"/>
  <c r="AD68" i="42" s="1"/>
  <c r="EQ64" i="71"/>
  <c r="EQ97" i="71"/>
  <c r="ER65" i="71"/>
  <c r="ER97" i="71" s="1"/>
  <c r="ER99" i="71"/>
  <c r="BV75" i="71"/>
  <c r="BV83" i="71" s="1"/>
  <c r="FB95" i="71"/>
  <c r="FC60" i="71"/>
  <c r="BG83" i="71"/>
  <c r="DF79" i="71"/>
  <c r="DF99" i="71"/>
  <c r="DJ82" i="71"/>
  <c r="DF97" i="71"/>
  <c r="DD74" i="71"/>
  <c r="DD190" i="71" s="1"/>
  <c r="DE100" i="71"/>
  <c r="DE72" i="71"/>
  <c r="BU83" i="71"/>
  <c r="EM101" i="71"/>
  <c r="AS190" i="71"/>
  <c r="AS103" i="71"/>
  <c r="AS75" i="71"/>
  <c r="AS83" i="71" s="1"/>
  <c r="AR178" i="71"/>
  <c r="AR190" i="71"/>
  <c r="AR103" i="71"/>
  <c r="AR75" i="71"/>
  <c r="AV83" i="71" s="1"/>
  <c r="BA83" i="71"/>
  <c r="AO83" i="71"/>
  <c r="BI83" i="71"/>
  <c r="BE83" i="71"/>
  <c r="EH102" i="71"/>
  <c r="ER79" i="71"/>
  <c r="AQ190" i="71"/>
  <c r="AQ75" i="71"/>
  <c r="AQ83" i="71" s="1"/>
  <c r="AQ178" i="71"/>
  <c r="AQ103" i="71"/>
  <c r="AT190" i="71"/>
  <c r="AT103" i="71"/>
  <c r="AT75" i="71"/>
  <c r="AT178" i="71"/>
  <c r="AF103" i="71"/>
  <c r="AF75" i="71"/>
  <c r="AF83" i="71" s="1"/>
  <c r="AH83" i="71"/>
  <c r="ET85" i="71"/>
  <c r="EH101" i="71"/>
  <c r="EH74" i="71"/>
  <c r="AP178" i="71"/>
  <c r="AP75" i="71"/>
  <c r="AP83" i="71" s="1"/>
  <c r="AP103" i="71"/>
  <c r="BK190" i="71"/>
  <c r="BK103" i="71"/>
  <c r="BK75" i="71"/>
  <c r="BK178" i="71"/>
  <c r="AI83" i="71"/>
  <c r="AM83" i="71"/>
  <c r="EM75" i="71"/>
  <c r="EM83" i="71" s="1"/>
  <c r="EM103" i="71"/>
  <c r="ET86" i="71"/>
  <c r="EO70" i="71"/>
  <c r="EO72" i="71" s="1"/>
  <c r="BT83" i="71"/>
  <c r="BX83" i="71"/>
  <c r="AU178" i="71"/>
  <c r="AU190" i="71"/>
  <c r="AU75" i="71"/>
  <c r="AU103" i="71"/>
  <c r="ES79" i="71"/>
  <c r="ED240" i="71"/>
  <c r="BS83" i="71"/>
  <c r="BW83" i="71"/>
  <c r="EQ233" i="71"/>
  <c r="EQ234" i="71" s="1"/>
  <c r="AN83" i="71"/>
  <c r="EE83" i="71"/>
  <c r="EE240" i="71"/>
  <c r="EL83" i="71"/>
  <c r="EK240" i="71"/>
  <c r="EK83" i="71"/>
  <c r="EF240" i="71"/>
  <c r="EF83" i="71"/>
  <c r="AB83" i="71"/>
  <c r="EI240" i="71"/>
  <c r="EJ83" i="71"/>
  <c r="AG83" i="71"/>
  <c r="AK83" i="71"/>
  <c r="BL83" i="71"/>
  <c r="BP83" i="71"/>
  <c r="ET84" i="71"/>
  <c r="ET63" i="71"/>
  <c r="EG241" i="71"/>
  <c r="EG75" i="71"/>
  <c r="EG177" i="71"/>
  <c r="EG103" i="71"/>
  <c r="EC241" i="71"/>
  <c r="EC75" i="71"/>
  <c r="ED83" i="71" s="1"/>
  <c r="EC103" i="71"/>
  <c r="DI98" i="71" l="1"/>
  <c r="DI64" i="71"/>
  <c r="DI65" i="71" s="1"/>
  <c r="DI99" i="71"/>
  <c r="DL7" i="71"/>
  <c r="DK63" i="71"/>
  <c r="DH69" i="71"/>
  <c r="DH97" i="71"/>
  <c r="DI79" i="71"/>
  <c r="DC83" i="71"/>
  <c r="DG83" i="71"/>
  <c r="DJ63" i="71"/>
  <c r="EY7" i="71"/>
  <c r="ET99" i="71"/>
  <c r="ET65" i="71"/>
  <c r="ET69" i="71" s="1"/>
  <c r="ER64" i="71"/>
  <c r="AE70" i="42"/>
  <c r="P68" i="42"/>
  <c r="AE68" i="42" s="1"/>
  <c r="BZ83" i="71"/>
  <c r="DD75" i="71"/>
  <c r="FC95" i="71"/>
  <c r="FD60" i="71"/>
  <c r="AW83" i="71"/>
  <c r="DF98" i="71"/>
  <c r="DF82" i="71"/>
  <c r="DF68" i="71"/>
  <c r="DF69" i="71" s="1"/>
  <c r="DE74" i="71"/>
  <c r="AJ83" i="71"/>
  <c r="AR83" i="71"/>
  <c r="EN83" i="71"/>
  <c r="EU85" i="71"/>
  <c r="AT83" i="71"/>
  <c r="AX83" i="71"/>
  <c r="BO83" i="71"/>
  <c r="BK83" i="71"/>
  <c r="EH75" i="71"/>
  <c r="EH83" i="71" s="1"/>
  <c r="EH241" i="71"/>
  <c r="EH103" i="71"/>
  <c r="EU86" i="71"/>
  <c r="AU83" i="71"/>
  <c r="AY83" i="71"/>
  <c r="EO73" i="71"/>
  <c r="EO74" i="71" s="1"/>
  <c r="EO101" i="71"/>
  <c r="EG83" i="71"/>
  <c r="EG240" i="71"/>
  <c r="EU84" i="71"/>
  <c r="EU63" i="71"/>
  <c r="ET79" i="71"/>
  <c r="EC240" i="71"/>
  <c r="EC83" i="71"/>
  <c r="DE75" i="71" l="1"/>
  <c r="DE190" i="71"/>
  <c r="DI69" i="71"/>
  <c r="DI97" i="71"/>
  <c r="DJ98" i="71"/>
  <c r="DJ64" i="71"/>
  <c r="DJ65" i="71" s="1"/>
  <c r="DJ99" i="71"/>
  <c r="DK79" i="71"/>
  <c r="DK98" i="71"/>
  <c r="DK64" i="71"/>
  <c r="DK65" i="71" s="1"/>
  <c r="DK99" i="71"/>
  <c r="DM7" i="71"/>
  <c r="DL63" i="71"/>
  <c r="DH72" i="71"/>
  <c r="DH74" i="71" s="1"/>
  <c r="DH100" i="71"/>
  <c r="DJ79" i="71"/>
  <c r="DE83" i="71"/>
  <c r="DD83" i="71"/>
  <c r="EU99" i="71"/>
  <c r="EU65" i="71"/>
  <c r="ET97" i="71"/>
  <c r="FE60" i="71"/>
  <c r="FD95" i="71"/>
  <c r="DF100" i="71"/>
  <c r="DF72" i="71"/>
  <c r="EH240" i="71"/>
  <c r="EI83" i="71"/>
  <c r="EV85" i="71"/>
  <c r="EV86" i="71"/>
  <c r="EO103" i="71"/>
  <c r="EO75" i="71"/>
  <c r="EV63" i="71"/>
  <c r="EV84" i="71"/>
  <c r="EU79" i="71"/>
  <c r="DJ69" i="71" l="1"/>
  <c r="DJ97" i="71"/>
  <c r="DN7" i="71"/>
  <c r="DN63" i="71" s="1"/>
  <c r="DM63" i="71"/>
  <c r="DK69" i="71"/>
  <c r="DK97" i="71"/>
  <c r="DL99" i="71"/>
  <c r="DL98" i="71"/>
  <c r="DL64" i="71"/>
  <c r="DL65" i="71" s="1"/>
  <c r="DL79" i="71"/>
  <c r="DI72" i="71"/>
  <c r="DI74" i="71" s="1"/>
  <c r="DI75" i="71" s="1"/>
  <c r="DI100" i="71"/>
  <c r="DH75" i="71"/>
  <c r="DH190" i="71"/>
  <c r="FE95" i="71"/>
  <c r="FF60" i="71"/>
  <c r="FG60" i="71" s="1"/>
  <c r="FH60" i="71" s="1"/>
  <c r="FI60" i="71" s="1"/>
  <c r="FJ60" i="71" s="1"/>
  <c r="EV65" i="71"/>
  <c r="EV99" i="71"/>
  <c r="EV98" i="71"/>
  <c r="EU97" i="71"/>
  <c r="DF74" i="71"/>
  <c r="EW85" i="71"/>
  <c r="EW86" i="71"/>
  <c r="EX84" i="71"/>
  <c r="EW63" i="71"/>
  <c r="EW65" i="71" s="1"/>
  <c r="EW69" i="71" s="1"/>
  <c r="EW72" i="71" s="1"/>
  <c r="EW74" i="71" s="1"/>
  <c r="C84" i="71"/>
  <c r="C83" i="71"/>
  <c r="EO83" i="71"/>
  <c r="C79" i="71"/>
  <c r="EV79" i="71"/>
  <c r="EP70" i="71"/>
  <c r="EZ7" i="71" l="1"/>
  <c r="FA7" i="71" s="1"/>
  <c r="FB7" i="71" s="1"/>
  <c r="FC7" i="71" s="1"/>
  <c r="FD7" i="71" s="1"/>
  <c r="FE7" i="71" s="1"/>
  <c r="FF7" i="71" s="1"/>
  <c r="FG7" i="71" s="1"/>
  <c r="FH7" i="71" s="1"/>
  <c r="FI7" i="71" s="1"/>
  <c r="FJ7" i="71" s="1"/>
  <c r="DF75" i="71"/>
  <c r="DF190" i="71"/>
  <c r="DL69" i="71"/>
  <c r="DL97" i="71"/>
  <c r="DK72" i="71"/>
  <c r="DK74" i="71" s="1"/>
  <c r="DK75" i="71" s="1"/>
  <c r="DK83" i="71" s="1"/>
  <c r="DK100" i="71"/>
  <c r="DM98" i="71"/>
  <c r="DM64" i="71"/>
  <c r="DM65" i="71" s="1"/>
  <c r="DM99" i="71"/>
  <c r="DM79" i="71"/>
  <c r="DI83" i="71"/>
  <c r="DN98" i="71"/>
  <c r="DN64" i="71"/>
  <c r="DN65" i="71" s="1"/>
  <c r="DN99" i="71"/>
  <c r="DN79" i="71"/>
  <c r="DJ72" i="71"/>
  <c r="DJ74" i="71" s="1"/>
  <c r="DJ75" i="71" s="1"/>
  <c r="DJ83" i="71" s="1"/>
  <c r="DJ100" i="71"/>
  <c r="DH83" i="71"/>
  <c r="DF83" i="71"/>
  <c r="EW99" i="71"/>
  <c r="EW98" i="71"/>
  <c r="EV97" i="71"/>
  <c r="EV69" i="71"/>
  <c r="EV100" i="71" s="1"/>
  <c r="EY85" i="71"/>
  <c r="EX85" i="71"/>
  <c r="EX86" i="71"/>
  <c r="EY86" i="71"/>
  <c r="EW79" i="71"/>
  <c r="EX63" i="71"/>
  <c r="DN69" i="71" l="1"/>
  <c r="DN97" i="71"/>
  <c r="DM69" i="71"/>
  <c r="DM97" i="71"/>
  <c r="DL72" i="71"/>
  <c r="DL74" i="71" s="1"/>
  <c r="DL75" i="71" s="1"/>
  <c r="DL83" i="71" s="1"/>
  <c r="DL100" i="71"/>
  <c r="EY84" i="71"/>
  <c r="EX99" i="71"/>
  <c r="EX66" i="71"/>
  <c r="EW97" i="71"/>
  <c r="EY63" i="71"/>
  <c r="EW100" i="71"/>
  <c r="EX79" i="71"/>
  <c r="EX65" i="71"/>
  <c r="DM72" i="71" l="1"/>
  <c r="DM74" i="71" s="1"/>
  <c r="DM75" i="71" s="1"/>
  <c r="DM83" i="71" s="1"/>
  <c r="DM100" i="71"/>
  <c r="DN72" i="71"/>
  <c r="DN74" i="71" s="1"/>
  <c r="DN75" i="71" s="1"/>
  <c r="DN83" i="71" s="1"/>
  <c r="DN100" i="71"/>
  <c r="EX64" i="71"/>
  <c r="EX97" i="71"/>
  <c r="EY99" i="71"/>
  <c r="EY66" i="71"/>
  <c r="FA3" i="71"/>
  <c r="EZ84" i="71"/>
  <c r="EZ63" i="71"/>
  <c r="EW82" i="71"/>
  <c r="EY79" i="71"/>
  <c r="EY65" i="71"/>
  <c r="EZ65" i="71" l="1"/>
  <c r="EZ97" i="71" s="1"/>
  <c r="EZ99" i="71"/>
  <c r="EZ66" i="71"/>
  <c r="EZ79" i="71"/>
  <c r="EY64" i="71"/>
  <c r="EY97" i="71"/>
  <c r="FB3" i="71"/>
  <c r="FA84" i="71"/>
  <c r="FA63" i="71"/>
  <c r="EX68" i="71"/>
  <c r="EX69" i="71" s="1"/>
  <c r="EX100" i="71" s="1"/>
  <c r="EX98" i="71"/>
  <c r="EX82" i="71"/>
  <c r="EZ64" i="71" l="1"/>
  <c r="FA66" i="71"/>
  <c r="FA99" i="71"/>
  <c r="FA79" i="71"/>
  <c r="FA65" i="71"/>
  <c r="FA64" i="71" s="1"/>
  <c r="FC3" i="71"/>
  <c r="FB84" i="71"/>
  <c r="FB63" i="71"/>
  <c r="EZ68" i="71"/>
  <c r="EZ69" i="71" s="1"/>
  <c r="EZ100" i="71" s="1"/>
  <c r="EZ98" i="71"/>
  <c r="EY68" i="71"/>
  <c r="EY69" i="71" s="1"/>
  <c r="EY100" i="71" s="1"/>
  <c r="EY98" i="71"/>
  <c r="EY82" i="71"/>
  <c r="FD3" i="71" l="1"/>
  <c r="FC84" i="71"/>
  <c r="FC63" i="71"/>
  <c r="FB66" i="71"/>
  <c r="FB99" i="71"/>
  <c r="FB79" i="71"/>
  <c r="FB65" i="71"/>
  <c r="FB97" i="71" s="1"/>
  <c r="FA97" i="71"/>
  <c r="FA68" i="71"/>
  <c r="FA69" i="71" s="1"/>
  <c r="FA98" i="71"/>
  <c r="EV72" i="71"/>
  <c r="FB64" i="71" l="1"/>
  <c r="FA100" i="71"/>
  <c r="FA72" i="71"/>
  <c r="FC99" i="71"/>
  <c r="FC66" i="71"/>
  <c r="FC79" i="71"/>
  <c r="FC65" i="71"/>
  <c r="FC97" i="71" s="1"/>
  <c r="EV101" i="71"/>
  <c r="EV102" i="71"/>
  <c r="FB98" i="71"/>
  <c r="FB68" i="71"/>
  <c r="FB69" i="71" s="1"/>
  <c r="FE3" i="71"/>
  <c r="FF3" i="71" s="1"/>
  <c r="FD84" i="71"/>
  <c r="FD63" i="71"/>
  <c r="EV74" i="71"/>
  <c r="EV103" i="71" s="1"/>
  <c r="FG3" i="71" l="1"/>
  <c r="FF63" i="71"/>
  <c r="FC64" i="71"/>
  <c r="FE84" i="71"/>
  <c r="FE63" i="71"/>
  <c r="FC98" i="71"/>
  <c r="FC68" i="71"/>
  <c r="FC69" i="71" s="1"/>
  <c r="FB100" i="71"/>
  <c r="FB72" i="71"/>
  <c r="FA101" i="71"/>
  <c r="FA73" i="71"/>
  <c r="FA102" i="71" s="1"/>
  <c r="FD66" i="71"/>
  <c r="FD68" i="71" s="1"/>
  <c r="FD79" i="71"/>
  <c r="FD65" i="71"/>
  <c r="EV75" i="71"/>
  <c r="EQ69" i="71"/>
  <c r="EQ100" i="71" s="1"/>
  <c r="EQ98" i="71"/>
  <c r="ER66" i="71"/>
  <c r="ER69" i="71" s="1"/>
  <c r="FF66" i="71" l="1"/>
  <c r="FF68" i="71" s="1"/>
  <c r="FF65" i="71"/>
  <c r="FF64" i="71" s="1"/>
  <c r="FH3" i="71"/>
  <c r="FG63" i="71"/>
  <c r="FD69" i="71"/>
  <c r="FD72" i="71" s="1"/>
  <c r="FD73" i="71" s="1"/>
  <c r="FD74" i="71" s="1"/>
  <c r="FD75" i="71" s="1"/>
  <c r="FA74" i="71"/>
  <c r="FA75" i="71" s="1"/>
  <c r="FC100" i="71"/>
  <c r="FC72" i="71"/>
  <c r="FB101" i="71"/>
  <c r="FB73" i="71"/>
  <c r="FB102" i="71" s="1"/>
  <c r="ER82" i="71"/>
  <c r="FE66" i="71"/>
  <c r="FE68" i="71" s="1"/>
  <c r="FE79" i="71"/>
  <c r="FE65" i="71"/>
  <c r="ER98" i="71"/>
  <c r="FD64" i="71"/>
  <c r="ER100" i="71"/>
  <c r="FF69" i="71" l="1"/>
  <c r="FF72" i="71" s="1"/>
  <c r="FF73" i="71" s="1"/>
  <c r="FF74" i="71" s="1"/>
  <c r="FF75" i="71" s="1"/>
  <c r="FG66" i="71"/>
  <c r="FG68" i="71" s="1"/>
  <c r="FG65" i="71"/>
  <c r="FG64" i="71" s="1"/>
  <c r="FI3" i="71"/>
  <c r="FH63" i="71"/>
  <c r="FA103" i="71"/>
  <c r="FE69" i="71"/>
  <c r="FE72" i="71" s="1"/>
  <c r="FE73" i="71" s="1"/>
  <c r="FE74" i="71" s="1"/>
  <c r="FB74" i="71"/>
  <c r="FC101" i="71"/>
  <c r="FC73" i="71"/>
  <c r="FC102" i="71" s="1"/>
  <c r="FE64" i="71"/>
  <c r="ES98" i="71"/>
  <c r="ES69" i="71"/>
  <c r="ES68" i="71"/>
  <c r="ES82" i="71"/>
  <c r="FG69" i="71" l="1"/>
  <c r="FG72" i="71" s="1"/>
  <c r="FG73" i="71" s="1"/>
  <c r="FG74" i="71" s="1"/>
  <c r="FG75" i="71" s="1"/>
  <c r="FH66" i="71"/>
  <c r="FH68" i="71" s="1"/>
  <c r="FH65" i="71"/>
  <c r="FJ3" i="71"/>
  <c r="FJ63" i="71" s="1"/>
  <c r="FI63" i="71"/>
  <c r="FB75" i="71"/>
  <c r="FB103" i="71"/>
  <c r="FC74" i="71"/>
  <c r="FE75" i="71"/>
  <c r="ET82" i="71"/>
  <c r="ET68" i="71"/>
  <c r="ET98" i="71"/>
  <c r="ES100" i="71"/>
  <c r="FI65" i="71" l="1"/>
  <c r="FI64" i="71" s="1"/>
  <c r="FI66" i="71"/>
  <c r="FI68" i="71" s="1"/>
  <c r="FH64" i="71"/>
  <c r="FH69" i="71"/>
  <c r="FH72" i="71" s="1"/>
  <c r="FH73" i="71" s="1"/>
  <c r="FH74" i="71" s="1"/>
  <c r="FH75" i="71" s="1"/>
  <c r="FJ66" i="71"/>
  <c r="FJ68" i="71" s="1"/>
  <c r="FJ65" i="71"/>
  <c r="FC75" i="71"/>
  <c r="FC103" i="71"/>
  <c r="ET100" i="71"/>
  <c r="EU69" i="71"/>
  <c r="EV82" i="71"/>
  <c r="EU68" i="71"/>
  <c r="EU82" i="71"/>
  <c r="EU98" i="71"/>
  <c r="FJ69" i="71" l="1"/>
  <c r="FJ72" i="71" s="1"/>
  <c r="FJ73" i="71" s="1"/>
  <c r="FJ74" i="71" s="1"/>
  <c r="FK74" i="71" s="1"/>
  <c r="FL74" i="71" s="1"/>
  <c r="FM74" i="71" s="1"/>
  <c r="FN74" i="71" s="1"/>
  <c r="FO74" i="71" s="1"/>
  <c r="FP74" i="71" s="1"/>
  <c r="FQ74" i="71" s="1"/>
  <c r="FR74" i="71" s="1"/>
  <c r="FS74" i="71" s="1"/>
  <c r="FT74" i="71" s="1"/>
  <c r="FU74" i="71" s="1"/>
  <c r="FV74" i="71" s="1"/>
  <c r="FW74" i="71" s="1"/>
  <c r="FX74" i="71" s="1"/>
  <c r="FY74" i="71" s="1"/>
  <c r="FZ74" i="71" s="1"/>
  <c r="GA74" i="71" s="1"/>
  <c r="GB74" i="71" s="1"/>
  <c r="GC74" i="71" s="1"/>
  <c r="GD74" i="71" s="1"/>
  <c r="GE74" i="71" s="1"/>
  <c r="GF74" i="71" s="1"/>
  <c r="GG74" i="71" s="1"/>
  <c r="GH74" i="71" s="1"/>
  <c r="GI74" i="71" s="1"/>
  <c r="GJ74" i="71" s="1"/>
  <c r="GK74" i="71" s="1"/>
  <c r="GL74" i="71" s="1"/>
  <c r="GM74" i="71" s="1"/>
  <c r="GN74" i="71" s="1"/>
  <c r="GO74" i="71" s="1"/>
  <c r="GP74" i="71" s="1"/>
  <c r="GQ74" i="71" s="1"/>
  <c r="GR74" i="71" s="1"/>
  <c r="GS74" i="71" s="1"/>
  <c r="GT74" i="71" s="1"/>
  <c r="GU74" i="71" s="1"/>
  <c r="GV74" i="71" s="1"/>
  <c r="GW74" i="71" s="1"/>
  <c r="GX74" i="71" s="1"/>
  <c r="GY74" i="71" s="1"/>
  <c r="GZ74" i="71" s="1"/>
  <c r="HA74" i="71" s="1"/>
  <c r="HB74" i="71" s="1"/>
  <c r="HC74" i="71" s="1"/>
  <c r="HD74" i="71" s="1"/>
  <c r="HE74" i="71" s="1"/>
  <c r="HF74" i="71" s="1"/>
  <c r="HG74" i="71" s="1"/>
  <c r="HH74" i="71" s="1"/>
  <c r="HI74" i="71" s="1"/>
  <c r="HJ74" i="71" s="1"/>
  <c r="HK74" i="71" s="1"/>
  <c r="HL74" i="71" s="1"/>
  <c r="HM74" i="71" s="1"/>
  <c r="HN74" i="71" s="1"/>
  <c r="HO74" i="71" s="1"/>
  <c r="HP74" i="71" s="1"/>
  <c r="HQ74" i="71" s="1"/>
  <c r="HR74" i="71" s="1"/>
  <c r="HS74" i="71" s="1"/>
  <c r="HT74" i="71" s="1"/>
  <c r="HU74" i="71" s="1"/>
  <c r="HV74" i="71" s="1"/>
  <c r="HW74" i="71" s="1"/>
  <c r="HX74" i="71" s="1"/>
  <c r="HY74" i="71" s="1"/>
  <c r="HZ74" i="71" s="1"/>
  <c r="IA74" i="71" s="1"/>
  <c r="IB74" i="71" s="1"/>
  <c r="IC74" i="71" s="1"/>
  <c r="ID74" i="71" s="1"/>
  <c r="IE74" i="71" s="1"/>
  <c r="IF74" i="71" s="1"/>
  <c r="IG74" i="71" s="1"/>
  <c r="IH74" i="71" s="1"/>
  <c r="II74" i="71" s="1"/>
  <c r="IJ74" i="71" s="1"/>
  <c r="IK74" i="71" s="1"/>
  <c r="IL74" i="71" s="1"/>
  <c r="IM74" i="71" s="1"/>
  <c r="IN74" i="71" s="1"/>
  <c r="IO74" i="71" s="1"/>
  <c r="IP74" i="71" s="1"/>
  <c r="IQ74" i="71" s="1"/>
  <c r="IR74" i="71" s="1"/>
  <c r="IS74" i="71" s="1"/>
  <c r="IT74" i="71" s="1"/>
  <c r="IU74" i="71" s="1"/>
  <c r="IV74" i="71" s="1"/>
  <c r="IW74" i="71" s="1"/>
  <c r="IX74" i="71" s="1"/>
  <c r="IY74" i="71" s="1"/>
  <c r="IZ74" i="71" s="1"/>
  <c r="JA74" i="71" s="1"/>
  <c r="JB74" i="71" s="1"/>
  <c r="JC74" i="71" s="1"/>
  <c r="JD74" i="71" s="1"/>
  <c r="JE74" i="71" s="1"/>
  <c r="JF74" i="71" s="1"/>
  <c r="JG74" i="71" s="1"/>
  <c r="JH74" i="71" s="1"/>
  <c r="JI74" i="71" s="1"/>
  <c r="JJ74" i="71" s="1"/>
  <c r="FJ64" i="71"/>
  <c r="FI69" i="71"/>
  <c r="FI72" i="71" s="1"/>
  <c r="FI73" i="71" s="1"/>
  <c r="FI74" i="71" s="1"/>
  <c r="FI75" i="71" s="1"/>
  <c r="EU100" i="71"/>
  <c r="EQ82" i="71"/>
  <c r="EP82" i="71"/>
  <c r="EP98" i="71"/>
  <c r="EP69" i="71"/>
  <c r="EP100" i="71" s="1"/>
  <c r="FJ75" i="71" l="1"/>
  <c r="EP72" i="71"/>
  <c r="EP101" i="71" l="1"/>
  <c r="EP102" i="71"/>
  <c r="EP74" i="71"/>
  <c r="EP75" i="71" s="1"/>
  <c r="EP83" i="71" s="1"/>
  <c r="EP103" i="71" l="1"/>
  <c r="EQ70" i="71" l="1"/>
  <c r="EQ72" i="71" s="1"/>
  <c r="EQ101" i="71" l="1"/>
  <c r="EQ102" i="71"/>
  <c r="EQ74" i="71"/>
  <c r="EQ103" i="71" s="1"/>
  <c r="EQ75" i="71" l="1"/>
  <c r="EQ83" i="71" s="1"/>
  <c r="ER70" i="71"/>
  <c r="ER72" i="71" s="1"/>
  <c r="ER101" i="71" s="1"/>
  <c r="ER102" i="71" l="1"/>
  <c r="ER74" i="71" l="1"/>
  <c r="ER75" i="71" s="1"/>
  <c r="ER83" i="71" s="1"/>
  <c r="ER103" i="71" l="1"/>
  <c r="ES72" i="71"/>
  <c r="ES101" i="71" l="1"/>
  <c r="ES102" i="71"/>
  <c r="ES74" i="71" l="1"/>
  <c r="ES75" i="71" l="1"/>
  <c r="ES83" i="71" s="1"/>
  <c r="ES103" i="71"/>
  <c r="ET72" i="71" l="1"/>
  <c r="ET102" i="71" l="1"/>
  <c r="ET101" i="71"/>
  <c r="ET74" i="71" l="1"/>
  <c r="ET75" i="71" s="1"/>
  <c r="ET83" i="71" s="1"/>
  <c r="ET103" i="71" l="1"/>
  <c r="EU72" i="71"/>
  <c r="EU101" i="71" l="1"/>
  <c r="EU102" i="71"/>
  <c r="EU74" i="71" l="1"/>
  <c r="EU103" i="71" s="1"/>
  <c r="EU75" i="71" l="1"/>
  <c r="EU83" i="71" s="1"/>
  <c r="EV83" i="71" l="1"/>
  <c r="EW101" i="71"/>
  <c r="EW102" i="71"/>
  <c r="EW103" i="71" l="1"/>
  <c r="EX70" i="71" l="1"/>
  <c r="EX72" i="71" s="1"/>
  <c r="EW75" i="71"/>
  <c r="EW83" i="71" s="1"/>
  <c r="EX101" i="71" l="1"/>
  <c r="EX73" i="71"/>
  <c r="EX102" i="71" s="1"/>
  <c r="EX74" i="71" l="1"/>
  <c r="EX103" i="71" l="1"/>
  <c r="EX75" i="71"/>
  <c r="EX83" i="71" s="1"/>
  <c r="EY70" i="71" l="1"/>
  <c r="EY72" i="71" s="1"/>
  <c r="EY73" i="71" l="1"/>
  <c r="EY102" i="71" s="1"/>
  <c r="EY101" i="71"/>
  <c r="EY74" i="71" l="1"/>
  <c r="EY103" i="71" l="1"/>
  <c r="EY75" i="71"/>
  <c r="EY83" i="71" s="1"/>
  <c r="EZ70" i="71" l="1"/>
  <c r="EZ72" i="71" s="1"/>
  <c r="EZ101" i="71" l="1"/>
  <c r="EZ73" i="71"/>
  <c r="EZ102" i="71" s="1"/>
  <c r="EZ74" i="71" l="1"/>
  <c r="EZ75" i="71" s="1"/>
  <c r="FN83" i="71" l="1"/>
  <c r="FN84" i="71" s="1"/>
  <c r="FN85" i="71" s="1"/>
  <c r="EZ103"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1" authorId="3" shapeId="0" xr:uid="{00000000-0006-0000-0700-000048000000}">
      <text>
        <r>
          <rPr>
            <b/>
            <sz val="8"/>
            <color indexed="8"/>
            <rFont val="Times New Roman"/>
            <family val="1"/>
          </rPr>
          <t xml:space="preserve">Bloomberg:
</t>
        </r>
        <r>
          <rPr>
            <sz val="8"/>
            <color indexed="8"/>
            <rFont val="Times New Roman"/>
            <family val="1"/>
          </rPr>
          <t>no Floxin</t>
        </r>
      </text>
    </comment>
    <comment ref="AS21"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6" shapeId="0" xr:uid="{00000000-0006-0000-0700-00004A000000}">
      <text>
        <r>
          <rPr>
            <b/>
            <sz val="8"/>
            <color indexed="81"/>
            <rFont val="Tahoma"/>
            <family val="2"/>
          </rPr>
          <t>RBC:</t>
        </r>
        <r>
          <rPr>
            <sz val="8"/>
            <color indexed="81"/>
            <rFont val="Tahoma"/>
            <family val="2"/>
          </rPr>
          <t xml:space="preserve">
Generics in the category</t>
        </r>
      </text>
    </comment>
    <comment ref="BD21"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5" shapeId="0" xr:uid="{00000000-0006-0000-0700-00004C000000}">
      <text>
        <r>
          <rPr>
            <b/>
            <sz val="9"/>
            <color indexed="81"/>
            <rFont val="Tahoma"/>
            <family val="2"/>
          </rPr>
          <t>Martin:</t>
        </r>
        <r>
          <rPr>
            <sz val="9"/>
            <color indexed="81"/>
            <rFont val="Tahoma"/>
            <family val="2"/>
          </rPr>
          <t xml:space="preserve">
Generic</t>
        </r>
      </text>
    </comment>
    <comment ref="DQ21"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2" shapeId="0" xr:uid="{00000000-0006-0000-0700-00004E000000}">
      <text>
        <r>
          <rPr>
            <b/>
            <sz val="8"/>
            <color indexed="81"/>
            <rFont val="Tahoma"/>
            <family val="2"/>
          </rPr>
          <t>Martin Shkreli:</t>
        </r>
        <r>
          <rPr>
            <sz val="8"/>
            <color indexed="81"/>
            <rFont val="Tahoma"/>
            <family val="2"/>
          </rPr>
          <t xml:space="preserve">
185 JPM 165/20</t>
        </r>
      </text>
    </comment>
    <comment ref="DW21" authorId="2" shapeId="0" xr:uid="{00000000-0006-0000-0700-00004F000000}">
      <text>
        <r>
          <rPr>
            <b/>
            <sz val="8"/>
            <color indexed="81"/>
            <rFont val="Tahoma"/>
            <family val="2"/>
          </rPr>
          <t>Martin Shkreli:</t>
        </r>
        <r>
          <rPr>
            <sz val="8"/>
            <color indexed="81"/>
            <rFont val="Tahoma"/>
            <family val="2"/>
          </rPr>
          <t xml:space="preserve">
233 Pru
211 JPM 193/18</t>
        </r>
      </text>
    </comment>
    <comment ref="DX21"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2" shapeId="0" xr:uid="{00000000-0006-0000-0700-000053000000}">
      <text>
        <r>
          <rPr>
            <b/>
            <sz val="8"/>
            <color indexed="81"/>
            <rFont val="Tahoma"/>
            <family val="2"/>
          </rPr>
          <t>Martin Shkreli:</t>
        </r>
        <r>
          <rPr>
            <sz val="8"/>
            <color indexed="81"/>
            <rFont val="Tahoma"/>
            <family val="2"/>
          </rPr>
          <t xml:space="preserve">
1088 JPM 1040/48</t>
        </r>
      </text>
    </comment>
    <comment ref="EB21"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2" shapeId="0" xr:uid="{00000000-0006-0000-0700-000088000000}">
      <text>
        <r>
          <rPr>
            <b/>
            <sz val="8"/>
            <color indexed="81"/>
            <rFont val="Tahoma"/>
            <family val="2"/>
          </rPr>
          <t>Martin Shkreli:</t>
        </r>
        <r>
          <rPr>
            <sz val="8"/>
            <color indexed="81"/>
            <rFont val="Tahoma"/>
            <family val="2"/>
          </rPr>
          <t xml:space="preserve">
423m Piper est</t>
        </r>
      </text>
    </comment>
    <comment ref="EM24"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2" shapeId="0" xr:uid="{00000000-0006-0000-0700-00008A000000}">
      <text>
        <r>
          <rPr>
            <b/>
            <sz val="8"/>
            <color indexed="81"/>
            <rFont val="Tahoma"/>
            <family val="2"/>
          </rPr>
          <t>Martin Shkreli:</t>
        </r>
        <r>
          <rPr>
            <sz val="8"/>
            <color indexed="81"/>
            <rFont val="Tahoma"/>
            <family val="2"/>
          </rPr>
          <t xml:space="preserve">
63m Piper est</t>
        </r>
      </text>
    </comment>
    <comment ref="CU25"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4" authorId="2" shapeId="0" xr:uid="{00000000-0006-0000-0700-00003D000000}">
      <text>
        <r>
          <rPr>
            <b/>
            <sz val="8"/>
            <color indexed="81"/>
            <rFont val="Tahoma"/>
            <family val="2"/>
          </rPr>
          <t>Martin Shkreli:</t>
        </r>
        <r>
          <rPr>
            <sz val="8"/>
            <color indexed="81"/>
            <rFont val="Tahoma"/>
            <family val="2"/>
          </rPr>
          <t xml:space="preserve">
769 MS
768 GS
775 JPM</t>
        </r>
      </text>
    </comment>
    <comment ref="AU34"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4" authorId="2" shapeId="0" xr:uid="{00000000-0006-0000-0700-00003F000000}">
      <text>
        <r>
          <rPr>
            <b/>
            <sz val="8"/>
            <color indexed="81"/>
            <rFont val="Tahoma"/>
            <family val="2"/>
          </rPr>
          <t>Martin Shkreli:</t>
        </r>
        <r>
          <rPr>
            <sz val="8"/>
            <color indexed="81"/>
            <rFont val="Tahoma"/>
            <family val="2"/>
          </rPr>
          <t xml:space="preserve">
Share up 5% Y/Y</t>
        </r>
      </text>
    </comment>
    <comment ref="BA34" authorId="13" shapeId="0" xr:uid="{00000000-0006-0000-0700-000040000000}">
      <text>
        <r>
          <rPr>
            <b/>
            <sz val="8"/>
            <color indexed="81"/>
            <rFont val="Tahoma"/>
            <family val="2"/>
          </rPr>
          <t>Marek Biestek:</t>
        </r>
        <r>
          <rPr>
            <sz val="8"/>
            <color indexed="81"/>
            <rFont val="Tahoma"/>
            <family val="2"/>
          </rPr>
          <t xml:space="preserve">
Well below expected</t>
        </r>
      </text>
    </comment>
    <comment ref="DP34" authorId="2" shapeId="0" xr:uid="{00000000-0006-0000-0700-000041000000}">
      <text>
        <r>
          <rPr>
            <b/>
            <sz val="8"/>
            <color indexed="81"/>
            <rFont val="Tahoma"/>
            <family val="2"/>
          </rPr>
          <t>Martin Shkreli:</t>
        </r>
        <r>
          <rPr>
            <sz val="8"/>
            <color indexed="81"/>
            <rFont val="Tahoma"/>
            <family val="2"/>
          </rPr>
          <t xml:space="preserve">
6/1/1989 approval</t>
        </r>
      </text>
    </comment>
    <comment ref="DV34" authorId="2" shapeId="0" xr:uid="{00000000-0006-0000-0700-000042000000}">
      <text>
        <r>
          <rPr>
            <b/>
            <sz val="8"/>
            <color indexed="81"/>
            <rFont val="Tahoma"/>
            <family val="2"/>
          </rPr>
          <t>Martin Shkreli:</t>
        </r>
        <r>
          <rPr>
            <sz val="8"/>
            <color indexed="81"/>
            <rFont val="Tahoma"/>
            <family val="2"/>
          </rPr>
          <t xml:space="preserve">
840 Pru
846 JPM</t>
        </r>
      </text>
    </comment>
    <comment ref="DW34"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4"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4"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4"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4" authorId="2" shapeId="0" xr:uid="{00000000-0006-0000-0700-000047000000}">
      <text>
        <r>
          <rPr>
            <b/>
            <sz val="8"/>
            <color indexed="81"/>
            <rFont val="Tahoma"/>
            <family val="2"/>
          </rPr>
          <t>Martin Shkreli:</t>
        </r>
        <r>
          <rPr>
            <sz val="8"/>
            <color indexed="81"/>
            <rFont val="Tahoma"/>
            <family val="2"/>
          </rPr>
          <t xml:space="preserve">
1810/899 JPM</t>
        </r>
      </text>
    </comment>
    <comment ref="B35" authorId="2" shapeId="0" xr:uid="{00000000-0006-0000-0700-000077000000}">
      <text>
        <r>
          <rPr>
            <b/>
            <sz val="8"/>
            <color indexed="81"/>
            <rFont val="Tahoma"/>
            <family val="2"/>
          </rPr>
          <t>Martin Shkreli:</t>
        </r>
        <r>
          <rPr>
            <sz val="8"/>
            <color indexed="81"/>
            <rFont val="Tahoma"/>
            <family val="2"/>
          </rPr>
          <t xml:space="preserve">
10/16/2003 license</t>
        </r>
      </text>
    </comment>
    <comment ref="ED35" authorId="2" shapeId="0" xr:uid="{00000000-0006-0000-0700-000078000000}">
      <text>
        <r>
          <rPr>
            <b/>
            <sz val="8"/>
            <color indexed="81"/>
            <rFont val="Tahoma"/>
            <family val="2"/>
          </rPr>
          <t>Martin Shkreli:</t>
        </r>
        <r>
          <rPr>
            <sz val="8"/>
            <color indexed="81"/>
            <rFont val="Tahoma"/>
            <family val="2"/>
          </rPr>
          <t xml:space="preserve">
10/16/2003 license</t>
        </r>
      </text>
    </comment>
    <comment ref="EJ35"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39" authorId="2" shapeId="0" xr:uid="{00000000-0006-0000-0700-00008B000000}">
      <text>
        <r>
          <rPr>
            <b/>
            <sz val="8"/>
            <color indexed="81"/>
            <rFont val="Tahoma"/>
            <family val="2"/>
          </rPr>
          <t>Martin Shkreli:</t>
        </r>
        <r>
          <rPr>
            <sz val="8"/>
            <color indexed="81"/>
            <rFont val="Tahoma"/>
            <family val="2"/>
          </rPr>
          <t xml:space="preserve">
Bear IMS estimate 112</t>
        </r>
      </text>
    </comment>
    <comment ref="T39" authorId="2" shapeId="0" xr:uid="{00000000-0006-0000-0700-00008C000000}">
      <text>
        <r>
          <rPr>
            <b/>
            <sz val="8"/>
            <color indexed="81"/>
            <rFont val="Tahoma"/>
            <family val="2"/>
          </rPr>
          <t>Martin Shkreli:</t>
        </r>
        <r>
          <rPr>
            <sz val="8"/>
            <color indexed="81"/>
            <rFont val="Tahoma"/>
            <family val="2"/>
          </rPr>
          <t xml:space="preserve">
Bear IMS estimate 117</t>
        </r>
      </text>
    </comment>
    <comment ref="U39" authorId="2" shapeId="0" xr:uid="{00000000-0006-0000-0700-00008D000000}">
      <text>
        <r>
          <rPr>
            <b/>
            <sz val="8"/>
            <color indexed="81"/>
            <rFont val="Tahoma"/>
            <family val="2"/>
          </rPr>
          <t>Martin Shkreli:</t>
        </r>
        <r>
          <rPr>
            <sz val="8"/>
            <color indexed="81"/>
            <rFont val="Tahoma"/>
            <family val="2"/>
          </rPr>
          <t xml:space="preserve">
Bear IMS estimate 130</t>
        </r>
      </text>
    </comment>
    <comment ref="V39" authorId="2" shapeId="0" xr:uid="{00000000-0006-0000-0700-00008E000000}">
      <text>
        <r>
          <rPr>
            <b/>
            <sz val="8"/>
            <color indexed="81"/>
            <rFont val="Tahoma"/>
            <family val="2"/>
          </rPr>
          <t>Martin Shkreli:</t>
        </r>
        <r>
          <rPr>
            <sz val="8"/>
            <color indexed="81"/>
            <rFont val="Tahoma"/>
            <family val="2"/>
          </rPr>
          <t xml:space="preserve">
Bear IMS estimate 143</t>
        </r>
      </text>
    </comment>
    <comment ref="W39" authorId="2" shapeId="0" xr:uid="{00000000-0006-0000-0700-00008F000000}">
      <text>
        <r>
          <rPr>
            <b/>
            <sz val="8"/>
            <color indexed="81"/>
            <rFont val="Tahoma"/>
            <family val="2"/>
          </rPr>
          <t>Martin Shkreli:</t>
        </r>
        <r>
          <rPr>
            <sz val="8"/>
            <color indexed="81"/>
            <rFont val="Tahoma"/>
            <family val="2"/>
          </rPr>
          <t xml:space="preserve">
Bear IMS estimate 147</t>
        </r>
      </text>
    </comment>
    <comment ref="X39" authorId="2" shapeId="0" xr:uid="{00000000-0006-0000-0700-000090000000}">
      <text>
        <r>
          <rPr>
            <b/>
            <sz val="8"/>
            <color indexed="81"/>
            <rFont val="Tahoma"/>
            <family val="2"/>
          </rPr>
          <t>Martin Shkreli:</t>
        </r>
        <r>
          <rPr>
            <sz val="8"/>
            <color indexed="81"/>
            <rFont val="Tahoma"/>
            <family val="2"/>
          </rPr>
          <t xml:space="preserve">
Bear IMS estimate 146</t>
        </r>
      </text>
    </comment>
    <comment ref="Y39" authorId="2" shapeId="0" xr:uid="{00000000-0006-0000-0700-000091000000}">
      <text>
        <r>
          <rPr>
            <b/>
            <sz val="8"/>
            <color indexed="81"/>
            <rFont val="Tahoma"/>
            <family val="2"/>
          </rPr>
          <t>Martin Shkreli:</t>
        </r>
        <r>
          <rPr>
            <sz val="8"/>
            <color indexed="81"/>
            <rFont val="Tahoma"/>
            <family val="2"/>
          </rPr>
          <t xml:space="preserve">
Bear IMS estimate 64</t>
        </r>
      </text>
    </comment>
    <comment ref="Z39" authorId="2" shapeId="0" xr:uid="{00000000-0006-0000-0700-000092000000}">
      <text>
        <r>
          <rPr>
            <b/>
            <sz val="8"/>
            <color indexed="81"/>
            <rFont val="Tahoma"/>
            <family val="2"/>
          </rPr>
          <t>Martin Shkreli:</t>
        </r>
        <r>
          <rPr>
            <sz val="8"/>
            <color indexed="81"/>
            <rFont val="Tahoma"/>
            <family val="2"/>
          </rPr>
          <t xml:space="preserve">
Bear IMS estimate 57</t>
        </r>
      </text>
    </comment>
    <comment ref="AA39" authorId="2" shapeId="0" xr:uid="{00000000-0006-0000-0700-000093000000}">
      <text>
        <r>
          <rPr>
            <b/>
            <sz val="8"/>
            <color indexed="81"/>
            <rFont val="Tahoma"/>
            <family val="2"/>
          </rPr>
          <t>Martin Shkreli:</t>
        </r>
        <r>
          <rPr>
            <sz val="8"/>
            <color indexed="81"/>
            <rFont val="Tahoma"/>
            <family val="2"/>
          </rPr>
          <t xml:space="preserve">
Bear IMS estimate 59</t>
        </r>
      </text>
    </comment>
    <comment ref="AB39" authorId="2" shapeId="0" xr:uid="{00000000-0006-0000-0700-000094000000}">
      <text>
        <r>
          <rPr>
            <b/>
            <sz val="8"/>
            <color indexed="81"/>
            <rFont val="Tahoma"/>
            <family val="2"/>
          </rPr>
          <t>Martin Shkreli:</t>
        </r>
        <r>
          <rPr>
            <sz val="8"/>
            <color indexed="81"/>
            <rFont val="Tahoma"/>
            <family val="2"/>
          </rPr>
          <t xml:space="preserve">
Bear IMS estimate 60</t>
        </r>
      </text>
    </comment>
    <comment ref="AC39" authorId="2" shapeId="0" xr:uid="{00000000-0006-0000-0700-000095000000}">
      <text>
        <r>
          <rPr>
            <b/>
            <sz val="8"/>
            <color indexed="81"/>
            <rFont val="Tahoma"/>
            <family val="2"/>
          </rPr>
          <t>Martin Shkreli:</t>
        </r>
        <r>
          <rPr>
            <sz val="8"/>
            <color indexed="81"/>
            <rFont val="Tahoma"/>
            <family val="2"/>
          </rPr>
          <t xml:space="preserve">
Bear IMS estimate 63</t>
        </r>
      </text>
    </comment>
    <comment ref="AD39" authorId="2" shapeId="0" xr:uid="{00000000-0006-0000-0700-000096000000}">
      <text>
        <r>
          <rPr>
            <b/>
            <sz val="8"/>
            <color indexed="81"/>
            <rFont val="Tahoma"/>
            <family val="2"/>
          </rPr>
          <t>Martin Shkreli:</t>
        </r>
        <r>
          <rPr>
            <sz val="8"/>
            <color indexed="81"/>
            <rFont val="Tahoma"/>
            <family val="2"/>
          </rPr>
          <t xml:space="preserve">
Bear IMS estimate 65</t>
        </r>
      </text>
    </comment>
    <comment ref="AE39" authorId="2" shapeId="0" xr:uid="{00000000-0006-0000-0700-000097000000}">
      <text>
        <r>
          <rPr>
            <b/>
            <sz val="8"/>
            <color indexed="81"/>
            <rFont val="Tahoma"/>
            <family val="2"/>
          </rPr>
          <t>Martin Shkreli:</t>
        </r>
        <r>
          <rPr>
            <sz val="8"/>
            <color indexed="81"/>
            <rFont val="Tahoma"/>
            <family val="2"/>
          </rPr>
          <t xml:space="preserve">
Bear IMS estimate 64</t>
        </r>
      </text>
    </comment>
    <comment ref="AF39" authorId="2" shapeId="0" xr:uid="{00000000-0006-0000-0700-000098000000}">
      <text>
        <r>
          <rPr>
            <b/>
            <sz val="8"/>
            <color indexed="81"/>
            <rFont val="Tahoma"/>
            <family val="2"/>
          </rPr>
          <t>Martin Shkreli:</t>
        </r>
        <r>
          <rPr>
            <sz val="8"/>
            <color indexed="81"/>
            <rFont val="Tahoma"/>
            <family val="2"/>
          </rPr>
          <t xml:space="preserve">
Bear IMS estimate 69</t>
        </r>
      </text>
    </comment>
    <comment ref="AG39" authorId="2" shapeId="0" xr:uid="{00000000-0006-0000-0700-000099000000}">
      <text>
        <r>
          <rPr>
            <b/>
            <sz val="8"/>
            <color indexed="81"/>
            <rFont val="Tahoma"/>
            <family val="2"/>
          </rPr>
          <t>Martin Shkreli:</t>
        </r>
        <r>
          <rPr>
            <sz val="8"/>
            <color indexed="81"/>
            <rFont val="Tahoma"/>
            <family val="2"/>
          </rPr>
          <t xml:space="preserve">
Bear IMS estimate 72</t>
        </r>
      </text>
    </comment>
    <comment ref="AH39" authorId="2" shapeId="0" xr:uid="{00000000-0006-0000-0700-00009A000000}">
      <text>
        <r>
          <rPr>
            <b/>
            <sz val="8"/>
            <color indexed="81"/>
            <rFont val="Tahoma"/>
            <family val="2"/>
          </rPr>
          <t>Martin Shkreli:</t>
        </r>
        <r>
          <rPr>
            <sz val="8"/>
            <color indexed="81"/>
            <rFont val="Tahoma"/>
            <family val="2"/>
          </rPr>
          <t xml:space="preserve">
Bear IMS estimate 74</t>
        </r>
      </text>
    </comment>
    <comment ref="AI39" authorId="2" shapeId="0" xr:uid="{00000000-0006-0000-0700-00009B000000}">
      <text>
        <r>
          <rPr>
            <b/>
            <sz val="8"/>
            <color indexed="81"/>
            <rFont val="Tahoma"/>
            <family val="2"/>
          </rPr>
          <t>Martin Shkreli:</t>
        </r>
        <r>
          <rPr>
            <sz val="8"/>
            <color indexed="81"/>
            <rFont val="Tahoma"/>
            <family val="2"/>
          </rPr>
          <t xml:space="preserve">
Bear IMS estimate</t>
        </r>
      </text>
    </comment>
    <comment ref="AJ39" authorId="2" shapeId="0" xr:uid="{00000000-0006-0000-0700-00009C000000}">
      <text>
        <r>
          <rPr>
            <b/>
            <sz val="8"/>
            <color indexed="81"/>
            <rFont val="Tahoma"/>
            <family val="2"/>
          </rPr>
          <t>Martin Shkreli:</t>
        </r>
        <r>
          <rPr>
            <sz val="8"/>
            <color indexed="81"/>
            <rFont val="Tahoma"/>
            <family val="2"/>
          </rPr>
          <t xml:space="preserve">
Bear IMS estimate</t>
        </r>
      </text>
    </comment>
    <comment ref="AK39" authorId="2" shapeId="0" xr:uid="{00000000-0006-0000-0700-00009D000000}">
      <text>
        <r>
          <rPr>
            <b/>
            <sz val="8"/>
            <color indexed="81"/>
            <rFont val="Tahoma"/>
            <family val="2"/>
          </rPr>
          <t>Martin Shkreli:</t>
        </r>
        <r>
          <rPr>
            <sz val="8"/>
            <color indexed="81"/>
            <rFont val="Tahoma"/>
            <family val="2"/>
          </rPr>
          <t xml:space="preserve">
Bear IMS estimate</t>
        </r>
      </text>
    </comment>
    <comment ref="AL39" authorId="2" shapeId="0" xr:uid="{00000000-0006-0000-0700-00009E000000}">
      <text>
        <r>
          <rPr>
            <b/>
            <sz val="8"/>
            <color indexed="81"/>
            <rFont val="Tahoma"/>
            <family val="2"/>
          </rPr>
          <t>Martin Shkreli:</t>
        </r>
        <r>
          <rPr>
            <sz val="8"/>
            <color indexed="81"/>
            <rFont val="Tahoma"/>
            <family val="2"/>
          </rPr>
          <t xml:space="preserve">
Bear IMS estimate</t>
        </r>
      </text>
    </comment>
    <comment ref="AM39" authorId="2" shapeId="0" xr:uid="{00000000-0006-0000-0700-00009F000000}">
      <text>
        <r>
          <rPr>
            <b/>
            <sz val="8"/>
            <color indexed="81"/>
            <rFont val="Tahoma"/>
            <family val="2"/>
          </rPr>
          <t>Martin Shkreli:</t>
        </r>
        <r>
          <rPr>
            <sz val="8"/>
            <color indexed="81"/>
            <rFont val="Tahoma"/>
            <family val="2"/>
          </rPr>
          <t xml:space="preserve">
Bear IMS estimate</t>
        </r>
      </text>
    </comment>
    <comment ref="AN39" authorId="2" shapeId="0" xr:uid="{00000000-0006-0000-0700-0000A0000000}">
      <text>
        <r>
          <rPr>
            <b/>
            <sz val="8"/>
            <color indexed="81"/>
            <rFont val="Tahoma"/>
            <family val="2"/>
          </rPr>
          <t>Martin Shkreli:</t>
        </r>
        <r>
          <rPr>
            <sz val="8"/>
            <color indexed="81"/>
            <rFont val="Tahoma"/>
            <family val="2"/>
          </rPr>
          <t xml:space="preserve">
Bear IMS estimate</t>
        </r>
      </text>
    </comment>
    <comment ref="DV39"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39" authorId="2" shapeId="0" xr:uid="{00000000-0006-0000-0700-0000A2000000}">
      <text>
        <r>
          <rPr>
            <b/>
            <sz val="8"/>
            <color indexed="81"/>
            <rFont val="Tahoma"/>
            <family val="2"/>
          </rPr>
          <t>Martin Shkreli:</t>
        </r>
        <r>
          <rPr>
            <sz val="8"/>
            <color indexed="81"/>
            <rFont val="Tahoma"/>
            <family val="2"/>
          </rPr>
          <t xml:space="preserve">
264 Pru
255 JPM 255/0</t>
        </r>
      </text>
    </comment>
    <comment ref="DX39"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9"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9"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9" authorId="2" shapeId="0" xr:uid="{00000000-0006-0000-0700-0000A6000000}">
      <text>
        <r>
          <rPr>
            <b/>
            <sz val="8"/>
            <color indexed="81"/>
            <rFont val="Tahoma"/>
            <family val="2"/>
          </rPr>
          <t>Martin Shkreli:</t>
        </r>
        <r>
          <rPr>
            <sz val="8"/>
            <color indexed="81"/>
            <rFont val="Tahoma"/>
            <family val="2"/>
          </rPr>
          <t xml:space="preserve">
521 JPM 517/4</t>
        </r>
      </text>
    </comment>
    <comment ref="EB39"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9"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9"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9"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9"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0" authorId="2" shapeId="0" xr:uid="{00000000-0006-0000-0700-0000AC000000}">
      <text>
        <r>
          <rPr>
            <b/>
            <sz val="8"/>
            <color indexed="81"/>
            <rFont val="Tahoma"/>
            <family val="2"/>
          </rPr>
          <t>Martin Shkreli:</t>
        </r>
        <r>
          <rPr>
            <sz val="8"/>
            <color indexed="81"/>
            <rFont val="Tahoma"/>
            <family val="2"/>
          </rPr>
          <t xml:space="preserve">
9/11/92 approval</t>
        </r>
      </text>
    </comment>
    <comment ref="DV40" authorId="2" shapeId="0" xr:uid="{00000000-0006-0000-0700-0000AD000000}">
      <text>
        <r>
          <rPr>
            <b/>
            <sz val="8"/>
            <color indexed="81"/>
            <rFont val="Tahoma"/>
            <family val="2"/>
          </rPr>
          <t>Martin Shkreli:</t>
        </r>
        <r>
          <rPr>
            <sz val="8"/>
            <color indexed="81"/>
            <rFont val="Tahoma"/>
            <family val="2"/>
          </rPr>
          <t xml:space="preserve">
490 JPM 100/390</t>
        </r>
      </text>
    </comment>
    <comment ref="DW40"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0"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0"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0"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0" authorId="2" shapeId="0" xr:uid="{00000000-0006-0000-0700-0000B2000000}">
      <text>
        <r>
          <rPr>
            <b/>
            <sz val="8"/>
            <color indexed="81"/>
            <rFont val="Tahoma"/>
            <family val="2"/>
          </rPr>
          <t>Martin Shkreli:</t>
        </r>
        <r>
          <rPr>
            <sz val="8"/>
            <color indexed="81"/>
            <rFont val="Tahoma"/>
            <family val="2"/>
          </rPr>
          <t xml:space="preserve">
ELAB launches generic</t>
        </r>
      </text>
    </comment>
    <comment ref="B41"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1" authorId="2" shapeId="0" xr:uid="{00000000-0006-0000-0700-0000B4000000}">
      <text>
        <r>
          <rPr>
            <b/>
            <sz val="8"/>
            <color indexed="81"/>
            <rFont val="Tahoma"/>
            <family val="2"/>
          </rPr>
          <t>Martin Shkreli:</t>
        </r>
        <r>
          <rPr>
            <sz val="8"/>
            <color indexed="81"/>
            <rFont val="Tahoma"/>
            <family val="2"/>
          </rPr>
          <t xml:space="preserve">
Barr launches generic</t>
        </r>
      </text>
    </comment>
    <comment ref="AG41"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1" authorId="2" shapeId="0" xr:uid="{00000000-0006-0000-0700-0000B6000000}">
      <text>
        <r>
          <rPr>
            <b/>
            <sz val="8"/>
            <color indexed="81"/>
            <rFont val="Tahoma"/>
            <family val="2"/>
          </rPr>
          <t>Martin Shkreli:</t>
        </r>
        <r>
          <rPr>
            <sz val="8"/>
            <color indexed="81"/>
            <rFont val="Tahoma"/>
            <family val="2"/>
          </rPr>
          <t xml:space="preserve">
580 JPM 430/150</t>
        </r>
      </text>
    </comment>
    <comment ref="DW41"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1"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1"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1"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1" authorId="2" shapeId="0" xr:uid="{00000000-0006-0000-0700-0000BB000000}">
      <text>
        <r>
          <rPr>
            <b/>
            <sz val="8"/>
            <color indexed="81"/>
            <rFont val="Tahoma"/>
            <family val="2"/>
          </rPr>
          <t>Martin Shkreli:</t>
        </r>
        <r>
          <rPr>
            <sz val="8"/>
            <color indexed="81"/>
            <rFont val="Tahoma"/>
            <family val="2"/>
          </rPr>
          <t xml:space="preserve">
956 JPM 841/115</t>
        </r>
      </text>
    </comment>
    <comment ref="EB41" authorId="2" shapeId="0" xr:uid="{00000000-0006-0000-0700-0000BC000000}">
      <text>
        <r>
          <rPr>
            <b/>
            <sz val="8"/>
            <color indexed="81"/>
            <rFont val="Tahoma"/>
            <family val="2"/>
          </rPr>
          <t>Martin Shkreli:</t>
        </r>
        <r>
          <rPr>
            <sz val="8"/>
            <color indexed="81"/>
            <rFont val="Tahoma"/>
            <family val="2"/>
          </rPr>
          <t xml:space="preserve">
Ortho TriCyclen 671m</t>
        </r>
      </text>
    </comment>
    <comment ref="DZ42" authorId="2" shapeId="0" xr:uid="{00000000-0006-0000-0700-0000BD000000}">
      <text>
        <r>
          <rPr>
            <b/>
            <sz val="8"/>
            <color indexed="81"/>
            <rFont val="Tahoma"/>
            <family val="2"/>
          </rPr>
          <t>Martin Shkreli:</t>
        </r>
        <r>
          <rPr>
            <sz val="8"/>
            <color indexed="81"/>
            <rFont val="Tahoma"/>
            <family val="2"/>
          </rPr>
          <t xml:space="preserve">
Ditropan 87m</t>
        </r>
      </text>
    </comment>
    <comment ref="EA42" authorId="2" shapeId="0" xr:uid="{00000000-0006-0000-0700-0000BE000000}">
      <text>
        <r>
          <rPr>
            <b/>
            <sz val="8"/>
            <color indexed="81"/>
            <rFont val="Tahoma"/>
            <family val="2"/>
          </rPr>
          <t>Martin Shkreli:</t>
        </r>
        <r>
          <rPr>
            <sz val="8"/>
            <color indexed="81"/>
            <rFont val="Tahoma"/>
            <family val="2"/>
          </rPr>
          <t xml:space="preserve">
Ditropan 179m JPM</t>
        </r>
      </text>
    </comment>
    <comment ref="EB42" authorId="2" shapeId="0" xr:uid="{00000000-0006-0000-0700-0000BF000000}">
      <text>
        <r>
          <rPr>
            <b/>
            <sz val="8"/>
            <color indexed="81"/>
            <rFont val="Tahoma"/>
            <family val="2"/>
          </rPr>
          <t>Martin Shkreli:</t>
        </r>
        <r>
          <rPr>
            <sz val="8"/>
            <color indexed="81"/>
            <rFont val="Tahoma"/>
            <family val="2"/>
          </rPr>
          <t xml:space="preserve">
Ditropan 235m JPM</t>
        </r>
      </text>
    </comment>
    <comment ref="EC42" authorId="2" shapeId="0" xr:uid="{00000000-0006-0000-0700-0000C0000000}">
      <text>
        <r>
          <rPr>
            <b/>
            <sz val="8"/>
            <color indexed="81"/>
            <rFont val="Tahoma"/>
            <family val="2"/>
          </rPr>
          <t xml:space="preserve">Martin Shkreli:
</t>
        </r>
        <r>
          <rPr>
            <sz val="8"/>
            <color indexed="81"/>
            <rFont val="Tahoma"/>
            <family val="2"/>
          </rPr>
          <t>Ditropan 290m JPM</t>
        </r>
      </text>
    </comment>
    <comment ref="ED42" authorId="2" shapeId="0" xr:uid="{00000000-0006-0000-0700-0000C1000000}">
      <text>
        <r>
          <rPr>
            <b/>
            <sz val="8"/>
            <color indexed="81"/>
            <rFont val="Tahoma"/>
            <family val="2"/>
          </rPr>
          <t>Martin Shkreli:</t>
        </r>
        <r>
          <rPr>
            <sz val="8"/>
            <color indexed="81"/>
            <rFont val="Tahoma"/>
            <family val="2"/>
          </rPr>
          <t xml:space="preserve">
Ditropan 370m JPM</t>
        </r>
      </text>
    </comment>
    <comment ref="EE42" authorId="2" shapeId="0" xr:uid="{00000000-0006-0000-0700-0000C2000000}">
      <text>
        <r>
          <rPr>
            <b/>
            <sz val="8"/>
            <color indexed="81"/>
            <rFont val="Tahoma"/>
            <family val="2"/>
          </rPr>
          <t>Martin Shkreli:</t>
        </r>
        <r>
          <rPr>
            <sz val="8"/>
            <color indexed="81"/>
            <rFont val="Tahoma"/>
            <family val="2"/>
          </rPr>
          <t xml:space="preserve">
Ditropan 425m JPM</t>
        </r>
      </text>
    </comment>
    <comment ref="T43" authorId="2" shapeId="0" xr:uid="{00000000-0006-0000-0700-0000C3000000}">
      <text>
        <r>
          <rPr>
            <b/>
            <sz val="8"/>
            <color indexed="81"/>
            <rFont val="Tahoma"/>
            <family val="2"/>
          </rPr>
          <t>Martin Shkreli:</t>
        </r>
        <r>
          <rPr>
            <sz val="8"/>
            <color indexed="81"/>
            <rFont val="Tahoma"/>
            <family val="2"/>
          </rPr>
          <t xml:space="preserve">
Bear IMS estimate 5</t>
        </r>
      </text>
    </comment>
    <comment ref="U43" authorId="2" shapeId="0" xr:uid="{00000000-0006-0000-0700-0000C4000000}">
      <text>
        <r>
          <rPr>
            <b/>
            <sz val="8"/>
            <color indexed="81"/>
            <rFont val="Tahoma"/>
            <family val="2"/>
          </rPr>
          <t>Martin Shkreli:</t>
        </r>
        <r>
          <rPr>
            <sz val="8"/>
            <color indexed="81"/>
            <rFont val="Tahoma"/>
            <family val="2"/>
          </rPr>
          <t xml:space="preserve">
Bear IMS estimate 8</t>
        </r>
      </text>
    </comment>
    <comment ref="V43" authorId="2" shapeId="0" xr:uid="{00000000-0006-0000-0700-0000C5000000}">
      <text>
        <r>
          <rPr>
            <b/>
            <sz val="8"/>
            <color indexed="81"/>
            <rFont val="Tahoma"/>
            <family val="2"/>
          </rPr>
          <t>Martin Shkreli:</t>
        </r>
        <r>
          <rPr>
            <sz val="8"/>
            <color indexed="81"/>
            <rFont val="Tahoma"/>
            <family val="2"/>
          </rPr>
          <t xml:space="preserve">
Bear IMS estimate</t>
        </r>
      </text>
    </comment>
    <comment ref="W43" authorId="2" shapeId="0" xr:uid="{00000000-0006-0000-0700-0000C6000000}">
      <text>
        <r>
          <rPr>
            <b/>
            <sz val="8"/>
            <color indexed="81"/>
            <rFont val="Tahoma"/>
            <family val="2"/>
          </rPr>
          <t>Martin Shkreli:</t>
        </r>
        <r>
          <rPr>
            <sz val="8"/>
            <color indexed="81"/>
            <rFont val="Tahoma"/>
            <family val="2"/>
          </rPr>
          <t xml:space="preserve">
Bear IMS estimate</t>
        </r>
      </text>
    </comment>
    <comment ref="X43" authorId="2" shapeId="0" xr:uid="{00000000-0006-0000-0700-0000C7000000}">
      <text>
        <r>
          <rPr>
            <b/>
            <sz val="8"/>
            <color indexed="81"/>
            <rFont val="Tahoma"/>
            <family val="2"/>
          </rPr>
          <t>Martin Shkreli:</t>
        </r>
        <r>
          <rPr>
            <sz val="8"/>
            <color indexed="81"/>
            <rFont val="Tahoma"/>
            <family val="2"/>
          </rPr>
          <t xml:space="preserve">
Bear IMS estimate</t>
        </r>
      </text>
    </comment>
    <comment ref="Y43" authorId="2" shapeId="0" xr:uid="{00000000-0006-0000-0700-0000C8000000}">
      <text>
        <r>
          <rPr>
            <b/>
            <sz val="8"/>
            <color indexed="81"/>
            <rFont val="Tahoma"/>
            <family val="2"/>
          </rPr>
          <t>Martin Shkreli:</t>
        </r>
        <r>
          <rPr>
            <sz val="8"/>
            <color indexed="81"/>
            <rFont val="Tahoma"/>
            <family val="2"/>
          </rPr>
          <t xml:space="preserve">
Bear IMS estimate</t>
        </r>
      </text>
    </comment>
    <comment ref="Z43" authorId="2" shapeId="0" xr:uid="{00000000-0006-0000-0700-0000C9000000}">
      <text>
        <r>
          <rPr>
            <b/>
            <sz val="8"/>
            <color indexed="81"/>
            <rFont val="Tahoma"/>
            <family val="2"/>
          </rPr>
          <t>Martin Shkreli:</t>
        </r>
        <r>
          <rPr>
            <sz val="8"/>
            <color indexed="81"/>
            <rFont val="Tahoma"/>
            <family val="2"/>
          </rPr>
          <t xml:space="preserve">
Bear IMS estimate</t>
        </r>
      </text>
    </comment>
    <comment ref="AA43" authorId="2" shapeId="0" xr:uid="{00000000-0006-0000-0700-0000CA000000}">
      <text>
        <r>
          <rPr>
            <b/>
            <sz val="8"/>
            <color indexed="81"/>
            <rFont val="Tahoma"/>
            <family val="2"/>
          </rPr>
          <t>Martin Shkreli:</t>
        </r>
        <r>
          <rPr>
            <sz val="8"/>
            <color indexed="81"/>
            <rFont val="Tahoma"/>
            <family val="2"/>
          </rPr>
          <t xml:space="preserve">
Bear IMS estimate</t>
        </r>
      </text>
    </comment>
    <comment ref="AB43" authorId="2" shapeId="0" xr:uid="{00000000-0006-0000-0700-0000CB000000}">
      <text>
        <r>
          <rPr>
            <b/>
            <sz val="8"/>
            <color indexed="81"/>
            <rFont val="Tahoma"/>
            <family val="2"/>
          </rPr>
          <t>Martin Shkreli:</t>
        </r>
        <r>
          <rPr>
            <sz val="8"/>
            <color indexed="81"/>
            <rFont val="Tahoma"/>
            <family val="2"/>
          </rPr>
          <t xml:space="preserve">
Bear IMS estimate</t>
        </r>
      </text>
    </comment>
    <comment ref="AC43" authorId="2" shapeId="0" xr:uid="{00000000-0006-0000-0700-0000CC000000}">
      <text>
        <r>
          <rPr>
            <b/>
            <sz val="8"/>
            <color indexed="81"/>
            <rFont val="Tahoma"/>
            <family val="2"/>
          </rPr>
          <t>Martin Shkreli:</t>
        </r>
        <r>
          <rPr>
            <sz val="8"/>
            <color indexed="81"/>
            <rFont val="Tahoma"/>
            <family val="2"/>
          </rPr>
          <t xml:space="preserve">
Bear IMS estimate</t>
        </r>
      </text>
    </comment>
    <comment ref="AD43" authorId="2" shapeId="0" xr:uid="{00000000-0006-0000-0700-0000CD000000}">
      <text>
        <r>
          <rPr>
            <b/>
            <sz val="8"/>
            <color indexed="81"/>
            <rFont val="Tahoma"/>
            <family val="2"/>
          </rPr>
          <t>Martin Shkreli:</t>
        </r>
        <r>
          <rPr>
            <sz val="8"/>
            <color indexed="81"/>
            <rFont val="Tahoma"/>
            <family val="2"/>
          </rPr>
          <t xml:space="preserve">
Bear IMS estimate</t>
        </r>
      </text>
    </comment>
    <comment ref="AE43" authorId="2" shapeId="0" xr:uid="{00000000-0006-0000-0700-0000CE000000}">
      <text>
        <r>
          <rPr>
            <b/>
            <sz val="8"/>
            <color indexed="81"/>
            <rFont val="Tahoma"/>
            <family val="2"/>
          </rPr>
          <t>Martin Shkreli:</t>
        </r>
        <r>
          <rPr>
            <sz val="8"/>
            <color indexed="81"/>
            <rFont val="Tahoma"/>
            <family val="2"/>
          </rPr>
          <t xml:space="preserve">
Bear IMS estimate</t>
        </r>
      </text>
    </comment>
    <comment ref="AF43" authorId="2" shapeId="0" xr:uid="{00000000-0006-0000-0700-0000CF000000}">
      <text>
        <r>
          <rPr>
            <b/>
            <sz val="8"/>
            <color indexed="81"/>
            <rFont val="Tahoma"/>
            <family val="2"/>
          </rPr>
          <t>Martin Shkreli:</t>
        </r>
        <r>
          <rPr>
            <sz val="8"/>
            <color indexed="81"/>
            <rFont val="Tahoma"/>
            <family val="2"/>
          </rPr>
          <t xml:space="preserve">
Bear IMS estimate</t>
        </r>
      </text>
    </comment>
    <comment ref="AG43" authorId="2" shapeId="0" xr:uid="{00000000-0006-0000-0700-0000D0000000}">
      <text>
        <r>
          <rPr>
            <b/>
            <sz val="8"/>
            <color indexed="81"/>
            <rFont val="Tahoma"/>
            <family val="2"/>
          </rPr>
          <t>Martin Shkreli:</t>
        </r>
        <r>
          <rPr>
            <sz val="8"/>
            <color indexed="81"/>
            <rFont val="Tahoma"/>
            <family val="2"/>
          </rPr>
          <t xml:space="preserve">
Bear IMS estimate</t>
        </r>
      </text>
    </comment>
    <comment ref="AH43" authorId="2" shapeId="0" xr:uid="{00000000-0006-0000-0700-0000D1000000}">
      <text>
        <r>
          <rPr>
            <b/>
            <sz val="8"/>
            <color indexed="81"/>
            <rFont val="Tahoma"/>
            <family val="2"/>
          </rPr>
          <t>Martin Shkreli:</t>
        </r>
        <r>
          <rPr>
            <sz val="8"/>
            <color indexed="81"/>
            <rFont val="Tahoma"/>
            <family val="2"/>
          </rPr>
          <t xml:space="preserve">
Bear IMS estimate</t>
        </r>
      </text>
    </comment>
    <comment ref="AI43" authorId="2" shapeId="0" xr:uid="{00000000-0006-0000-0700-0000D2000000}">
      <text>
        <r>
          <rPr>
            <b/>
            <sz val="8"/>
            <color indexed="81"/>
            <rFont val="Tahoma"/>
            <family val="2"/>
          </rPr>
          <t>Martin Shkreli:</t>
        </r>
        <r>
          <rPr>
            <sz val="8"/>
            <color indexed="81"/>
            <rFont val="Tahoma"/>
            <family val="2"/>
          </rPr>
          <t xml:space="preserve">
Bear IMS estimate</t>
        </r>
      </text>
    </comment>
    <comment ref="AJ43" authorId="2" shapeId="0" xr:uid="{00000000-0006-0000-0700-0000D3000000}">
      <text>
        <r>
          <rPr>
            <b/>
            <sz val="8"/>
            <color indexed="81"/>
            <rFont val="Tahoma"/>
            <family val="2"/>
          </rPr>
          <t>Martin Shkreli:</t>
        </r>
        <r>
          <rPr>
            <sz val="8"/>
            <color indexed="81"/>
            <rFont val="Tahoma"/>
            <family val="2"/>
          </rPr>
          <t xml:space="preserve">
Bear IMS estimate</t>
        </r>
      </text>
    </comment>
    <comment ref="AK43" authorId="2" shapeId="0" xr:uid="{00000000-0006-0000-0700-0000D4000000}">
      <text>
        <r>
          <rPr>
            <b/>
            <sz val="8"/>
            <color indexed="81"/>
            <rFont val="Tahoma"/>
            <family val="2"/>
          </rPr>
          <t>Martin Shkreli:</t>
        </r>
        <r>
          <rPr>
            <sz val="8"/>
            <color indexed="81"/>
            <rFont val="Tahoma"/>
            <family val="2"/>
          </rPr>
          <t xml:space="preserve">
Bear IMS estimate</t>
        </r>
      </text>
    </comment>
    <comment ref="AL43" authorId="2" shapeId="0" xr:uid="{00000000-0006-0000-0700-0000D5000000}">
      <text>
        <r>
          <rPr>
            <b/>
            <sz val="8"/>
            <color indexed="81"/>
            <rFont val="Tahoma"/>
            <family val="2"/>
          </rPr>
          <t>Martin Shkreli:</t>
        </r>
        <r>
          <rPr>
            <sz val="8"/>
            <color indexed="81"/>
            <rFont val="Tahoma"/>
            <family val="2"/>
          </rPr>
          <t xml:space="preserve">
Bear IMS estimate</t>
        </r>
      </text>
    </comment>
    <comment ref="AM43" authorId="2" shapeId="0" xr:uid="{00000000-0006-0000-0700-0000D6000000}">
      <text>
        <r>
          <rPr>
            <b/>
            <sz val="8"/>
            <color indexed="81"/>
            <rFont val="Tahoma"/>
            <family val="2"/>
          </rPr>
          <t>Martin Shkreli:</t>
        </r>
        <r>
          <rPr>
            <sz val="8"/>
            <color indexed="81"/>
            <rFont val="Tahoma"/>
            <family val="2"/>
          </rPr>
          <t xml:space="preserve">
Bear IMS estimate</t>
        </r>
      </text>
    </comment>
    <comment ref="AN43" authorId="2" shapeId="0" xr:uid="{00000000-0006-0000-0700-0000D7000000}">
      <text>
        <r>
          <rPr>
            <b/>
            <sz val="8"/>
            <color indexed="81"/>
            <rFont val="Tahoma"/>
            <family val="2"/>
          </rPr>
          <t>Martin Shkreli:</t>
        </r>
        <r>
          <rPr>
            <sz val="8"/>
            <color indexed="81"/>
            <rFont val="Tahoma"/>
            <family val="2"/>
          </rPr>
          <t xml:space="preserve">
Bear IMS estimate</t>
        </r>
      </text>
    </comment>
    <comment ref="EB43"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3"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3"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3"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3"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6"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6"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6"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6" authorId="2" shapeId="0" xr:uid="{00000000-0006-0000-0700-0000DD000000}">
      <text>
        <r>
          <rPr>
            <b/>
            <sz val="8"/>
            <color indexed="81"/>
            <rFont val="Tahoma"/>
            <family val="2"/>
          </rPr>
          <t>Martin Shkreli:</t>
        </r>
        <r>
          <rPr>
            <sz val="8"/>
            <color indexed="81"/>
            <rFont val="Tahoma"/>
            <family val="2"/>
          </rPr>
          <t xml:space="preserve">
UBS $50m estimate</t>
        </r>
      </text>
    </comment>
    <comment ref="EK46"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6" authorId="2" shapeId="0" xr:uid="{00000000-0006-0000-0700-0000DF000000}">
      <text>
        <r>
          <rPr>
            <b/>
            <sz val="8"/>
            <color indexed="81"/>
            <rFont val="Tahoma"/>
            <family val="2"/>
          </rPr>
          <t>Martin Shkreli:</t>
        </r>
        <r>
          <rPr>
            <sz val="8"/>
            <color indexed="81"/>
            <rFont val="Tahoma"/>
            <family val="2"/>
          </rPr>
          <t xml:space="preserve">
$403m UBS
$550m ML</t>
        </r>
      </text>
    </comment>
    <comment ref="EM46"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6" authorId="2" shapeId="0" xr:uid="{00000000-0006-0000-0700-0000E1000000}">
      <text>
        <r>
          <rPr>
            <b/>
            <sz val="8"/>
            <color indexed="81"/>
            <rFont val="Tahoma"/>
            <family val="2"/>
          </rPr>
          <t>Martin Shkreli:</t>
        </r>
        <r>
          <rPr>
            <sz val="8"/>
            <color indexed="81"/>
            <rFont val="Tahoma"/>
            <family val="2"/>
          </rPr>
          <t xml:space="preserve">
496m Piper est</t>
        </r>
      </text>
    </comment>
    <comment ref="S48" authorId="2" shapeId="0" xr:uid="{00000000-0006-0000-0700-0000E2000000}">
      <text>
        <r>
          <rPr>
            <b/>
            <sz val="8"/>
            <color indexed="81"/>
            <rFont val="Tahoma"/>
            <family val="2"/>
          </rPr>
          <t>Martin Shkreli:</t>
        </r>
        <r>
          <rPr>
            <sz val="8"/>
            <color indexed="81"/>
            <rFont val="Tahoma"/>
            <family val="2"/>
          </rPr>
          <t xml:space="preserve">
675 MS2</t>
        </r>
      </text>
    </comment>
    <comment ref="T48" authorId="2" shapeId="0" xr:uid="{00000000-0006-0000-0700-0000E3000000}">
      <text>
        <r>
          <rPr>
            <b/>
            <sz val="8"/>
            <color indexed="81"/>
            <rFont val="Tahoma"/>
            <family val="2"/>
          </rPr>
          <t>Martin Shkreli:</t>
        </r>
        <r>
          <rPr>
            <sz val="8"/>
            <color indexed="81"/>
            <rFont val="Tahoma"/>
            <family val="2"/>
          </rPr>
          <t xml:space="preserve">
737 MS2</t>
        </r>
      </text>
    </comment>
    <comment ref="U48" authorId="2" shapeId="0" xr:uid="{00000000-0006-0000-0700-0000E4000000}">
      <text>
        <r>
          <rPr>
            <b/>
            <sz val="8"/>
            <color indexed="81"/>
            <rFont val="Tahoma"/>
            <family val="2"/>
          </rPr>
          <t>Martin Shkreli:</t>
        </r>
        <r>
          <rPr>
            <sz val="8"/>
            <color indexed="81"/>
            <rFont val="Tahoma"/>
            <family val="2"/>
          </rPr>
          <t xml:space="preserve">
573 MS2</t>
        </r>
      </text>
    </comment>
    <comment ref="AP48"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8"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8" authorId="2" shapeId="0" xr:uid="{00000000-0006-0000-0700-0000E6000000}">
      <text>
        <r>
          <rPr>
            <b/>
            <sz val="8"/>
            <color indexed="81"/>
            <rFont val="Tahoma"/>
            <family val="2"/>
          </rPr>
          <t>Martin Shkreli:</t>
        </r>
        <r>
          <rPr>
            <sz val="8"/>
            <color indexed="81"/>
            <rFont val="Tahoma"/>
            <family val="2"/>
          </rPr>
          <t xml:space="preserve">
1382 JPM 225/1157</t>
        </r>
      </text>
    </comment>
    <comment ref="DW48"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8"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8"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8"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8"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8"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9" authorId="2" shapeId="0" xr:uid="{00000000-0006-0000-0700-0000ED000000}">
      <text>
        <r>
          <rPr>
            <b/>
            <sz val="8"/>
            <color indexed="81"/>
            <rFont val="Tahoma"/>
            <family val="2"/>
          </rPr>
          <t>Martin Shkreli:</t>
        </r>
        <r>
          <rPr>
            <sz val="8"/>
            <color indexed="81"/>
            <rFont val="Tahoma"/>
            <family val="2"/>
          </rPr>
          <t xml:space="preserve">
18m DES Bear</t>
        </r>
      </text>
    </comment>
    <comment ref="Y49" authorId="2" shapeId="0" xr:uid="{00000000-0006-0000-0700-0000EE000000}">
      <text>
        <r>
          <rPr>
            <b/>
            <sz val="8"/>
            <color indexed="81"/>
            <rFont val="Tahoma"/>
            <family val="2"/>
          </rPr>
          <t>Martin Shkreli:</t>
        </r>
        <r>
          <rPr>
            <sz val="8"/>
            <color indexed="81"/>
            <rFont val="Tahoma"/>
            <family val="2"/>
          </rPr>
          <t xml:space="preserve">
44m DES Bear</t>
        </r>
      </text>
    </comment>
    <comment ref="Z49" authorId="2" shapeId="0" xr:uid="{00000000-0006-0000-0700-0000EF000000}">
      <text>
        <r>
          <rPr>
            <b/>
            <sz val="8"/>
            <color indexed="81"/>
            <rFont val="Tahoma"/>
            <family val="2"/>
          </rPr>
          <t>Martin Shkreli:</t>
        </r>
        <r>
          <rPr>
            <sz val="8"/>
            <color indexed="81"/>
            <rFont val="Tahoma"/>
            <family val="2"/>
          </rPr>
          <t xml:space="preserve">
50m DES Bear</t>
        </r>
      </text>
    </comment>
    <comment ref="AA49" authorId="2" shapeId="0" xr:uid="{00000000-0006-0000-0700-0000F0000000}">
      <text>
        <r>
          <rPr>
            <b/>
            <sz val="8"/>
            <color indexed="81"/>
            <rFont val="Tahoma"/>
            <family val="2"/>
          </rPr>
          <t>Martin Shkreli:</t>
        </r>
        <r>
          <rPr>
            <sz val="8"/>
            <color indexed="81"/>
            <rFont val="Tahoma"/>
            <family val="2"/>
          </rPr>
          <t xml:space="preserve">
75m DES Bear</t>
        </r>
      </text>
    </comment>
    <comment ref="AB49" authorId="2" shapeId="0" xr:uid="{00000000-0006-0000-0700-0000F1000000}">
      <text>
        <r>
          <rPr>
            <b/>
            <sz val="8"/>
            <color indexed="81"/>
            <rFont val="Tahoma"/>
            <family val="2"/>
          </rPr>
          <t>Martin Shkreli:</t>
        </r>
        <r>
          <rPr>
            <sz val="8"/>
            <color indexed="81"/>
            <rFont val="Tahoma"/>
            <family val="2"/>
          </rPr>
          <t xml:space="preserve">
198m DES Bear</t>
        </r>
      </text>
    </comment>
    <comment ref="AC49" authorId="2" shapeId="0" xr:uid="{00000000-0006-0000-0700-0000F2000000}">
      <text>
        <r>
          <rPr>
            <b/>
            <sz val="8"/>
            <color indexed="81"/>
            <rFont val="Tahoma"/>
            <family val="2"/>
          </rPr>
          <t>Martin Shkreli:</t>
        </r>
        <r>
          <rPr>
            <sz val="8"/>
            <color indexed="81"/>
            <rFont val="Tahoma"/>
            <family val="2"/>
          </rPr>
          <t xml:space="preserve">
489m DES Bear</t>
        </r>
      </text>
    </comment>
    <comment ref="AD49" authorId="2" shapeId="0" xr:uid="{00000000-0006-0000-0700-0000F3000000}">
      <text>
        <r>
          <rPr>
            <b/>
            <sz val="8"/>
            <color indexed="81"/>
            <rFont val="Tahoma"/>
            <family val="2"/>
          </rPr>
          <t>Martin Shkreli:</t>
        </r>
        <r>
          <rPr>
            <sz val="8"/>
            <color indexed="81"/>
            <rFont val="Tahoma"/>
            <family val="2"/>
          </rPr>
          <t xml:space="preserve">
550m DES Bear</t>
        </r>
      </text>
    </comment>
    <comment ref="AE49" authorId="2" shapeId="0" xr:uid="{00000000-0006-0000-0700-0000F4000000}">
      <text>
        <r>
          <rPr>
            <b/>
            <sz val="8"/>
            <color indexed="81"/>
            <rFont val="Tahoma"/>
            <family val="2"/>
          </rPr>
          <t>Martin Shkreli:</t>
        </r>
        <r>
          <rPr>
            <sz val="8"/>
            <color indexed="81"/>
            <rFont val="Tahoma"/>
            <family val="2"/>
          </rPr>
          <t xml:space="preserve">
532m DES Bear</t>
        </r>
      </text>
    </comment>
    <comment ref="AF49" authorId="2" shapeId="0" xr:uid="{00000000-0006-0000-0700-0000F5000000}">
      <text>
        <r>
          <rPr>
            <b/>
            <sz val="8"/>
            <color indexed="81"/>
            <rFont val="Tahoma"/>
            <family val="2"/>
          </rPr>
          <t>Martin Shkreli:</t>
        </r>
        <r>
          <rPr>
            <sz val="8"/>
            <color indexed="81"/>
            <rFont val="Tahoma"/>
            <family val="2"/>
          </rPr>
          <t xml:space="preserve">
331m DES Bear</t>
        </r>
      </text>
    </comment>
    <comment ref="AG49" authorId="2" shapeId="0" xr:uid="{00000000-0006-0000-0700-0000F6000000}">
      <text>
        <r>
          <rPr>
            <b/>
            <sz val="8"/>
            <color indexed="81"/>
            <rFont val="Tahoma"/>
            <family val="2"/>
          </rPr>
          <t>Martin Shkreli:</t>
        </r>
        <r>
          <rPr>
            <sz val="8"/>
            <color indexed="81"/>
            <rFont val="Tahoma"/>
            <family val="2"/>
          </rPr>
          <t xml:space="preserve">
439m DES Bear</t>
        </r>
      </text>
    </comment>
    <comment ref="AH49" authorId="2" shapeId="0" xr:uid="{00000000-0006-0000-0700-0000F7000000}">
      <text>
        <r>
          <rPr>
            <b/>
            <sz val="8"/>
            <color indexed="81"/>
            <rFont val="Tahoma"/>
            <family val="2"/>
          </rPr>
          <t>Martin Shkreli:</t>
        </r>
        <r>
          <rPr>
            <sz val="8"/>
            <color indexed="81"/>
            <rFont val="Tahoma"/>
            <family val="2"/>
          </rPr>
          <t xml:space="preserve">
561m DES Bear</t>
        </r>
      </text>
    </comment>
    <comment ref="AI49" authorId="2" shapeId="0" xr:uid="{00000000-0006-0000-0700-0000F8000000}">
      <text>
        <r>
          <rPr>
            <b/>
            <sz val="8"/>
            <color indexed="81"/>
            <rFont val="Tahoma"/>
            <family val="2"/>
          </rPr>
          <t>Martin Shkreli:</t>
        </r>
        <r>
          <rPr>
            <sz val="8"/>
            <color indexed="81"/>
            <rFont val="Tahoma"/>
            <family val="2"/>
          </rPr>
          <t xml:space="preserve">
617 DES bear actual</t>
        </r>
      </text>
    </comment>
    <comment ref="AJ49" authorId="2" shapeId="0" xr:uid="{00000000-0006-0000-0700-0000F9000000}">
      <text>
        <r>
          <rPr>
            <b/>
            <sz val="8"/>
            <color indexed="81"/>
            <rFont val="Tahoma"/>
            <family val="2"/>
          </rPr>
          <t>Martin Shkreli:</t>
        </r>
        <r>
          <rPr>
            <sz val="8"/>
            <color indexed="81"/>
            <rFont val="Tahoma"/>
            <family val="2"/>
          </rPr>
          <t xml:space="preserve">
659 bear des actual</t>
        </r>
      </text>
    </comment>
    <comment ref="AK49" authorId="2" shapeId="0" xr:uid="{00000000-0006-0000-0700-0000FA000000}">
      <text>
        <r>
          <rPr>
            <b/>
            <sz val="8"/>
            <color indexed="81"/>
            <rFont val="Tahoma"/>
            <family val="2"/>
          </rPr>
          <t>Martin Shkreli:</t>
        </r>
        <r>
          <rPr>
            <sz val="8"/>
            <color indexed="81"/>
            <rFont val="Tahoma"/>
            <family val="2"/>
          </rPr>
          <t xml:space="preserve">
656 bear actual des</t>
        </r>
      </text>
    </comment>
    <comment ref="AL49" authorId="2" shapeId="0" xr:uid="{00000000-0006-0000-0700-0000FB000000}">
      <text>
        <r>
          <rPr>
            <b/>
            <sz val="8"/>
            <color indexed="81"/>
            <rFont val="Tahoma"/>
            <family val="2"/>
          </rPr>
          <t>Martin Shkreli:</t>
        </r>
        <r>
          <rPr>
            <sz val="8"/>
            <color indexed="81"/>
            <rFont val="Tahoma"/>
            <family val="2"/>
          </rPr>
          <t xml:space="preserve">
670 bear des actual</t>
        </r>
      </text>
    </comment>
    <comment ref="AM49" authorId="2" shapeId="0" xr:uid="{00000000-0006-0000-0700-0000FC000000}">
      <text>
        <r>
          <rPr>
            <b/>
            <sz val="8"/>
            <color indexed="81"/>
            <rFont val="Tahoma"/>
            <family val="2"/>
          </rPr>
          <t>Martin Shkreli:</t>
        </r>
        <r>
          <rPr>
            <sz val="8"/>
            <color indexed="81"/>
            <rFont val="Tahoma"/>
            <family val="2"/>
          </rPr>
          <t xml:space="preserve">
717 Bear DES actual</t>
        </r>
      </text>
    </comment>
    <comment ref="AN49" authorId="2" shapeId="0" xr:uid="{00000000-0006-0000-0700-0000FD000000}">
      <text>
        <r>
          <rPr>
            <b/>
            <sz val="8"/>
            <color indexed="81"/>
            <rFont val="Tahoma"/>
            <family val="2"/>
          </rPr>
          <t>Martin Shkreli:</t>
        </r>
        <r>
          <rPr>
            <sz val="8"/>
            <color indexed="81"/>
            <rFont val="Tahoma"/>
            <family val="2"/>
          </rPr>
          <t xml:space="preserve">
695 DES Bear actual</t>
        </r>
      </text>
    </comment>
    <comment ref="BA49"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49" authorId="0" shapeId="0" xr:uid="{00000000-0006-0000-0700-0000FF000000}">
      <text>
        <r>
          <rPr>
            <b/>
            <sz val="9"/>
            <color indexed="81"/>
            <rFont val="Tahoma"/>
            <family val="2"/>
          </rPr>
          <t>MSMB - Andre:</t>
        </r>
        <r>
          <rPr>
            <sz val="9"/>
            <color indexed="81"/>
            <rFont val="Tahoma"/>
            <family val="2"/>
          </rPr>
          <t xml:space="preserve">
Cypher 190m, -27%</t>
        </r>
      </text>
    </comment>
    <comment ref="BD49" authorId="4" shapeId="0" xr:uid="{00000000-0006-0000-0700-000000010000}">
      <text>
        <r>
          <rPr>
            <b/>
            <sz val="9"/>
            <color indexed="81"/>
            <rFont val="Tahoma"/>
            <family val="2"/>
          </rPr>
          <t>MSMB:</t>
        </r>
        <r>
          <rPr>
            <sz val="9"/>
            <color indexed="81"/>
            <rFont val="Tahoma"/>
            <family val="2"/>
          </rPr>
          <t xml:space="preserve">
Cypher 170m, -29% y/y</t>
        </r>
      </text>
    </comment>
    <comment ref="DY49" authorId="2" shapeId="0" xr:uid="{00000000-0006-0000-0700-000001010000}">
      <text>
        <r>
          <rPr>
            <b/>
            <sz val="8"/>
            <color indexed="81"/>
            <rFont val="Tahoma"/>
            <family val="2"/>
          </rPr>
          <t>Martin Shkreli:</t>
        </r>
        <r>
          <rPr>
            <sz val="8"/>
            <color indexed="81"/>
            <rFont val="Tahoma"/>
            <family val="2"/>
          </rPr>
          <t xml:space="preserve">
914 Cowen</t>
        </r>
      </text>
    </comment>
    <comment ref="DZ49" authorId="2" shapeId="0" xr:uid="{00000000-0006-0000-0700-000002010000}">
      <text>
        <r>
          <rPr>
            <b/>
            <sz val="8"/>
            <color indexed="81"/>
            <rFont val="Tahoma"/>
            <family val="2"/>
          </rPr>
          <t>Martin Shkreli:</t>
        </r>
        <r>
          <rPr>
            <sz val="8"/>
            <color indexed="81"/>
            <rFont val="Tahoma"/>
            <family val="2"/>
          </rPr>
          <t xml:space="preserve">
Bear 935 actual</t>
        </r>
      </text>
    </comment>
    <comment ref="EA49" authorId="2" shapeId="0" xr:uid="{00000000-0006-0000-0700-000003010000}">
      <text>
        <r>
          <rPr>
            <b/>
            <sz val="8"/>
            <color indexed="81"/>
            <rFont val="Tahoma"/>
            <family val="2"/>
          </rPr>
          <t>Martin Shkreli:</t>
        </r>
        <r>
          <rPr>
            <sz val="8"/>
            <color indexed="81"/>
            <rFont val="Tahoma"/>
            <family val="2"/>
          </rPr>
          <t xml:space="preserve">
Bear actual 1056</t>
        </r>
      </text>
    </comment>
    <comment ref="EC49" authorId="2" shapeId="0" xr:uid="{00000000-0006-0000-0700-000004010000}">
      <text>
        <r>
          <rPr>
            <b/>
            <sz val="8"/>
            <color indexed="81"/>
            <rFont val="Tahoma"/>
            <family val="2"/>
          </rPr>
          <t>Martin Shkreli:</t>
        </r>
        <r>
          <rPr>
            <sz val="8"/>
            <color indexed="81"/>
            <rFont val="Tahoma"/>
            <family val="2"/>
          </rPr>
          <t xml:space="preserve">
112 DES Bear</t>
        </r>
      </text>
    </comment>
    <comment ref="EE49" authorId="2" shapeId="0" xr:uid="{00000000-0006-0000-0700-000005010000}">
      <text>
        <r>
          <rPr>
            <b/>
            <sz val="8"/>
            <color indexed="81"/>
            <rFont val="Tahoma"/>
            <family val="2"/>
          </rPr>
          <t>Martin Shkreli:</t>
        </r>
        <r>
          <rPr>
            <sz val="8"/>
            <color indexed="81"/>
            <rFont val="Tahoma"/>
            <family val="2"/>
          </rPr>
          <t xml:space="preserve">
1863 DES bear</t>
        </r>
      </text>
    </comment>
    <comment ref="EF49" authorId="2" shapeId="0" xr:uid="{00000000-0006-0000-0700-000006010000}">
      <text>
        <r>
          <rPr>
            <b/>
            <sz val="8"/>
            <color indexed="81"/>
            <rFont val="Tahoma"/>
            <family val="2"/>
          </rPr>
          <t>Martin Shkreli:</t>
        </r>
        <r>
          <rPr>
            <sz val="8"/>
            <color indexed="81"/>
            <rFont val="Tahoma"/>
            <family val="2"/>
          </rPr>
          <t xml:space="preserve">
2606 DES Bear actual</t>
        </r>
      </text>
    </comment>
    <comment ref="EI49"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3" authorId="2" shapeId="0" xr:uid="{00000000-0006-0000-0700-000008010000}">
      <text>
        <r>
          <rPr>
            <b/>
            <sz val="8"/>
            <color indexed="81"/>
            <rFont val="Tahoma"/>
            <family val="2"/>
          </rPr>
          <t>Martin Shkreli:</t>
        </r>
        <r>
          <rPr>
            <sz val="8"/>
            <color indexed="81"/>
            <rFont val="Tahoma"/>
            <family val="2"/>
          </rPr>
          <t xml:space="preserve">
Bear 1702 actual</t>
        </r>
      </text>
    </comment>
    <comment ref="B54"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4"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4" authorId="2" shapeId="0" xr:uid="{00000000-0006-0000-0700-00000B010000}">
      <text>
        <r>
          <rPr>
            <b/>
            <sz val="8"/>
            <color indexed="81"/>
            <rFont val="Tahoma"/>
            <family val="2"/>
          </rPr>
          <t>Martin Shkreli:</t>
        </r>
        <r>
          <rPr>
            <sz val="8"/>
            <color indexed="81"/>
            <rFont val="Tahoma"/>
            <family val="2"/>
          </rPr>
          <t xml:space="preserve">
594 MS 2</t>
        </r>
      </text>
    </comment>
    <comment ref="U54" authorId="2" shapeId="0" xr:uid="{00000000-0006-0000-0700-00000C010000}">
      <text>
        <r>
          <rPr>
            <b/>
            <sz val="8"/>
            <color indexed="81"/>
            <rFont val="Tahoma"/>
            <family val="2"/>
          </rPr>
          <t>Martin Shkreli:</t>
        </r>
        <r>
          <rPr>
            <sz val="8"/>
            <color indexed="81"/>
            <rFont val="Tahoma"/>
            <family val="2"/>
          </rPr>
          <t xml:space="preserve">
597 MS 2</t>
        </r>
      </text>
    </comment>
    <comment ref="V54" authorId="2" shapeId="0" xr:uid="{00000000-0006-0000-0700-00000D010000}">
      <text>
        <r>
          <rPr>
            <b/>
            <sz val="8"/>
            <color indexed="81"/>
            <rFont val="Tahoma"/>
            <family val="2"/>
          </rPr>
          <t>Martin Shkreli:</t>
        </r>
        <r>
          <rPr>
            <sz val="8"/>
            <color indexed="81"/>
            <rFont val="Tahoma"/>
            <family val="2"/>
          </rPr>
          <t xml:space="preserve">
Bear 607 actual</t>
        </r>
      </text>
    </comment>
    <comment ref="BC54"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4" authorId="2" shapeId="0" xr:uid="{00000000-0006-0000-0700-00000F010000}">
      <text>
        <r>
          <rPr>
            <b/>
            <sz val="8"/>
            <color indexed="81"/>
            <rFont val="Tahoma"/>
            <family val="2"/>
          </rPr>
          <t>Martin Shkreli:</t>
        </r>
        <r>
          <rPr>
            <sz val="8"/>
            <color indexed="81"/>
            <rFont val="Tahoma"/>
            <family val="2"/>
          </rPr>
          <t xml:space="preserve">
1608 JPM
1800 Cowen</t>
        </r>
      </text>
    </comment>
    <comment ref="DZ54"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4" authorId="2" shapeId="0" xr:uid="{00000000-0006-0000-0700-000011010000}">
      <text>
        <r>
          <rPr>
            <b/>
            <sz val="8"/>
            <color indexed="81"/>
            <rFont val="Tahoma"/>
            <family val="2"/>
          </rPr>
          <t>Martin Shkreli:</t>
        </r>
        <r>
          <rPr>
            <sz val="8"/>
            <color indexed="81"/>
            <rFont val="Tahoma"/>
            <family val="2"/>
          </rPr>
          <t xml:space="preserve">
2246 Bear actual</t>
        </r>
      </text>
    </comment>
    <comment ref="DY55" authorId="2" shapeId="0" xr:uid="{00000000-0006-0000-0700-000012010000}">
      <text>
        <r>
          <rPr>
            <b/>
            <sz val="8"/>
            <color indexed="81"/>
            <rFont val="Tahoma"/>
            <family val="2"/>
          </rPr>
          <t>Martin Shkreli:</t>
        </r>
        <r>
          <rPr>
            <sz val="8"/>
            <color indexed="81"/>
            <rFont val="Tahoma"/>
            <family val="2"/>
          </rPr>
          <t xml:space="preserve">
1144 Cowen</t>
        </r>
      </text>
    </comment>
    <comment ref="DZ55"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6" authorId="5" shapeId="0" xr:uid="{00000000-0006-0000-0700-000014010000}">
      <text>
        <r>
          <rPr>
            <b/>
            <sz val="9"/>
            <color indexed="81"/>
            <rFont val="Tahoma"/>
            <family val="2"/>
          </rPr>
          <t>Martin:</t>
        </r>
        <r>
          <rPr>
            <sz val="9"/>
            <color indexed="81"/>
            <rFont val="Tahoma"/>
            <family val="2"/>
          </rPr>
          <t xml:space="preserve">
Infection prevention</t>
        </r>
      </text>
    </comment>
    <comment ref="S58"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8"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8"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8" authorId="2" shapeId="0" xr:uid="{00000000-0006-0000-0700-000018010000}">
      <text>
        <r>
          <rPr>
            <b/>
            <sz val="8"/>
            <color indexed="81"/>
            <rFont val="Tahoma"/>
            <family val="2"/>
          </rPr>
          <t>Martin Shkreli:</t>
        </r>
        <r>
          <rPr>
            <sz val="8"/>
            <color indexed="81"/>
            <rFont val="Tahoma"/>
            <family val="2"/>
          </rPr>
          <t xml:space="preserve">
FDA Warning Letter</t>
        </r>
      </text>
    </comment>
    <comment ref="AM58" authorId="3" shapeId="0" xr:uid="{00000000-0006-0000-0700-000019010000}">
      <text>
        <r>
          <rPr>
            <sz val="8"/>
            <color indexed="8"/>
            <rFont val="Times New Roman"/>
            <family val="1"/>
          </rPr>
          <t>Animus acquisition completed</t>
        </r>
      </text>
    </comment>
    <comment ref="DY58" authorId="2" shapeId="0" xr:uid="{00000000-0006-0000-0700-00001A010000}">
      <text>
        <r>
          <rPr>
            <b/>
            <sz val="8"/>
            <color indexed="81"/>
            <rFont val="Tahoma"/>
            <family val="2"/>
          </rPr>
          <t>Martin Shkreli:</t>
        </r>
        <r>
          <rPr>
            <sz val="8"/>
            <color indexed="81"/>
            <rFont val="Tahoma"/>
            <family val="2"/>
          </rPr>
          <t xml:space="preserve">
996 JPM
988 Cowen</t>
        </r>
      </text>
    </comment>
    <comment ref="DZ58"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8" authorId="2" shapeId="0" xr:uid="{00000000-0006-0000-0700-00001C010000}">
      <text>
        <r>
          <rPr>
            <b/>
            <sz val="8"/>
            <color indexed="81"/>
            <rFont val="Tahoma"/>
            <family val="2"/>
          </rPr>
          <t>Martin Shkreli:</t>
        </r>
        <r>
          <rPr>
            <sz val="8"/>
            <color indexed="81"/>
            <rFont val="Tahoma"/>
            <family val="2"/>
          </rPr>
          <t xml:space="preserve">
1095 Bear actual</t>
        </r>
      </text>
    </comment>
    <comment ref="DY59" authorId="2" shapeId="0" xr:uid="{00000000-0006-0000-0700-00001D010000}">
      <text>
        <r>
          <rPr>
            <b/>
            <sz val="8"/>
            <color indexed="81"/>
            <rFont val="Tahoma"/>
            <family val="2"/>
          </rPr>
          <t>Martin Shkreli:</t>
        </r>
        <r>
          <rPr>
            <sz val="8"/>
            <color indexed="81"/>
            <rFont val="Tahoma"/>
            <family val="2"/>
          </rPr>
          <t xml:space="preserve">
972 Cowen
988 JPM</t>
        </r>
      </text>
    </comment>
    <comment ref="DZ59"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0"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0"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0"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0" authorId="2" shapeId="0" xr:uid="{00000000-0006-0000-0700-000022010000}">
      <text>
        <r>
          <rPr>
            <b/>
            <sz val="8"/>
            <color indexed="81"/>
            <rFont val="Tahoma"/>
            <family val="2"/>
          </rPr>
          <t>Martin Shkreli:</t>
        </r>
        <r>
          <rPr>
            <sz val="8"/>
            <color indexed="81"/>
            <rFont val="Tahoma"/>
            <family val="2"/>
          </rPr>
          <t xml:space="preserve">
866 Cowen</t>
        </r>
      </text>
    </comment>
    <comment ref="DZ60" authorId="2" shapeId="0" xr:uid="{00000000-0006-0000-0700-000023010000}">
      <text>
        <r>
          <rPr>
            <b/>
            <sz val="8"/>
            <color indexed="81"/>
            <rFont val="Tahoma"/>
            <family val="2"/>
          </rPr>
          <t>Martin Shkreli:</t>
        </r>
        <r>
          <rPr>
            <sz val="8"/>
            <color indexed="81"/>
            <rFont val="Tahoma"/>
            <family val="2"/>
          </rPr>
          <t xml:space="preserve">
937 Bear actual</t>
        </r>
      </text>
    </comment>
    <comment ref="EB60" authorId="2" shapeId="0" xr:uid="{00000000-0006-0000-0700-000024010000}">
      <text>
        <r>
          <rPr>
            <b/>
            <sz val="8"/>
            <color indexed="81"/>
            <rFont val="Tahoma"/>
            <family val="2"/>
          </rPr>
          <t>Martin Shkreli:</t>
        </r>
        <r>
          <rPr>
            <sz val="8"/>
            <color indexed="81"/>
            <rFont val="Tahoma"/>
            <family val="2"/>
          </rPr>
          <t xml:space="preserve">
1044 Bear actual</t>
        </r>
      </text>
    </comment>
    <comment ref="O61" authorId="2" shapeId="0" xr:uid="{00000000-0006-0000-0700-000025010000}">
      <text>
        <r>
          <rPr>
            <b/>
            <sz val="8"/>
            <color indexed="81"/>
            <rFont val="Tahoma"/>
            <family val="2"/>
          </rPr>
          <t>Martin Shkreli:</t>
        </r>
        <r>
          <rPr>
            <sz val="8"/>
            <color indexed="81"/>
            <rFont val="Tahoma"/>
            <family val="2"/>
          </rPr>
          <t xml:space="preserve">
142 Bear actual</t>
        </r>
      </text>
    </comment>
    <comment ref="P61" authorId="2" shapeId="0" xr:uid="{00000000-0006-0000-0700-000026010000}">
      <text>
        <r>
          <rPr>
            <b/>
            <sz val="8"/>
            <color indexed="81"/>
            <rFont val="Tahoma"/>
            <family val="2"/>
          </rPr>
          <t>Martin Shkreli:</t>
        </r>
        <r>
          <rPr>
            <sz val="8"/>
            <color indexed="81"/>
            <rFont val="Tahoma"/>
            <family val="2"/>
          </rPr>
          <t xml:space="preserve">
137 Bear actual</t>
        </r>
      </text>
    </comment>
    <comment ref="Q61" authorId="2" shapeId="0" xr:uid="{00000000-0006-0000-0700-000027010000}">
      <text>
        <r>
          <rPr>
            <b/>
            <sz val="8"/>
            <color indexed="81"/>
            <rFont val="Tahoma"/>
            <family val="2"/>
          </rPr>
          <t>Martin Shkreli:</t>
        </r>
        <r>
          <rPr>
            <sz val="8"/>
            <color indexed="81"/>
            <rFont val="Tahoma"/>
            <family val="2"/>
          </rPr>
          <t xml:space="preserve">
143 Bear actual</t>
        </r>
      </text>
    </comment>
    <comment ref="R61" authorId="2" shapeId="0" xr:uid="{00000000-0006-0000-0700-000028010000}">
      <text>
        <r>
          <rPr>
            <b/>
            <sz val="8"/>
            <color indexed="81"/>
            <rFont val="Tahoma"/>
            <family val="2"/>
          </rPr>
          <t>Martin Shkreli:</t>
        </r>
        <r>
          <rPr>
            <sz val="8"/>
            <color indexed="81"/>
            <rFont val="Tahoma"/>
            <family val="2"/>
          </rPr>
          <t xml:space="preserve">
133 Bear actual</t>
        </r>
      </text>
    </comment>
    <comment ref="S61" authorId="2" shapeId="0" xr:uid="{00000000-0006-0000-0700-000029010000}">
      <text>
        <r>
          <rPr>
            <b/>
            <sz val="8"/>
            <color indexed="81"/>
            <rFont val="Tahoma"/>
            <family val="2"/>
          </rPr>
          <t>Martin Shkreli:</t>
        </r>
        <r>
          <rPr>
            <sz val="8"/>
            <color indexed="81"/>
            <rFont val="Tahoma"/>
            <family val="2"/>
          </rPr>
          <t xml:space="preserve">
83 MS2
83 Bear actual</t>
        </r>
      </text>
    </comment>
    <comment ref="T61" authorId="2" shapeId="0" xr:uid="{00000000-0006-0000-0700-00002A010000}">
      <text>
        <r>
          <rPr>
            <b/>
            <sz val="8"/>
            <color indexed="81"/>
            <rFont val="Tahoma"/>
            <family val="2"/>
          </rPr>
          <t>Martin Shkreli:</t>
        </r>
        <r>
          <rPr>
            <sz val="8"/>
            <color indexed="81"/>
            <rFont val="Tahoma"/>
            <family val="2"/>
          </rPr>
          <t xml:space="preserve">
67 MS2
131 Bear actual</t>
        </r>
      </text>
    </comment>
    <comment ref="U61" authorId="2" shapeId="0" xr:uid="{00000000-0006-0000-0700-00002B010000}">
      <text>
        <r>
          <rPr>
            <b/>
            <sz val="8"/>
            <color indexed="81"/>
            <rFont val="Tahoma"/>
            <family val="2"/>
          </rPr>
          <t>Martin Shkreli:</t>
        </r>
        <r>
          <rPr>
            <sz val="8"/>
            <color indexed="81"/>
            <rFont val="Tahoma"/>
            <family val="2"/>
          </rPr>
          <t xml:space="preserve">
34 MS2
98 Bear actual</t>
        </r>
      </text>
    </comment>
    <comment ref="V61" authorId="2" shapeId="0" xr:uid="{00000000-0006-0000-0700-00002C010000}">
      <text>
        <r>
          <rPr>
            <b/>
            <sz val="8"/>
            <color indexed="81"/>
            <rFont val="Tahoma"/>
            <family val="2"/>
          </rPr>
          <t>Martin Shkreli:</t>
        </r>
        <r>
          <rPr>
            <sz val="8"/>
            <color indexed="81"/>
            <rFont val="Tahoma"/>
            <family val="2"/>
          </rPr>
          <t xml:space="preserve">
30 Bear actual</t>
        </r>
      </text>
    </comment>
    <comment ref="W61" authorId="2" shapeId="0" xr:uid="{00000000-0006-0000-0700-00002D010000}">
      <text>
        <r>
          <rPr>
            <b/>
            <sz val="8"/>
            <color indexed="81"/>
            <rFont val="Tahoma"/>
            <family val="2"/>
          </rPr>
          <t>Martin Shkreli:</t>
        </r>
        <r>
          <rPr>
            <sz val="8"/>
            <color indexed="81"/>
            <rFont val="Tahoma"/>
            <family val="2"/>
          </rPr>
          <t xml:space="preserve">
29 Bear actual</t>
        </r>
      </text>
    </comment>
    <comment ref="Y61" authorId="2" shapeId="0" xr:uid="{00000000-0006-0000-0700-00002E010000}">
      <text>
        <r>
          <rPr>
            <b/>
            <sz val="8"/>
            <color indexed="81"/>
            <rFont val="Tahoma"/>
            <family val="2"/>
          </rPr>
          <t>Martin Shkreli:</t>
        </r>
        <r>
          <rPr>
            <sz val="8"/>
            <color indexed="81"/>
            <rFont val="Tahoma"/>
            <family val="2"/>
          </rPr>
          <t xml:space="preserve">
32 Bear actual</t>
        </r>
      </text>
    </comment>
    <comment ref="Z61" authorId="2" shapeId="0" xr:uid="{00000000-0006-0000-0700-00002F010000}">
      <text>
        <r>
          <rPr>
            <b/>
            <sz val="8"/>
            <color indexed="81"/>
            <rFont val="Tahoma"/>
            <family val="2"/>
          </rPr>
          <t>Martin Shkreli:</t>
        </r>
        <r>
          <rPr>
            <sz val="8"/>
            <color indexed="81"/>
            <rFont val="Tahoma"/>
            <family val="2"/>
          </rPr>
          <t xml:space="preserve">
24 Bear actual</t>
        </r>
      </text>
    </comment>
    <comment ref="AA61" authorId="2" shapeId="0" xr:uid="{00000000-0006-0000-0700-000030010000}">
      <text>
        <r>
          <rPr>
            <b/>
            <sz val="8"/>
            <color indexed="81"/>
            <rFont val="Tahoma"/>
            <family val="2"/>
          </rPr>
          <t>Martin Shkreli:</t>
        </r>
        <r>
          <rPr>
            <sz val="8"/>
            <color indexed="81"/>
            <rFont val="Tahoma"/>
            <family val="2"/>
          </rPr>
          <t xml:space="preserve">
17m Bear actual</t>
        </r>
      </text>
    </comment>
    <comment ref="AB61" authorId="2" shapeId="0" xr:uid="{00000000-0006-0000-0700-000031010000}">
      <text>
        <r>
          <rPr>
            <b/>
            <sz val="8"/>
            <color indexed="81"/>
            <rFont val="Tahoma"/>
            <family val="2"/>
          </rPr>
          <t>Martin Shkreli:</t>
        </r>
        <r>
          <rPr>
            <sz val="8"/>
            <color indexed="81"/>
            <rFont val="Tahoma"/>
            <family val="2"/>
          </rPr>
          <t xml:space="preserve">
17m Bear actual</t>
        </r>
      </text>
    </comment>
    <comment ref="DZ61" authorId="2" shapeId="0" xr:uid="{00000000-0006-0000-0700-000032010000}">
      <text>
        <r>
          <rPr>
            <b/>
            <sz val="8"/>
            <color indexed="81"/>
            <rFont val="Tahoma"/>
            <family val="2"/>
          </rPr>
          <t>Martin Shkreli:</t>
        </r>
        <r>
          <rPr>
            <sz val="8"/>
            <color indexed="81"/>
            <rFont val="Tahoma"/>
            <family val="2"/>
          </rPr>
          <t xml:space="preserve">
1156 Bear actual</t>
        </r>
      </text>
    </comment>
    <comment ref="EA61" authorId="2" shapeId="0" xr:uid="{00000000-0006-0000-0700-000033010000}">
      <text>
        <r>
          <rPr>
            <b/>
            <sz val="8"/>
            <color indexed="81"/>
            <rFont val="Tahoma"/>
            <family val="2"/>
          </rPr>
          <t>Martin Shkreli:</t>
        </r>
        <r>
          <rPr>
            <sz val="8"/>
            <color indexed="81"/>
            <rFont val="Tahoma"/>
            <family val="2"/>
          </rPr>
          <t xml:space="preserve">
554 Bear actual</t>
        </r>
      </text>
    </comment>
    <comment ref="EB61" authorId="2" shapeId="0" xr:uid="{00000000-0006-0000-0700-000034010000}">
      <text>
        <r>
          <rPr>
            <b/>
            <sz val="8"/>
            <color indexed="81"/>
            <rFont val="Tahoma"/>
            <family val="2"/>
          </rPr>
          <t>Martin Shkreli:</t>
        </r>
        <r>
          <rPr>
            <sz val="8"/>
            <color indexed="81"/>
            <rFont val="Tahoma"/>
            <family val="2"/>
          </rPr>
          <t xml:space="preserve">
341 Bear actual</t>
        </r>
      </text>
    </comment>
    <comment ref="EC61" authorId="2" shapeId="0" xr:uid="{00000000-0006-0000-0700-000035010000}">
      <text>
        <r>
          <rPr>
            <b/>
            <sz val="8"/>
            <color indexed="81"/>
            <rFont val="Tahoma"/>
            <family val="2"/>
          </rPr>
          <t>Martin Shkreli:</t>
        </r>
        <r>
          <rPr>
            <sz val="8"/>
            <color indexed="81"/>
            <rFont val="Tahoma"/>
            <family val="2"/>
          </rPr>
          <t xml:space="preserve">
118 bear actual</t>
        </r>
      </text>
    </comment>
    <comment ref="ED61" authorId="2" shapeId="0" xr:uid="{00000000-0006-0000-0700-000036010000}">
      <text>
        <r>
          <rPr>
            <b/>
            <sz val="8"/>
            <color indexed="81"/>
            <rFont val="Tahoma"/>
            <family val="2"/>
          </rPr>
          <t>Martin Shkreli:</t>
        </r>
        <r>
          <rPr>
            <sz val="8"/>
            <color indexed="81"/>
            <rFont val="Tahoma"/>
            <family val="2"/>
          </rPr>
          <t xml:space="preserve">
Bear 68 actual</t>
        </r>
      </text>
    </comment>
    <comment ref="S62" authorId="2" shapeId="0" xr:uid="{00000000-0006-0000-0700-000037010000}">
      <text>
        <r>
          <rPr>
            <b/>
            <sz val="8"/>
            <color indexed="81"/>
            <rFont val="Tahoma"/>
            <family val="2"/>
          </rPr>
          <t>Martin Shkreli:</t>
        </r>
        <r>
          <rPr>
            <sz val="8"/>
            <color indexed="81"/>
            <rFont val="Tahoma"/>
            <family val="2"/>
          </rPr>
          <t xml:space="preserve">
1631 MS2</t>
        </r>
      </text>
    </comment>
    <comment ref="T62" authorId="2" shapeId="0" xr:uid="{00000000-0006-0000-0700-000038010000}">
      <text>
        <r>
          <rPr>
            <b/>
            <sz val="8"/>
            <color indexed="81"/>
            <rFont val="Tahoma"/>
            <family val="2"/>
          </rPr>
          <t>Martin Shkreli:</t>
        </r>
        <r>
          <rPr>
            <sz val="8"/>
            <color indexed="81"/>
            <rFont val="Tahoma"/>
            <family val="2"/>
          </rPr>
          <t xml:space="preserve">
1529 MS2</t>
        </r>
      </text>
    </comment>
    <comment ref="U62" authorId="2" shapeId="0" xr:uid="{00000000-0006-0000-0700-000039010000}">
      <text>
        <r>
          <rPr>
            <b/>
            <sz val="8"/>
            <color indexed="81"/>
            <rFont val="Tahoma"/>
            <family val="2"/>
          </rPr>
          <t>Martin Shkreli:</t>
        </r>
        <r>
          <rPr>
            <sz val="8"/>
            <color indexed="81"/>
            <rFont val="Tahoma"/>
            <family val="2"/>
          </rPr>
          <t xml:space="preserve">
1609 MS2</t>
        </r>
      </text>
    </comment>
    <comment ref="AU62" authorId="2" shapeId="0" xr:uid="{00000000-0006-0000-0700-00003A010000}">
      <text>
        <r>
          <rPr>
            <b/>
            <sz val="8"/>
            <color indexed="81"/>
            <rFont val="Tahoma"/>
            <family val="2"/>
          </rPr>
          <t>Martin Shkreli:</t>
        </r>
        <r>
          <rPr>
            <sz val="8"/>
            <color indexed="81"/>
            <rFont val="Tahoma"/>
            <family val="2"/>
          </rPr>
          <t xml:space="preserve">
Zyrtec build</t>
        </r>
      </text>
    </comment>
    <comment ref="AY62"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2" authorId="7" shapeId="0" xr:uid="{00000000-0006-0000-0700-00003C010000}">
      <text>
        <r>
          <rPr>
            <sz val="8"/>
            <color indexed="81"/>
            <rFont val="Tahoma"/>
            <family val="2"/>
          </rPr>
          <t>August Cowen meeting: not seeing economy improving</t>
        </r>
      </text>
    </comment>
    <comment ref="BD62"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2"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2"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2"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2"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2"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2" authorId="2" shapeId="0" xr:uid="{00000000-0006-0000-0700-00003E010000}">
      <text>
        <r>
          <rPr>
            <b/>
            <sz val="8"/>
            <color indexed="81"/>
            <rFont val="Tahoma"/>
            <family val="2"/>
          </rPr>
          <t>Martin Shkreli:</t>
        </r>
        <r>
          <rPr>
            <sz val="8"/>
            <color indexed="81"/>
            <rFont val="Tahoma"/>
            <family val="2"/>
          </rPr>
          <t xml:space="preserve">
6248 bear
6862 cowen</t>
        </r>
      </text>
    </comment>
    <comment ref="EA62" authorId="2" shapeId="0" xr:uid="{00000000-0006-0000-0700-00003F010000}">
      <text>
        <r>
          <rPr>
            <b/>
            <sz val="8"/>
            <color indexed="81"/>
            <rFont val="Tahoma"/>
            <family val="2"/>
          </rPr>
          <t>Martin Shkreli:</t>
        </r>
        <r>
          <rPr>
            <sz val="8"/>
            <color indexed="81"/>
            <rFont val="Tahoma"/>
            <family val="2"/>
          </rPr>
          <t xml:space="preserve">
6271 bear</t>
        </r>
      </text>
    </comment>
    <comment ref="EB62" authorId="2" shapeId="0" xr:uid="{00000000-0006-0000-0700-000040010000}">
      <text>
        <r>
          <rPr>
            <b/>
            <sz val="8"/>
            <color indexed="81"/>
            <rFont val="Tahoma"/>
            <family val="2"/>
          </rPr>
          <t>Martin Shkreli:</t>
        </r>
        <r>
          <rPr>
            <sz val="8"/>
            <color indexed="81"/>
            <rFont val="Tahoma"/>
            <family val="2"/>
          </rPr>
          <t xml:space="preserve">
6321 bear</t>
        </r>
      </text>
    </comment>
    <comment ref="EK62"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3" authorId="2" shapeId="0" xr:uid="{00000000-0006-0000-0700-000042010000}">
      <text>
        <r>
          <rPr>
            <b/>
            <sz val="8"/>
            <color indexed="81"/>
            <rFont val="Tahoma"/>
            <family val="2"/>
          </rPr>
          <t>Martin Shkreli:</t>
        </r>
        <r>
          <rPr>
            <sz val="8"/>
            <color indexed="81"/>
            <rFont val="Tahoma"/>
            <family val="2"/>
          </rPr>
          <t xml:space="preserve">
6859? jpm</t>
        </r>
      </text>
    </comment>
    <comment ref="L63" authorId="2" shapeId="0" xr:uid="{00000000-0006-0000-0700-000043010000}">
      <text>
        <r>
          <rPr>
            <b/>
            <sz val="8"/>
            <color indexed="81"/>
            <rFont val="Tahoma"/>
            <family val="2"/>
          </rPr>
          <t>Martin Shkreli:</t>
        </r>
        <r>
          <rPr>
            <sz val="8"/>
            <color indexed="81"/>
            <rFont val="Tahoma"/>
            <family val="2"/>
          </rPr>
          <t xml:space="preserve">
7099 jpm</t>
        </r>
      </text>
    </comment>
    <comment ref="M63" authorId="2" shapeId="0" xr:uid="{00000000-0006-0000-0700-000044010000}">
      <text>
        <r>
          <rPr>
            <b/>
            <sz val="8"/>
            <color indexed="81"/>
            <rFont val="Tahoma"/>
            <family val="2"/>
          </rPr>
          <t>Martin Shkreli:</t>
        </r>
        <r>
          <rPr>
            <sz val="8"/>
            <color indexed="81"/>
            <rFont val="Tahoma"/>
            <family val="2"/>
          </rPr>
          <t xml:space="preserve">
7085 jpm</t>
        </r>
      </text>
    </comment>
    <comment ref="N63" authorId="2" shapeId="0" xr:uid="{00000000-0006-0000-0700-000045010000}">
      <text>
        <r>
          <rPr>
            <b/>
            <sz val="8"/>
            <color indexed="81"/>
            <rFont val="Tahoma"/>
            <family val="2"/>
          </rPr>
          <t>Martin Shkreli:</t>
        </r>
        <r>
          <rPr>
            <sz val="8"/>
            <color indexed="81"/>
            <rFont val="Tahoma"/>
            <family val="2"/>
          </rPr>
          <t xml:space="preserve">
6964 jpm</t>
        </r>
      </text>
    </comment>
    <comment ref="O63" authorId="2" shapeId="0" xr:uid="{00000000-0006-0000-0700-000046010000}">
      <text>
        <r>
          <rPr>
            <b/>
            <sz val="8"/>
            <color indexed="81"/>
            <rFont val="Tahoma"/>
            <family val="2"/>
          </rPr>
          <t>Martin Shkreli:</t>
        </r>
        <r>
          <rPr>
            <sz val="8"/>
            <color indexed="81"/>
            <rFont val="Tahoma"/>
            <family val="2"/>
          </rPr>
          <t xml:space="preserve">
7440 jpm
7440 bear</t>
        </r>
      </text>
    </comment>
    <comment ref="P63" authorId="2" shapeId="0" xr:uid="{00000000-0006-0000-0700-000047010000}">
      <text>
        <r>
          <rPr>
            <b/>
            <sz val="8"/>
            <color indexed="81"/>
            <rFont val="Tahoma"/>
            <family val="2"/>
          </rPr>
          <t>Martin Shkreli:</t>
        </r>
        <r>
          <rPr>
            <sz val="8"/>
            <color indexed="81"/>
            <rFont val="Tahoma"/>
            <family val="2"/>
          </rPr>
          <t xml:space="preserve">
7670 jpm
7670 bear</t>
        </r>
      </text>
    </comment>
    <comment ref="Q63" authorId="2" shapeId="0" xr:uid="{00000000-0006-0000-0700-000048010000}">
      <text>
        <r>
          <rPr>
            <b/>
            <sz val="8"/>
            <color indexed="81"/>
            <rFont val="Tahoma"/>
            <family val="2"/>
          </rPr>
          <t>Martin Shkreli:</t>
        </r>
        <r>
          <rPr>
            <sz val="8"/>
            <color indexed="81"/>
            <rFont val="Tahoma"/>
            <family val="2"/>
          </rPr>
          <t xml:space="preserve">
7438 jpm
7438 bear</t>
        </r>
      </text>
    </comment>
    <comment ref="R63" authorId="2" shapeId="0" xr:uid="{00000000-0006-0000-0700-000049010000}">
      <text>
        <r>
          <rPr>
            <b/>
            <sz val="8"/>
            <color indexed="81"/>
            <rFont val="Tahoma"/>
            <family val="2"/>
          </rPr>
          <t>Martin Shkreli:</t>
        </r>
        <r>
          <rPr>
            <sz val="8"/>
            <color indexed="81"/>
            <rFont val="Tahoma"/>
            <family val="2"/>
          </rPr>
          <t xml:space="preserve">
7298 jpm
7298 bear</t>
        </r>
      </text>
    </comment>
    <comment ref="S63"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3"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3"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3"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3" authorId="2" shapeId="0" xr:uid="{00000000-0006-0000-0700-00004E010000}">
      <text>
        <r>
          <rPr>
            <b/>
            <sz val="8"/>
            <color indexed="81"/>
            <rFont val="Tahoma"/>
            <family val="2"/>
          </rPr>
          <t>Martin Shkreli:</t>
        </r>
        <r>
          <rPr>
            <sz val="8"/>
            <color indexed="81"/>
            <rFont val="Tahoma"/>
            <family val="2"/>
          </rPr>
          <t xml:space="preserve">
Inventory +80m
FX -365m</t>
        </r>
      </text>
    </comment>
    <comment ref="AB63"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3"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3" authorId="2" shapeId="0" xr:uid="{00000000-0006-0000-0700-000051010000}">
      <text>
        <r>
          <rPr>
            <b/>
            <sz val="8"/>
            <color indexed="81"/>
            <rFont val="Tahoma"/>
            <family val="2"/>
          </rPr>
          <t>Martin Shkreli:</t>
        </r>
        <r>
          <rPr>
            <sz val="8"/>
            <color indexed="81"/>
            <rFont val="Tahoma"/>
            <family val="2"/>
          </rPr>
          <t xml:space="preserve">
11254 JPM
FX -525</t>
        </r>
      </text>
    </comment>
    <comment ref="AL63"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3" authorId="3" shapeId="0" xr:uid="{00000000-0006-0000-0700-000053010000}">
      <text>
        <r>
          <rPr>
            <b/>
            <sz val="8"/>
            <color indexed="8"/>
            <rFont val="Times New Roman"/>
            <family val="1"/>
          </rPr>
          <t xml:space="preserve">Martin Shkreli:
</t>
        </r>
        <r>
          <rPr>
            <sz val="8"/>
            <color indexed="8"/>
            <rFont val="Times New Roman"/>
            <family val="1"/>
          </rPr>
          <t>10-11%</t>
        </r>
      </text>
    </comment>
    <comment ref="AZ63" authorId="2" shapeId="0" xr:uid="{00000000-0006-0000-0700-000054010000}">
      <text>
        <r>
          <rPr>
            <b/>
            <sz val="8"/>
            <color indexed="81"/>
            <rFont val="Tahoma"/>
            <family val="2"/>
          </rPr>
          <t>Martin Shkreli:</t>
        </r>
        <r>
          <rPr>
            <sz val="8"/>
            <color indexed="81"/>
            <rFont val="Tahoma"/>
            <family val="2"/>
          </rPr>
          <t xml:space="preserve">
7/4: 14.980bn consensus</t>
        </r>
      </text>
    </comment>
    <comment ref="BC63" authorId="0" shapeId="0" xr:uid="{00000000-0006-0000-0700-000055010000}">
      <text>
        <r>
          <rPr>
            <b/>
            <sz val="9"/>
            <color indexed="81"/>
            <rFont val="Tahoma"/>
            <family val="2"/>
          </rPr>
          <t>MSMB - Andre:</t>
        </r>
        <r>
          <rPr>
            <sz val="9"/>
            <color indexed="81"/>
            <rFont val="Tahoma"/>
            <family val="2"/>
          </rPr>
          <t xml:space="preserve">
60m impact from reform</t>
        </r>
      </text>
    </comment>
    <comment ref="BD63"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3"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3"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3" authorId="2" shapeId="0" xr:uid="{00000000-0006-0000-0700-000057010000}">
      <text>
        <r>
          <rPr>
            <b/>
            <sz val="8"/>
            <color indexed="81"/>
            <rFont val="Tahoma"/>
            <family val="2"/>
          </rPr>
          <t>Martin Shkreli:</t>
        </r>
        <r>
          <rPr>
            <sz val="8"/>
            <color indexed="81"/>
            <rFont val="Tahoma"/>
            <family val="2"/>
          </rPr>
          <t xml:space="preserve">
11331 bear</t>
        </r>
      </text>
    </comment>
    <comment ref="DR63" authorId="2" shapeId="0" xr:uid="{00000000-0006-0000-0700-000058010000}">
      <text>
        <r>
          <rPr>
            <b/>
            <sz val="8"/>
            <color indexed="81"/>
            <rFont val="Tahoma"/>
            <family val="2"/>
          </rPr>
          <t>Martin Shkreli:</t>
        </r>
        <r>
          <rPr>
            <sz val="8"/>
            <color indexed="81"/>
            <rFont val="Tahoma"/>
            <family val="2"/>
          </rPr>
          <t xml:space="preserve">
12571 bear</t>
        </r>
      </text>
    </comment>
    <comment ref="DS63" authorId="2" shapeId="0" xr:uid="{00000000-0006-0000-0700-000059010000}">
      <text>
        <r>
          <rPr>
            <b/>
            <sz val="8"/>
            <color indexed="81"/>
            <rFont val="Tahoma"/>
            <family val="2"/>
          </rPr>
          <t>Martin Shkreli:</t>
        </r>
        <r>
          <rPr>
            <sz val="8"/>
            <color indexed="81"/>
            <rFont val="Tahoma"/>
            <family val="2"/>
          </rPr>
          <t xml:space="preserve">
13985 bear</t>
        </r>
      </text>
    </comment>
    <comment ref="DT63" authorId="2" shapeId="0" xr:uid="{00000000-0006-0000-0700-00005A010000}">
      <text>
        <r>
          <rPr>
            <b/>
            <sz val="8"/>
            <color indexed="81"/>
            <rFont val="Tahoma"/>
            <family val="2"/>
          </rPr>
          <t>Martin Shkreli:</t>
        </r>
        <r>
          <rPr>
            <sz val="8"/>
            <color indexed="81"/>
            <rFont val="Tahoma"/>
            <family val="2"/>
          </rPr>
          <t xml:space="preserve">
14302 bear</t>
        </r>
      </text>
    </comment>
    <comment ref="DU63" authorId="2" shapeId="0" xr:uid="{00000000-0006-0000-0700-00005B010000}">
      <text>
        <r>
          <rPr>
            <b/>
            <sz val="8"/>
            <color indexed="81"/>
            <rFont val="Tahoma"/>
            <family val="2"/>
          </rPr>
          <t>Martin Shkreli:</t>
        </r>
        <r>
          <rPr>
            <sz val="8"/>
            <color indexed="81"/>
            <rFont val="Tahoma"/>
            <family val="2"/>
          </rPr>
          <t xml:space="preserve">
15916 bear</t>
        </r>
      </text>
    </comment>
    <comment ref="DV63" authorId="2" shapeId="0" xr:uid="{00000000-0006-0000-0700-00005C010000}">
      <text>
        <r>
          <rPr>
            <b/>
            <sz val="8"/>
            <color indexed="81"/>
            <rFont val="Tahoma"/>
            <family val="2"/>
          </rPr>
          <t>Martin Shkreli:</t>
        </r>
        <r>
          <rPr>
            <sz val="8"/>
            <color indexed="81"/>
            <rFont val="Tahoma"/>
            <family val="2"/>
          </rPr>
          <t xml:space="preserve">
19068 bear</t>
        </r>
      </text>
    </comment>
    <comment ref="DW63" authorId="2" shapeId="0" xr:uid="{00000000-0006-0000-0700-00005D010000}">
      <text>
        <r>
          <rPr>
            <b/>
            <sz val="8"/>
            <color indexed="81"/>
            <rFont val="Tahoma"/>
            <family val="2"/>
          </rPr>
          <t>Martin Shkreli:</t>
        </r>
        <r>
          <rPr>
            <sz val="8"/>
            <color indexed="81"/>
            <rFont val="Tahoma"/>
            <family val="2"/>
          </rPr>
          <t xml:space="preserve">
21984 bear</t>
        </r>
      </text>
    </comment>
    <comment ref="DX63" authorId="2" shapeId="0" xr:uid="{00000000-0006-0000-0700-00005E010000}">
      <text>
        <r>
          <rPr>
            <b/>
            <sz val="8"/>
            <color indexed="81"/>
            <rFont val="Tahoma"/>
            <family val="2"/>
          </rPr>
          <t>Martin Shkreli:</t>
        </r>
        <r>
          <rPr>
            <sz val="8"/>
            <color indexed="81"/>
            <rFont val="Tahoma"/>
            <family val="2"/>
          </rPr>
          <t xml:space="preserve">
23118 bear</t>
        </r>
      </text>
    </comment>
    <comment ref="DY63" authorId="2" shapeId="0" xr:uid="{00000000-0006-0000-0700-00005F010000}">
      <text>
        <r>
          <rPr>
            <b/>
            <sz val="8"/>
            <color indexed="81"/>
            <rFont val="Tahoma"/>
            <family val="2"/>
          </rPr>
          <t>Martin Shkreli:</t>
        </r>
        <r>
          <rPr>
            <sz val="8"/>
            <color indexed="81"/>
            <rFont val="Tahoma"/>
            <family val="2"/>
          </rPr>
          <t xml:space="preserve">
24398 bear</t>
        </r>
      </text>
    </comment>
    <comment ref="DZ63"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3"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3" authorId="2" shapeId="0" xr:uid="{00000000-0006-0000-0700-000062010000}">
      <text>
        <r>
          <rPr>
            <b/>
            <sz val="8"/>
            <color indexed="81"/>
            <rFont val="Tahoma"/>
            <family val="2"/>
          </rPr>
          <t>Martin Shkreli:</t>
        </r>
        <r>
          <rPr>
            <sz val="8"/>
            <color indexed="81"/>
            <rFont val="Tahoma"/>
            <family val="2"/>
          </rPr>
          <t xml:space="preserve">
32318 bear
</t>
        </r>
      </text>
    </comment>
    <comment ref="EG63" authorId="3" shapeId="0" xr:uid="{00000000-0006-0000-0700-000063010000}">
      <text>
        <r>
          <rPr>
            <b/>
            <sz val="8"/>
            <color indexed="8"/>
            <rFont val="Times New Roman"/>
            <family val="1"/>
          </rPr>
          <t xml:space="preserve">Bloomberg:
</t>
        </r>
        <r>
          <rPr>
            <sz val="8"/>
            <color indexed="8"/>
            <rFont val="Times New Roman"/>
            <family val="1"/>
          </rPr>
          <t>was 52.887</t>
        </r>
      </text>
    </comment>
    <comment ref="EH63"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3" authorId="3" shapeId="0" xr:uid="{00000000-0006-0000-0700-000065010000}">
      <text>
        <r>
          <rPr>
            <sz val="8"/>
            <color indexed="8"/>
            <rFont val="Times New Roman"/>
            <family val="1"/>
          </rPr>
          <t>Estimate was 62.604
Official result was 63.747b</t>
        </r>
      </text>
    </comment>
    <comment ref="EJ63"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3"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3" authorId="29"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3" authorId="30"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3" authorId="31"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3" authorId="32"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4" authorId="2" shapeId="0" xr:uid="{00000000-0006-0000-0700-000068010000}">
      <text>
        <r>
          <rPr>
            <b/>
            <sz val="8"/>
            <color indexed="81"/>
            <rFont val="Tahoma"/>
            <family val="2"/>
          </rPr>
          <t>Martin Shkreli:</t>
        </r>
        <r>
          <rPr>
            <sz val="8"/>
            <color indexed="81"/>
            <rFont val="Tahoma"/>
            <family val="2"/>
          </rPr>
          <t xml:space="preserve">
2080? jpm</t>
        </r>
      </text>
    </comment>
    <comment ref="L64" authorId="2" shapeId="0" xr:uid="{00000000-0006-0000-0700-000069010000}">
      <text>
        <r>
          <rPr>
            <b/>
            <sz val="8"/>
            <color indexed="81"/>
            <rFont val="Tahoma"/>
            <family val="2"/>
          </rPr>
          <t>Martin Shkreli:</t>
        </r>
        <r>
          <rPr>
            <sz val="8"/>
            <color indexed="81"/>
            <rFont val="Tahoma"/>
            <family val="2"/>
          </rPr>
          <t xml:space="preserve">
2135 jpm</t>
        </r>
      </text>
    </comment>
    <comment ref="M64" authorId="2" shapeId="0" xr:uid="{00000000-0006-0000-0700-00006A010000}">
      <text>
        <r>
          <rPr>
            <b/>
            <sz val="8"/>
            <color indexed="81"/>
            <rFont val="Tahoma"/>
            <family val="2"/>
          </rPr>
          <t>Martin Shkreli:</t>
        </r>
        <r>
          <rPr>
            <sz val="8"/>
            <color indexed="81"/>
            <rFont val="Tahoma"/>
            <family val="2"/>
          </rPr>
          <t xml:space="preserve">
2087 jpm</t>
        </r>
      </text>
    </comment>
    <comment ref="N64" authorId="2" shapeId="0" xr:uid="{00000000-0006-0000-0700-00006B010000}">
      <text>
        <r>
          <rPr>
            <b/>
            <sz val="8"/>
            <color indexed="81"/>
            <rFont val="Tahoma"/>
            <family val="2"/>
          </rPr>
          <t>Martin Shkreli:</t>
        </r>
        <r>
          <rPr>
            <sz val="8"/>
            <color indexed="81"/>
            <rFont val="Tahoma"/>
            <family val="2"/>
          </rPr>
          <t xml:space="preserve">
2196 jpm</t>
        </r>
      </text>
    </comment>
    <comment ref="O64" authorId="2" shapeId="0" xr:uid="{00000000-0006-0000-0700-00006C010000}">
      <text>
        <r>
          <rPr>
            <b/>
            <sz val="8"/>
            <color indexed="81"/>
            <rFont val="Tahoma"/>
            <family val="2"/>
          </rPr>
          <t>Martin Shkreli:</t>
        </r>
        <r>
          <rPr>
            <sz val="8"/>
            <color indexed="81"/>
            <rFont val="Tahoma"/>
            <family val="2"/>
          </rPr>
          <t xml:space="preserve">
2242 jpm
2242 bear</t>
        </r>
      </text>
    </comment>
    <comment ref="P64" authorId="2" shapeId="0" xr:uid="{00000000-0006-0000-0700-00006D010000}">
      <text>
        <r>
          <rPr>
            <b/>
            <sz val="8"/>
            <color indexed="81"/>
            <rFont val="Tahoma"/>
            <family val="2"/>
          </rPr>
          <t>Martin Shkreli:</t>
        </r>
        <r>
          <rPr>
            <sz val="8"/>
            <color indexed="81"/>
            <rFont val="Tahoma"/>
            <family val="2"/>
          </rPr>
          <t xml:space="preserve">
2261 jpm
2261 bear</t>
        </r>
      </text>
    </comment>
    <comment ref="Q64" authorId="2" shapeId="0" xr:uid="{00000000-0006-0000-0700-00006E010000}">
      <text>
        <r>
          <rPr>
            <b/>
            <sz val="8"/>
            <color indexed="81"/>
            <rFont val="Tahoma"/>
            <family val="2"/>
          </rPr>
          <t>Martin Shkreli:</t>
        </r>
        <r>
          <rPr>
            <sz val="8"/>
            <color indexed="81"/>
            <rFont val="Tahoma"/>
            <family val="2"/>
          </rPr>
          <t xml:space="preserve">
2191 jpm
2191 bear</t>
        </r>
      </text>
    </comment>
    <comment ref="R64" authorId="2" shapeId="0" xr:uid="{00000000-0006-0000-0700-00006F010000}">
      <text>
        <r>
          <rPr>
            <b/>
            <sz val="8"/>
            <color indexed="81"/>
            <rFont val="Tahoma"/>
            <family val="2"/>
          </rPr>
          <t>Martin Shkreli:</t>
        </r>
        <r>
          <rPr>
            <sz val="8"/>
            <color indexed="81"/>
            <rFont val="Tahoma"/>
            <family val="2"/>
          </rPr>
          <t xml:space="preserve">
2214 jpm
2214 bear</t>
        </r>
      </text>
    </comment>
    <comment ref="S64" authorId="2" shapeId="0" xr:uid="{00000000-0006-0000-0700-000070010000}">
      <text>
        <r>
          <rPr>
            <b/>
            <sz val="8"/>
            <color indexed="81"/>
            <rFont val="Tahoma"/>
            <family val="2"/>
          </rPr>
          <t>Martin Shkreli:</t>
        </r>
        <r>
          <rPr>
            <sz val="8"/>
            <color indexed="81"/>
            <rFont val="Tahoma"/>
            <family val="2"/>
          </rPr>
          <t xml:space="preserve">
2311 bear
2311 jpm</t>
        </r>
      </text>
    </comment>
    <comment ref="T64" authorId="2" shapeId="0" xr:uid="{00000000-0006-0000-0700-000071010000}">
      <text>
        <r>
          <rPr>
            <b/>
            <sz val="8"/>
            <color indexed="81"/>
            <rFont val="Tahoma"/>
            <family val="2"/>
          </rPr>
          <t>Martin Shkreli:</t>
        </r>
        <r>
          <rPr>
            <sz val="8"/>
            <color indexed="81"/>
            <rFont val="Tahoma"/>
            <family val="2"/>
          </rPr>
          <t xml:space="preserve">
2372 bear</t>
        </r>
      </text>
    </comment>
    <comment ref="U64" authorId="2" shapeId="0" xr:uid="{00000000-0006-0000-0700-000072010000}">
      <text>
        <r>
          <rPr>
            <b/>
            <sz val="8"/>
            <color indexed="81"/>
            <rFont val="Tahoma"/>
            <family val="2"/>
          </rPr>
          <t>Martin Shkreli:</t>
        </r>
        <r>
          <rPr>
            <sz val="8"/>
            <color indexed="81"/>
            <rFont val="Tahoma"/>
            <family val="2"/>
          </rPr>
          <t xml:space="preserve">
2396 bear</t>
        </r>
      </text>
    </comment>
    <comment ref="V64" authorId="2" shapeId="0" xr:uid="{00000000-0006-0000-0700-000073010000}">
      <text>
        <r>
          <rPr>
            <b/>
            <sz val="8"/>
            <color indexed="81"/>
            <rFont val="Tahoma"/>
            <family val="2"/>
          </rPr>
          <t>Martin Shkreli:</t>
        </r>
        <r>
          <rPr>
            <sz val="8"/>
            <color indexed="81"/>
            <rFont val="Tahoma"/>
            <family val="2"/>
          </rPr>
          <t xml:space="preserve">
2502 bear</t>
        </r>
      </text>
    </comment>
    <comment ref="AI64" authorId="2" shapeId="0" xr:uid="{00000000-0006-0000-0700-000074010000}">
      <text>
        <r>
          <rPr>
            <b/>
            <sz val="8"/>
            <color indexed="81"/>
            <rFont val="Tahoma"/>
            <family val="2"/>
          </rPr>
          <t>Martin Shkreli:</t>
        </r>
        <r>
          <rPr>
            <sz val="8"/>
            <color indexed="81"/>
            <rFont val="Tahoma"/>
            <family val="2"/>
          </rPr>
          <t xml:space="preserve">
3482 bear</t>
        </r>
      </text>
    </comment>
    <comment ref="AJ64" authorId="2" shapeId="0" xr:uid="{00000000-0006-0000-0700-000075010000}">
      <text>
        <r>
          <rPr>
            <b/>
            <sz val="8"/>
            <color indexed="81"/>
            <rFont val="Tahoma"/>
            <family val="2"/>
          </rPr>
          <t>Martin Shkreli:</t>
        </r>
        <r>
          <rPr>
            <sz val="8"/>
            <color indexed="81"/>
            <rFont val="Tahoma"/>
            <family val="2"/>
          </rPr>
          <t xml:space="preserve">
3508 bear</t>
        </r>
      </text>
    </comment>
    <comment ref="AK64" authorId="2" shapeId="0" xr:uid="{00000000-0006-0000-0700-000076010000}">
      <text>
        <r>
          <rPr>
            <b/>
            <sz val="8"/>
            <color indexed="81"/>
            <rFont val="Tahoma"/>
            <family val="2"/>
          </rPr>
          <t>Martin Shkreli:</t>
        </r>
        <r>
          <rPr>
            <sz val="8"/>
            <color indexed="81"/>
            <rFont val="Tahoma"/>
            <family val="2"/>
          </rPr>
          <t xml:space="preserve">
3340 bear</t>
        </r>
      </text>
    </comment>
    <comment ref="AL64" authorId="2" shapeId="0" xr:uid="{00000000-0006-0000-0700-000077010000}">
      <text>
        <r>
          <rPr>
            <b/>
            <sz val="8"/>
            <color indexed="81"/>
            <rFont val="Tahoma"/>
            <family val="2"/>
          </rPr>
          <t>Martin Shkreli:</t>
        </r>
        <r>
          <rPr>
            <sz val="8"/>
            <color indexed="81"/>
            <rFont val="Tahoma"/>
            <family val="2"/>
          </rPr>
          <t xml:space="preserve">
3624 bear</t>
        </r>
      </text>
    </comment>
    <comment ref="DC64" authorId="33"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4" authorId="2" shapeId="0" xr:uid="{00000000-0006-0000-0700-000078010000}">
      <text>
        <r>
          <rPr>
            <b/>
            <sz val="8"/>
            <color indexed="81"/>
            <rFont val="Tahoma"/>
            <family val="2"/>
          </rPr>
          <t>Martin Shkreli:</t>
        </r>
        <r>
          <rPr>
            <sz val="8"/>
            <color indexed="81"/>
            <rFont val="Tahoma"/>
            <family val="2"/>
          </rPr>
          <t xml:space="preserve">
3957 bear</t>
        </r>
      </text>
    </comment>
    <comment ref="DR64" authorId="2" shapeId="0" xr:uid="{00000000-0006-0000-0700-000079010000}">
      <text>
        <r>
          <rPr>
            <b/>
            <sz val="8"/>
            <color indexed="81"/>
            <rFont val="Tahoma"/>
            <family val="2"/>
          </rPr>
          <t>Martin Shkreli:</t>
        </r>
        <r>
          <rPr>
            <sz val="8"/>
            <color indexed="81"/>
            <rFont val="Tahoma"/>
            <family val="2"/>
          </rPr>
          <t xml:space="preserve">
4248 bear</t>
        </r>
      </text>
    </comment>
    <comment ref="DS64" authorId="2" shapeId="0" xr:uid="{00000000-0006-0000-0700-00007A010000}">
      <text>
        <r>
          <rPr>
            <b/>
            <sz val="8"/>
            <color indexed="81"/>
            <rFont val="Tahoma"/>
            <family val="2"/>
          </rPr>
          <t>Martin Shkreli:</t>
        </r>
        <r>
          <rPr>
            <sz val="8"/>
            <color indexed="81"/>
            <rFont val="Tahoma"/>
            <family val="2"/>
          </rPr>
          <t xml:space="preserve">
4748 bear</t>
        </r>
      </text>
    </comment>
    <comment ref="DT64" authorId="2" shapeId="0" xr:uid="{00000000-0006-0000-0700-00007B010000}">
      <text>
        <r>
          <rPr>
            <b/>
            <sz val="8"/>
            <color indexed="81"/>
            <rFont val="Tahoma"/>
            <family val="2"/>
          </rPr>
          <t>Martin Shkreli:</t>
        </r>
        <r>
          <rPr>
            <sz val="8"/>
            <color indexed="81"/>
            <rFont val="Tahoma"/>
            <family val="2"/>
          </rPr>
          <t xml:space="preserve">
4869 bear</t>
        </r>
      </text>
    </comment>
    <comment ref="DU64" authorId="2" shapeId="0" xr:uid="{00000000-0006-0000-0700-00007C010000}">
      <text>
        <r>
          <rPr>
            <b/>
            <sz val="8"/>
            <color indexed="81"/>
            <rFont val="Tahoma"/>
            <family val="2"/>
          </rPr>
          <t>Martin Shkreli:</t>
        </r>
        <r>
          <rPr>
            <sz val="8"/>
            <color indexed="81"/>
            <rFont val="Tahoma"/>
            <family val="2"/>
          </rPr>
          <t xml:space="preserve">
5350 bear</t>
        </r>
      </text>
    </comment>
    <comment ref="DV64" authorId="2" shapeId="0" xr:uid="{00000000-0006-0000-0700-00007D010000}">
      <text>
        <r>
          <rPr>
            <b/>
            <sz val="8"/>
            <color indexed="81"/>
            <rFont val="Tahoma"/>
            <family val="2"/>
          </rPr>
          <t>Martin Shkreli:</t>
        </r>
        <r>
          <rPr>
            <sz val="8"/>
            <color indexed="81"/>
            <rFont val="Tahoma"/>
            <family val="2"/>
          </rPr>
          <t xml:space="preserve">
6303 bear</t>
        </r>
      </text>
    </comment>
    <comment ref="DW64" authorId="2" shapeId="0" xr:uid="{00000000-0006-0000-0700-00007E010000}">
      <text>
        <r>
          <rPr>
            <b/>
            <sz val="8"/>
            <color indexed="81"/>
            <rFont val="Tahoma"/>
            <family val="2"/>
          </rPr>
          <t>Martin Shkreli:</t>
        </r>
        <r>
          <rPr>
            <sz val="8"/>
            <color indexed="81"/>
            <rFont val="Tahoma"/>
            <family val="2"/>
          </rPr>
          <t xml:space="preserve">
7130 bear</t>
        </r>
      </text>
    </comment>
    <comment ref="DX64" authorId="2" shapeId="0" xr:uid="{00000000-0006-0000-0700-00007F010000}">
      <text>
        <r>
          <rPr>
            <b/>
            <sz val="8"/>
            <color indexed="81"/>
            <rFont val="Tahoma"/>
            <family val="2"/>
          </rPr>
          <t>Martin Shkreli:</t>
        </r>
        <r>
          <rPr>
            <sz val="8"/>
            <color indexed="81"/>
            <rFont val="Tahoma"/>
            <family val="2"/>
          </rPr>
          <t xml:space="preserve">
7291 bear</t>
        </r>
      </text>
    </comment>
    <comment ref="DY64" authorId="2" shapeId="0" xr:uid="{00000000-0006-0000-0700-000080010000}">
      <text>
        <r>
          <rPr>
            <b/>
            <sz val="8"/>
            <color indexed="81"/>
            <rFont val="Tahoma"/>
            <family val="2"/>
          </rPr>
          <t>Martin Shkreli:</t>
        </r>
        <r>
          <rPr>
            <sz val="8"/>
            <color indexed="81"/>
            <rFont val="Tahoma"/>
            <family val="2"/>
          </rPr>
          <t xml:space="preserve">
7646 bear</t>
        </r>
      </text>
    </comment>
    <comment ref="DZ64" authorId="2" shapeId="0" xr:uid="{00000000-0006-0000-0700-000081010000}">
      <text>
        <r>
          <rPr>
            <b/>
            <sz val="8"/>
            <color indexed="81"/>
            <rFont val="Tahoma"/>
            <family val="2"/>
          </rPr>
          <t>Martin Shkreli:</t>
        </r>
        <r>
          <rPr>
            <sz val="8"/>
            <color indexed="81"/>
            <rFont val="Tahoma"/>
            <family val="2"/>
          </rPr>
          <t xml:space="preserve">
8498 jpm
8498 bear</t>
        </r>
      </text>
    </comment>
    <comment ref="EA64" authorId="2" shapeId="0" xr:uid="{00000000-0006-0000-0700-000082010000}">
      <text>
        <r>
          <rPr>
            <b/>
            <sz val="8"/>
            <color indexed="81"/>
            <rFont val="Tahoma"/>
            <family val="2"/>
          </rPr>
          <t>Martin Shkreli:</t>
        </r>
        <r>
          <rPr>
            <sz val="8"/>
            <color indexed="81"/>
            <rFont val="Tahoma"/>
            <family val="2"/>
          </rPr>
          <t xml:space="preserve">
8908 jpm
8908 bear</t>
        </r>
      </text>
    </comment>
    <comment ref="EB64" authorId="2" shapeId="0" xr:uid="{00000000-0006-0000-0700-000083010000}">
      <text>
        <r>
          <rPr>
            <b/>
            <sz val="8"/>
            <color indexed="81"/>
            <rFont val="Tahoma"/>
            <family val="2"/>
          </rPr>
          <t>Martin Shkreli:</t>
        </r>
        <r>
          <rPr>
            <sz val="8"/>
            <color indexed="81"/>
            <rFont val="Tahoma"/>
            <family val="2"/>
          </rPr>
          <t xml:space="preserve">
9581 bear</t>
        </r>
      </text>
    </comment>
    <comment ref="K65" authorId="2" shapeId="0" xr:uid="{00000000-0006-0000-0700-000084010000}">
      <text>
        <r>
          <rPr>
            <b/>
            <sz val="8"/>
            <color indexed="81"/>
            <rFont val="Tahoma"/>
            <family val="2"/>
          </rPr>
          <t>Martin Shkreli:</t>
        </r>
        <r>
          <rPr>
            <sz val="8"/>
            <color indexed="81"/>
            <rFont val="Tahoma"/>
            <family val="2"/>
          </rPr>
          <t xml:space="preserve">
4779 jpm?</t>
        </r>
      </text>
    </comment>
    <comment ref="L65" authorId="2" shapeId="0" xr:uid="{00000000-0006-0000-0700-000085010000}">
      <text>
        <r>
          <rPr>
            <b/>
            <sz val="8"/>
            <color indexed="81"/>
            <rFont val="Tahoma"/>
            <family val="2"/>
          </rPr>
          <t>Martin Shkreli:</t>
        </r>
        <r>
          <rPr>
            <sz val="8"/>
            <color indexed="81"/>
            <rFont val="Tahoma"/>
            <family val="2"/>
          </rPr>
          <t xml:space="preserve">
4964 jpm</t>
        </r>
      </text>
    </comment>
    <comment ref="M65" authorId="2" shapeId="0" xr:uid="{00000000-0006-0000-0700-000086010000}">
      <text>
        <r>
          <rPr>
            <b/>
            <sz val="8"/>
            <color indexed="81"/>
            <rFont val="Tahoma"/>
            <family val="2"/>
          </rPr>
          <t>Martin Shkreli:</t>
        </r>
        <r>
          <rPr>
            <sz val="8"/>
            <color indexed="81"/>
            <rFont val="Tahoma"/>
            <family val="2"/>
          </rPr>
          <t xml:space="preserve">
4998 jp</t>
        </r>
      </text>
    </comment>
    <comment ref="N65" authorId="2" shapeId="0" xr:uid="{00000000-0006-0000-0700-000087010000}">
      <text>
        <r>
          <rPr>
            <b/>
            <sz val="8"/>
            <color indexed="81"/>
            <rFont val="Tahoma"/>
            <family val="2"/>
          </rPr>
          <t>Martin Shkreli:</t>
        </r>
        <r>
          <rPr>
            <sz val="8"/>
            <color indexed="81"/>
            <rFont val="Tahoma"/>
            <family val="2"/>
          </rPr>
          <t xml:space="preserve">
4768 jpm</t>
        </r>
      </text>
    </comment>
    <comment ref="O65" authorId="2" shapeId="0" xr:uid="{00000000-0006-0000-0700-000088010000}">
      <text>
        <r>
          <rPr>
            <b/>
            <sz val="8"/>
            <color indexed="81"/>
            <rFont val="Tahoma"/>
            <family val="2"/>
          </rPr>
          <t>Martin Shkreli:</t>
        </r>
        <r>
          <rPr>
            <sz val="8"/>
            <color indexed="81"/>
            <rFont val="Tahoma"/>
            <family val="2"/>
          </rPr>
          <t xml:space="preserve">
5198 jpm
5198 bear</t>
        </r>
      </text>
    </comment>
    <comment ref="P65" authorId="2" shapeId="0" xr:uid="{00000000-0006-0000-0700-000089010000}">
      <text>
        <r>
          <rPr>
            <b/>
            <sz val="8"/>
            <color indexed="81"/>
            <rFont val="Tahoma"/>
            <family val="2"/>
          </rPr>
          <t>Martin Shkreli:</t>
        </r>
        <r>
          <rPr>
            <sz val="8"/>
            <color indexed="81"/>
            <rFont val="Tahoma"/>
            <family val="2"/>
          </rPr>
          <t xml:space="preserve">
5409 jpm
5409 bear</t>
        </r>
      </text>
    </comment>
    <comment ref="Q65" authorId="2" shapeId="0" xr:uid="{00000000-0006-0000-0700-00008A010000}">
      <text>
        <r>
          <rPr>
            <b/>
            <sz val="8"/>
            <color indexed="81"/>
            <rFont val="Tahoma"/>
            <family val="2"/>
          </rPr>
          <t>Martin Shkreli:</t>
        </r>
        <r>
          <rPr>
            <sz val="8"/>
            <color indexed="81"/>
            <rFont val="Tahoma"/>
            <family val="2"/>
          </rPr>
          <t xml:space="preserve">
5247 jpm
5247 bear</t>
        </r>
      </text>
    </comment>
    <comment ref="R65" authorId="2" shapeId="0" xr:uid="{00000000-0006-0000-0700-00008B010000}">
      <text>
        <r>
          <rPr>
            <b/>
            <sz val="8"/>
            <color indexed="81"/>
            <rFont val="Tahoma"/>
            <family val="2"/>
          </rPr>
          <t>Martin Shkreli:</t>
        </r>
        <r>
          <rPr>
            <sz val="8"/>
            <color indexed="81"/>
            <rFont val="Tahoma"/>
            <family val="2"/>
          </rPr>
          <t xml:space="preserve">
5084 jpm
5084 bear</t>
        </r>
      </text>
    </comment>
    <comment ref="S65" authorId="2" shapeId="0" xr:uid="{00000000-0006-0000-0700-00008C010000}">
      <text>
        <r>
          <rPr>
            <b/>
            <sz val="8"/>
            <color indexed="81"/>
            <rFont val="Tahoma"/>
            <family val="2"/>
          </rPr>
          <t>Martin Shkreli:</t>
        </r>
        <r>
          <rPr>
            <sz val="8"/>
            <color indexed="81"/>
            <rFont val="Tahoma"/>
            <family val="2"/>
          </rPr>
          <t xml:space="preserve">
5545 bear</t>
        </r>
      </text>
    </comment>
    <comment ref="T65" authorId="2" shapeId="0" xr:uid="{00000000-0006-0000-0700-00008D010000}">
      <text>
        <r>
          <rPr>
            <b/>
            <sz val="8"/>
            <color indexed="81"/>
            <rFont val="Tahoma"/>
            <family val="2"/>
          </rPr>
          <t>Martin Shkreli:</t>
        </r>
        <r>
          <rPr>
            <sz val="8"/>
            <color indexed="81"/>
            <rFont val="Tahoma"/>
            <family val="2"/>
          </rPr>
          <t xml:space="preserve">
5807 bear</t>
        </r>
      </text>
    </comment>
    <comment ref="U65" authorId="2" shapeId="0" xr:uid="{00000000-0006-0000-0700-00008E010000}">
      <text>
        <r>
          <rPr>
            <b/>
            <sz val="8"/>
            <color indexed="81"/>
            <rFont val="Tahoma"/>
            <family val="2"/>
          </rPr>
          <t>Martin Shkreli:</t>
        </r>
        <r>
          <rPr>
            <sz val="8"/>
            <color indexed="81"/>
            <rFont val="Tahoma"/>
            <family val="2"/>
          </rPr>
          <t xml:space="preserve">
5662 bear</t>
        </r>
      </text>
    </comment>
    <comment ref="V65" authorId="2" shapeId="0" xr:uid="{00000000-0006-0000-0700-00008F010000}">
      <text>
        <r>
          <rPr>
            <b/>
            <sz val="8"/>
            <color indexed="81"/>
            <rFont val="Tahoma"/>
            <family val="2"/>
          </rPr>
          <t>Martin Shkreli:</t>
        </r>
        <r>
          <rPr>
            <sz val="8"/>
            <color indexed="81"/>
            <rFont val="Tahoma"/>
            <family val="2"/>
          </rPr>
          <t xml:space="preserve">
5723 bear</t>
        </r>
      </text>
    </comment>
    <comment ref="AI65" authorId="2" shapeId="0" xr:uid="{00000000-0006-0000-0700-000090010000}">
      <text>
        <r>
          <rPr>
            <b/>
            <sz val="8"/>
            <color indexed="81"/>
            <rFont val="Tahoma"/>
            <family val="2"/>
          </rPr>
          <t>Martin Shkreli:</t>
        </r>
        <r>
          <rPr>
            <sz val="8"/>
            <color indexed="81"/>
            <rFont val="Tahoma"/>
            <family val="2"/>
          </rPr>
          <t xml:space="preserve">
9350 bear</t>
        </r>
      </text>
    </comment>
    <comment ref="AJ65" authorId="2" shapeId="0" xr:uid="{00000000-0006-0000-0700-000091010000}">
      <text>
        <r>
          <rPr>
            <b/>
            <sz val="8"/>
            <color indexed="81"/>
            <rFont val="Tahoma"/>
            <family val="2"/>
          </rPr>
          <t>Martin Shkreli:</t>
        </r>
        <r>
          <rPr>
            <sz val="8"/>
            <color indexed="81"/>
            <rFont val="Tahoma"/>
            <family val="2"/>
          </rPr>
          <t xml:space="preserve">
9254 bear</t>
        </r>
      </text>
    </comment>
    <comment ref="AK65" authorId="2" shapeId="0" xr:uid="{00000000-0006-0000-0700-000092010000}">
      <text>
        <r>
          <rPr>
            <b/>
            <sz val="8"/>
            <color indexed="81"/>
            <rFont val="Tahoma"/>
            <family val="2"/>
          </rPr>
          <t>Martin Shkreli:</t>
        </r>
        <r>
          <rPr>
            <sz val="8"/>
            <color indexed="81"/>
            <rFont val="Tahoma"/>
            <family val="2"/>
          </rPr>
          <t xml:space="preserve">
8970 bear</t>
        </r>
      </text>
    </comment>
    <comment ref="AL65" authorId="2" shapeId="0" xr:uid="{00000000-0006-0000-0700-000093010000}">
      <text>
        <r>
          <rPr>
            <b/>
            <sz val="8"/>
            <color indexed="81"/>
            <rFont val="Tahoma"/>
            <family val="2"/>
          </rPr>
          <t>Martin Shkreli:</t>
        </r>
        <r>
          <rPr>
            <sz val="8"/>
            <color indexed="81"/>
            <rFont val="Tahoma"/>
            <family val="2"/>
          </rPr>
          <t xml:space="preserve">
8986 bear</t>
        </r>
      </text>
    </comment>
    <comment ref="DQ65" authorId="2" shapeId="0" xr:uid="{00000000-0006-0000-0700-000094010000}">
      <text>
        <r>
          <rPr>
            <b/>
            <sz val="8"/>
            <color indexed="81"/>
            <rFont val="Tahoma"/>
            <family val="2"/>
          </rPr>
          <t>Martin Shkreli:</t>
        </r>
        <r>
          <rPr>
            <sz val="8"/>
            <color indexed="81"/>
            <rFont val="Tahoma"/>
            <family val="2"/>
          </rPr>
          <t xml:space="preserve">
7374 bear</t>
        </r>
      </text>
    </comment>
    <comment ref="DR65" authorId="2" shapeId="0" xr:uid="{00000000-0006-0000-0700-000095010000}">
      <text>
        <r>
          <rPr>
            <b/>
            <sz val="8"/>
            <color indexed="81"/>
            <rFont val="Tahoma"/>
            <family val="2"/>
          </rPr>
          <t>Martin Shkreli:</t>
        </r>
        <r>
          <rPr>
            <sz val="8"/>
            <color indexed="81"/>
            <rFont val="Tahoma"/>
            <family val="2"/>
          </rPr>
          <t xml:space="preserve">
8323 bear</t>
        </r>
      </text>
    </comment>
    <comment ref="DS65" authorId="2" shapeId="0" xr:uid="{00000000-0006-0000-0700-000096010000}">
      <text>
        <r>
          <rPr>
            <b/>
            <sz val="8"/>
            <color indexed="81"/>
            <rFont val="Tahoma"/>
            <family val="2"/>
          </rPr>
          <t>Martin Shkreli:</t>
        </r>
        <r>
          <rPr>
            <sz val="8"/>
            <color indexed="81"/>
            <rFont val="Tahoma"/>
            <family val="2"/>
          </rPr>
          <t xml:space="preserve">
9237 bear</t>
        </r>
      </text>
    </comment>
    <comment ref="DT65" authorId="2" shapeId="0" xr:uid="{00000000-0006-0000-0700-000097010000}">
      <text>
        <r>
          <rPr>
            <b/>
            <sz val="8"/>
            <color indexed="81"/>
            <rFont val="Tahoma"/>
            <family val="2"/>
          </rPr>
          <t>Martin Shkreli:</t>
        </r>
        <r>
          <rPr>
            <sz val="8"/>
            <color indexed="81"/>
            <rFont val="Tahoma"/>
            <family val="2"/>
          </rPr>
          <t xml:space="preserve">
9433 bear</t>
        </r>
      </text>
    </comment>
    <comment ref="DU65" authorId="2" shapeId="0" xr:uid="{00000000-0006-0000-0700-000098010000}">
      <text>
        <r>
          <rPr>
            <b/>
            <sz val="8"/>
            <color indexed="81"/>
            <rFont val="Tahoma"/>
            <family val="2"/>
          </rPr>
          <t>Martin Shkreli:</t>
        </r>
        <r>
          <rPr>
            <sz val="8"/>
            <color indexed="81"/>
            <rFont val="Tahoma"/>
            <family val="2"/>
          </rPr>
          <t xml:space="preserve">
10566 bear</t>
        </r>
      </text>
    </comment>
    <comment ref="DV65" authorId="2" shapeId="0" xr:uid="{00000000-0006-0000-0700-000099010000}">
      <text>
        <r>
          <rPr>
            <b/>
            <sz val="8"/>
            <color indexed="81"/>
            <rFont val="Tahoma"/>
            <family val="2"/>
          </rPr>
          <t>Martin Shkreli:</t>
        </r>
        <r>
          <rPr>
            <sz val="8"/>
            <color indexed="81"/>
            <rFont val="Tahoma"/>
            <family val="2"/>
          </rPr>
          <t xml:space="preserve">
12765 bear</t>
        </r>
      </text>
    </comment>
    <comment ref="DW65" authorId="2" shapeId="0" xr:uid="{00000000-0006-0000-0700-00009A010000}">
      <text>
        <r>
          <rPr>
            <b/>
            <sz val="8"/>
            <color indexed="81"/>
            <rFont val="Tahoma"/>
            <family val="2"/>
          </rPr>
          <t>Martin Shkreli:</t>
        </r>
        <r>
          <rPr>
            <sz val="8"/>
            <color indexed="81"/>
            <rFont val="Tahoma"/>
            <family val="2"/>
          </rPr>
          <t xml:space="preserve">
14854 bear</t>
        </r>
      </text>
    </comment>
    <comment ref="DX65" authorId="2" shapeId="0" xr:uid="{00000000-0006-0000-0700-00009B010000}">
      <text>
        <r>
          <rPr>
            <b/>
            <sz val="8"/>
            <color indexed="81"/>
            <rFont val="Tahoma"/>
            <family val="2"/>
          </rPr>
          <t>Martin Shkreli:</t>
        </r>
        <r>
          <rPr>
            <sz val="8"/>
            <color indexed="81"/>
            <rFont val="Tahoma"/>
            <family val="2"/>
          </rPr>
          <t xml:space="preserve">
15827 bear</t>
        </r>
      </text>
    </comment>
    <comment ref="DY65" authorId="2" shapeId="0" xr:uid="{00000000-0006-0000-0700-00009C010000}">
      <text>
        <r>
          <rPr>
            <b/>
            <sz val="8"/>
            <color indexed="81"/>
            <rFont val="Tahoma"/>
            <family val="2"/>
          </rPr>
          <t>Martin Shkreli:</t>
        </r>
        <r>
          <rPr>
            <sz val="8"/>
            <color indexed="81"/>
            <rFont val="Tahoma"/>
            <family val="2"/>
          </rPr>
          <t xml:space="preserve">
16752 bear</t>
        </r>
      </text>
    </comment>
    <comment ref="DZ65" authorId="2" shapeId="0" xr:uid="{00000000-0006-0000-0700-00009D010000}">
      <text>
        <r>
          <rPr>
            <b/>
            <sz val="8"/>
            <color indexed="81"/>
            <rFont val="Tahoma"/>
            <family val="2"/>
          </rPr>
          <t>Martin Shkreli:</t>
        </r>
        <r>
          <rPr>
            <sz val="8"/>
            <color indexed="81"/>
            <rFont val="Tahoma"/>
            <family val="2"/>
          </rPr>
          <t xml:space="preserve">
19510 jpm
19509 bear</t>
        </r>
      </text>
    </comment>
    <comment ref="EA65" authorId="2" shapeId="0" xr:uid="{00000000-0006-0000-0700-00009E010000}">
      <text>
        <r>
          <rPr>
            <b/>
            <sz val="8"/>
            <color indexed="81"/>
            <rFont val="Tahoma"/>
            <family val="2"/>
          </rPr>
          <t>Martin Shkreli:</t>
        </r>
        <r>
          <rPr>
            <sz val="8"/>
            <color indexed="81"/>
            <rFont val="Tahoma"/>
            <family val="2"/>
          </rPr>
          <t xml:space="preserve">
20938 jpm
20938 bear</t>
        </r>
      </text>
    </comment>
    <comment ref="EB65" authorId="2" shapeId="0" xr:uid="{00000000-0006-0000-0700-00009F010000}">
      <text>
        <r>
          <rPr>
            <b/>
            <sz val="8"/>
            <color indexed="81"/>
            <rFont val="Tahoma"/>
            <family val="2"/>
          </rPr>
          <t>Martin Shkreli:</t>
        </r>
        <r>
          <rPr>
            <sz val="8"/>
            <color indexed="81"/>
            <rFont val="Tahoma"/>
            <family val="2"/>
          </rPr>
          <t xml:space="preserve">
22737 bear</t>
        </r>
      </text>
    </comment>
    <comment ref="K66" authorId="2" shapeId="0" xr:uid="{00000000-0006-0000-0700-0000A0010000}">
      <text>
        <r>
          <rPr>
            <b/>
            <sz val="8"/>
            <color indexed="81"/>
            <rFont val="Tahoma"/>
            <family val="2"/>
          </rPr>
          <t>Martin Shkreli:</t>
        </r>
        <r>
          <rPr>
            <sz val="8"/>
            <color indexed="81"/>
            <rFont val="Tahoma"/>
            <family val="2"/>
          </rPr>
          <t xml:space="preserve">
2491 jpm</t>
        </r>
      </text>
    </comment>
    <comment ref="L66" authorId="2" shapeId="0" xr:uid="{00000000-0006-0000-0700-0000A1010000}">
      <text>
        <r>
          <rPr>
            <b/>
            <sz val="8"/>
            <color indexed="81"/>
            <rFont val="Tahoma"/>
            <family val="2"/>
          </rPr>
          <t>Martin Shkreli:</t>
        </r>
        <r>
          <rPr>
            <sz val="8"/>
            <color indexed="81"/>
            <rFont val="Tahoma"/>
            <family val="2"/>
          </rPr>
          <t xml:space="preserve">
2646 jpm</t>
        </r>
      </text>
    </comment>
    <comment ref="M66" authorId="2" shapeId="0" xr:uid="{00000000-0006-0000-0700-0000A2010000}">
      <text>
        <r>
          <rPr>
            <b/>
            <sz val="8"/>
            <color indexed="81"/>
            <rFont val="Tahoma"/>
            <family val="2"/>
          </rPr>
          <t>Martin Shkreli:</t>
        </r>
        <r>
          <rPr>
            <sz val="8"/>
            <color indexed="81"/>
            <rFont val="Tahoma"/>
            <family val="2"/>
          </rPr>
          <t xml:space="preserve">
2682 jpm</t>
        </r>
      </text>
    </comment>
    <comment ref="N66" authorId="2" shapeId="0" xr:uid="{00000000-0006-0000-0700-0000A3010000}">
      <text>
        <r>
          <rPr>
            <b/>
            <sz val="8"/>
            <color indexed="81"/>
            <rFont val="Tahoma"/>
            <family val="2"/>
          </rPr>
          <t>Martin Shkreli:</t>
        </r>
        <r>
          <rPr>
            <sz val="8"/>
            <color indexed="81"/>
            <rFont val="Tahoma"/>
            <family val="2"/>
          </rPr>
          <t xml:space="preserve">
2937 jpm</t>
        </r>
      </text>
    </comment>
    <comment ref="O66" authorId="2" shapeId="0" xr:uid="{00000000-0006-0000-0700-0000A4010000}">
      <text>
        <r>
          <rPr>
            <b/>
            <sz val="8"/>
            <color indexed="81"/>
            <rFont val="Tahoma"/>
            <family val="2"/>
          </rPr>
          <t>Martin Shkreli:</t>
        </r>
        <r>
          <rPr>
            <sz val="8"/>
            <color indexed="81"/>
            <rFont val="Tahoma"/>
            <family val="2"/>
          </rPr>
          <t xml:space="preserve">
2679 jpm
2679 bear</t>
        </r>
      </text>
    </comment>
    <comment ref="P66" authorId="2" shapeId="0" xr:uid="{00000000-0006-0000-0700-0000A5010000}">
      <text>
        <r>
          <rPr>
            <b/>
            <sz val="8"/>
            <color indexed="81"/>
            <rFont val="Tahoma"/>
            <family val="2"/>
          </rPr>
          <t>Martin Shkreli:</t>
        </r>
        <r>
          <rPr>
            <sz val="8"/>
            <color indexed="81"/>
            <rFont val="Tahoma"/>
            <family val="2"/>
          </rPr>
          <t xml:space="preserve">
2829 jpm
2829 bear</t>
        </r>
      </text>
    </comment>
    <comment ref="Q66" authorId="2" shapeId="0" xr:uid="{00000000-0006-0000-0700-0000A6010000}">
      <text>
        <r>
          <rPr>
            <b/>
            <sz val="8"/>
            <color indexed="81"/>
            <rFont val="Tahoma"/>
            <family val="2"/>
          </rPr>
          <t>Martin Shkreli:</t>
        </r>
        <r>
          <rPr>
            <sz val="8"/>
            <color indexed="81"/>
            <rFont val="Tahoma"/>
            <family val="2"/>
          </rPr>
          <t xml:space="preserve">
2767 jpm
2767 bear</t>
        </r>
      </text>
    </comment>
    <comment ref="R66" authorId="2" shapeId="0" xr:uid="{00000000-0006-0000-0700-0000A7010000}">
      <text>
        <r>
          <rPr>
            <b/>
            <sz val="8"/>
            <color indexed="81"/>
            <rFont val="Tahoma"/>
            <family val="2"/>
          </rPr>
          <t>Martin Shkreli:</t>
        </r>
        <r>
          <rPr>
            <sz val="8"/>
            <color indexed="81"/>
            <rFont val="Tahoma"/>
            <family val="2"/>
          </rPr>
          <t xml:space="preserve">
2943 jpm
2943 bear</t>
        </r>
      </text>
    </comment>
    <comment ref="S66" authorId="2" shapeId="0" xr:uid="{00000000-0006-0000-0700-0000A8010000}">
      <text>
        <r>
          <rPr>
            <b/>
            <sz val="8"/>
            <color indexed="81"/>
            <rFont val="Tahoma"/>
            <family val="2"/>
          </rPr>
          <t>Martin Shkreli:</t>
        </r>
        <r>
          <rPr>
            <sz val="8"/>
            <color indexed="81"/>
            <rFont val="Tahoma"/>
            <family val="2"/>
          </rPr>
          <t xml:space="preserve">
2666 bear
2666 jpm</t>
        </r>
      </text>
    </comment>
    <comment ref="T66" authorId="2" shapeId="0" xr:uid="{00000000-0006-0000-0700-0000A9010000}">
      <text>
        <r>
          <rPr>
            <b/>
            <sz val="8"/>
            <color indexed="81"/>
            <rFont val="Tahoma"/>
            <family val="2"/>
          </rPr>
          <t>Martin Shkreli:</t>
        </r>
        <r>
          <rPr>
            <sz val="8"/>
            <color indexed="81"/>
            <rFont val="Tahoma"/>
            <family val="2"/>
          </rPr>
          <t xml:space="preserve">
2802 bear</t>
        </r>
      </text>
    </comment>
    <comment ref="U66" authorId="2" shapeId="0" xr:uid="{00000000-0006-0000-0700-0000AA010000}">
      <text>
        <r>
          <rPr>
            <b/>
            <sz val="8"/>
            <color indexed="81"/>
            <rFont val="Tahoma"/>
            <family val="2"/>
          </rPr>
          <t>Martin Shkreli:</t>
        </r>
        <r>
          <rPr>
            <sz val="8"/>
            <color indexed="81"/>
            <rFont val="Tahoma"/>
            <family val="2"/>
          </rPr>
          <t xml:space="preserve">
2703 bear</t>
        </r>
      </text>
    </comment>
    <comment ref="V66" authorId="2" shapeId="0" xr:uid="{00000000-0006-0000-0700-0000AB010000}">
      <text>
        <r>
          <rPr>
            <b/>
            <sz val="8"/>
            <color indexed="81"/>
            <rFont val="Tahoma"/>
            <family val="2"/>
          </rPr>
          <t>Martin Shkreli:</t>
        </r>
        <r>
          <rPr>
            <sz val="8"/>
            <color indexed="81"/>
            <rFont val="Tahoma"/>
            <family val="2"/>
          </rPr>
          <t xml:space="preserve">
3089 bear</t>
        </r>
      </text>
    </comment>
    <comment ref="AI66" authorId="2" shapeId="0" xr:uid="{00000000-0006-0000-0700-0000AC010000}">
      <text>
        <r>
          <rPr>
            <b/>
            <sz val="8"/>
            <color indexed="81"/>
            <rFont val="Tahoma"/>
            <family val="2"/>
          </rPr>
          <t>Martin Shkreli:</t>
        </r>
        <r>
          <rPr>
            <sz val="8"/>
            <color indexed="81"/>
            <rFont val="Tahoma"/>
            <family val="2"/>
          </rPr>
          <t xml:space="preserve">
4043 bear</t>
        </r>
      </text>
    </comment>
    <comment ref="AK66" authorId="2" shapeId="0" xr:uid="{00000000-0006-0000-0700-0000AD010000}">
      <text>
        <r>
          <rPr>
            <b/>
            <sz val="8"/>
            <color indexed="81"/>
            <rFont val="Tahoma"/>
            <family val="2"/>
          </rPr>
          <t>Martin Shkreli:</t>
        </r>
        <r>
          <rPr>
            <sz val="8"/>
            <color indexed="81"/>
            <rFont val="Tahoma"/>
            <family val="2"/>
          </rPr>
          <t xml:space="preserve">
4078 bear</t>
        </r>
      </text>
    </comment>
    <comment ref="AL66" authorId="2" shapeId="0" xr:uid="{00000000-0006-0000-0700-0000AE010000}">
      <text>
        <r>
          <rPr>
            <b/>
            <sz val="8"/>
            <color indexed="81"/>
            <rFont val="Tahoma"/>
            <family val="2"/>
          </rPr>
          <t>Martin Shkreli:</t>
        </r>
        <r>
          <rPr>
            <sz val="8"/>
            <color indexed="81"/>
            <rFont val="Tahoma"/>
            <family val="2"/>
          </rPr>
          <t xml:space="preserve">
4562 bear</t>
        </r>
      </text>
    </comment>
    <comment ref="BB66" authorId="0" shapeId="0" xr:uid="{00000000-0006-0000-0700-0000AF010000}">
      <text>
        <r>
          <rPr>
            <sz val="9"/>
            <color indexed="81"/>
            <rFont val="Tahoma"/>
            <family val="2"/>
          </rPr>
          <t>recall costs impacted 6c</t>
        </r>
      </text>
    </comment>
    <comment ref="DC66" authorId="34"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6" authorId="2" shapeId="0" xr:uid="{00000000-0006-0000-0700-0000B0010000}">
      <text>
        <r>
          <rPr>
            <b/>
            <sz val="8"/>
            <color indexed="81"/>
            <rFont val="Tahoma"/>
            <family val="2"/>
          </rPr>
          <t>Martin Shkreli:</t>
        </r>
        <r>
          <rPr>
            <sz val="8"/>
            <color indexed="81"/>
            <rFont val="Tahoma"/>
            <family val="2"/>
          </rPr>
          <t xml:space="preserve">
4481 bear</t>
        </r>
      </text>
    </comment>
    <comment ref="DR66" authorId="2" shapeId="0" xr:uid="{00000000-0006-0000-0700-0000B1010000}">
      <text>
        <r>
          <rPr>
            <b/>
            <sz val="8"/>
            <color indexed="81"/>
            <rFont val="Tahoma"/>
            <family val="2"/>
          </rPr>
          <t>Martin Shkreli:</t>
        </r>
        <r>
          <rPr>
            <sz val="8"/>
            <color indexed="81"/>
            <rFont val="Tahoma"/>
            <family val="2"/>
          </rPr>
          <t xml:space="preserve">
5202 bear</t>
        </r>
      </text>
    </comment>
    <comment ref="DS66" authorId="2" shapeId="0" xr:uid="{00000000-0006-0000-0700-0000B2010000}">
      <text>
        <r>
          <rPr>
            <b/>
            <sz val="8"/>
            <color indexed="81"/>
            <rFont val="Tahoma"/>
            <family val="2"/>
          </rPr>
          <t>Martin Shkreli:</t>
        </r>
        <r>
          <rPr>
            <sz val="8"/>
            <color indexed="81"/>
            <rFont val="Tahoma"/>
            <family val="2"/>
          </rPr>
          <t xml:space="preserve">
5776 bear</t>
        </r>
      </text>
    </comment>
    <comment ref="DT66" authorId="2" shapeId="0" xr:uid="{00000000-0006-0000-0700-0000B3010000}">
      <text>
        <r>
          <rPr>
            <b/>
            <sz val="8"/>
            <color indexed="81"/>
            <rFont val="Tahoma"/>
            <family val="2"/>
          </rPr>
          <t>Martin Shkreli:</t>
        </r>
        <r>
          <rPr>
            <sz val="8"/>
            <color indexed="81"/>
            <rFont val="Tahoma"/>
            <family val="2"/>
          </rPr>
          <t xml:space="preserve">
5828 bear</t>
        </r>
      </text>
    </comment>
    <comment ref="DU66" authorId="2" shapeId="0" xr:uid="{00000000-0006-0000-0700-0000B4010000}">
      <text>
        <r>
          <rPr>
            <b/>
            <sz val="8"/>
            <color indexed="81"/>
            <rFont val="Tahoma"/>
            <family val="2"/>
          </rPr>
          <t>Martin Shkreli:</t>
        </r>
        <r>
          <rPr>
            <sz val="8"/>
            <color indexed="81"/>
            <rFont val="Tahoma"/>
            <family val="2"/>
          </rPr>
          <t xml:space="preserve">
6406 bear</t>
        </r>
      </text>
    </comment>
    <comment ref="DV66" authorId="2" shapeId="0" xr:uid="{00000000-0006-0000-0700-0000B5010000}">
      <text>
        <r>
          <rPr>
            <b/>
            <sz val="8"/>
            <color indexed="81"/>
            <rFont val="Tahoma"/>
            <family val="2"/>
          </rPr>
          <t>Martin Shkreli:</t>
        </r>
        <r>
          <rPr>
            <sz val="8"/>
            <color indexed="81"/>
            <rFont val="Tahoma"/>
            <family val="2"/>
          </rPr>
          <t xml:space="preserve">
7530 bear</t>
        </r>
      </text>
    </comment>
    <comment ref="DW66" authorId="2" shapeId="0" xr:uid="{00000000-0006-0000-0700-0000B6010000}">
      <text>
        <r>
          <rPr>
            <b/>
            <sz val="8"/>
            <color indexed="81"/>
            <rFont val="Tahoma"/>
            <family val="2"/>
          </rPr>
          <t>Martin Shkreli:</t>
        </r>
        <r>
          <rPr>
            <sz val="8"/>
            <color indexed="81"/>
            <rFont val="Tahoma"/>
            <family val="2"/>
          </rPr>
          <t xml:space="preserve">
8500 bear</t>
        </r>
      </text>
    </comment>
    <comment ref="DX66" authorId="2" shapeId="0" xr:uid="{00000000-0006-0000-0700-0000B7010000}">
      <text>
        <r>
          <rPr>
            <b/>
            <sz val="8"/>
            <color indexed="81"/>
            <rFont val="Tahoma"/>
            <family val="2"/>
          </rPr>
          <t>Martin Shkreli:</t>
        </r>
        <r>
          <rPr>
            <sz val="8"/>
            <color indexed="81"/>
            <rFont val="Tahoma"/>
            <family val="2"/>
          </rPr>
          <t xml:space="preserve">
8840 bear</t>
        </r>
      </text>
    </comment>
    <comment ref="DY66" authorId="2" shapeId="0" xr:uid="{00000000-0006-0000-0700-0000B8010000}">
      <text>
        <r>
          <rPr>
            <b/>
            <sz val="8"/>
            <color indexed="81"/>
            <rFont val="Tahoma"/>
            <family val="2"/>
          </rPr>
          <t>Martin Shkreli:</t>
        </r>
        <r>
          <rPr>
            <sz val="8"/>
            <color indexed="81"/>
            <rFont val="Tahoma"/>
            <family val="2"/>
          </rPr>
          <t xml:space="preserve">
9166 bear</t>
        </r>
      </text>
    </comment>
    <comment ref="DZ66" authorId="2" shapeId="0" xr:uid="{00000000-0006-0000-0700-0000B9010000}">
      <text>
        <r>
          <rPr>
            <b/>
            <sz val="8"/>
            <color indexed="81"/>
            <rFont val="Tahoma"/>
            <family val="2"/>
          </rPr>
          <t>Martin Shkreli:</t>
        </r>
        <r>
          <rPr>
            <sz val="8"/>
            <color indexed="81"/>
            <rFont val="Tahoma"/>
            <family val="2"/>
          </rPr>
          <t xml:space="preserve">
10756 jpm
10756 bear</t>
        </r>
      </text>
    </comment>
    <comment ref="EA66" authorId="2" shapeId="0" xr:uid="{00000000-0006-0000-0700-0000BA010000}">
      <text>
        <r>
          <rPr>
            <b/>
            <sz val="8"/>
            <color indexed="81"/>
            <rFont val="Tahoma"/>
            <family val="2"/>
          </rPr>
          <t>Martin Shkreli:</t>
        </r>
        <r>
          <rPr>
            <sz val="8"/>
            <color indexed="81"/>
            <rFont val="Tahoma"/>
            <family val="2"/>
          </rPr>
          <t xml:space="preserve">
11218 jpm
11218 bear</t>
        </r>
      </text>
    </comment>
    <comment ref="EB66" authorId="2" shapeId="0" xr:uid="{00000000-0006-0000-0700-0000BB010000}">
      <text>
        <r>
          <rPr>
            <b/>
            <sz val="8"/>
            <color indexed="81"/>
            <rFont val="Tahoma"/>
            <family val="2"/>
          </rPr>
          <t>Martin Shkreli:</t>
        </r>
        <r>
          <rPr>
            <sz val="8"/>
            <color indexed="81"/>
            <rFont val="Tahoma"/>
            <family val="2"/>
          </rPr>
          <t xml:space="preserve">
11260 bear</t>
        </r>
      </text>
    </comment>
    <comment ref="K67" authorId="2" shapeId="0" xr:uid="{00000000-0006-0000-0700-0000BC010000}">
      <text>
        <r>
          <rPr>
            <b/>
            <sz val="8"/>
            <color indexed="81"/>
            <rFont val="Tahoma"/>
            <family val="2"/>
          </rPr>
          <t>Martin Shkreli:</t>
        </r>
        <r>
          <rPr>
            <sz val="8"/>
            <color indexed="81"/>
            <rFont val="Tahoma"/>
            <family val="2"/>
          </rPr>
          <t xml:space="preserve">
597 jpm</t>
        </r>
      </text>
    </comment>
    <comment ref="L67" authorId="2" shapeId="0" xr:uid="{00000000-0006-0000-0700-0000BD010000}">
      <text>
        <r>
          <rPr>
            <b/>
            <sz val="8"/>
            <color indexed="81"/>
            <rFont val="Tahoma"/>
            <family val="2"/>
          </rPr>
          <t>Martin Shkreli:</t>
        </r>
        <r>
          <rPr>
            <sz val="8"/>
            <color indexed="81"/>
            <rFont val="Tahoma"/>
            <family val="2"/>
          </rPr>
          <t xml:space="preserve">
640 jpm</t>
        </r>
      </text>
    </comment>
    <comment ref="M67" authorId="2" shapeId="0" xr:uid="{00000000-0006-0000-0700-0000BE010000}">
      <text>
        <r>
          <rPr>
            <b/>
            <sz val="8"/>
            <color indexed="81"/>
            <rFont val="Tahoma"/>
            <family val="2"/>
          </rPr>
          <t>Martin Shkreli:</t>
        </r>
        <r>
          <rPr>
            <sz val="8"/>
            <color indexed="81"/>
            <rFont val="Tahoma"/>
            <family val="2"/>
          </rPr>
          <t xml:space="preserve">
672 jpm</t>
        </r>
      </text>
    </comment>
    <comment ref="N67" authorId="2" shapeId="0" xr:uid="{00000000-0006-0000-0700-0000BF010000}">
      <text>
        <r>
          <rPr>
            <b/>
            <sz val="8"/>
            <color indexed="81"/>
            <rFont val="Tahoma"/>
            <family val="2"/>
          </rPr>
          <t>Martin Shkreli:</t>
        </r>
        <r>
          <rPr>
            <sz val="8"/>
            <color indexed="81"/>
            <rFont val="Tahoma"/>
            <family val="2"/>
          </rPr>
          <t xml:space="preserve">
858 jpm</t>
        </r>
      </text>
    </comment>
    <comment ref="O67" authorId="2" shapeId="0" xr:uid="{00000000-0006-0000-0700-0000C0010000}">
      <text>
        <r>
          <rPr>
            <b/>
            <sz val="8"/>
            <color indexed="81"/>
            <rFont val="Tahoma"/>
            <family val="2"/>
          </rPr>
          <t>Martin Shkreli:</t>
        </r>
        <r>
          <rPr>
            <sz val="8"/>
            <color indexed="81"/>
            <rFont val="Tahoma"/>
            <family val="2"/>
          </rPr>
          <t xml:space="preserve">
677 jpm
677 bear</t>
        </r>
      </text>
    </comment>
    <comment ref="P67" authorId="2" shapeId="0" xr:uid="{00000000-0006-0000-0700-0000C1010000}">
      <text>
        <r>
          <rPr>
            <b/>
            <sz val="8"/>
            <color indexed="81"/>
            <rFont val="Tahoma"/>
            <family val="2"/>
          </rPr>
          <t>Martin Shkreli:</t>
        </r>
        <r>
          <rPr>
            <sz val="8"/>
            <color indexed="81"/>
            <rFont val="Tahoma"/>
            <family val="2"/>
          </rPr>
          <t xml:space="preserve">
713 jpm
713 bear</t>
        </r>
      </text>
    </comment>
    <comment ref="Q67" authorId="2" shapeId="0" xr:uid="{00000000-0006-0000-0700-0000C2010000}">
      <text>
        <r>
          <rPr>
            <b/>
            <sz val="8"/>
            <color indexed="81"/>
            <rFont val="Tahoma"/>
            <family val="2"/>
          </rPr>
          <t>Martin Shkreli:</t>
        </r>
        <r>
          <rPr>
            <sz val="8"/>
            <color indexed="81"/>
            <rFont val="Tahoma"/>
            <family val="2"/>
          </rPr>
          <t xml:space="preserve">
739 jpm
739 bear</t>
        </r>
      </text>
    </comment>
    <comment ref="R67" authorId="2" shapeId="0" xr:uid="{00000000-0006-0000-0700-0000C3010000}">
      <text>
        <r>
          <rPr>
            <b/>
            <sz val="8"/>
            <color indexed="81"/>
            <rFont val="Tahoma"/>
            <family val="2"/>
          </rPr>
          <t>Martin Shkreli:</t>
        </r>
        <r>
          <rPr>
            <sz val="8"/>
            <color indexed="81"/>
            <rFont val="Tahoma"/>
            <family val="2"/>
          </rPr>
          <t xml:space="preserve">
976 jpm
976 bear</t>
        </r>
      </text>
    </comment>
    <comment ref="S67" authorId="2" shapeId="0" xr:uid="{00000000-0006-0000-0700-0000C4010000}">
      <text>
        <r>
          <rPr>
            <b/>
            <sz val="8"/>
            <color indexed="81"/>
            <rFont val="Tahoma"/>
            <family val="2"/>
          </rPr>
          <t>Martin Shkreli:</t>
        </r>
        <r>
          <rPr>
            <sz val="8"/>
            <color indexed="81"/>
            <rFont val="Tahoma"/>
            <family val="2"/>
          </rPr>
          <t xml:space="preserve">
759 bear
759 jpm</t>
        </r>
      </text>
    </comment>
    <comment ref="AI67" authorId="2" shapeId="0" xr:uid="{00000000-0006-0000-0700-0000C5010000}">
      <text>
        <r>
          <rPr>
            <b/>
            <sz val="8"/>
            <color indexed="81"/>
            <rFont val="Tahoma"/>
            <family val="2"/>
          </rPr>
          <t>Martin Shkreli:</t>
        </r>
        <r>
          <rPr>
            <sz val="8"/>
            <color indexed="81"/>
            <rFont val="Tahoma"/>
            <family val="2"/>
          </rPr>
          <t xml:space="preserve">
1347 bear</t>
        </r>
      </text>
    </comment>
    <comment ref="AK67" authorId="2" shapeId="0" xr:uid="{00000000-0006-0000-0700-0000C6010000}">
      <text>
        <r>
          <rPr>
            <b/>
            <sz val="8"/>
            <color indexed="81"/>
            <rFont val="Tahoma"/>
            <family val="2"/>
          </rPr>
          <t>Martin Shkreli:</t>
        </r>
        <r>
          <rPr>
            <sz val="8"/>
            <color indexed="81"/>
            <rFont val="Tahoma"/>
            <family val="2"/>
          </rPr>
          <t xml:space="preserve">
1502 bear</t>
        </r>
      </text>
    </comment>
    <comment ref="AL67" authorId="2" shapeId="0" xr:uid="{00000000-0006-0000-0700-0000C7010000}">
      <text>
        <r>
          <rPr>
            <b/>
            <sz val="8"/>
            <color indexed="81"/>
            <rFont val="Tahoma"/>
            <family val="2"/>
          </rPr>
          <t>Martin Shkreli:</t>
        </r>
        <r>
          <rPr>
            <sz val="8"/>
            <color indexed="81"/>
            <rFont val="Tahoma"/>
            <family val="2"/>
          </rPr>
          <t xml:space="preserve">
1976 bear</t>
        </r>
      </text>
    </comment>
    <comment ref="AN67"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7" authorId="35"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7" authorId="2" shapeId="0" xr:uid="{00000000-0006-0000-0700-0000C9010000}">
      <text>
        <r>
          <rPr>
            <b/>
            <sz val="8"/>
            <color indexed="81"/>
            <rFont val="Tahoma"/>
            <family val="2"/>
          </rPr>
          <t>Martin Shkreli:</t>
        </r>
        <r>
          <rPr>
            <sz val="8"/>
            <color indexed="81"/>
            <rFont val="Tahoma"/>
            <family val="2"/>
          </rPr>
          <t xml:space="preserve">
869 bear</t>
        </r>
      </text>
    </comment>
    <comment ref="DR67" authorId="2" shapeId="0" xr:uid="{00000000-0006-0000-0700-0000CA010000}">
      <text>
        <r>
          <rPr>
            <b/>
            <sz val="8"/>
            <color indexed="81"/>
            <rFont val="Tahoma"/>
            <family val="2"/>
          </rPr>
          <t>Martin Shkreli:</t>
        </r>
        <r>
          <rPr>
            <sz val="8"/>
            <color indexed="81"/>
            <rFont val="Tahoma"/>
            <family val="2"/>
          </rPr>
          <t xml:space="preserve">
1092 bear</t>
        </r>
      </text>
    </comment>
    <comment ref="DS67" authorId="2" shapeId="0" xr:uid="{00000000-0006-0000-0700-0000CB010000}">
      <text>
        <r>
          <rPr>
            <b/>
            <sz val="8"/>
            <color indexed="81"/>
            <rFont val="Tahoma"/>
            <family val="2"/>
          </rPr>
          <t>Martin Shkreli:</t>
        </r>
        <r>
          <rPr>
            <sz val="8"/>
            <color indexed="81"/>
            <rFont val="Tahoma"/>
            <family val="2"/>
          </rPr>
          <t xml:space="preserve">
1282 bear</t>
        </r>
      </text>
    </comment>
    <comment ref="DT67" authorId="2" shapeId="0" xr:uid="{00000000-0006-0000-0700-0000CC010000}">
      <text>
        <r>
          <rPr>
            <b/>
            <sz val="8"/>
            <color indexed="81"/>
            <rFont val="Tahoma"/>
            <family val="2"/>
          </rPr>
          <t>Martin Shkreli:</t>
        </r>
        <r>
          <rPr>
            <sz val="8"/>
            <color indexed="81"/>
            <rFont val="Tahoma"/>
            <family val="2"/>
          </rPr>
          <t xml:space="preserve">
1296 bear</t>
        </r>
      </text>
    </comment>
    <comment ref="DU67" authorId="2" shapeId="0" xr:uid="{00000000-0006-0000-0700-0000CD010000}">
      <text>
        <r>
          <rPr>
            <b/>
            <sz val="8"/>
            <color indexed="81"/>
            <rFont val="Tahoma"/>
            <family val="2"/>
          </rPr>
          <t>Martin Shkreli:</t>
        </r>
        <r>
          <rPr>
            <sz val="8"/>
            <color indexed="81"/>
            <rFont val="Tahoma"/>
            <family val="2"/>
          </rPr>
          <t xml:space="preserve">
1416 bear</t>
        </r>
      </text>
    </comment>
    <comment ref="DV67" authorId="2" shapeId="0" xr:uid="{00000000-0006-0000-0700-0000CE010000}">
      <text>
        <r>
          <rPr>
            <b/>
            <sz val="8"/>
            <color indexed="81"/>
            <rFont val="Tahoma"/>
            <family val="2"/>
          </rPr>
          <t>Martin Shkreli:</t>
        </r>
        <r>
          <rPr>
            <sz val="8"/>
            <color indexed="81"/>
            <rFont val="Tahoma"/>
            <family val="2"/>
          </rPr>
          <t xml:space="preserve">
1788 bear</t>
        </r>
      </text>
    </comment>
    <comment ref="DW67" authorId="2" shapeId="0" xr:uid="{00000000-0006-0000-0700-0000CF010000}">
      <text>
        <r>
          <rPr>
            <b/>
            <sz val="8"/>
            <color indexed="81"/>
            <rFont val="Tahoma"/>
            <family val="2"/>
          </rPr>
          <t>Martin Shkreli:</t>
        </r>
        <r>
          <rPr>
            <sz val="8"/>
            <color indexed="81"/>
            <rFont val="Tahoma"/>
            <family val="2"/>
          </rPr>
          <t xml:space="preserve">
2109 bear</t>
        </r>
      </text>
    </comment>
    <comment ref="DX67" authorId="2" shapeId="0" xr:uid="{00000000-0006-0000-0700-0000D0010000}">
      <text>
        <r>
          <rPr>
            <b/>
            <sz val="8"/>
            <color indexed="81"/>
            <rFont val="Tahoma"/>
            <family val="2"/>
          </rPr>
          <t>Martin Shkreli:</t>
        </r>
        <r>
          <rPr>
            <sz val="8"/>
            <color indexed="81"/>
            <rFont val="Tahoma"/>
            <family val="2"/>
          </rPr>
          <t xml:space="preserve">
2373 bear</t>
        </r>
      </text>
    </comment>
    <comment ref="DY67" authorId="2" shapeId="0" xr:uid="{00000000-0006-0000-0700-0000D1010000}">
      <text>
        <r>
          <rPr>
            <b/>
            <sz val="8"/>
            <color indexed="81"/>
            <rFont val="Tahoma"/>
            <family val="2"/>
          </rPr>
          <t>Martin Shkreli:</t>
        </r>
        <r>
          <rPr>
            <sz val="8"/>
            <color indexed="81"/>
            <rFont val="Tahoma"/>
            <family val="2"/>
          </rPr>
          <t xml:space="preserve">
2506 bear</t>
        </r>
      </text>
    </comment>
    <comment ref="DZ67" authorId="2" shapeId="0" xr:uid="{00000000-0006-0000-0700-0000D2010000}">
      <text>
        <r>
          <rPr>
            <b/>
            <sz val="8"/>
            <color indexed="81"/>
            <rFont val="Tahoma"/>
            <family val="2"/>
          </rPr>
          <t>Martin Shkreli:</t>
        </r>
        <r>
          <rPr>
            <sz val="8"/>
            <color indexed="81"/>
            <rFont val="Tahoma"/>
            <family val="2"/>
          </rPr>
          <t xml:space="preserve">
2768 jpm
2768 bear</t>
        </r>
      </text>
    </comment>
    <comment ref="EA67" authorId="2" shapeId="0" xr:uid="{00000000-0006-0000-0700-0000D3010000}">
      <text>
        <r>
          <rPr>
            <b/>
            <sz val="8"/>
            <color indexed="81"/>
            <rFont val="Tahoma"/>
            <family val="2"/>
          </rPr>
          <t>Martin Shkreli:</t>
        </r>
        <r>
          <rPr>
            <sz val="8"/>
            <color indexed="81"/>
            <rFont val="Tahoma"/>
            <family val="2"/>
          </rPr>
          <t xml:space="preserve">
3105 jpm
3105 bear</t>
        </r>
      </text>
    </comment>
    <comment ref="K69" authorId="2" shapeId="0" xr:uid="{00000000-0006-0000-0700-0000D4010000}">
      <text>
        <r>
          <rPr>
            <b/>
            <sz val="8"/>
            <color indexed="81"/>
            <rFont val="Tahoma"/>
            <family val="2"/>
          </rPr>
          <t>Martin Shkreli:</t>
        </r>
        <r>
          <rPr>
            <sz val="8"/>
            <color indexed="81"/>
            <rFont val="Tahoma"/>
            <family val="2"/>
          </rPr>
          <t xml:space="preserve">
1691 jpm</t>
        </r>
      </text>
    </comment>
    <comment ref="L69" authorId="2" shapeId="0" xr:uid="{00000000-0006-0000-0700-0000D5010000}">
      <text>
        <r>
          <rPr>
            <b/>
            <sz val="8"/>
            <color indexed="81"/>
            <rFont val="Tahoma"/>
            <family val="2"/>
          </rPr>
          <t>Martin Shkreli:</t>
        </r>
        <r>
          <rPr>
            <sz val="8"/>
            <color indexed="81"/>
            <rFont val="Tahoma"/>
            <family val="2"/>
          </rPr>
          <t xml:space="preserve">
1678 jpm</t>
        </r>
      </text>
    </comment>
    <comment ref="M69" authorId="2" shapeId="0" xr:uid="{00000000-0006-0000-0700-0000D6010000}">
      <text>
        <r>
          <rPr>
            <b/>
            <sz val="8"/>
            <color indexed="81"/>
            <rFont val="Tahoma"/>
            <family val="2"/>
          </rPr>
          <t>Martin Shkreli:</t>
        </r>
        <r>
          <rPr>
            <sz val="8"/>
            <color indexed="81"/>
            <rFont val="Tahoma"/>
            <family val="2"/>
          </rPr>
          <t xml:space="preserve">
1644 jpm</t>
        </r>
      </text>
    </comment>
    <comment ref="N69" authorId="2" shapeId="0" xr:uid="{00000000-0006-0000-0700-0000D7010000}">
      <text>
        <r>
          <rPr>
            <b/>
            <sz val="8"/>
            <color indexed="81"/>
            <rFont val="Tahoma"/>
            <family val="2"/>
          </rPr>
          <t>Martin Shkreli:</t>
        </r>
        <r>
          <rPr>
            <sz val="8"/>
            <color indexed="81"/>
            <rFont val="Tahoma"/>
            <family val="2"/>
          </rPr>
          <t xml:space="preserve">
974 jpm</t>
        </r>
      </text>
    </comment>
    <comment ref="O69" authorId="2" shapeId="0" xr:uid="{00000000-0006-0000-0700-0000D8010000}">
      <text>
        <r>
          <rPr>
            <b/>
            <sz val="8"/>
            <color indexed="81"/>
            <rFont val="Tahoma"/>
            <family val="2"/>
          </rPr>
          <t>Martin Shkreli:</t>
        </r>
        <r>
          <rPr>
            <sz val="8"/>
            <color indexed="81"/>
            <rFont val="Tahoma"/>
            <family val="2"/>
          </rPr>
          <t xml:space="preserve">
1842 jpm
1842 bear</t>
        </r>
      </text>
    </comment>
    <comment ref="P69" authorId="2" shapeId="0" xr:uid="{00000000-0006-0000-0700-0000D9010000}">
      <text>
        <r>
          <rPr>
            <b/>
            <sz val="8"/>
            <color indexed="81"/>
            <rFont val="Tahoma"/>
            <family val="2"/>
          </rPr>
          <t>Martin Shkreli:</t>
        </r>
        <r>
          <rPr>
            <sz val="8"/>
            <color indexed="81"/>
            <rFont val="Tahoma"/>
            <family val="2"/>
          </rPr>
          <t xml:space="preserve">
1867 jpm
1867 bear</t>
        </r>
      </text>
    </comment>
    <comment ref="Q69" authorId="2" shapeId="0" xr:uid="{00000000-0006-0000-0700-0000DA010000}">
      <text>
        <r>
          <rPr>
            <b/>
            <sz val="8"/>
            <color indexed="81"/>
            <rFont val="Tahoma"/>
            <family val="2"/>
          </rPr>
          <t>Martin Shkreli:</t>
        </r>
        <r>
          <rPr>
            <sz val="8"/>
            <color indexed="81"/>
            <rFont val="Tahoma"/>
            <family val="2"/>
          </rPr>
          <t xml:space="preserve">
1741 jpm
1741 bear</t>
        </r>
      </text>
    </comment>
    <comment ref="R69" authorId="2" shapeId="0" xr:uid="{00000000-0006-0000-0700-0000DB010000}">
      <text>
        <r>
          <rPr>
            <b/>
            <sz val="8"/>
            <color indexed="81"/>
            <rFont val="Tahoma"/>
            <family val="2"/>
          </rPr>
          <t>Martin Shkreli:</t>
        </r>
        <r>
          <rPr>
            <sz val="8"/>
            <color indexed="81"/>
            <rFont val="Tahoma"/>
            <family val="2"/>
          </rPr>
          <t xml:space="preserve">
1165 jpm
1165 bear</t>
        </r>
      </text>
    </comment>
    <comment ref="S69" authorId="2" shapeId="0" xr:uid="{00000000-0006-0000-0700-0000DC010000}">
      <text>
        <r>
          <rPr>
            <b/>
            <sz val="8"/>
            <color indexed="81"/>
            <rFont val="Tahoma"/>
            <family val="2"/>
          </rPr>
          <t>Martin Shkreli:</t>
        </r>
        <r>
          <rPr>
            <sz val="8"/>
            <color indexed="81"/>
            <rFont val="Tahoma"/>
            <family val="2"/>
          </rPr>
          <t xml:space="preserve">
2120 bear</t>
        </r>
      </text>
    </comment>
    <comment ref="AI69" authorId="2" shapeId="0" xr:uid="{00000000-0006-0000-0700-0000DD010000}">
      <text>
        <r>
          <rPr>
            <b/>
            <sz val="8"/>
            <color indexed="81"/>
            <rFont val="Tahoma"/>
            <family val="2"/>
          </rPr>
          <t>Martin Shkreli:</t>
        </r>
        <r>
          <rPr>
            <sz val="8"/>
            <color indexed="81"/>
            <rFont val="Tahoma"/>
            <family val="2"/>
          </rPr>
          <t xml:space="preserve">
3960 bear</t>
        </r>
      </text>
    </comment>
    <comment ref="AJ69" authorId="2" shapeId="0" xr:uid="{00000000-0006-0000-0700-0000DE010000}">
      <text>
        <r>
          <rPr>
            <b/>
            <sz val="8"/>
            <color indexed="81"/>
            <rFont val="Tahoma"/>
            <family val="2"/>
          </rPr>
          <t>Martin Shkreli:</t>
        </r>
        <r>
          <rPr>
            <sz val="8"/>
            <color indexed="81"/>
            <rFont val="Tahoma"/>
            <family val="2"/>
          </rPr>
          <t xml:space="preserve">
3573 bear</t>
        </r>
      </text>
    </comment>
    <comment ref="AK69" authorId="2" shapeId="0" xr:uid="{00000000-0006-0000-0700-0000DF010000}">
      <text>
        <r>
          <rPr>
            <b/>
            <sz val="8"/>
            <color indexed="81"/>
            <rFont val="Tahoma"/>
            <family val="2"/>
          </rPr>
          <t>Martin Shkreli:</t>
        </r>
        <r>
          <rPr>
            <sz val="8"/>
            <color indexed="81"/>
            <rFont val="Tahoma"/>
            <family val="2"/>
          </rPr>
          <t xml:space="preserve">
3390 bear</t>
        </r>
      </text>
    </comment>
    <comment ref="AL69" authorId="2" shapeId="0" xr:uid="{00000000-0006-0000-0700-0000E0010000}">
      <text>
        <r>
          <rPr>
            <b/>
            <sz val="8"/>
            <color indexed="81"/>
            <rFont val="Tahoma"/>
            <family val="2"/>
          </rPr>
          <t>Martin Shkreli:</t>
        </r>
        <r>
          <rPr>
            <sz val="8"/>
            <color indexed="81"/>
            <rFont val="Tahoma"/>
            <family val="2"/>
          </rPr>
          <t xml:space="preserve">
2448 bear</t>
        </r>
      </text>
    </comment>
    <comment ref="AN69" authorId="2" shapeId="0" xr:uid="{00000000-0006-0000-0700-0000E1010000}">
      <text>
        <r>
          <rPr>
            <b/>
            <sz val="8"/>
            <color indexed="81"/>
            <rFont val="Tahoma"/>
            <family val="2"/>
          </rPr>
          <t>Martin Shkreli:</t>
        </r>
        <r>
          <rPr>
            <sz val="8"/>
            <color indexed="81"/>
            <rFont val="Tahoma"/>
            <family val="2"/>
          </rPr>
          <t xml:space="preserve">
3396 bear</t>
        </r>
      </text>
    </comment>
    <comment ref="DQ69" authorId="2" shapeId="0" xr:uid="{00000000-0006-0000-0700-0000E2010000}">
      <text>
        <r>
          <rPr>
            <b/>
            <sz val="8"/>
            <color indexed="81"/>
            <rFont val="Tahoma"/>
            <family val="2"/>
          </rPr>
          <t>Martin Shkreli:</t>
        </r>
        <r>
          <rPr>
            <sz val="8"/>
            <color indexed="81"/>
            <rFont val="Tahoma"/>
            <family val="2"/>
          </rPr>
          <t xml:space="preserve">
2024 bear</t>
        </r>
      </text>
    </comment>
    <comment ref="DR69" authorId="2" shapeId="0" xr:uid="{00000000-0006-0000-0700-0000E3010000}">
      <text>
        <r>
          <rPr>
            <b/>
            <sz val="8"/>
            <color indexed="81"/>
            <rFont val="Tahoma"/>
            <family val="2"/>
          </rPr>
          <t>Martin Shkreli:</t>
        </r>
        <r>
          <rPr>
            <sz val="8"/>
            <color indexed="81"/>
            <rFont val="Tahoma"/>
            <family val="2"/>
          </rPr>
          <t xml:space="preserve">
2029 bear</t>
        </r>
      </text>
    </comment>
    <comment ref="DS69" authorId="2" shapeId="0" xr:uid="{00000000-0006-0000-0700-0000E4010000}">
      <text>
        <r>
          <rPr>
            <b/>
            <sz val="8"/>
            <color indexed="81"/>
            <rFont val="Tahoma"/>
            <family val="2"/>
          </rPr>
          <t>Martin Shkreli:</t>
        </r>
        <r>
          <rPr>
            <sz val="8"/>
            <color indexed="81"/>
            <rFont val="Tahoma"/>
            <family val="2"/>
          </rPr>
          <t xml:space="preserve">
2179 bear</t>
        </r>
      </text>
    </comment>
    <comment ref="DT69" authorId="2" shapeId="0" xr:uid="{00000000-0006-0000-0700-0000E5010000}">
      <text>
        <r>
          <rPr>
            <b/>
            <sz val="8"/>
            <color indexed="81"/>
            <rFont val="Tahoma"/>
            <family val="2"/>
          </rPr>
          <t>Martin Shkreli:</t>
        </r>
        <r>
          <rPr>
            <sz val="8"/>
            <color indexed="81"/>
            <rFont val="Tahoma"/>
            <family val="2"/>
          </rPr>
          <t xml:space="preserve">
2309 bear</t>
        </r>
      </text>
    </comment>
    <comment ref="DU69" authorId="2" shapeId="0" xr:uid="{00000000-0006-0000-0700-0000E6010000}">
      <text>
        <r>
          <rPr>
            <b/>
            <sz val="8"/>
            <color indexed="81"/>
            <rFont val="Tahoma"/>
            <family val="2"/>
          </rPr>
          <t>Martin Shkreli:</t>
        </r>
        <r>
          <rPr>
            <sz val="8"/>
            <color indexed="81"/>
            <rFont val="Tahoma"/>
            <family val="2"/>
          </rPr>
          <t xml:space="preserve">
2744 bear</t>
        </r>
      </text>
    </comment>
    <comment ref="DV69" authorId="2" shapeId="0" xr:uid="{00000000-0006-0000-0700-0000E7010000}">
      <text>
        <r>
          <rPr>
            <b/>
            <sz val="8"/>
            <color indexed="81"/>
            <rFont val="Tahoma"/>
            <family val="2"/>
          </rPr>
          <t>Martin Shkreli:</t>
        </r>
        <r>
          <rPr>
            <sz val="8"/>
            <color indexed="81"/>
            <rFont val="Tahoma"/>
            <family val="2"/>
          </rPr>
          <t xml:space="preserve">
3447 bear</t>
        </r>
      </text>
    </comment>
    <comment ref="DW69" authorId="2" shapeId="0" xr:uid="{00000000-0006-0000-0700-0000E8010000}">
      <text>
        <r>
          <rPr>
            <b/>
            <sz val="8"/>
            <color indexed="81"/>
            <rFont val="Tahoma"/>
            <family val="2"/>
          </rPr>
          <t>Martin Shkreli:</t>
        </r>
        <r>
          <rPr>
            <sz val="8"/>
            <color indexed="81"/>
            <rFont val="Tahoma"/>
            <family val="2"/>
          </rPr>
          <t xml:space="preserve">
4245 bear</t>
        </r>
      </text>
    </comment>
    <comment ref="DX69" authorId="2" shapeId="0" xr:uid="{00000000-0006-0000-0700-0000E9010000}">
      <text>
        <r>
          <rPr>
            <b/>
            <sz val="8"/>
            <color indexed="81"/>
            <rFont val="Tahoma"/>
            <family val="2"/>
          </rPr>
          <t>Martin Shkreli:</t>
        </r>
        <r>
          <rPr>
            <sz val="8"/>
            <color indexed="81"/>
            <rFont val="Tahoma"/>
            <family val="2"/>
          </rPr>
          <t xml:space="preserve">
4614 bear</t>
        </r>
      </text>
    </comment>
    <comment ref="DY69" authorId="2" shapeId="0" xr:uid="{00000000-0006-0000-0700-0000EA010000}">
      <text>
        <r>
          <rPr>
            <b/>
            <sz val="8"/>
            <color indexed="81"/>
            <rFont val="Tahoma"/>
            <family val="2"/>
          </rPr>
          <t>Martin Shkreli:</t>
        </r>
        <r>
          <rPr>
            <sz val="8"/>
            <color indexed="81"/>
            <rFont val="Tahoma"/>
            <family val="2"/>
          </rPr>
          <t xml:space="preserve">
5080 bear</t>
        </r>
      </text>
    </comment>
    <comment ref="DZ69" authorId="2" shapeId="0" xr:uid="{00000000-0006-0000-0700-0000EB010000}">
      <text>
        <r>
          <rPr>
            <b/>
            <sz val="8"/>
            <color indexed="81"/>
            <rFont val="Tahoma"/>
            <family val="2"/>
          </rPr>
          <t>Martin Shkreli:</t>
        </r>
        <r>
          <rPr>
            <sz val="8"/>
            <color indexed="81"/>
            <rFont val="Tahoma"/>
            <family val="2"/>
          </rPr>
          <t xml:space="preserve">
5986 jpm
5985 bear</t>
        </r>
      </text>
    </comment>
    <comment ref="EA69" authorId="2" shapeId="0" xr:uid="{00000000-0006-0000-0700-0000EC010000}">
      <text>
        <r>
          <rPr>
            <b/>
            <sz val="8"/>
            <color indexed="81"/>
            <rFont val="Tahoma"/>
            <family val="2"/>
          </rPr>
          <t>Martin Shkreli:</t>
        </r>
        <r>
          <rPr>
            <sz val="8"/>
            <color indexed="81"/>
            <rFont val="Tahoma"/>
            <family val="2"/>
          </rPr>
          <t xml:space="preserve">
6615 jpm
6615 bear</t>
        </r>
      </text>
    </comment>
    <comment ref="EJ69" authorId="2" shapeId="0" xr:uid="{00000000-0006-0000-0700-0000ED010000}">
      <text>
        <r>
          <rPr>
            <b/>
            <sz val="8"/>
            <color indexed="81"/>
            <rFont val="Tahoma"/>
            <family val="2"/>
          </rPr>
          <t>Martin Shkreli:</t>
        </r>
        <r>
          <rPr>
            <sz val="8"/>
            <color indexed="81"/>
            <rFont val="Tahoma"/>
            <family val="2"/>
          </rPr>
          <t xml:space="preserve">
was 17.4 many years ago</t>
        </r>
      </text>
    </comment>
    <comment ref="EK69" authorId="2" shapeId="0" xr:uid="{00000000-0006-0000-0700-0000EE010000}">
      <text>
        <r>
          <rPr>
            <b/>
            <sz val="8"/>
            <color indexed="81"/>
            <rFont val="Tahoma"/>
            <family val="2"/>
          </rPr>
          <t>Martin Shkreli:</t>
        </r>
        <r>
          <rPr>
            <sz val="8"/>
            <color indexed="81"/>
            <rFont val="Tahoma"/>
            <family val="2"/>
          </rPr>
          <t xml:space="preserve">
was 17.9 many years ago</t>
        </r>
      </text>
    </comment>
    <comment ref="T70" authorId="2" shapeId="0" xr:uid="{00000000-0006-0000-0700-0000EF010000}">
      <text>
        <r>
          <rPr>
            <b/>
            <sz val="8"/>
            <color indexed="81"/>
            <rFont val="Tahoma"/>
            <family val="2"/>
          </rPr>
          <t>Martin Shkreli:</t>
        </r>
        <r>
          <rPr>
            <sz val="8"/>
            <color indexed="81"/>
            <rFont val="Tahoma"/>
            <family val="2"/>
          </rPr>
          <t xml:space="preserve">
78m Bear</t>
        </r>
      </text>
    </comment>
    <comment ref="AV70" authorId="16" shapeId="0" xr:uid="{00000000-0006-0000-0700-0000F0010000}">
      <text>
        <r>
          <rPr>
            <b/>
            <sz val="8"/>
            <color indexed="81"/>
            <rFont val="Tahoma"/>
            <family val="2"/>
          </rPr>
          <t>RBC:</t>
        </r>
        <r>
          <rPr>
            <sz val="8"/>
            <color indexed="81"/>
            <rFont val="Tahoma"/>
            <family val="2"/>
          </rPr>
          <t xml:space="preserve">
200m from Amgen?</t>
        </r>
      </text>
    </comment>
    <comment ref="DQ70" authorId="2" shapeId="0" xr:uid="{00000000-0006-0000-0700-0000F1010000}">
      <text>
        <r>
          <rPr>
            <b/>
            <sz val="8"/>
            <color indexed="81"/>
            <rFont val="Tahoma"/>
            <family val="2"/>
          </rPr>
          <t>Martin Shkreli:</t>
        </r>
        <r>
          <rPr>
            <sz val="8"/>
            <color indexed="81"/>
            <rFont val="Tahoma"/>
            <family val="2"/>
          </rPr>
          <t xml:space="preserve">
-362 bear</t>
        </r>
      </text>
    </comment>
    <comment ref="DR70" authorId="2" shapeId="0" xr:uid="{00000000-0006-0000-0700-0000F2010000}">
      <text>
        <r>
          <rPr>
            <b/>
            <sz val="8"/>
            <color indexed="81"/>
            <rFont val="Tahoma"/>
            <family val="2"/>
          </rPr>
          <t>Martin Shkreli:</t>
        </r>
        <r>
          <rPr>
            <sz val="8"/>
            <color indexed="81"/>
            <rFont val="Tahoma"/>
            <family val="2"/>
          </rPr>
          <t xml:space="preserve">
-57 bear</t>
        </r>
      </text>
    </comment>
    <comment ref="DS70" authorId="2" shapeId="0" xr:uid="{00000000-0006-0000-0700-0000F3010000}">
      <text>
        <r>
          <rPr>
            <b/>
            <sz val="8"/>
            <color indexed="81"/>
            <rFont val="Tahoma"/>
            <family val="2"/>
          </rPr>
          <t>Martin Shkreli:</t>
        </r>
        <r>
          <rPr>
            <sz val="8"/>
            <color indexed="81"/>
            <rFont val="Tahoma"/>
            <family val="2"/>
          </rPr>
          <t xml:space="preserve">
-60 bear</t>
        </r>
      </text>
    </comment>
    <comment ref="DT70" authorId="2" shapeId="0" xr:uid="{00000000-0006-0000-0700-0000F4010000}">
      <text>
        <r>
          <rPr>
            <b/>
            <sz val="8"/>
            <color indexed="81"/>
            <rFont val="Tahoma"/>
            <family val="2"/>
          </rPr>
          <t>Martin Shkreli:</t>
        </r>
        <r>
          <rPr>
            <sz val="8"/>
            <color indexed="81"/>
            <rFont val="Tahoma"/>
            <family val="2"/>
          </rPr>
          <t xml:space="preserve">
10 bear</t>
        </r>
      </text>
    </comment>
    <comment ref="DU70" authorId="2" shapeId="0" xr:uid="{00000000-0006-0000-0700-0000F5010000}">
      <text>
        <r>
          <rPr>
            <b/>
            <sz val="8"/>
            <color indexed="81"/>
            <rFont val="Tahoma"/>
            <family val="2"/>
          </rPr>
          <t>Martin Shkreli:</t>
        </r>
        <r>
          <rPr>
            <sz val="8"/>
            <color indexed="81"/>
            <rFont val="Tahoma"/>
            <family val="2"/>
          </rPr>
          <t xml:space="preserve">
-92 bear</t>
        </r>
      </text>
    </comment>
    <comment ref="DV70" authorId="2" shapeId="0" xr:uid="{00000000-0006-0000-0700-0000F6010000}">
      <text>
        <r>
          <rPr>
            <b/>
            <sz val="8"/>
            <color indexed="81"/>
            <rFont val="Tahoma"/>
            <family val="2"/>
          </rPr>
          <t>Martin Shkreli:</t>
        </r>
        <r>
          <rPr>
            <sz val="8"/>
            <color indexed="81"/>
            <rFont val="Tahoma"/>
            <family val="2"/>
          </rPr>
          <t xml:space="preserve">
-103 bear</t>
        </r>
      </text>
    </comment>
    <comment ref="DW70" authorId="2" shapeId="0" xr:uid="{00000000-0006-0000-0700-0000F7010000}">
      <text>
        <r>
          <rPr>
            <b/>
            <sz val="8"/>
            <color indexed="81"/>
            <rFont val="Tahoma"/>
            <family val="2"/>
          </rPr>
          <t>Martin Shkreli:</t>
        </r>
        <r>
          <rPr>
            <sz val="8"/>
            <color indexed="81"/>
            <rFont val="Tahoma"/>
            <family val="2"/>
          </rPr>
          <t xml:space="preserve">
-102 bear</t>
        </r>
      </text>
    </comment>
    <comment ref="DX70" authorId="2" shapeId="0" xr:uid="{00000000-0006-0000-0700-0000F8010000}">
      <text>
        <r>
          <rPr>
            <b/>
            <sz val="8"/>
            <color indexed="81"/>
            <rFont val="Tahoma"/>
            <family val="2"/>
          </rPr>
          <t>Martin Shkreli:</t>
        </r>
        <r>
          <rPr>
            <sz val="8"/>
            <color indexed="81"/>
            <rFont val="Tahoma"/>
            <family val="2"/>
          </rPr>
          <t xml:space="preserve">
94 bear</t>
        </r>
      </text>
    </comment>
    <comment ref="DY70" authorId="2" shapeId="0" xr:uid="{00000000-0006-0000-0700-0000F9010000}">
      <text>
        <r>
          <rPr>
            <b/>
            <sz val="8"/>
            <color indexed="81"/>
            <rFont val="Tahoma"/>
            <family val="2"/>
          </rPr>
          <t>Martin Shkreli:</t>
        </r>
        <r>
          <rPr>
            <sz val="8"/>
            <color indexed="81"/>
            <rFont val="Tahoma"/>
            <family val="2"/>
          </rPr>
          <t xml:space="preserve">
104 bear</t>
        </r>
      </text>
    </comment>
    <comment ref="DZ70" authorId="2" shapeId="0" xr:uid="{00000000-0006-0000-0700-0000FA010000}">
      <text>
        <r>
          <rPr>
            <b/>
            <sz val="8"/>
            <color indexed="81"/>
            <rFont val="Tahoma"/>
            <family val="2"/>
          </rPr>
          <t>Martin Shkreli:</t>
        </r>
        <r>
          <rPr>
            <sz val="8"/>
            <color indexed="81"/>
            <rFont val="Tahoma"/>
            <family val="2"/>
          </rPr>
          <t xml:space="preserve">
-108 bear</t>
        </r>
      </text>
    </comment>
    <comment ref="EA70" authorId="2" shapeId="0" xr:uid="{00000000-0006-0000-0700-0000FB010000}">
      <text>
        <r>
          <rPr>
            <b/>
            <sz val="8"/>
            <color indexed="81"/>
            <rFont val="Tahoma"/>
            <family val="2"/>
          </rPr>
          <t>Martin Shkreli:</t>
        </r>
        <r>
          <rPr>
            <sz val="8"/>
            <color indexed="81"/>
            <rFont val="Tahoma"/>
            <family val="2"/>
          </rPr>
          <t xml:space="preserve">
350 bear</t>
        </r>
      </text>
    </comment>
    <comment ref="EB70" authorId="2" shapeId="0" xr:uid="{00000000-0006-0000-0700-0000FC010000}">
      <text>
        <r>
          <rPr>
            <b/>
            <sz val="8"/>
            <color indexed="81"/>
            <rFont val="Tahoma"/>
            <family val="2"/>
          </rPr>
          <t>Martin Shkreli:</t>
        </r>
        <r>
          <rPr>
            <sz val="8"/>
            <color indexed="81"/>
            <rFont val="Tahoma"/>
            <family val="2"/>
          </rPr>
          <t xml:space="preserve">
265 bear</t>
        </r>
      </text>
    </comment>
    <comment ref="EH70"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0"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1" authorId="2" shapeId="0" xr:uid="{00000000-0006-0000-0700-0000FF010000}">
      <text>
        <r>
          <rPr>
            <b/>
            <sz val="8"/>
            <color indexed="81"/>
            <rFont val="Tahoma"/>
            <family val="2"/>
          </rPr>
          <t>Martin Shkreli:</t>
        </r>
        <r>
          <rPr>
            <sz val="8"/>
            <color indexed="81"/>
            <rFont val="Tahoma"/>
            <family val="2"/>
          </rPr>
          <t xml:space="preserve">
-6 jpm actual</t>
        </r>
      </text>
    </comment>
    <comment ref="T71" authorId="2" shapeId="0" xr:uid="{00000000-0006-0000-0700-000000020000}">
      <text>
        <r>
          <rPr>
            <b/>
            <sz val="8"/>
            <color indexed="81"/>
            <rFont val="Tahoma"/>
            <family val="2"/>
          </rPr>
          <t>Martin Shkreli:</t>
        </r>
        <r>
          <rPr>
            <sz val="8"/>
            <color indexed="81"/>
            <rFont val="Tahoma"/>
            <family val="2"/>
          </rPr>
          <t xml:space="preserve">
8m Bear</t>
        </r>
      </text>
    </comment>
    <comment ref="AE71" authorId="3" shapeId="0" xr:uid="{00000000-0006-0000-0700-000001020000}">
      <text>
        <r>
          <rPr>
            <sz val="8"/>
            <color indexed="8"/>
            <rFont val="Times New Roman"/>
            <family val="1"/>
          </rPr>
          <t>Includes gain on sale from orthopedics casting business</t>
        </r>
      </text>
    </comment>
    <comment ref="AM71"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2" authorId="2" shapeId="0" xr:uid="{00000000-0006-0000-0700-000003020000}">
      <text>
        <r>
          <rPr>
            <b/>
            <sz val="8"/>
            <color indexed="81"/>
            <rFont val="Tahoma"/>
            <family val="2"/>
          </rPr>
          <t>Martin Shkreli:</t>
        </r>
        <r>
          <rPr>
            <sz val="8"/>
            <color indexed="81"/>
            <rFont val="Tahoma"/>
            <family val="2"/>
          </rPr>
          <t xml:space="preserve">
1650 jpm</t>
        </r>
      </text>
    </comment>
    <comment ref="L72" authorId="2" shapeId="0" xr:uid="{00000000-0006-0000-0700-000004020000}">
      <text>
        <r>
          <rPr>
            <b/>
            <sz val="8"/>
            <color indexed="81"/>
            <rFont val="Tahoma"/>
            <family val="2"/>
          </rPr>
          <t>Martin Shkreli:</t>
        </r>
        <r>
          <rPr>
            <sz val="8"/>
            <color indexed="81"/>
            <rFont val="Tahoma"/>
            <family val="2"/>
          </rPr>
          <t xml:space="preserve">
1676 jpm</t>
        </r>
      </text>
    </comment>
    <comment ref="M72" authorId="2" shapeId="0" xr:uid="{00000000-0006-0000-0700-000005020000}">
      <text>
        <r>
          <rPr>
            <b/>
            <sz val="8"/>
            <color indexed="81"/>
            <rFont val="Tahoma"/>
            <family val="2"/>
          </rPr>
          <t>Martin Shkreli:</t>
        </r>
        <r>
          <rPr>
            <sz val="8"/>
            <color indexed="81"/>
            <rFont val="Tahoma"/>
            <family val="2"/>
          </rPr>
          <t xml:space="preserve">
1593 jpm</t>
        </r>
      </text>
    </comment>
    <comment ref="N72" authorId="2" shapeId="0" xr:uid="{00000000-0006-0000-0700-000006020000}">
      <text>
        <r>
          <rPr>
            <b/>
            <sz val="8"/>
            <color indexed="81"/>
            <rFont val="Tahoma"/>
            <family val="2"/>
          </rPr>
          <t>Martin Shkreli:</t>
        </r>
        <r>
          <rPr>
            <sz val="8"/>
            <color indexed="81"/>
            <rFont val="Tahoma"/>
            <family val="2"/>
          </rPr>
          <t xml:space="preserve">
978 jpm</t>
        </r>
      </text>
    </comment>
    <comment ref="O72" authorId="2" shapeId="0" xr:uid="{00000000-0006-0000-0700-000007020000}">
      <text>
        <r>
          <rPr>
            <b/>
            <sz val="8"/>
            <color indexed="81"/>
            <rFont val="Tahoma"/>
            <family val="2"/>
          </rPr>
          <t>Martin Shkreli:</t>
        </r>
        <r>
          <rPr>
            <sz val="8"/>
            <color indexed="81"/>
            <rFont val="Tahoma"/>
            <family val="2"/>
          </rPr>
          <t xml:space="preserve">
1936 jpm
1936 bear</t>
        </r>
      </text>
    </comment>
    <comment ref="P72" authorId="2" shapeId="0" xr:uid="{00000000-0006-0000-0700-000008020000}">
      <text>
        <r>
          <rPr>
            <b/>
            <sz val="8"/>
            <color indexed="81"/>
            <rFont val="Tahoma"/>
            <family val="2"/>
          </rPr>
          <t>Martin Shkreli:</t>
        </r>
        <r>
          <rPr>
            <sz val="8"/>
            <color indexed="81"/>
            <rFont val="Tahoma"/>
            <family val="2"/>
          </rPr>
          <t xml:space="preserve">
1927 jpm
1927 bear</t>
        </r>
      </text>
    </comment>
    <comment ref="Q72" authorId="2" shapeId="0" xr:uid="{00000000-0006-0000-0700-000009020000}">
      <text>
        <r>
          <rPr>
            <b/>
            <sz val="8"/>
            <color indexed="81"/>
            <rFont val="Tahoma"/>
            <family val="2"/>
          </rPr>
          <t>Martin Shkreli:</t>
        </r>
        <r>
          <rPr>
            <sz val="8"/>
            <color indexed="81"/>
            <rFont val="Tahoma"/>
            <family val="2"/>
          </rPr>
          <t xml:space="preserve">
1848 jpm
1848 bear</t>
        </r>
      </text>
    </comment>
    <comment ref="R72" authorId="2" shapeId="0" xr:uid="{00000000-0006-0000-0700-00000A020000}">
      <text>
        <r>
          <rPr>
            <b/>
            <sz val="8"/>
            <color indexed="81"/>
            <rFont val="Tahoma"/>
            <family val="2"/>
          </rPr>
          <t>Martin Shkreli:</t>
        </r>
        <r>
          <rPr>
            <sz val="8"/>
            <color indexed="81"/>
            <rFont val="Tahoma"/>
            <family val="2"/>
          </rPr>
          <t xml:space="preserve">
1220 jpm
1254 bear</t>
        </r>
      </text>
    </comment>
    <comment ref="S72" authorId="2" shapeId="0" xr:uid="{00000000-0006-0000-0700-00000B020000}">
      <text>
        <r>
          <rPr>
            <b/>
            <sz val="8"/>
            <color indexed="81"/>
            <rFont val="Tahoma"/>
            <family val="2"/>
          </rPr>
          <t>Martin Shkreli:</t>
        </r>
        <r>
          <rPr>
            <sz val="8"/>
            <color indexed="81"/>
            <rFont val="Tahoma"/>
            <family val="2"/>
          </rPr>
          <t xml:space="preserve">
2218 bear</t>
        </r>
      </text>
    </comment>
    <comment ref="T72" authorId="2" shapeId="0" xr:uid="{00000000-0006-0000-0700-00000C020000}">
      <text>
        <r>
          <rPr>
            <b/>
            <sz val="8"/>
            <color indexed="81"/>
            <rFont val="Tahoma"/>
            <family val="2"/>
          </rPr>
          <t>Martin Shkreli:</t>
        </r>
        <r>
          <rPr>
            <sz val="8"/>
            <color indexed="81"/>
            <rFont val="Tahoma"/>
            <family val="2"/>
          </rPr>
          <t xml:space="preserve">
2238 bear</t>
        </r>
      </text>
    </comment>
    <comment ref="U72" authorId="2" shapeId="0" xr:uid="{00000000-0006-0000-0700-00000D020000}">
      <text>
        <r>
          <rPr>
            <b/>
            <sz val="8"/>
            <color indexed="81"/>
            <rFont val="Tahoma"/>
            <family val="2"/>
          </rPr>
          <t>Martin Shkreli:</t>
        </r>
        <r>
          <rPr>
            <sz val="8"/>
            <color indexed="81"/>
            <rFont val="Tahoma"/>
            <family val="2"/>
          </rPr>
          <t xml:space="preserve">
2146 bear</t>
        </r>
      </text>
    </comment>
    <comment ref="X72" authorId="2" shapeId="0" xr:uid="{00000000-0006-0000-0700-00000E020000}">
      <text>
        <r>
          <rPr>
            <b/>
            <sz val="8"/>
            <color indexed="81"/>
            <rFont val="Tahoma"/>
            <family val="2"/>
          </rPr>
          <t>Martin Shkreli:</t>
        </r>
        <r>
          <rPr>
            <sz val="8"/>
            <color indexed="81"/>
            <rFont val="Tahoma"/>
            <family val="2"/>
          </rPr>
          <t xml:space="preserve">
2617 bear</t>
        </r>
      </text>
    </comment>
    <comment ref="AD72" authorId="2" shapeId="0" xr:uid="{00000000-0006-0000-0700-00000F020000}">
      <text>
        <r>
          <rPr>
            <b/>
            <sz val="8"/>
            <color indexed="81"/>
            <rFont val="Tahoma"/>
            <family val="2"/>
          </rPr>
          <t>Martin Shkreli:</t>
        </r>
        <r>
          <rPr>
            <sz val="8"/>
            <color indexed="81"/>
            <rFont val="Tahoma"/>
            <family val="2"/>
          </rPr>
          <t xml:space="preserve">
2232 bear</t>
        </r>
      </text>
    </comment>
    <comment ref="AE72" authorId="2" shapeId="0" xr:uid="{00000000-0006-0000-0700-000010020000}">
      <text>
        <r>
          <rPr>
            <b/>
            <sz val="8"/>
            <color indexed="81"/>
            <rFont val="Tahoma"/>
            <family val="2"/>
          </rPr>
          <t>Martin Shkreli:</t>
        </r>
        <r>
          <rPr>
            <sz val="8"/>
            <color indexed="81"/>
            <rFont val="Tahoma"/>
            <family val="2"/>
          </rPr>
          <t xml:space="preserve">
3516 bear</t>
        </r>
      </text>
    </comment>
    <comment ref="AI72" authorId="2" shapeId="0" xr:uid="{00000000-0006-0000-0700-000011020000}">
      <text>
        <r>
          <rPr>
            <b/>
            <sz val="8"/>
            <color indexed="81"/>
            <rFont val="Tahoma"/>
            <family val="2"/>
          </rPr>
          <t>Martin Shkreli:</t>
        </r>
        <r>
          <rPr>
            <sz val="8"/>
            <color indexed="81"/>
            <rFont val="Tahoma"/>
            <family val="2"/>
          </rPr>
          <t xml:space="preserve">
4062 bear</t>
        </r>
      </text>
    </comment>
    <comment ref="AJ72" authorId="2" shapeId="0" xr:uid="{00000000-0006-0000-0700-000012020000}">
      <text>
        <r>
          <rPr>
            <b/>
            <sz val="8"/>
            <color indexed="81"/>
            <rFont val="Tahoma"/>
            <family val="2"/>
          </rPr>
          <t>Martin Shkreli:</t>
        </r>
        <r>
          <rPr>
            <sz val="8"/>
            <color indexed="81"/>
            <rFont val="Tahoma"/>
            <family val="2"/>
          </rPr>
          <t xml:space="preserve">
3755 bear</t>
        </r>
      </text>
    </comment>
    <comment ref="AK72" authorId="2" shapeId="0" xr:uid="{00000000-0006-0000-0700-000013020000}">
      <text>
        <r>
          <rPr>
            <b/>
            <sz val="8"/>
            <color indexed="81"/>
            <rFont val="Tahoma"/>
            <family val="2"/>
          </rPr>
          <t>Martin Shkreli:</t>
        </r>
        <r>
          <rPr>
            <sz val="8"/>
            <color indexed="81"/>
            <rFont val="Tahoma"/>
            <family val="2"/>
          </rPr>
          <t xml:space="preserve">
3554 bear</t>
        </r>
      </text>
    </comment>
    <comment ref="AL72" authorId="2" shapeId="0" xr:uid="{00000000-0006-0000-0700-000014020000}">
      <text>
        <r>
          <rPr>
            <b/>
            <sz val="8"/>
            <color indexed="81"/>
            <rFont val="Tahoma"/>
            <family val="2"/>
          </rPr>
          <t>Martin Shkreli:</t>
        </r>
        <r>
          <rPr>
            <sz val="8"/>
            <color indexed="81"/>
            <rFont val="Tahoma"/>
            <family val="2"/>
          </rPr>
          <t xml:space="preserve">
2647 bear</t>
        </r>
      </text>
    </comment>
    <comment ref="AM72" authorId="2" shapeId="0" xr:uid="{00000000-0006-0000-0700-000015020000}">
      <text>
        <r>
          <rPr>
            <b/>
            <sz val="8"/>
            <color indexed="81"/>
            <rFont val="Tahoma"/>
            <family val="2"/>
          </rPr>
          <t>Martin Shkreli:</t>
        </r>
        <r>
          <rPr>
            <sz val="8"/>
            <color indexed="81"/>
            <rFont val="Tahoma"/>
            <family val="2"/>
          </rPr>
          <t xml:space="preserve">
4030 bear</t>
        </r>
      </text>
    </comment>
    <comment ref="CI72" authorId="36"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2" authorId="37"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2" authorId="38"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2" authorId="39"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2" authorId="40"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2" authorId="41"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2" authorId="42"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2" authorId="2" shapeId="0" xr:uid="{00000000-0006-0000-0700-000016020000}">
      <text>
        <r>
          <rPr>
            <b/>
            <sz val="8"/>
            <color indexed="81"/>
            <rFont val="Tahoma"/>
            <family val="2"/>
          </rPr>
          <t>Martin Shkreli:</t>
        </r>
        <r>
          <rPr>
            <sz val="8"/>
            <color indexed="81"/>
            <rFont val="Tahoma"/>
            <family val="2"/>
          </rPr>
          <t xml:space="preserve">
1662 bear</t>
        </r>
      </text>
    </comment>
    <comment ref="DR72" authorId="2" shapeId="0" xr:uid="{00000000-0006-0000-0700-000017020000}">
      <text>
        <r>
          <rPr>
            <b/>
            <sz val="8"/>
            <color indexed="81"/>
            <rFont val="Tahoma"/>
            <family val="2"/>
          </rPr>
          <t>Martin Shkreli:</t>
        </r>
        <r>
          <rPr>
            <sz val="8"/>
            <color indexed="81"/>
            <rFont val="Tahoma"/>
            <family val="2"/>
          </rPr>
          <t xml:space="preserve">
1972 bear</t>
        </r>
      </text>
    </comment>
    <comment ref="DS72" authorId="2" shapeId="0" xr:uid="{00000000-0006-0000-0700-000018020000}">
      <text>
        <r>
          <rPr>
            <b/>
            <sz val="8"/>
            <color indexed="81"/>
            <rFont val="Tahoma"/>
            <family val="2"/>
          </rPr>
          <t>Martin Shkreli:</t>
        </r>
        <r>
          <rPr>
            <sz val="8"/>
            <color indexed="81"/>
            <rFont val="Tahoma"/>
            <family val="2"/>
          </rPr>
          <t xml:space="preserve">
2119 bear</t>
        </r>
      </text>
    </comment>
    <comment ref="DT72" authorId="2" shapeId="0" xr:uid="{00000000-0006-0000-0700-000019020000}">
      <text>
        <r>
          <rPr>
            <b/>
            <sz val="8"/>
            <color indexed="81"/>
            <rFont val="Tahoma"/>
            <family val="2"/>
          </rPr>
          <t>Martin Shkreli:</t>
        </r>
        <r>
          <rPr>
            <sz val="8"/>
            <color indexed="81"/>
            <rFont val="Tahoma"/>
            <family val="2"/>
          </rPr>
          <t xml:space="preserve">
2319 bear</t>
        </r>
      </text>
    </comment>
    <comment ref="DU72" authorId="2" shapeId="0" xr:uid="{00000000-0006-0000-0700-00001A020000}">
      <text>
        <r>
          <rPr>
            <b/>
            <sz val="8"/>
            <color indexed="81"/>
            <rFont val="Tahoma"/>
            <family val="2"/>
          </rPr>
          <t>Martin Shkreli:</t>
        </r>
        <r>
          <rPr>
            <sz val="8"/>
            <color indexed="81"/>
            <rFont val="Tahoma"/>
            <family val="2"/>
          </rPr>
          <t xml:space="preserve">
2652 bear</t>
        </r>
      </text>
    </comment>
    <comment ref="DV72" authorId="2" shapeId="0" xr:uid="{00000000-0006-0000-0700-00001B020000}">
      <text>
        <r>
          <rPr>
            <b/>
            <sz val="8"/>
            <color indexed="81"/>
            <rFont val="Tahoma"/>
            <family val="2"/>
          </rPr>
          <t>Martin Shkreli:</t>
        </r>
        <r>
          <rPr>
            <sz val="8"/>
            <color indexed="81"/>
            <rFont val="Tahoma"/>
            <family val="2"/>
          </rPr>
          <t xml:space="preserve">
3344 bear</t>
        </r>
      </text>
    </comment>
    <comment ref="DW72" authorId="2" shapeId="0" xr:uid="{00000000-0006-0000-0700-00001C020000}">
      <text>
        <r>
          <rPr>
            <b/>
            <sz val="8"/>
            <color indexed="81"/>
            <rFont val="Tahoma"/>
            <family val="2"/>
          </rPr>
          <t>Martin Shkreli:</t>
        </r>
        <r>
          <rPr>
            <sz val="8"/>
            <color indexed="81"/>
            <rFont val="Tahoma"/>
            <family val="2"/>
          </rPr>
          <t xml:space="preserve">
4143 bear</t>
        </r>
      </text>
    </comment>
    <comment ref="DX72" authorId="2" shapeId="0" xr:uid="{00000000-0006-0000-0700-00001D020000}">
      <text>
        <r>
          <rPr>
            <b/>
            <sz val="8"/>
            <color indexed="81"/>
            <rFont val="Tahoma"/>
            <family val="2"/>
          </rPr>
          <t>Martin Shkreli:</t>
        </r>
        <r>
          <rPr>
            <sz val="8"/>
            <color indexed="81"/>
            <rFont val="Tahoma"/>
            <family val="2"/>
          </rPr>
          <t xml:space="preserve">
4708 bear</t>
        </r>
      </text>
    </comment>
    <comment ref="DY72" authorId="2" shapeId="0" xr:uid="{00000000-0006-0000-0700-00001E020000}">
      <text>
        <r>
          <rPr>
            <b/>
            <sz val="8"/>
            <color indexed="81"/>
            <rFont val="Tahoma"/>
            <family val="2"/>
          </rPr>
          <t>Martin Shkreli:</t>
        </r>
        <r>
          <rPr>
            <sz val="8"/>
            <color indexed="81"/>
            <rFont val="Tahoma"/>
            <family val="2"/>
          </rPr>
          <t xml:space="preserve">
5184 bear</t>
        </r>
      </text>
    </comment>
    <comment ref="DZ72" authorId="2" shapeId="0" xr:uid="{00000000-0006-0000-0700-00001F020000}">
      <text>
        <r>
          <rPr>
            <b/>
            <sz val="8"/>
            <color indexed="81"/>
            <rFont val="Tahoma"/>
            <family val="2"/>
          </rPr>
          <t>Martin Shkreli:</t>
        </r>
        <r>
          <rPr>
            <sz val="8"/>
            <color indexed="81"/>
            <rFont val="Tahoma"/>
            <family val="2"/>
          </rPr>
          <t xml:space="preserve">
5896 jpm
5877 bear</t>
        </r>
      </text>
    </comment>
    <comment ref="EA72" authorId="2" shapeId="0" xr:uid="{00000000-0006-0000-0700-000020020000}">
      <text>
        <r>
          <rPr>
            <b/>
            <sz val="8"/>
            <color indexed="81"/>
            <rFont val="Tahoma"/>
            <family val="2"/>
          </rPr>
          <t>Martin Shkreli:</t>
        </r>
        <r>
          <rPr>
            <sz val="8"/>
            <color indexed="81"/>
            <rFont val="Tahoma"/>
            <family val="2"/>
          </rPr>
          <t xml:space="preserve">
6930 jpm
6964 bear</t>
        </r>
      </text>
    </comment>
    <comment ref="EB72" authorId="2" shapeId="0" xr:uid="{00000000-0006-0000-0700-000021020000}">
      <text>
        <r>
          <rPr>
            <b/>
            <sz val="8"/>
            <color indexed="81"/>
            <rFont val="Tahoma"/>
            <family val="2"/>
          </rPr>
          <t>Martin Shkreli:</t>
        </r>
        <r>
          <rPr>
            <sz val="8"/>
            <color indexed="81"/>
            <rFont val="Tahoma"/>
            <family val="2"/>
          </rPr>
          <t xml:space="preserve">
8151 bear</t>
        </r>
      </text>
    </comment>
    <comment ref="ED72" authorId="2" shapeId="0" xr:uid="{00000000-0006-0000-0700-000022020000}">
      <text>
        <r>
          <rPr>
            <b/>
            <sz val="8"/>
            <color indexed="81"/>
            <rFont val="Tahoma"/>
            <family val="2"/>
          </rPr>
          <t>Martin Shkreli:</t>
        </r>
        <r>
          <rPr>
            <sz val="8"/>
            <color indexed="81"/>
            <rFont val="Tahoma"/>
            <family val="2"/>
          </rPr>
          <t xml:space="preserve">
11084 bear</t>
        </r>
      </text>
    </comment>
    <comment ref="K73" authorId="2" shapeId="0" xr:uid="{00000000-0006-0000-0700-000023020000}">
      <text>
        <r>
          <rPr>
            <b/>
            <sz val="8"/>
            <color indexed="81"/>
            <rFont val="Tahoma"/>
            <family val="2"/>
          </rPr>
          <t>Martin Shkreli:</t>
        </r>
        <r>
          <rPr>
            <sz val="8"/>
            <color indexed="81"/>
            <rFont val="Tahoma"/>
            <family val="2"/>
          </rPr>
          <t xml:space="preserve">
493 jpm</t>
        </r>
      </text>
    </comment>
    <comment ref="L73" authorId="2" shapeId="0" xr:uid="{00000000-0006-0000-0700-000024020000}">
      <text>
        <r>
          <rPr>
            <b/>
            <sz val="8"/>
            <color indexed="81"/>
            <rFont val="Tahoma"/>
            <family val="2"/>
          </rPr>
          <t>Martin Shkreli:</t>
        </r>
        <r>
          <rPr>
            <sz val="8"/>
            <color indexed="81"/>
            <rFont val="Tahoma"/>
            <family val="2"/>
          </rPr>
          <t xml:space="preserve">
472 jpm</t>
        </r>
      </text>
    </comment>
    <comment ref="M73" authorId="2" shapeId="0" xr:uid="{00000000-0006-0000-0700-000025020000}">
      <text>
        <r>
          <rPr>
            <b/>
            <sz val="8"/>
            <color indexed="81"/>
            <rFont val="Tahoma"/>
            <family val="2"/>
          </rPr>
          <t>Martin Shkreli:</t>
        </r>
        <r>
          <rPr>
            <sz val="8"/>
            <color indexed="81"/>
            <rFont val="Tahoma"/>
            <family val="2"/>
          </rPr>
          <t xml:space="preserve">
428 jpm</t>
        </r>
      </text>
    </comment>
    <comment ref="N73" authorId="2" shapeId="0" xr:uid="{00000000-0006-0000-0700-000026020000}">
      <text>
        <r>
          <rPr>
            <b/>
            <sz val="8"/>
            <color indexed="81"/>
            <rFont val="Tahoma"/>
            <family val="2"/>
          </rPr>
          <t>Martin Shkreli:</t>
        </r>
        <r>
          <rPr>
            <sz val="8"/>
            <color indexed="81"/>
            <rFont val="Tahoma"/>
            <family val="2"/>
          </rPr>
          <t xml:space="preserve">
215 jpm</t>
        </r>
      </text>
    </comment>
    <comment ref="O73" authorId="2" shapeId="0" xr:uid="{00000000-0006-0000-0700-000027020000}">
      <text>
        <r>
          <rPr>
            <b/>
            <sz val="8"/>
            <color indexed="81"/>
            <rFont val="Tahoma"/>
            <family val="2"/>
          </rPr>
          <t>Martin Shkreli:</t>
        </r>
        <r>
          <rPr>
            <sz val="8"/>
            <color indexed="81"/>
            <rFont val="Tahoma"/>
            <family val="2"/>
          </rPr>
          <t xml:space="preserve">
590 jpm
590 bear</t>
        </r>
      </text>
    </comment>
    <comment ref="P73" authorId="2" shapeId="0" xr:uid="{00000000-0006-0000-0700-000028020000}">
      <text>
        <r>
          <rPr>
            <b/>
            <sz val="8"/>
            <color indexed="81"/>
            <rFont val="Tahoma"/>
            <family val="2"/>
          </rPr>
          <t>Martin Shkreli:</t>
        </r>
        <r>
          <rPr>
            <sz val="8"/>
            <color indexed="81"/>
            <rFont val="Tahoma"/>
            <family val="2"/>
          </rPr>
          <t xml:space="preserve">
554 jpm
555 bear</t>
        </r>
      </text>
    </comment>
    <comment ref="Q73" authorId="2" shapeId="0" xr:uid="{00000000-0006-0000-0700-000029020000}">
      <text>
        <r>
          <rPr>
            <b/>
            <sz val="8"/>
            <color indexed="81"/>
            <rFont val="Tahoma"/>
            <family val="2"/>
          </rPr>
          <t>Martin Shkreli:</t>
        </r>
        <r>
          <rPr>
            <sz val="8"/>
            <color indexed="81"/>
            <rFont val="Tahoma"/>
            <family val="2"/>
          </rPr>
          <t xml:space="preserve">
514 jpm
515 bear</t>
        </r>
      </text>
    </comment>
    <comment ref="R73" authorId="2" shapeId="0" xr:uid="{00000000-0006-0000-0700-00002A020000}">
      <text>
        <r>
          <rPr>
            <b/>
            <sz val="8"/>
            <color indexed="81"/>
            <rFont val="Tahoma"/>
            <family val="2"/>
          </rPr>
          <t>Martin Shkreli:</t>
        </r>
        <r>
          <rPr>
            <sz val="8"/>
            <color indexed="81"/>
            <rFont val="Tahoma"/>
            <family val="2"/>
          </rPr>
          <t xml:space="preserve">
274 jpm
261 bear</t>
        </r>
      </text>
    </comment>
    <comment ref="S73" authorId="2" shapeId="0" xr:uid="{00000000-0006-0000-0700-00002B020000}">
      <text>
        <r>
          <rPr>
            <b/>
            <sz val="8"/>
            <color indexed="81"/>
            <rFont val="Tahoma"/>
            <family val="2"/>
          </rPr>
          <t>Martin Shkreli:</t>
        </r>
        <r>
          <rPr>
            <sz val="8"/>
            <color indexed="81"/>
            <rFont val="Tahoma"/>
            <family val="2"/>
          </rPr>
          <t xml:space="preserve">
665 bear
669 jpm</t>
        </r>
      </text>
    </comment>
    <comment ref="T73" authorId="2" shapeId="0" xr:uid="{00000000-0006-0000-0700-00002C020000}">
      <text>
        <r>
          <rPr>
            <b/>
            <sz val="8"/>
            <color indexed="81"/>
            <rFont val="Tahoma"/>
            <family val="2"/>
          </rPr>
          <t>Martin Shkreli:</t>
        </r>
        <r>
          <rPr>
            <sz val="8"/>
            <color indexed="81"/>
            <rFont val="Tahoma"/>
            <family val="2"/>
          </rPr>
          <t xml:space="preserve">
654 bear</t>
        </r>
      </text>
    </comment>
    <comment ref="U73" authorId="2" shapeId="0" xr:uid="{00000000-0006-0000-0700-00002D020000}">
      <text>
        <r>
          <rPr>
            <b/>
            <sz val="8"/>
            <color indexed="81"/>
            <rFont val="Tahoma"/>
            <family val="2"/>
          </rPr>
          <t>Martin Shkreli:</t>
        </r>
        <r>
          <rPr>
            <sz val="8"/>
            <color indexed="81"/>
            <rFont val="Tahoma"/>
            <family val="2"/>
          </rPr>
          <t xml:space="preserve">
593 bear</t>
        </r>
      </text>
    </comment>
    <comment ref="AA73" authorId="2" shapeId="0" xr:uid="{00000000-0006-0000-0700-00002E020000}">
      <text>
        <r>
          <rPr>
            <b/>
            <sz val="8"/>
            <color indexed="81"/>
            <rFont val="Tahoma"/>
            <family val="2"/>
          </rPr>
          <t>Martin Shkreli:</t>
        </r>
        <r>
          <rPr>
            <sz val="8"/>
            <color indexed="81"/>
            <rFont val="Tahoma"/>
            <family val="2"/>
          </rPr>
          <t xml:space="preserve">
862 bear</t>
        </r>
      </text>
    </comment>
    <comment ref="AI73" authorId="2" shapeId="0" xr:uid="{00000000-0006-0000-0700-00002F020000}">
      <text>
        <r>
          <rPr>
            <b/>
            <sz val="8"/>
            <color indexed="81"/>
            <rFont val="Tahoma"/>
            <family val="2"/>
          </rPr>
          <t>Martin Shkreli:</t>
        </r>
        <r>
          <rPr>
            <sz val="8"/>
            <color indexed="81"/>
            <rFont val="Tahoma"/>
            <family val="2"/>
          </rPr>
          <t xml:space="preserve">
1135 bear</t>
        </r>
      </text>
    </comment>
    <comment ref="AJ73" authorId="2" shapeId="0" xr:uid="{00000000-0006-0000-0700-000030020000}">
      <text>
        <r>
          <rPr>
            <b/>
            <sz val="8"/>
            <color indexed="81"/>
            <rFont val="Tahoma"/>
            <family val="2"/>
          </rPr>
          <t>Martin Shkreli:</t>
        </r>
        <r>
          <rPr>
            <sz val="8"/>
            <color indexed="81"/>
            <rFont val="Tahoma"/>
            <family val="2"/>
          </rPr>
          <t xml:space="preserve">
951 bear</t>
        </r>
      </text>
    </comment>
    <comment ref="AK73" authorId="2" shapeId="0" xr:uid="{00000000-0006-0000-0700-000031020000}">
      <text>
        <r>
          <rPr>
            <b/>
            <sz val="8"/>
            <color indexed="81"/>
            <rFont val="Tahoma"/>
            <family val="2"/>
          </rPr>
          <t>Martin Shkreli:</t>
        </r>
        <r>
          <rPr>
            <sz val="8"/>
            <color indexed="81"/>
            <rFont val="Tahoma"/>
            <family val="2"/>
          </rPr>
          <t xml:space="preserve">
929 bear</t>
        </r>
      </text>
    </comment>
    <comment ref="AL73" authorId="2" shapeId="0" xr:uid="{00000000-0006-0000-0700-000032020000}">
      <text>
        <r>
          <rPr>
            <b/>
            <sz val="8"/>
            <color indexed="81"/>
            <rFont val="Tahoma"/>
            <family val="2"/>
          </rPr>
          <t>Martin Shkreli:</t>
        </r>
        <r>
          <rPr>
            <sz val="8"/>
            <color indexed="81"/>
            <rFont val="Tahoma"/>
            <family val="2"/>
          </rPr>
          <t xml:space="preserve">
455 bear</t>
        </r>
      </text>
    </comment>
    <comment ref="AM73" authorId="2" shapeId="0" xr:uid="{00000000-0006-0000-0700-000033020000}">
      <text>
        <r>
          <rPr>
            <b/>
            <sz val="8"/>
            <color indexed="81"/>
            <rFont val="Tahoma"/>
            <family val="2"/>
          </rPr>
          <t>Martin Shkreli:</t>
        </r>
        <r>
          <rPr>
            <sz val="8"/>
            <color indexed="81"/>
            <rFont val="Tahoma"/>
            <family val="2"/>
          </rPr>
          <t xml:space="preserve">
1064 bear</t>
        </r>
      </text>
    </comment>
    <comment ref="BB73" authorId="0" shapeId="0" xr:uid="{00000000-0006-0000-0700-000034020000}">
      <text>
        <r>
          <rPr>
            <sz val="9"/>
            <color indexed="81"/>
            <rFont val="Tahoma"/>
            <family val="2"/>
          </rPr>
          <t>7c positive impact</t>
        </r>
      </text>
    </comment>
    <comment ref="BD73"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3" authorId="2" shapeId="0" xr:uid="{00000000-0006-0000-0700-000036020000}">
      <text>
        <r>
          <rPr>
            <b/>
            <sz val="8"/>
            <color indexed="81"/>
            <rFont val="Tahoma"/>
            <family val="2"/>
          </rPr>
          <t>Martin Shkreli:</t>
        </r>
        <r>
          <rPr>
            <sz val="8"/>
            <color indexed="81"/>
            <rFont val="Tahoma"/>
            <family val="2"/>
          </rPr>
          <t xml:space="preserve">
494 bear</t>
        </r>
      </text>
    </comment>
    <comment ref="DR73" authorId="2" shapeId="0" xr:uid="{00000000-0006-0000-0700-000037020000}">
      <text>
        <r>
          <rPr>
            <b/>
            <sz val="8"/>
            <color indexed="81"/>
            <rFont val="Tahoma"/>
            <family val="2"/>
          </rPr>
          <t>Martin Shkreli:</t>
        </r>
        <r>
          <rPr>
            <sz val="8"/>
            <color indexed="81"/>
            <rFont val="Tahoma"/>
            <family val="2"/>
          </rPr>
          <t xml:space="preserve">
531 bear</t>
        </r>
      </text>
    </comment>
    <comment ref="DS73" authorId="2" shapeId="0" xr:uid="{00000000-0006-0000-0700-000038020000}">
      <text>
        <r>
          <rPr>
            <b/>
            <sz val="8"/>
            <color indexed="81"/>
            <rFont val="Tahoma"/>
            <family val="2"/>
          </rPr>
          <t>Martin Shkreli:</t>
        </r>
        <r>
          <rPr>
            <sz val="8"/>
            <color indexed="81"/>
            <rFont val="Tahoma"/>
            <family val="2"/>
          </rPr>
          <t xml:space="preserve">
547 bear</t>
        </r>
      </text>
    </comment>
    <comment ref="DT73" authorId="2" shapeId="0" xr:uid="{00000000-0006-0000-0700-000039020000}">
      <text>
        <r>
          <rPr>
            <b/>
            <sz val="8"/>
            <color indexed="81"/>
            <rFont val="Tahoma"/>
            <family val="2"/>
          </rPr>
          <t>Martin Shkreli:</t>
        </r>
        <r>
          <rPr>
            <sz val="8"/>
            <color indexed="81"/>
            <rFont val="Tahoma"/>
            <family val="2"/>
          </rPr>
          <t xml:space="preserve">
533 bear</t>
        </r>
      </text>
    </comment>
    <comment ref="DU73" authorId="2" shapeId="0" xr:uid="{00000000-0006-0000-0700-00003A020000}">
      <text>
        <r>
          <rPr>
            <b/>
            <sz val="8"/>
            <color indexed="81"/>
            <rFont val="Tahoma"/>
            <family val="2"/>
          </rPr>
          <t>Martin Shkreli:</t>
        </r>
        <r>
          <rPr>
            <sz val="8"/>
            <color indexed="81"/>
            <rFont val="Tahoma"/>
            <family val="2"/>
          </rPr>
          <t xml:space="preserve">
654 bear</t>
        </r>
      </text>
    </comment>
    <comment ref="DV73" authorId="2" shapeId="0" xr:uid="{00000000-0006-0000-0700-00003B020000}">
      <text>
        <r>
          <rPr>
            <b/>
            <sz val="8"/>
            <color indexed="81"/>
            <rFont val="Tahoma"/>
            <family val="2"/>
          </rPr>
          <t>Martin Shkreli:</t>
        </r>
        <r>
          <rPr>
            <sz val="8"/>
            <color indexed="81"/>
            <rFont val="Tahoma"/>
            <family val="2"/>
          </rPr>
          <t xml:space="preserve">
926 bear</t>
        </r>
      </text>
    </comment>
    <comment ref="DW73" authorId="2" shapeId="0" xr:uid="{00000000-0006-0000-0700-00003C020000}">
      <text>
        <r>
          <rPr>
            <b/>
            <sz val="8"/>
            <color indexed="81"/>
            <rFont val="Tahoma"/>
            <family val="2"/>
          </rPr>
          <t>Martin Shkreli:</t>
        </r>
        <r>
          <rPr>
            <sz val="8"/>
            <color indexed="81"/>
            <rFont val="Tahoma"/>
            <family val="2"/>
          </rPr>
          <t xml:space="preserve">
1185 bear</t>
        </r>
      </text>
    </comment>
    <comment ref="DX73" authorId="2" shapeId="0" xr:uid="{00000000-0006-0000-0700-00003D020000}">
      <text>
        <r>
          <rPr>
            <b/>
            <sz val="8"/>
            <color indexed="81"/>
            <rFont val="Tahoma"/>
            <family val="2"/>
          </rPr>
          <t>Martin Shkreli:</t>
        </r>
        <r>
          <rPr>
            <sz val="8"/>
            <color indexed="81"/>
            <rFont val="Tahoma"/>
            <family val="2"/>
          </rPr>
          <t xml:space="preserve">
1237 bear</t>
        </r>
      </text>
    </comment>
    <comment ref="DY73" authorId="2" shapeId="0" xr:uid="{00000000-0006-0000-0700-00003E020000}">
      <text>
        <r>
          <rPr>
            <b/>
            <sz val="8"/>
            <color indexed="81"/>
            <rFont val="Tahoma"/>
            <family val="2"/>
          </rPr>
          <t>Martin Shkreli:</t>
        </r>
        <r>
          <rPr>
            <sz val="8"/>
            <color indexed="81"/>
            <rFont val="Tahoma"/>
            <family val="2"/>
          </rPr>
          <t xml:space="preserve">
1232 bear</t>
        </r>
      </text>
    </comment>
    <comment ref="DZ73" authorId="2" shapeId="0" xr:uid="{00000000-0006-0000-0700-00003F020000}">
      <text>
        <r>
          <rPr>
            <b/>
            <sz val="8"/>
            <color indexed="81"/>
            <rFont val="Tahoma"/>
            <family val="2"/>
          </rPr>
          <t>Martin Shkreli:</t>
        </r>
        <r>
          <rPr>
            <sz val="8"/>
            <color indexed="81"/>
            <rFont val="Tahoma"/>
            <family val="2"/>
          </rPr>
          <t xml:space="preserve">
1609 jpm
1604 bear</t>
        </r>
      </text>
    </comment>
    <comment ref="EA73" authorId="2" shapeId="0" xr:uid="{00000000-0006-0000-0700-000040020000}">
      <text>
        <r>
          <rPr>
            <b/>
            <sz val="8"/>
            <color indexed="81"/>
            <rFont val="Tahoma"/>
            <family val="2"/>
          </rPr>
          <t>Martin Shkreli:</t>
        </r>
        <r>
          <rPr>
            <sz val="8"/>
            <color indexed="81"/>
            <rFont val="Tahoma"/>
            <family val="2"/>
          </rPr>
          <t xml:space="preserve">
1932 jpm
1921 bear</t>
        </r>
      </text>
    </comment>
    <comment ref="EB73" authorId="2" shapeId="0" xr:uid="{00000000-0006-0000-0700-000041020000}">
      <text>
        <r>
          <rPr>
            <b/>
            <sz val="8"/>
            <color indexed="81"/>
            <rFont val="Tahoma"/>
            <family val="2"/>
          </rPr>
          <t>Martin Shkreli:</t>
        </r>
        <r>
          <rPr>
            <sz val="8"/>
            <color indexed="81"/>
            <rFont val="Tahoma"/>
            <family val="2"/>
          </rPr>
          <t xml:space="preserve">
2251 bear</t>
        </r>
      </text>
    </comment>
    <comment ref="EC73" authorId="2" shapeId="0" xr:uid="{00000000-0006-0000-0700-000042020000}">
      <text>
        <r>
          <rPr>
            <b/>
            <sz val="8"/>
            <color indexed="81"/>
            <rFont val="Tahoma"/>
            <family val="2"/>
          </rPr>
          <t>Martin Shkreli:</t>
        </r>
        <r>
          <rPr>
            <sz val="8"/>
            <color indexed="81"/>
            <rFont val="Tahoma"/>
            <family val="2"/>
          </rPr>
          <t xml:space="preserve">
2694 bear</t>
        </r>
      </text>
    </comment>
    <comment ref="ED73" authorId="2" shapeId="0" xr:uid="{00000000-0006-0000-0700-000043020000}">
      <text>
        <r>
          <rPr>
            <b/>
            <sz val="8"/>
            <color indexed="81"/>
            <rFont val="Tahoma"/>
            <family val="2"/>
          </rPr>
          <t>Martin Shkreli:</t>
        </r>
        <r>
          <rPr>
            <sz val="8"/>
            <color indexed="81"/>
            <rFont val="Tahoma"/>
            <family val="2"/>
          </rPr>
          <t xml:space="preserve">
3114 bear</t>
        </r>
      </text>
    </comment>
    <comment ref="EE73" authorId="2" shapeId="0" xr:uid="{00000000-0006-0000-0700-000044020000}">
      <text>
        <r>
          <rPr>
            <b/>
            <sz val="8"/>
            <color indexed="81"/>
            <rFont val="Tahoma"/>
            <family val="2"/>
          </rPr>
          <t>Martin Shkreli:</t>
        </r>
        <r>
          <rPr>
            <sz val="8"/>
            <color indexed="81"/>
            <rFont val="Tahoma"/>
            <family val="2"/>
          </rPr>
          <t xml:space="preserve">
3540 bear</t>
        </r>
      </text>
    </comment>
    <comment ref="EF73" authorId="2" shapeId="0" xr:uid="{00000000-0006-0000-0700-000045020000}">
      <text>
        <r>
          <rPr>
            <b/>
            <sz val="8"/>
            <color indexed="81"/>
            <rFont val="Tahoma"/>
            <family val="2"/>
          </rPr>
          <t>Martin Shkreli:</t>
        </r>
        <r>
          <rPr>
            <sz val="8"/>
            <color indexed="81"/>
            <rFont val="Tahoma"/>
            <family val="2"/>
          </rPr>
          <t xml:space="preserve">
3470 bear</t>
        </r>
      </text>
    </comment>
    <comment ref="K74" authorId="2" shapeId="0" xr:uid="{00000000-0006-0000-0700-000046020000}">
      <text>
        <r>
          <rPr>
            <b/>
            <sz val="8"/>
            <color indexed="81"/>
            <rFont val="Tahoma"/>
            <family val="2"/>
          </rPr>
          <t>Martin Shkreli:</t>
        </r>
        <r>
          <rPr>
            <sz val="8"/>
            <color indexed="81"/>
            <rFont val="Tahoma"/>
            <family val="2"/>
          </rPr>
          <t xml:space="preserve">
1156 jpm</t>
        </r>
      </text>
    </comment>
    <comment ref="L74" authorId="2" shapeId="0" xr:uid="{00000000-0006-0000-0700-000047020000}">
      <text>
        <r>
          <rPr>
            <b/>
            <sz val="8"/>
            <color indexed="81"/>
            <rFont val="Tahoma"/>
            <family val="2"/>
          </rPr>
          <t>Martin Shkreli:</t>
        </r>
        <r>
          <rPr>
            <sz val="8"/>
            <color indexed="81"/>
            <rFont val="Tahoma"/>
            <family val="2"/>
          </rPr>
          <t xml:space="preserve">
1204 jpm</t>
        </r>
      </text>
    </comment>
    <comment ref="M74" authorId="2" shapeId="0" xr:uid="{00000000-0006-0000-0700-000048020000}">
      <text>
        <r>
          <rPr>
            <b/>
            <sz val="8"/>
            <color indexed="81"/>
            <rFont val="Tahoma"/>
            <family val="2"/>
          </rPr>
          <t>Martin Shkreli:</t>
        </r>
        <r>
          <rPr>
            <sz val="8"/>
            <color indexed="81"/>
            <rFont val="Tahoma"/>
            <family val="2"/>
          </rPr>
          <t xml:space="preserve">
1165 jpm</t>
        </r>
      </text>
    </comment>
    <comment ref="N74" authorId="2" shapeId="0" xr:uid="{00000000-0006-0000-0700-000049020000}">
      <text>
        <r>
          <rPr>
            <b/>
            <sz val="8"/>
            <color indexed="81"/>
            <rFont val="Tahoma"/>
            <family val="2"/>
          </rPr>
          <t>Martin Shkreli:</t>
        </r>
        <r>
          <rPr>
            <sz val="8"/>
            <color indexed="81"/>
            <rFont val="Tahoma"/>
            <family val="2"/>
          </rPr>
          <t xml:space="preserve">
763 jpm</t>
        </r>
      </text>
    </comment>
    <comment ref="O74" authorId="2" shapeId="0" xr:uid="{00000000-0006-0000-0700-00004A020000}">
      <text>
        <r>
          <rPr>
            <b/>
            <sz val="8"/>
            <color indexed="81"/>
            <rFont val="Tahoma"/>
            <family val="2"/>
          </rPr>
          <t>Martin Shkreli:</t>
        </r>
        <r>
          <rPr>
            <sz val="8"/>
            <color indexed="81"/>
            <rFont val="Tahoma"/>
            <family val="2"/>
          </rPr>
          <t xml:space="preserve">
1346 jpm
1346 bear</t>
        </r>
      </text>
    </comment>
    <comment ref="P74" authorId="2" shapeId="0" xr:uid="{00000000-0006-0000-0700-00004B020000}">
      <text>
        <r>
          <rPr>
            <b/>
            <sz val="8"/>
            <color indexed="81"/>
            <rFont val="Tahoma"/>
            <family val="2"/>
          </rPr>
          <t>Martin Shkreli:</t>
        </r>
        <r>
          <rPr>
            <sz val="8"/>
            <color indexed="81"/>
            <rFont val="Tahoma"/>
            <family val="2"/>
          </rPr>
          <t xml:space="preserve">
1373 jpm
1372 bear</t>
        </r>
      </text>
    </comment>
    <comment ref="Q74" authorId="2" shapeId="0" xr:uid="{00000000-0006-0000-0700-00004C020000}">
      <text>
        <r>
          <rPr>
            <b/>
            <sz val="8"/>
            <color indexed="81"/>
            <rFont val="Tahoma"/>
            <family val="2"/>
          </rPr>
          <t>Martin Shkreli:</t>
        </r>
        <r>
          <rPr>
            <sz val="8"/>
            <color indexed="81"/>
            <rFont val="Tahoma"/>
            <family val="2"/>
          </rPr>
          <t xml:space="preserve">
1334 jpm
1333 bear</t>
        </r>
      </text>
    </comment>
    <comment ref="R74" authorId="2" shapeId="0" xr:uid="{00000000-0006-0000-0700-00004D020000}">
      <text>
        <r>
          <rPr>
            <b/>
            <sz val="8"/>
            <color indexed="81"/>
            <rFont val="Tahoma"/>
            <family val="2"/>
          </rPr>
          <t>Martin Shkreli:</t>
        </r>
        <r>
          <rPr>
            <sz val="8"/>
            <color indexed="81"/>
            <rFont val="Tahoma"/>
            <family val="2"/>
          </rPr>
          <t xml:space="preserve">
946 jpm
993 bear</t>
        </r>
      </text>
    </comment>
    <comment ref="S74" authorId="2" shapeId="0" xr:uid="{00000000-0006-0000-0700-00004E020000}">
      <text>
        <r>
          <rPr>
            <b/>
            <sz val="8"/>
            <color indexed="81"/>
            <rFont val="Tahoma"/>
            <family val="2"/>
          </rPr>
          <t>Martin Shkreli:</t>
        </r>
        <r>
          <rPr>
            <sz val="8"/>
            <color indexed="81"/>
            <rFont val="Tahoma"/>
            <family val="2"/>
          </rPr>
          <t xml:space="preserve">
1553 bear</t>
        </r>
      </text>
    </comment>
    <comment ref="T74" authorId="2" shapeId="0" xr:uid="{00000000-0006-0000-0700-00004F020000}">
      <text>
        <r>
          <rPr>
            <b/>
            <sz val="8"/>
            <color indexed="81"/>
            <rFont val="Tahoma"/>
            <family val="2"/>
          </rPr>
          <t>Martin Shkreli:</t>
        </r>
        <r>
          <rPr>
            <sz val="8"/>
            <color indexed="81"/>
            <rFont val="Tahoma"/>
            <family val="2"/>
          </rPr>
          <t xml:space="preserve">
1584 bear</t>
        </r>
      </text>
    </comment>
    <comment ref="U74" authorId="2" shapeId="0" xr:uid="{00000000-0006-0000-0700-000050020000}">
      <text>
        <r>
          <rPr>
            <b/>
            <sz val="8"/>
            <color indexed="81"/>
            <rFont val="Tahoma"/>
            <family val="2"/>
          </rPr>
          <t>Martin Shkreli:</t>
        </r>
        <r>
          <rPr>
            <sz val="8"/>
            <color indexed="81"/>
            <rFont val="Tahoma"/>
            <family val="2"/>
          </rPr>
          <t xml:space="preserve">
1553 bear</t>
        </r>
      </text>
    </comment>
    <comment ref="AA74" authorId="2" shapeId="0" xr:uid="{00000000-0006-0000-0700-000051020000}">
      <text>
        <r>
          <rPr>
            <b/>
            <sz val="8"/>
            <color indexed="81"/>
            <rFont val="Tahoma"/>
            <family val="2"/>
          </rPr>
          <t>Martin Shkreli:</t>
        </r>
        <r>
          <rPr>
            <sz val="8"/>
            <color indexed="81"/>
            <rFont val="Tahoma"/>
            <family val="2"/>
          </rPr>
          <t xml:space="preserve">
2084 bear</t>
        </r>
      </text>
    </comment>
    <comment ref="AD74" authorId="2" shapeId="0" xr:uid="{00000000-0006-0000-0700-000052020000}">
      <text>
        <r>
          <rPr>
            <b/>
            <sz val="8"/>
            <color indexed="81"/>
            <rFont val="Tahoma"/>
            <family val="2"/>
          </rPr>
          <t>Martin Shkreli:</t>
        </r>
        <r>
          <rPr>
            <sz val="8"/>
            <color indexed="81"/>
            <rFont val="Tahoma"/>
            <family val="2"/>
          </rPr>
          <t xml:space="preserve">
1703 bear</t>
        </r>
      </text>
    </comment>
    <comment ref="AI74" authorId="2" shapeId="0" xr:uid="{00000000-0006-0000-0700-000053020000}">
      <text>
        <r>
          <rPr>
            <b/>
            <sz val="8"/>
            <color indexed="81"/>
            <rFont val="Tahoma"/>
            <family val="2"/>
          </rPr>
          <t>Martin Shkreli:</t>
        </r>
        <r>
          <rPr>
            <sz val="8"/>
            <color indexed="81"/>
            <rFont val="Tahoma"/>
            <family val="2"/>
          </rPr>
          <t xml:space="preserve">
2927 bear</t>
        </r>
      </text>
    </comment>
    <comment ref="AJ74" authorId="2" shapeId="0" xr:uid="{00000000-0006-0000-0700-000054020000}">
      <text>
        <r>
          <rPr>
            <b/>
            <sz val="8"/>
            <color indexed="81"/>
            <rFont val="Tahoma"/>
            <family val="2"/>
          </rPr>
          <t>Martin Shkreli:</t>
        </r>
        <r>
          <rPr>
            <sz val="8"/>
            <color indexed="81"/>
            <rFont val="Tahoma"/>
            <family val="2"/>
          </rPr>
          <t xml:space="preserve">
2804 bear</t>
        </r>
      </text>
    </comment>
    <comment ref="AK74" authorId="2" shapeId="0" xr:uid="{00000000-0006-0000-0700-000055020000}">
      <text>
        <r>
          <rPr>
            <b/>
            <sz val="8"/>
            <color indexed="81"/>
            <rFont val="Tahoma"/>
            <family val="2"/>
          </rPr>
          <t>Martin Shkreli:</t>
        </r>
        <r>
          <rPr>
            <sz val="8"/>
            <color indexed="81"/>
            <rFont val="Tahoma"/>
            <family val="2"/>
          </rPr>
          <t xml:space="preserve">
2625 bear</t>
        </r>
      </text>
    </comment>
    <comment ref="AL74" authorId="2" shapeId="0" xr:uid="{00000000-0006-0000-0700-000056020000}">
      <text>
        <r>
          <rPr>
            <b/>
            <sz val="8"/>
            <color indexed="81"/>
            <rFont val="Tahoma"/>
            <family val="2"/>
          </rPr>
          <t>Martin Shkreli:</t>
        </r>
        <r>
          <rPr>
            <sz val="8"/>
            <color indexed="81"/>
            <rFont val="Tahoma"/>
            <family val="2"/>
          </rPr>
          <t xml:space="preserve">
2192 bear</t>
        </r>
      </text>
    </comment>
    <comment ref="AM74" authorId="2" shapeId="0" xr:uid="{00000000-0006-0000-0700-000057020000}">
      <text>
        <r>
          <rPr>
            <b/>
            <sz val="8"/>
            <color indexed="81"/>
            <rFont val="Tahoma"/>
            <family val="2"/>
          </rPr>
          <t>Martin Shkreli:</t>
        </r>
        <r>
          <rPr>
            <sz val="8"/>
            <color indexed="81"/>
            <rFont val="Tahoma"/>
            <family val="2"/>
          </rPr>
          <t xml:space="preserve">
2966 bear</t>
        </r>
      </text>
    </comment>
    <comment ref="BI74"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4" authorId="43"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4" authorId="44"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4" authorId="45"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4" authorId="46"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4" authorId="47"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4" authorId="48"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4" authorId="49"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4" authorId="50"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4" authorId="51"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4" authorId="2" shapeId="0" xr:uid="{00000000-0006-0000-0700-000059020000}">
      <text>
        <r>
          <rPr>
            <b/>
            <sz val="8"/>
            <color indexed="81"/>
            <rFont val="Tahoma"/>
            <family val="2"/>
          </rPr>
          <t>Martin Shkreli:</t>
        </r>
        <r>
          <rPr>
            <sz val="8"/>
            <color indexed="81"/>
            <rFont val="Tahoma"/>
            <family val="2"/>
          </rPr>
          <t xml:space="preserve">
1168 bear</t>
        </r>
      </text>
    </comment>
    <comment ref="DR74" authorId="2" shapeId="0" xr:uid="{00000000-0006-0000-0700-00005A020000}">
      <text>
        <r>
          <rPr>
            <b/>
            <sz val="8"/>
            <color indexed="81"/>
            <rFont val="Tahoma"/>
            <family val="2"/>
          </rPr>
          <t>Martin Shkreli:</t>
        </r>
        <r>
          <rPr>
            <sz val="8"/>
            <color indexed="81"/>
            <rFont val="Tahoma"/>
            <family val="2"/>
          </rPr>
          <t xml:space="preserve">
1441 bear</t>
        </r>
      </text>
    </comment>
    <comment ref="DS74" authorId="2" shapeId="0" xr:uid="{00000000-0006-0000-0700-00005B020000}">
      <text>
        <r>
          <rPr>
            <b/>
            <sz val="8"/>
            <color indexed="81"/>
            <rFont val="Tahoma"/>
            <family val="2"/>
          </rPr>
          <t>Martin Shkreli:</t>
        </r>
        <r>
          <rPr>
            <sz val="8"/>
            <color indexed="81"/>
            <rFont val="Tahoma"/>
            <family val="2"/>
          </rPr>
          <t xml:space="preserve">
1572 bear</t>
        </r>
      </text>
    </comment>
    <comment ref="DT74" authorId="2" shapeId="0" xr:uid="{00000000-0006-0000-0700-00005C020000}">
      <text>
        <r>
          <rPr>
            <b/>
            <sz val="8"/>
            <color indexed="81"/>
            <rFont val="Tahoma"/>
            <family val="2"/>
          </rPr>
          <t>Martin Shkreli:</t>
        </r>
        <r>
          <rPr>
            <sz val="8"/>
            <color indexed="81"/>
            <rFont val="Tahoma"/>
            <family val="2"/>
          </rPr>
          <t xml:space="preserve">
1786 bear</t>
        </r>
      </text>
    </comment>
    <comment ref="DU74" authorId="2" shapeId="0" xr:uid="{00000000-0006-0000-0700-00005D020000}">
      <text>
        <r>
          <rPr>
            <b/>
            <sz val="8"/>
            <color indexed="81"/>
            <rFont val="Tahoma"/>
            <family val="2"/>
          </rPr>
          <t>Martin Shkreli:</t>
        </r>
        <r>
          <rPr>
            <sz val="8"/>
            <color indexed="81"/>
            <rFont val="Tahoma"/>
            <family val="2"/>
          </rPr>
          <t xml:space="preserve">
1998 bear</t>
        </r>
      </text>
    </comment>
    <comment ref="DV74" authorId="2" shapeId="0" xr:uid="{00000000-0006-0000-0700-00005E020000}">
      <text>
        <r>
          <rPr>
            <b/>
            <sz val="8"/>
            <color indexed="81"/>
            <rFont val="Tahoma"/>
            <family val="2"/>
          </rPr>
          <t>Martin Shkreli:</t>
        </r>
        <r>
          <rPr>
            <sz val="8"/>
            <color indexed="81"/>
            <rFont val="Tahoma"/>
            <family val="2"/>
          </rPr>
          <t xml:space="preserve">
2418 bear</t>
        </r>
      </text>
    </comment>
    <comment ref="DW74" authorId="2" shapeId="0" xr:uid="{00000000-0006-0000-0700-00005F020000}">
      <text>
        <r>
          <rPr>
            <b/>
            <sz val="8"/>
            <color indexed="81"/>
            <rFont val="Tahoma"/>
            <family val="2"/>
          </rPr>
          <t>Martin Shkreli:</t>
        </r>
        <r>
          <rPr>
            <sz val="8"/>
            <color indexed="81"/>
            <rFont val="Tahoma"/>
            <family val="2"/>
          </rPr>
          <t xml:space="preserve">
2958 bear</t>
        </r>
      </text>
    </comment>
    <comment ref="DX74" authorId="2" shapeId="0" xr:uid="{00000000-0006-0000-0700-000060020000}">
      <text>
        <r>
          <rPr>
            <b/>
            <sz val="8"/>
            <color indexed="81"/>
            <rFont val="Tahoma"/>
            <family val="2"/>
          </rPr>
          <t>Martin Shkreli:</t>
        </r>
        <r>
          <rPr>
            <sz val="8"/>
            <color indexed="81"/>
            <rFont val="Tahoma"/>
            <family val="2"/>
          </rPr>
          <t xml:space="preserve">
3471 bear</t>
        </r>
      </text>
    </comment>
    <comment ref="DY74" authorId="2" shapeId="0" xr:uid="{00000000-0006-0000-0700-000061020000}">
      <text>
        <r>
          <rPr>
            <b/>
            <sz val="8"/>
            <color indexed="81"/>
            <rFont val="Tahoma"/>
            <family val="2"/>
          </rPr>
          <t>Martin Shkreli:</t>
        </r>
        <r>
          <rPr>
            <sz val="8"/>
            <color indexed="81"/>
            <rFont val="Tahoma"/>
            <family val="2"/>
          </rPr>
          <t xml:space="preserve">
3952 bear</t>
        </r>
      </text>
    </comment>
    <comment ref="DZ74" authorId="2" shapeId="0" xr:uid="{00000000-0006-0000-0700-000062020000}">
      <text>
        <r>
          <rPr>
            <b/>
            <sz val="8"/>
            <color indexed="81"/>
            <rFont val="Tahoma"/>
            <family val="2"/>
          </rPr>
          <t>Martin Shkreli:</t>
        </r>
        <r>
          <rPr>
            <sz val="8"/>
            <color indexed="81"/>
            <rFont val="Tahoma"/>
            <family val="2"/>
          </rPr>
          <t xml:space="preserve">
4287 jpm
4273 bear</t>
        </r>
      </text>
    </comment>
    <comment ref="EA74" authorId="2" shapeId="0" xr:uid="{00000000-0006-0000-0700-000063020000}">
      <text>
        <r>
          <rPr>
            <b/>
            <sz val="8"/>
            <color indexed="81"/>
            <rFont val="Tahoma"/>
            <family val="2"/>
          </rPr>
          <t>Martin Shkreli:</t>
        </r>
        <r>
          <rPr>
            <sz val="8"/>
            <color indexed="81"/>
            <rFont val="Tahoma"/>
            <family val="2"/>
          </rPr>
          <t xml:space="preserve">
4998 jpm
5043 bear</t>
        </r>
      </text>
    </comment>
    <comment ref="EB74" authorId="2" shapeId="0" xr:uid="{00000000-0006-0000-0700-000064020000}">
      <text>
        <r>
          <rPr>
            <b/>
            <sz val="8"/>
            <color indexed="81"/>
            <rFont val="Tahoma"/>
            <family val="2"/>
          </rPr>
          <t>Martin Shkreli:</t>
        </r>
        <r>
          <rPr>
            <sz val="8"/>
            <color indexed="81"/>
            <rFont val="Tahoma"/>
            <family val="2"/>
          </rPr>
          <t xml:space="preserve">
5900 bear</t>
        </r>
      </text>
    </comment>
    <comment ref="EC74" authorId="2" shapeId="0" xr:uid="{00000000-0006-0000-0700-000065020000}">
      <text>
        <r>
          <rPr>
            <b/>
            <sz val="8"/>
            <color indexed="81"/>
            <rFont val="Tahoma"/>
            <family val="2"/>
          </rPr>
          <t>Martin Shkreli:</t>
        </r>
        <r>
          <rPr>
            <sz val="8"/>
            <color indexed="81"/>
            <rFont val="Tahoma"/>
            <family val="2"/>
          </rPr>
          <t xml:space="preserve">
6786 bear</t>
        </r>
      </text>
    </comment>
    <comment ref="ED74" authorId="2" shapeId="0" xr:uid="{00000000-0006-0000-0700-000066020000}">
      <text>
        <r>
          <rPr>
            <b/>
            <sz val="8"/>
            <color indexed="81"/>
            <rFont val="Tahoma"/>
            <family val="2"/>
          </rPr>
          <t>Martin Shkreli:</t>
        </r>
        <r>
          <rPr>
            <sz val="8"/>
            <color indexed="81"/>
            <rFont val="Tahoma"/>
            <family val="2"/>
          </rPr>
          <t xml:space="preserve">
7970 bear</t>
        </r>
      </text>
    </comment>
    <comment ref="EE74" authorId="2" shapeId="0" xr:uid="{00000000-0006-0000-0700-000067020000}">
      <text>
        <r>
          <rPr>
            <b/>
            <sz val="8"/>
            <color indexed="81"/>
            <rFont val="Tahoma"/>
            <family val="2"/>
          </rPr>
          <t>Martin Shkreli:</t>
        </r>
        <r>
          <rPr>
            <sz val="8"/>
            <color indexed="81"/>
            <rFont val="Tahoma"/>
            <family val="2"/>
          </rPr>
          <t xml:space="preserve">
9315 bear</t>
        </r>
      </text>
    </comment>
    <comment ref="EF74" authorId="2" shapeId="0" xr:uid="{00000000-0006-0000-0700-000068020000}">
      <text>
        <r>
          <rPr>
            <b/>
            <sz val="8"/>
            <color indexed="81"/>
            <rFont val="Tahoma"/>
            <family val="2"/>
          </rPr>
          <t>Martin Shkreli:</t>
        </r>
        <r>
          <rPr>
            <sz val="8"/>
            <color indexed="81"/>
            <rFont val="Tahoma"/>
            <family val="2"/>
          </rPr>
          <t xml:space="preserve">
10547 bear</t>
        </r>
      </text>
    </comment>
    <comment ref="EI74" authorId="2" shapeId="0" xr:uid="{00000000-0006-0000-0700-000069020000}">
      <text>
        <r>
          <rPr>
            <b/>
            <sz val="8"/>
            <color indexed="81"/>
            <rFont val="Tahoma"/>
            <family val="2"/>
          </rPr>
          <t>Martin Shkreli:</t>
        </r>
        <r>
          <rPr>
            <sz val="8"/>
            <color indexed="81"/>
            <rFont val="Tahoma"/>
            <family val="2"/>
          </rPr>
          <t xml:space="preserve">
12.949bn official #</t>
        </r>
      </text>
    </comment>
    <comment ref="K75" authorId="2" shapeId="0" xr:uid="{00000000-0006-0000-0700-00006A020000}">
      <text>
        <r>
          <rPr>
            <b/>
            <sz val="8"/>
            <color indexed="81"/>
            <rFont val="Tahoma"/>
            <family val="2"/>
          </rPr>
          <t>Martin Shkreli:</t>
        </r>
        <r>
          <rPr>
            <sz val="8"/>
            <color indexed="81"/>
            <rFont val="Tahoma"/>
            <family val="2"/>
          </rPr>
          <t xml:space="preserve">
0.37 jpm</t>
        </r>
      </text>
    </comment>
    <comment ref="L75" authorId="2" shapeId="0" xr:uid="{00000000-0006-0000-0700-00006B020000}">
      <text>
        <r>
          <rPr>
            <b/>
            <sz val="8"/>
            <color indexed="81"/>
            <rFont val="Tahoma"/>
            <family val="2"/>
          </rPr>
          <t>Martin Shkreli:</t>
        </r>
        <r>
          <rPr>
            <sz val="8"/>
            <color indexed="81"/>
            <rFont val="Tahoma"/>
            <family val="2"/>
          </rPr>
          <t xml:space="preserve">
0.39 jpm</t>
        </r>
      </text>
    </comment>
    <comment ref="M75" authorId="2" shapeId="0" xr:uid="{00000000-0006-0000-0700-00006C020000}">
      <text>
        <r>
          <rPr>
            <b/>
            <sz val="8"/>
            <color indexed="81"/>
            <rFont val="Tahoma"/>
            <family val="2"/>
          </rPr>
          <t>Martin Shkreli:</t>
        </r>
        <r>
          <rPr>
            <sz val="8"/>
            <color indexed="81"/>
            <rFont val="Tahoma"/>
            <family val="2"/>
          </rPr>
          <t xml:space="preserve">
0.38 jpm</t>
        </r>
      </text>
    </comment>
    <comment ref="N75" authorId="2" shapeId="0" xr:uid="{00000000-0006-0000-0700-00006D020000}">
      <text>
        <r>
          <rPr>
            <b/>
            <sz val="8"/>
            <color indexed="81"/>
            <rFont val="Tahoma"/>
            <family val="2"/>
          </rPr>
          <t>Martin Shkreli:</t>
        </r>
        <r>
          <rPr>
            <sz val="8"/>
            <color indexed="81"/>
            <rFont val="Tahoma"/>
            <family val="2"/>
          </rPr>
          <t xml:space="preserve">
0.25 jpm</t>
        </r>
      </text>
    </comment>
    <comment ref="O75" authorId="2" shapeId="0" xr:uid="{00000000-0006-0000-0700-00006E020000}">
      <text>
        <r>
          <rPr>
            <b/>
            <sz val="8"/>
            <color indexed="81"/>
            <rFont val="Tahoma"/>
            <family val="2"/>
          </rPr>
          <t>Martin Shkreli:</t>
        </r>
        <r>
          <rPr>
            <sz val="8"/>
            <color indexed="81"/>
            <rFont val="Tahoma"/>
            <family val="2"/>
          </rPr>
          <t xml:space="preserve">
0.44 jpm
0.44 bear</t>
        </r>
      </text>
    </comment>
    <comment ref="P75" authorId="2" shapeId="0" xr:uid="{00000000-0006-0000-0700-00006F020000}">
      <text>
        <r>
          <rPr>
            <b/>
            <sz val="8"/>
            <color indexed="81"/>
            <rFont val="Tahoma"/>
            <family val="2"/>
          </rPr>
          <t>Martin Shkreli:</t>
        </r>
        <r>
          <rPr>
            <sz val="8"/>
            <color indexed="81"/>
            <rFont val="Tahoma"/>
            <family val="2"/>
          </rPr>
          <t xml:space="preserve">
0.44 jpm
0.44 bear</t>
        </r>
      </text>
    </comment>
    <comment ref="Q75" authorId="2" shapeId="0" xr:uid="{00000000-0006-0000-0700-000070020000}">
      <text>
        <r>
          <rPr>
            <b/>
            <sz val="8"/>
            <color indexed="81"/>
            <rFont val="Tahoma"/>
            <family val="2"/>
          </rPr>
          <t>Martin Shkreli:</t>
        </r>
        <r>
          <rPr>
            <sz val="8"/>
            <color indexed="81"/>
            <rFont val="Tahoma"/>
            <family val="2"/>
          </rPr>
          <t xml:space="preserve">
0.43 jpm
0.43 bear</t>
        </r>
      </text>
    </comment>
    <comment ref="R75" authorId="2" shapeId="0" xr:uid="{00000000-0006-0000-0700-000071020000}">
      <text>
        <r>
          <rPr>
            <b/>
            <sz val="8"/>
            <color indexed="81"/>
            <rFont val="Tahoma"/>
            <family val="2"/>
          </rPr>
          <t>Martin Shkreli:</t>
        </r>
        <r>
          <rPr>
            <sz val="8"/>
            <color indexed="81"/>
            <rFont val="Tahoma"/>
            <family val="2"/>
          </rPr>
          <t xml:space="preserve">
0.32 jpm
0.32 bear</t>
        </r>
      </text>
    </comment>
    <comment ref="S75" authorId="2" shapeId="0" xr:uid="{00000000-0006-0000-0700-000072020000}">
      <text>
        <r>
          <rPr>
            <b/>
            <sz val="8"/>
            <color indexed="81"/>
            <rFont val="Tahoma"/>
            <family val="2"/>
          </rPr>
          <t>Martin Shkreli:</t>
        </r>
        <r>
          <rPr>
            <sz val="8"/>
            <color indexed="81"/>
            <rFont val="Tahoma"/>
            <family val="2"/>
          </rPr>
          <t xml:space="preserve">
0.50 bear</t>
        </r>
      </text>
    </comment>
    <comment ref="T75" authorId="2" shapeId="0" xr:uid="{00000000-0006-0000-0700-000073020000}">
      <text>
        <r>
          <rPr>
            <b/>
            <sz val="8"/>
            <color indexed="81"/>
            <rFont val="Tahoma"/>
            <family val="2"/>
          </rPr>
          <t>Martin Shkreli:</t>
        </r>
        <r>
          <rPr>
            <sz val="8"/>
            <color indexed="81"/>
            <rFont val="Tahoma"/>
            <family val="2"/>
          </rPr>
          <t xml:space="preserve">
0.51 bear</t>
        </r>
      </text>
    </comment>
    <comment ref="U75" authorId="2" shapeId="0" xr:uid="{00000000-0006-0000-0700-000074020000}">
      <text>
        <r>
          <rPr>
            <b/>
            <sz val="8"/>
            <color indexed="81"/>
            <rFont val="Tahoma"/>
            <family val="2"/>
          </rPr>
          <t>Martin Shkreli:</t>
        </r>
        <r>
          <rPr>
            <sz val="8"/>
            <color indexed="81"/>
            <rFont val="Tahoma"/>
            <family val="2"/>
          </rPr>
          <t xml:space="preserve">
 0.50 bear</t>
        </r>
      </text>
    </comment>
    <comment ref="X75" authorId="2" shapeId="0" xr:uid="{00000000-0006-0000-0700-000075020000}">
      <text>
        <r>
          <rPr>
            <b/>
            <sz val="8"/>
            <color indexed="81"/>
            <rFont val="Tahoma"/>
            <family val="2"/>
          </rPr>
          <t>Martin Shkreli:</t>
        </r>
        <r>
          <rPr>
            <sz val="8"/>
            <color indexed="81"/>
            <rFont val="Tahoma"/>
            <family val="2"/>
          </rPr>
          <t xml:space="preserve">
0.60 bear</t>
        </r>
      </text>
    </comment>
    <comment ref="AD75" authorId="2" shapeId="0" xr:uid="{00000000-0006-0000-0700-000076020000}">
      <text>
        <r>
          <rPr>
            <b/>
            <sz val="8"/>
            <color indexed="81"/>
            <rFont val="Tahoma"/>
            <family val="2"/>
          </rPr>
          <t>Martin Shkreli:</t>
        </r>
        <r>
          <rPr>
            <sz val="8"/>
            <color indexed="81"/>
            <rFont val="Tahoma"/>
            <family val="2"/>
          </rPr>
          <t xml:space="preserve">
0.57 bear</t>
        </r>
      </text>
    </comment>
    <comment ref="AI75" authorId="2" shapeId="0" xr:uid="{00000000-0006-0000-0700-000077020000}">
      <text>
        <r>
          <rPr>
            <b/>
            <sz val="8"/>
            <color indexed="81"/>
            <rFont val="Tahoma"/>
            <family val="2"/>
          </rPr>
          <t>Martin Shkreli:</t>
        </r>
        <r>
          <rPr>
            <sz val="8"/>
            <color indexed="81"/>
            <rFont val="Tahoma"/>
            <family val="2"/>
          </rPr>
          <t xml:space="preserve">
0.97 bear</t>
        </r>
      </text>
    </comment>
    <comment ref="AJ75" authorId="2" shapeId="0" xr:uid="{00000000-0006-0000-0700-000078020000}">
      <text>
        <r>
          <rPr>
            <b/>
            <sz val="8"/>
            <color indexed="81"/>
            <rFont val="Tahoma"/>
            <family val="2"/>
          </rPr>
          <t>Martin Shkreli:</t>
        </r>
        <r>
          <rPr>
            <sz val="8"/>
            <color indexed="81"/>
            <rFont val="Tahoma"/>
            <family val="2"/>
          </rPr>
          <t xml:space="preserve">
0.93 bear</t>
        </r>
      </text>
    </comment>
    <comment ref="AK75" authorId="2" shapeId="0" xr:uid="{00000000-0006-0000-0700-000079020000}">
      <text>
        <r>
          <rPr>
            <b/>
            <sz val="8"/>
            <color indexed="81"/>
            <rFont val="Tahoma"/>
            <family val="2"/>
          </rPr>
          <t>Martin Shkreli:</t>
        </r>
        <r>
          <rPr>
            <sz val="8"/>
            <color indexed="81"/>
            <rFont val="Tahoma"/>
            <family val="2"/>
          </rPr>
          <t xml:space="preserve">
0.87 bear</t>
        </r>
      </text>
    </comment>
    <comment ref="AL75" authorId="2" shapeId="0" xr:uid="{00000000-0006-0000-0700-00007A020000}">
      <text>
        <r>
          <rPr>
            <b/>
            <sz val="8"/>
            <color indexed="81"/>
            <rFont val="Tahoma"/>
            <family val="2"/>
          </rPr>
          <t>Martin Shkreli:</t>
        </r>
        <r>
          <rPr>
            <sz val="8"/>
            <color indexed="81"/>
            <rFont val="Tahoma"/>
            <family val="2"/>
          </rPr>
          <t xml:space="preserve">
0.73 bear</t>
        </r>
      </text>
    </comment>
    <comment ref="AM75" authorId="2" shapeId="0" xr:uid="{00000000-0006-0000-0700-00007B020000}">
      <text>
        <r>
          <rPr>
            <b/>
            <sz val="8"/>
            <color indexed="81"/>
            <rFont val="Tahoma"/>
            <family val="2"/>
          </rPr>
          <t>Martin Shkreli:</t>
        </r>
        <r>
          <rPr>
            <sz val="8"/>
            <color indexed="81"/>
            <rFont val="Tahoma"/>
            <family val="2"/>
          </rPr>
          <t xml:space="preserve">
0.99 bear</t>
        </r>
      </text>
    </comment>
    <comment ref="AQ75"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5"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5" authorId="5" shapeId="0" xr:uid="{00000000-0006-0000-0700-00007E020000}">
      <text>
        <r>
          <rPr>
            <b/>
            <sz val="9"/>
            <color indexed="81"/>
            <rFont val="Tahoma"/>
            <family val="2"/>
          </rPr>
          <t>Martin:</t>
        </r>
        <r>
          <rPr>
            <sz val="9"/>
            <color indexed="81"/>
            <rFont val="Tahoma"/>
            <family val="2"/>
          </rPr>
          <t xml:space="preserve">
1.02 adjusted earnings</t>
        </r>
      </text>
    </comment>
    <comment ref="DQ75" authorId="2" shapeId="0" xr:uid="{00000000-0006-0000-0700-00007F020000}">
      <text>
        <r>
          <rPr>
            <b/>
            <sz val="8"/>
            <color indexed="81"/>
            <rFont val="Tahoma"/>
            <family val="2"/>
          </rPr>
          <t>Martin Shkreli:</t>
        </r>
        <r>
          <rPr>
            <sz val="8"/>
            <color indexed="81"/>
            <rFont val="Tahoma"/>
            <family val="2"/>
          </rPr>
          <t xml:space="preserve">
0.48 bear</t>
        </r>
      </text>
    </comment>
    <comment ref="DR75" authorId="2" shapeId="0" xr:uid="{00000000-0006-0000-0700-000080020000}">
      <text>
        <r>
          <rPr>
            <b/>
            <sz val="8"/>
            <color indexed="81"/>
            <rFont val="Tahoma"/>
            <family val="2"/>
          </rPr>
          <t>Martin Shkreli:</t>
        </r>
        <r>
          <rPr>
            <sz val="8"/>
            <color indexed="81"/>
            <rFont val="Tahoma"/>
            <family val="2"/>
          </rPr>
          <t xml:space="preserve">
0.55 bear</t>
        </r>
      </text>
    </comment>
    <comment ref="DS75" authorId="2" shapeId="0" xr:uid="{00000000-0006-0000-0700-000081020000}">
      <text>
        <r>
          <rPr>
            <b/>
            <sz val="8"/>
            <color indexed="81"/>
            <rFont val="Tahoma"/>
            <family val="2"/>
          </rPr>
          <t>Martin Shkreli:</t>
        </r>
        <r>
          <rPr>
            <sz val="8"/>
            <color indexed="81"/>
            <rFont val="Tahoma"/>
            <family val="2"/>
          </rPr>
          <t xml:space="preserve">
0.63 bear</t>
        </r>
      </text>
    </comment>
    <comment ref="DT75" authorId="2" shapeId="0" xr:uid="{00000000-0006-0000-0700-000082020000}">
      <text>
        <r>
          <rPr>
            <b/>
            <sz val="8"/>
            <color indexed="81"/>
            <rFont val="Tahoma"/>
            <family val="2"/>
          </rPr>
          <t>Martin Shkreli:</t>
        </r>
        <r>
          <rPr>
            <sz val="8"/>
            <color indexed="81"/>
            <rFont val="Tahoma"/>
            <family val="2"/>
          </rPr>
          <t xml:space="preserve">
0.69 bear</t>
        </r>
      </text>
    </comment>
    <comment ref="DU75" authorId="2" shapeId="0" xr:uid="{00000000-0006-0000-0700-000083020000}">
      <text>
        <r>
          <rPr>
            <b/>
            <sz val="8"/>
            <color indexed="81"/>
            <rFont val="Tahoma"/>
            <family val="2"/>
          </rPr>
          <t>Martin Shkreli:</t>
        </r>
        <r>
          <rPr>
            <sz val="8"/>
            <color indexed="81"/>
            <rFont val="Tahoma"/>
            <family val="2"/>
          </rPr>
          <t xml:space="preserve">
0.78 bear</t>
        </r>
      </text>
    </comment>
    <comment ref="DV75" authorId="2" shapeId="0" xr:uid="{00000000-0006-0000-0700-000084020000}">
      <text>
        <r>
          <rPr>
            <b/>
            <sz val="8"/>
            <color indexed="81"/>
            <rFont val="Tahoma"/>
            <family val="2"/>
          </rPr>
          <t>Martin Shkreli:</t>
        </r>
        <r>
          <rPr>
            <sz val="8"/>
            <color indexed="81"/>
            <rFont val="Tahoma"/>
            <family val="2"/>
          </rPr>
          <t xml:space="preserve">
0.93 bear</t>
        </r>
      </text>
    </comment>
    <comment ref="DW75" authorId="2" shapeId="0" xr:uid="{00000000-0006-0000-0700-000085020000}">
      <text>
        <r>
          <rPr>
            <b/>
            <sz val="8"/>
            <color indexed="81"/>
            <rFont val="Tahoma"/>
            <family val="2"/>
          </rPr>
          <t>Martin Shkreli:</t>
        </r>
        <r>
          <rPr>
            <sz val="8"/>
            <color indexed="81"/>
            <rFont val="Tahoma"/>
            <family val="2"/>
          </rPr>
          <t xml:space="preserve">
1.09 bear</t>
        </r>
      </text>
    </comment>
    <comment ref="DX75" authorId="2" shapeId="0" xr:uid="{00000000-0006-0000-0700-000086020000}">
      <text>
        <r>
          <rPr>
            <b/>
            <sz val="8"/>
            <color indexed="81"/>
            <rFont val="Tahoma"/>
            <family val="2"/>
          </rPr>
          <t>Martin Shkreli:</t>
        </r>
        <r>
          <rPr>
            <sz val="8"/>
            <color indexed="81"/>
            <rFont val="Tahoma"/>
            <family val="2"/>
          </rPr>
          <t xml:space="preserve">
1.17 bear</t>
        </r>
      </text>
    </comment>
    <comment ref="DY75" authorId="2" shapeId="0" xr:uid="{00000000-0006-0000-0700-000087020000}">
      <text>
        <r>
          <rPr>
            <b/>
            <sz val="8"/>
            <color indexed="81"/>
            <rFont val="Tahoma"/>
            <family val="2"/>
          </rPr>
          <t>Martin Shkreli:</t>
        </r>
        <r>
          <rPr>
            <sz val="8"/>
            <color indexed="81"/>
            <rFont val="Tahoma"/>
            <family val="2"/>
          </rPr>
          <t xml:space="preserve">
1.31 bear</t>
        </r>
      </text>
    </comment>
    <comment ref="DZ75" authorId="2" shapeId="0" xr:uid="{00000000-0006-0000-0700-000088020000}">
      <text>
        <r>
          <rPr>
            <b/>
            <sz val="8"/>
            <color indexed="81"/>
            <rFont val="Tahoma"/>
            <family val="2"/>
          </rPr>
          <t>Martin Shkreli:</t>
        </r>
        <r>
          <rPr>
            <sz val="8"/>
            <color indexed="81"/>
            <rFont val="Tahoma"/>
            <family val="2"/>
          </rPr>
          <t xml:space="preserve">
1.38 jpm
1.42 bear</t>
        </r>
      </text>
    </comment>
    <comment ref="EA75" authorId="2" shapeId="0" xr:uid="{00000000-0006-0000-0700-000089020000}">
      <text>
        <r>
          <rPr>
            <b/>
            <sz val="8"/>
            <color indexed="81"/>
            <rFont val="Tahoma"/>
            <family val="2"/>
          </rPr>
          <t>Martin Shkreli:</t>
        </r>
        <r>
          <rPr>
            <sz val="8"/>
            <color indexed="81"/>
            <rFont val="Tahoma"/>
            <family val="2"/>
          </rPr>
          <t xml:space="preserve">
1.63 jpm
1.63 bear</t>
        </r>
      </text>
    </comment>
    <comment ref="EB75" authorId="2" shapeId="0" xr:uid="{00000000-0006-0000-0700-00008A020000}">
      <text>
        <r>
          <rPr>
            <b/>
            <sz val="8"/>
            <color indexed="81"/>
            <rFont val="Tahoma"/>
            <family val="2"/>
          </rPr>
          <t>Martin Shkreli:</t>
        </r>
        <r>
          <rPr>
            <sz val="8"/>
            <color indexed="81"/>
            <rFont val="Tahoma"/>
            <family val="2"/>
          </rPr>
          <t xml:space="preserve">
1.91 bear</t>
        </r>
      </text>
    </comment>
    <comment ref="EC75" authorId="2" shapeId="0" xr:uid="{00000000-0006-0000-0700-00008B020000}">
      <text>
        <r>
          <rPr>
            <b/>
            <sz val="8"/>
            <color indexed="81"/>
            <rFont val="Tahoma"/>
            <family val="2"/>
          </rPr>
          <t>Martin Shkreli:</t>
        </r>
        <r>
          <rPr>
            <sz val="8"/>
            <color indexed="81"/>
            <rFont val="Tahoma"/>
            <family val="2"/>
          </rPr>
          <t xml:space="preserve">
2.23 bear</t>
        </r>
      </text>
    </comment>
    <comment ref="ED75" authorId="2" shapeId="0" xr:uid="{00000000-0006-0000-0700-00008C020000}">
      <text>
        <r>
          <rPr>
            <b/>
            <sz val="8"/>
            <color indexed="81"/>
            <rFont val="Tahoma"/>
            <family val="2"/>
          </rPr>
          <t>Martin Shkreli:</t>
        </r>
        <r>
          <rPr>
            <sz val="8"/>
            <color indexed="81"/>
            <rFont val="Tahoma"/>
            <family val="2"/>
          </rPr>
          <t xml:space="preserve">
2.65 bear</t>
        </r>
      </text>
    </comment>
    <comment ref="EE75" authorId="2" shapeId="0" xr:uid="{00000000-0006-0000-0700-00008D020000}">
      <text>
        <r>
          <rPr>
            <b/>
            <sz val="8"/>
            <color indexed="81"/>
            <rFont val="Tahoma"/>
            <family val="2"/>
          </rPr>
          <t>Martin Shkreli:</t>
        </r>
        <r>
          <rPr>
            <sz val="8"/>
            <color indexed="81"/>
            <rFont val="Tahoma"/>
            <family val="2"/>
          </rPr>
          <t xml:space="preserve">
3.10 bear</t>
        </r>
      </text>
    </comment>
    <comment ref="EF75" authorId="2" shapeId="0" xr:uid="{00000000-0006-0000-0700-00008E020000}">
      <text>
        <r>
          <rPr>
            <b/>
            <sz val="8"/>
            <color indexed="81"/>
            <rFont val="Tahoma"/>
            <family val="2"/>
          </rPr>
          <t>Martin Shkreli:</t>
        </r>
        <r>
          <rPr>
            <sz val="8"/>
            <color indexed="81"/>
            <rFont val="Tahoma"/>
            <family val="2"/>
          </rPr>
          <t xml:space="preserve">
3.49 bear</t>
        </r>
      </text>
    </comment>
    <comment ref="EH75"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5"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5"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5"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5" authorId="5" shapeId="0" xr:uid="{00000000-0006-0000-0700-000093020000}">
      <text>
        <r>
          <rPr>
            <b/>
            <sz val="9"/>
            <color indexed="81"/>
            <rFont val="Tahoma"/>
            <family val="2"/>
          </rPr>
          <t>Martin:</t>
        </r>
        <r>
          <rPr>
            <sz val="9"/>
            <color indexed="81"/>
            <rFont val="Tahoma"/>
            <family val="2"/>
          </rPr>
          <t xml:space="preserve">
Q311: 4.95-5.00</t>
        </r>
      </text>
    </comment>
    <comment ref="EM75" authorId="5" shapeId="0" xr:uid="{00000000-0006-0000-0700-000094020000}">
      <text>
        <r>
          <rPr>
            <b/>
            <sz val="9"/>
            <color indexed="81"/>
            <rFont val="Tahoma"/>
            <family val="2"/>
          </rPr>
          <t>Martin:</t>
        </r>
        <r>
          <rPr>
            <sz val="9"/>
            <color indexed="81"/>
            <rFont val="Tahoma"/>
            <family val="2"/>
          </rPr>
          <t xml:space="preserve">
5.05-5.15 set in Q411</t>
        </r>
      </text>
    </comment>
    <comment ref="EO75" authorId="5" shapeId="0" xr:uid="{00000000-0006-0000-0700-000095020000}">
      <text>
        <r>
          <rPr>
            <b/>
            <sz val="9"/>
            <color indexed="81"/>
            <rFont val="Tahoma"/>
            <family val="2"/>
          </rPr>
          <t>Martin:</t>
        </r>
        <r>
          <rPr>
            <sz val="9"/>
            <color indexed="81"/>
            <rFont val="Tahoma"/>
            <family val="2"/>
          </rPr>
          <t xml:space="preserve">
Q214: 5.85-5.92</t>
        </r>
      </text>
    </comment>
    <comment ref="K76" authorId="2" shapeId="0" xr:uid="{00000000-0006-0000-0700-000096020000}">
      <text>
        <r>
          <rPr>
            <b/>
            <sz val="8"/>
            <color indexed="81"/>
            <rFont val="Tahoma"/>
            <family val="2"/>
          </rPr>
          <t>Martin Shkreli:</t>
        </r>
        <r>
          <rPr>
            <sz val="8"/>
            <color indexed="81"/>
            <rFont val="Tahoma"/>
            <family val="2"/>
          </rPr>
          <t xml:space="preserve">
3106 jpm</t>
        </r>
      </text>
    </comment>
    <comment ref="L76" authorId="2" shapeId="0" xr:uid="{00000000-0006-0000-0700-000097020000}">
      <text>
        <r>
          <rPr>
            <b/>
            <sz val="8"/>
            <color indexed="81"/>
            <rFont val="Tahoma"/>
            <family val="2"/>
          </rPr>
          <t>Martin Shkreli:</t>
        </r>
        <r>
          <rPr>
            <sz val="8"/>
            <color indexed="81"/>
            <rFont val="Tahoma"/>
            <family val="2"/>
          </rPr>
          <t xml:space="preserve">
3109 jpm</t>
        </r>
      </text>
    </comment>
    <comment ref="M76" authorId="2" shapeId="0" xr:uid="{00000000-0006-0000-0700-000098020000}">
      <text>
        <r>
          <rPr>
            <b/>
            <sz val="8"/>
            <color indexed="81"/>
            <rFont val="Tahoma"/>
            <family val="2"/>
          </rPr>
          <t>Martin Shkreli:</t>
        </r>
        <r>
          <rPr>
            <sz val="8"/>
            <color indexed="81"/>
            <rFont val="Tahoma"/>
            <family val="2"/>
          </rPr>
          <t xml:space="preserve">
3105 jpm</t>
        </r>
      </text>
    </comment>
    <comment ref="N76" authorId="2" shapeId="0" xr:uid="{00000000-0006-0000-0700-000099020000}">
      <text>
        <r>
          <rPr>
            <b/>
            <sz val="8"/>
            <color indexed="81"/>
            <rFont val="Tahoma"/>
            <family val="2"/>
          </rPr>
          <t>Martin Shkreli:</t>
        </r>
        <r>
          <rPr>
            <sz val="8"/>
            <color indexed="81"/>
            <rFont val="Tahoma"/>
            <family val="2"/>
          </rPr>
          <t xml:space="preserve">
3106 jpm</t>
        </r>
      </text>
    </comment>
    <comment ref="O76" authorId="2" shapeId="0" xr:uid="{00000000-0006-0000-0700-00009A020000}">
      <text>
        <r>
          <rPr>
            <b/>
            <sz val="8"/>
            <color indexed="81"/>
            <rFont val="Tahoma"/>
            <family val="2"/>
          </rPr>
          <t>Martin Shkreli:</t>
        </r>
        <r>
          <rPr>
            <sz val="8"/>
            <color indexed="81"/>
            <rFont val="Tahoma"/>
            <family val="2"/>
          </rPr>
          <t xml:space="preserve">
3087 jpm
3087 bear</t>
        </r>
      </text>
    </comment>
    <comment ref="P76" authorId="2" shapeId="0" xr:uid="{00000000-0006-0000-0700-00009B020000}">
      <text>
        <r>
          <rPr>
            <b/>
            <sz val="8"/>
            <color indexed="81"/>
            <rFont val="Tahoma"/>
            <family val="2"/>
          </rPr>
          <t>Martin Shkreli:</t>
        </r>
        <r>
          <rPr>
            <sz val="8"/>
            <color indexed="81"/>
            <rFont val="Tahoma"/>
            <family val="2"/>
          </rPr>
          <t xml:space="preserve">
3095 jpm
3095 bear</t>
        </r>
      </text>
    </comment>
    <comment ref="Q76" authorId="2" shapeId="0" xr:uid="{00000000-0006-0000-0700-00009C020000}">
      <text>
        <r>
          <rPr>
            <b/>
            <sz val="8"/>
            <color indexed="81"/>
            <rFont val="Tahoma"/>
            <family val="2"/>
          </rPr>
          <t>Martin Shkreli:</t>
        </r>
        <r>
          <rPr>
            <sz val="8"/>
            <color indexed="81"/>
            <rFont val="Tahoma"/>
            <family val="2"/>
          </rPr>
          <t xml:space="preserve">
3113 jpm
3113 bear</t>
        </r>
      </text>
    </comment>
    <comment ref="R76" authorId="2" shapeId="0" xr:uid="{00000000-0006-0000-0700-00009D020000}">
      <text>
        <r>
          <rPr>
            <b/>
            <sz val="8"/>
            <color indexed="81"/>
            <rFont val="Tahoma"/>
            <family val="2"/>
          </rPr>
          <t>Martin Shkreli:</t>
        </r>
        <r>
          <rPr>
            <sz val="8"/>
            <color indexed="81"/>
            <rFont val="Tahoma"/>
            <family val="2"/>
          </rPr>
          <t xml:space="preserve">
3118 jpm
3118 bear</t>
        </r>
      </text>
    </comment>
    <comment ref="S76" authorId="2" shapeId="0" xr:uid="{00000000-0006-0000-0700-00009E020000}">
      <text>
        <r>
          <rPr>
            <b/>
            <sz val="8"/>
            <color indexed="81"/>
            <rFont val="Tahoma"/>
            <family val="2"/>
          </rPr>
          <t>Martin Shkreli:</t>
        </r>
        <r>
          <rPr>
            <sz val="8"/>
            <color indexed="81"/>
            <rFont val="Tahoma"/>
            <family val="2"/>
          </rPr>
          <t xml:space="preserve">
3106 bear</t>
        </r>
      </text>
    </comment>
    <comment ref="X76" authorId="2" shapeId="0" xr:uid="{00000000-0006-0000-0700-00009F020000}">
      <text>
        <r>
          <rPr>
            <b/>
            <sz val="8"/>
            <color indexed="81"/>
            <rFont val="Tahoma"/>
            <family val="2"/>
          </rPr>
          <t>Martin Shkreli:</t>
        </r>
        <r>
          <rPr>
            <sz val="8"/>
            <color indexed="81"/>
            <rFont val="Tahoma"/>
            <family val="2"/>
          </rPr>
          <t xml:space="preserve">
3087 bear</t>
        </r>
      </text>
    </comment>
    <comment ref="AB76" authorId="2" shapeId="0" xr:uid="{00000000-0006-0000-0700-0000A0020000}">
      <text>
        <r>
          <rPr>
            <b/>
            <sz val="8"/>
            <color indexed="81"/>
            <rFont val="Tahoma"/>
            <family val="2"/>
          </rPr>
          <t>Martin Shkreli:</t>
        </r>
        <r>
          <rPr>
            <sz val="8"/>
            <color indexed="81"/>
            <rFont val="Tahoma"/>
            <family val="2"/>
          </rPr>
          <t xml:space="preserve">
3016 bear
3028 JPM</t>
        </r>
      </text>
    </comment>
    <comment ref="AK76" authorId="2" shapeId="0" xr:uid="{00000000-0006-0000-0700-0000A1020000}">
      <text>
        <r>
          <rPr>
            <b/>
            <sz val="8"/>
            <color indexed="81"/>
            <rFont val="Tahoma"/>
            <family val="2"/>
          </rPr>
          <t>Martin Shkreli:</t>
        </r>
        <r>
          <rPr>
            <sz val="8"/>
            <color indexed="81"/>
            <rFont val="Tahoma"/>
            <family val="2"/>
          </rPr>
          <t xml:space="preserve">
3017 bear</t>
        </r>
      </text>
    </comment>
    <comment ref="AL76" authorId="2" shapeId="0" xr:uid="{00000000-0006-0000-0700-0000A2020000}">
      <text>
        <r>
          <rPr>
            <b/>
            <sz val="8"/>
            <color indexed="81"/>
            <rFont val="Tahoma"/>
            <family val="2"/>
          </rPr>
          <t>Martin Shkreli:</t>
        </r>
        <r>
          <rPr>
            <sz val="8"/>
            <color indexed="81"/>
            <rFont val="Tahoma"/>
            <family val="2"/>
          </rPr>
          <t xml:space="preserve">
3009 bear</t>
        </r>
      </text>
    </comment>
    <comment ref="AM76" authorId="3" shapeId="0" xr:uid="{00000000-0006-0000-0700-0000A3020000}">
      <text>
        <r>
          <rPr>
            <sz val="8"/>
            <color indexed="8"/>
            <rFont val="Times New Roman"/>
            <family val="1"/>
          </rPr>
          <t>5B repurchase program</t>
        </r>
      </text>
    </comment>
    <comment ref="DQ76" authorId="2" shapeId="0" xr:uid="{00000000-0006-0000-0700-0000A4020000}">
      <text>
        <r>
          <rPr>
            <b/>
            <sz val="8"/>
            <color indexed="81"/>
            <rFont val="Tahoma"/>
            <family val="2"/>
          </rPr>
          <t>Martin Shkreli:</t>
        </r>
        <r>
          <rPr>
            <sz val="8"/>
            <color indexed="81"/>
            <rFont val="Tahoma"/>
            <family val="2"/>
          </rPr>
          <t xml:space="preserve">
2433 bear</t>
        </r>
      </text>
    </comment>
    <comment ref="DR76" authorId="2" shapeId="0" xr:uid="{00000000-0006-0000-0700-0000A5020000}">
      <text>
        <r>
          <rPr>
            <b/>
            <sz val="8"/>
            <color indexed="81"/>
            <rFont val="Tahoma"/>
            <family val="2"/>
          </rPr>
          <t>Martin Shkreli:</t>
        </r>
        <r>
          <rPr>
            <sz val="8"/>
            <color indexed="81"/>
            <rFont val="Tahoma"/>
            <family val="2"/>
          </rPr>
          <t xml:space="preserve">
2620 bear</t>
        </r>
      </text>
    </comment>
    <comment ref="DS76" authorId="2" shapeId="0" xr:uid="{00000000-0006-0000-0700-0000A6020000}">
      <text>
        <r>
          <rPr>
            <b/>
            <sz val="8"/>
            <color indexed="81"/>
            <rFont val="Tahoma"/>
            <family val="2"/>
          </rPr>
          <t>Martin Shkreli:</t>
        </r>
        <r>
          <rPr>
            <sz val="8"/>
            <color indexed="81"/>
            <rFont val="Tahoma"/>
            <family val="2"/>
          </rPr>
          <t xml:space="preserve">
2495 bear</t>
        </r>
      </text>
    </comment>
    <comment ref="DT76" authorId="2" shapeId="0" xr:uid="{00000000-0006-0000-0700-0000A7020000}">
      <text>
        <r>
          <rPr>
            <b/>
            <sz val="8"/>
            <color indexed="81"/>
            <rFont val="Tahoma"/>
            <family val="2"/>
          </rPr>
          <t>Martin Shkreli:</t>
        </r>
        <r>
          <rPr>
            <sz val="8"/>
            <color indexed="81"/>
            <rFont val="Tahoma"/>
            <family val="2"/>
          </rPr>
          <t xml:space="preserve">
2588 bear</t>
        </r>
      </text>
    </comment>
    <comment ref="DU76" authorId="2" shapeId="0" xr:uid="{00000000-0006-0000-0700-0000A8020000}">
      <text>
        <r>
          <rPr>
            <b/>
            <sz val="8"/>
            <color indexed="81"/>
            <rFont val="Tahoma"/>
            <family val="2"/>
          </rPr>
          <t>Martin Shkreli:</t>
        </r>
        <r>
          <rPr>
            <sz val="8"/>
            <color indexed="81"/>
            <rFont val="Tahoma"/>
            <family val="2"/>
          </rPr>
          <t xml:space="preserve">
2562 bear</t>
        </r>
      </text>
    </comment>
    <comment ref="DV76" authorId="2" shapeId="0" xr:uid="{00000000-0006-0000-0700-0000A9020000}">
      <text>
        <r>
          <rPr>
            <b/>
            <sz val="8"/>
            <color indexed="81"/>
            <rFont val="Tahoma"/>
            <family val="2"/>
          </rPr>
          <t>Martin Shkreli:</t>
        </r>
        <r>
          <rPr>
            <sz val="8"/>
            <color indexed="81"/>
            <rFont val="Tahoma"/>
            <family val="2"/>
          </rPr>
          <t xml:space="preserve">
2600 bear</t>
        </r>
      </text>
    </comment>
    <comment ref="DW76" authorId="2" shapeId="0" xr:uid="{00000000-0006-0000-0700-0000AA020000}">
      <text>
        <r>
          <rPr>
            <b/>
            <sz val="8"/>
            <color indexed="81"/>
            <rFont val="Tahoma"/>
            <family val="2"/>
          </rPr>
          <t>Martin Shkreli:</t>
        </r>
        <r>
          <rPr>
            <sz val="8"/>
            <color indexed="81"/>
            <rFont val="Tahoma"/>
            <family val="2"/>
          </rPr>
          <t xml:space="preserve">
2714 bear</t>
        </r>
      </text>
    </comment>
    <comment ref="DX76" authorId="2" shapeId="0" xr:uid="{00000000-0006-0000-0700-0000AB020000}">
      <text>
        <r>
          <rPr>
            <b/>
            <sz val="8"/>
            <color indexed="81"/>
            <rFont val="Tahoma"/>
            <family val="2"/>
          </rPr>
          <t>Martin Shkreli:</t>
        </r>
        <r>
          <rPr>
            <sz val="8"/>
            <color indexed="81"/>
            <rFont val="Tahoma"/>
            <family val="2"/>
          </rPr>
          <t xml:space="preserve">
2967 bear</t>
        </r>
      </text>
    </comment>
    <comment ref="DY76" authorId="2" shapeId="0" xr:uid="{00000000-0006-0000-0700-0000AC020000}">
      <text>
        <r>
          <rPr>
            <b/>
            <sz val="8"/>
            <color indexed="81"/>
            <rFont val="Tahoma"/>
            <family val="2"/>
          </rPr>
          <t>Martin Shkreli:</t>
        </r>
        <r>
          <rPr>
            <sz val="8"/>
            <color indexed="81"/>
            <rFont val="Tahoma"/>
            <family val="2"/>
          </rPr>
          <t xml:space="preserve">
3017 bear</t>
        </r>
      </text>
    </comment>
    <comment ref="DZ76" authorId="2" shapeId="0" xr:uid="{00000000-0006-0000-0700-0000AD020000}">
      <text>
        <r>
          <rPr>
            <b/>
            <sz val="8"/>
            <color indexed="81"/>
            <rFont val="Tahoma"/>
            <family val="2"/>
          </rPr>
          <t>Martin Shkreli:</t>
        </r>
        <r>
          <rPr>
            <sz val="8"/>
            <color indexed="81"/>
            <rFont val="Tahoma"/>
            <family val="2"/>
          </rPr>
          <t xml:space="preserve">
3103 jpm
3009 bear</t>
        </r>
      </text>
    </comment>
    <comment ref="EA76" authorId="2" shapeId="0" xr:uid="{00000000-0006-0000-0700-0000AE020000}">
      <text>
        <r>
          <rPr>
            <b/>
            <sz val="8"/>
            <color indexed="81"/>
            <rFont val="Tahoma"/>
            <family val="2"/>
          </rPr>
          <t>Martin Shkreli:</t>
        </r>
        <r>
          <rPr>
            <sz val="8"/>
            <color indexed="81"/>
            <rFont val="Tahoma"/>
            <family val="2"/>
          </rPr>
          <t xml:space="preserve">
3099 jpm
3103 bear</t>
        </r>
      </text>
    </comment>
    <comment ref="EB76" authorId="2" shapeId="0" xr:uid="{00000000-0006-0000-0700-0000AF020000}">
      <text>
        <r>
          <rPr>
            <b/>
            <sz val="8"/>
            <color indexed="81"/>
            <rFont val="Tahoma"/>
            <family val="2"/>
          </rPr>
          <t>Martin Shkreli:</t>
        </r>
        <r>
          <rPr>
            <sz val="8"/>
            <color indexed="81"/>
            <rFont val="Tahoma"/>
            <family val="2"/>
          </rPr>
          <t xml:space="preserve">
3112 bear</t>
        </r>
      </text>
    </comment>
    <comment ref="EC76" authorId="2" shapeId="0" xr:uid="{00000000-0006-0000-0700-0000B0020000}">
      <text>
        <r>
          <rPr>
            <b/>
            <sz val="8"/>
            <color indexed="81"/>
            <rFont val="Tahoma"/>
            <family val="2"/>
          </rPr>
          <t>Martin Shkreli:</t>
        </r>
        <r>
          <rPr>
            <sz val="8"/>
            <color indexed="81"/>
            <rFont val="Tahoma"/>
            <family val="2"/>
          </rPr>
          <t xml:space="preserve">
3063 bear</t>
        </r>
      </text>
    </comment>
    <comment ref="ED76" authorId="2" shapeId="0" xr:uid="{00000000-0006-0000-0700-0000B1020000}">
      <text>
        <r>
          <rPr>
            <b/>
            <sz val="8"/>
            <color indexed="81"/>
            <rFont val="Tahoma"/>
            <family val="2"/>
          </rPr>
          <t>Martin Shkreli:</t>
        </r>
        <r>
          <rPr>
            <sz val="8"/>
            <color indexed="81"/>
            <rFont val="Tahoma"/>
            <family val="2"/>
          </rPr>
          <t xml:space="preserve">
3012 bear</t>
        </r>
      </text>
    </comment>
    <comment ref="EE76" authorId="2" shapeId="0" xr:uid="{00000000-0006-0000-0700-0000B2020000}">
      <text>
        <r>
          <rPr>
            <b/>
            <sz val="8"/>
            <color indexed="81"/>
            <rFont val="Tahoma"/>
            <family val="2"/>
          </rPr>
          <t>Martin Shkreli:</t>
        </r>
        <r>
          <rPr>
            <sz val="8"/>
            <color indexed="81"/>
            <rFont val="Tahoma"/>
            <family val="2"/>
          </rPr>
          <t xml:space="preserve">
3008 bear</t>
        </r>
      </text>
    </comment>
    <comment ref="EF76" authorId="2" shapeId="0" xr:uid="{00000000-0006-0000-0700-0000B3020000}">
      <text>
        <r>
          <rPr>
            <b/>
            <sz val="8"/>
            <color indexed="81"/>
            <rFont val="Tahoma"/>
            <family val="2"/>
          </rPr>
          <t>Martin Shkreli:</t>
        </r>
        <r>
          <rPr>
            <sz val="8"/>
            <color indexed="81"/>
            <rFont val="Tahoma"/>
            <family val="2"/>
          </rPr>
          <t xml:space="preserve">
3019 bear</t>
        </r>
      </text>
    </comment>
    <comment ref="BD77" authorId="4" shapeId="0" xr:uid="{00000000-0006-0000-0700-0000B4020000}">
      <text>
        <r>
          <rPr>
            <b/>
            <sz val="9"/>
            <color indexed="81"/>
            <rFont val="Tahoma"/>
            <family val="2"/>
          </rPr>
          <t>MSMB:</t>
        </r>
        <r>
          <rPr>
            <sz val="9"/>
            <color indexed="81"/>
            <rFont val="Tahoma"/>
            <family val="2"/>
          </rPr>
          <t xml:space="preserve">
was 1.24</t>
        </r>
      </text>
    </comment>
    <comment ref="EG77"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7"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7" authorId="3" shapeId="0" xr:uid="{00000000-0006-0000-0700-0000B7020000}">
      <text>
        <r>
          <rPr>
            <sz val="8"/>
            <color indexed="8"/>
            <rFont val="Times New Roman"/>
            <family val="1"/>
          </rPr>
          <t>was 4.35
was 4.30
was 4.24
"CONR deal neutral"</t>
        </r>
      </text>
    </comment>
    <comment ref="EJ77" authorId="3" shapeId="0" xr:uid="{00000000-0006-0000-0700-0000B8020000}">
      <text>
        <r>
          <rPr>
            <sz val="8"/>
            <color indexed="8"/>
            <rFont val="Times New Roman"/>
            <family val="1"/>
          </rPr>
          <t>Q109: 4.49
was 4.71
was 4.70
was 4.64
was 4.47</t>
        </r>
      </text>
    </comment>
    <comment ref="EK77" authorId="3" shapeId="0" xr:uid="{00000000-0006-0000-0700-0000B9020000}">
      <text>
        <r>
          <rPr>
            <sz val="8"/>
            <color indexed="8"/>
            <rFont val="Times New Roman"/>
            <family val="1"/>
          </rPr>
          <t>was 5.20
was 5.10
was 4.96
was 4.90
was 4.87
was 4.92
was 4.71</t>
        </r>
      </text>
    </comment>
    <comment ref="EL77" authorId="3" shapeId="0" xr:uid="{00000000-0006-0000-0700-0000BA020000}">
      <text>
        <r>
          <rPr>
            <sz val="8"/>
            <color indexed="8"/>
            <rFont val="Times New Roman"/>
            <family val="1"/>
          </rPr>
          <t>was 5.80
was 5.57
was 5.26
was 5.21
was 5.10
was 5.37</t>
        </r>
      </text>
    </comment>
    <comment ref="EM77"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7" authorId="0" shapeId="0" xr:uid="{00000000-0006-0000-0700-0000BC020000}">
      <text>
        <r>
          <rPr>
            <b/>
            <sz val="9"/>
            <color indexed="81"/>
            <rFont val="Tahoma"/>
            <family val="2"/>
          </rPr>
          <t>MSMB - Andre:</t>
        </r>
        <r>
          <rPr>
            <sz val="9"/>
            <color indexed="81"/>
            <rFont val="Tahoma"/>
            <family val="2"/>
          </rPr>
          <t xml:space="preserve">
was 6.28</t>
        </r>
      </text>
    </comment>
    <comment ref="EO77" authorId="0" shapeId="0" xr:uid="{00000000-0006-0000-0700-0000BD020000}">
      <text>
        <r>
          <rPr>
            <b/>
            <sz val="9"/>
            <color indexed="81"/>
            <rFont val="Tahoma"/>
            <family val="2"/>
          </rPr>
          <t>MSMB - Andre:</t>
        </r>
        <r>
          <rPr>
            <sz val="9"/>
            <color indexed="81"/>
            <rFont val="Tahoma"/>
            <family val="2"/>
          </rPr>
          <t xml:space="preserve">
was 6.59</t>
        </r>
      </text>
    </comment>
    <comment ref="BM79"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9" authorId="52"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9"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9" authorId="3" shapeId="0" xr:uid="{00000000-0006-0000-0700-0000C0020000}">
      <text>
        <r>
          <rPr>
            <sz val="8"/>
            <color indexed="8"/>
            <rFont val="Times New Roman"/>
            <family val="1"/>
          </rPr>
          <t>Guidance on Q208 call: 
1-2% op growth. 4.5% favorable currency impact if exchange rates don't change. 4-5% growth</t>
        </r>
      </text>
    </comment>
    <comment ref="EJ83" authorId="0" shapeId="0" xr:uid="{00000000-0006-0000-0700-0000C1020000}">
      <text>
        <r>
          <rPr>
            <sz val="9"/>
            <color indexed="81"/>
            <rFont val="Tahoma"/>
            <family val="2"/>
          </rPr>
          <t>1.8% claimed by JNJ</t>
        </r>
      </text>
    </comment>
    <comment ref="BM92" authorId="5" shapeId="0" xr:uid="{00000000-0006-0000-0700-0000C2020000}">
      <text>
        <r>
          <rPr>
            <b/>
            <sz val="9"/>
            <color indexed="81"/>
            <rFont val="Tahoma"/>
            <family val="2"/>
          </rPr>
          <t>Martin:</t>
        </r>
        <r>
          <rPr>
            <sz val="9"/>
            <color indexed="81"/>
            <rFont val="Tahoma"/>
            <family val="2"/>
          </rPr>
          <t xml:space="preserve">
Synthes
</t>
        </r>
      </text>
    </comment>
    <comment ref="EJ92" authorId="0" shapeId="0" xr:uid="{00000000-0006-0000-0700-0000C3020000}">
      <text>
        <r>
          <rPr>
            <sz val="9"/>
            <color indexed="81"/>
            <rFont val="Tahoma"/>
            <family val="2"/>
          </rPr>
          <t>8% operational growth</t>
        </r>
      </text>
    </comment>
    <comment ref="EJ93" authorId="0" shapeId="0" xr:uid="{00000000-0006-0000-0700-0000C4020000}">
      <text>
        <r>
          <rPr>
            <sz val="9"/>
            <color indexed="81"/>
            <rFont val="Tahoma"/>
            <family val="2"/>
          </rPr>
          <t>11% operational</t>
        </r>
      </text>
    </comment>
    <comment ref="EJ94" authorId="0" shapeId="0" xr:uid="{00000000-0006-0000-0700-0000C5020000}">
      <text>
        <r>
          <rPr>
            <sz val="9"/>
            <color indexed="81"/>
            <rFont val="Tahoma"/>
            <family val="2"/>
          </rPr>
          <t>8% operational</t>
        </r>
      </text>
    </comment>
    <comment ref="AM97"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7"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7"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2"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5"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5" authorId="2" shapeId="0" xr:uid="{00000000-0006-0000-0700-0000CB020000}">
      <text>
        <r>
          <rPr>
            <b/>
            <sz val="8"/>
            <color indexed="81"/>
            <rFont val="Tahoma"/>
            <family val="2"/>
          </rPr>
          <t>Martin Shkreli:</t>
        </r>
        <r>
          <rPr>
            <sz val="8"/>
            <color indexed="81"/>
            <rFont val="Tahoma"/>
            <family val="2"/>
          </rPr>
          <t xml:space="preserve">
11230 JPM</t>
        </r>
      </text>
    </comment>
    <comment ref="EA105" authorId="2" shapeId="0" xr:uid="{00000000-0006-0000-0700-0000CC020000}">
      <text>
        <r>
          <rPr>
            <b/>
            <sz val="8"/>
            <color indexed="81"/>
            <rFont val="Tahoma"/>
            <family val="2"/>
          </rPr>
          <t>Martin Shkreli:</t>
        </r>
        <r>
          <rPr>
            <sz val="8"/>
            <color indexed="81"/>
            <rFont val="Tahoma"/>
            <family val="2"/>
          </rPr>
          <t xml:space="preserve">
12661 bear</t>
        </r>
      </text>
    </comment>
    <comment ref="EJ105"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5"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6" authorId="2" shapeId="0" xr:uid="{00000000-0006-0000-0700-0000CF020000}">
      <text>
        <r>
          <rPr>
            <b/>
            <sz val="8"/>
            <color indexed="81"/>
            <rFont val="Tahoma"/>
            <family val="2"/>
          </rPr>
          <t>Martin Shkreli:</t>
        </r>
        <r>
          <rPr>
            <sz val="8"/>
            <color indexed="81"/>
            <rFont val="Tahoma"/>
            <family val="2"/>
          </rPr>
          <t xml:space="preserve">
bear 2137</t>
        </r>
      </text>
    </comment>
    <comment ref="EA106" authorId="2" shapeId="0" xr:uid="{00000000-0006-0000-0700-0000D0020000}">
      <text>
        <r>
          <rPr>
            <b/>
            <sz val="8"/>
            <color indexed="81"/>
            <rFont val="Tahoma"/>
            <family val="2"/>
          </rPr>
          <t>Martin Shkreli:</t>
        </r>
        <r>
          <rPr>
            <sz val="8"/>
            <color indexed="81"/>
            <rFont val="Tahoma"/>
            <family val="2"/>
          </rPr>
          <t xml:space="preserve">
4394 bear</t>
        </r>
      </text>
    </comment>
    <comment ref="EF106" authorId="2" shapeId="0" xr:uid="{00000000-0006-0000-0700-0000D1020000}">
      <text>
        <r>
          <rPr>
            <b/>
            <sz val="8"/>
            <color indexed="81"/>
            <rFont val="Tahoma"/>
            <family val="2"/>
          </rPr>
          <t>Martin Shkreli:</t>
        </r>
        <r>
          <rPr>
            <sz val="8"/>
            <color indexed="81"/>
            <rFont val="Tahoma"/>
            <family val="2"/>
          </rPr>
          <t xml:space="preserve">
6610 bear</t>
        </r>
      </text>
    </comment>
    <comment ref="AM107"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2" authorId="2" shapeId="0" xr:uid="{00000000-0006-0000-0700-0000D3020000}">
      <text>
        <r>
          <rPr>
            <b/>
            <sz val="8"/>
            <color indexed="81"/>
            <rFont val="Tahoma"/>
            <family val="2"/>
          </rPr>
          <t>Martin Shkreli:</t>
        </r>
        <r>
          <rPr>
            <sz val="8"/>
            <color indexed="81"/>
            <rFont val="Tahoma"/>
            <family val="2"/>
          </rPr>
          <t xml:space="preserve">
Bear 2515 actual</t>
        </r>
      </text>
    </comment>
    <comment ref="P112" authorId="2" shapeId="0" xr:uid="{00000000-0006-0000-0700-0000D4020000}">
      <text>
        <r>
          <rPr>
            <b/>
            <sz val="8"/>
            <color indexed="81"/>
            <rFont val="Tahoma"/>
            <family val="2"/>
          </rPr>
          <t>Martin Shkreli:</t>
        </r>
        <r>
          <rPr>
            <sz val="8"/>
            <color indexed="81"/>
            <rFont val="Tahoma"/>
            <family val="2"/>
          </rPr>
          <t xml:space="preserve">
Bear 2570 actual</t>
        </r>
      </text>
    </comment>
    <comment ref="Q112" authorId="2" shapeId="0" xr:uid="{00000000-0006-0000-0700-0000D5020000}">
      <text>
        <r>
          <rPr>
            <b/>
            <sz val="8"/>
            <color indexed="81"/>
            <rFont val="Tahoma"/>
            <family val="2"/>
          </rPr>
          <t>Martin Shkreli:</t>
        </r>
        <r>
          <rPr>
            <sz val="8"/>
            <color indexed="81"/>
            <rFont val="Tahoma"/>
            <family val="2"/>
          </rPr>
          <t xml:space="preserve">
Bear 2538 actual</t>
        </r>
      </text>
    </comment>
    <comment ref="R112" authorId="2" shapeId="0" xr:uid="{00000000-0006-0000-0700-0000D6020000}">
      <text>
        <r>
          <rPr>
            <b/>
            <sz val="8"/>
            <color indexed="81"/>
            <rFont val="Tahoma"/>
            <family val="2"/>
          </rPr>
          <t>Martin Shkreli:</t>
        </r>
        <r>
          <rPr>
            <sz val="8"/>
            <color indexed="81"/>
            <rFont val="Tahoma"/>
            <family val="2"/>
          </rPr>
          <t xml:space="preserve">
2618 bear actual</t>
        </r>
      </text>
    </comment>
    <comment ref="DZ112" authorId="2" shapeId="0" xr:uid="{00000000-0006-0000-0700-0000D7020000}">
      <text>
        <r>
          <rPr>
            <b/>
            <sz val="8"/>
            <color indexed="81"/>
            <rFont val="Tahoma"/>
            <family val="2"/>
          </rPr>
          <t>Martin Shkreli:</t>
        </r>
        <r>
          <rPr>
            <sz val="8"/>
            <color indexed="81"/>
            <rFont val="Tahoma"/>
            <family val="2"/>
          </rPr>
          <t xml:space="preserve">
9914 Bear actual</t>
        </r>
      </text>
    </comment>
    <comment ref="EA112" authorId="2" shapeId="0" xr:uid="{00000000-0006-0000-0700-0000D8020000}">
      <text>
        <r>
          <rPr>
            <b/>
            <sz val="8"/>
            <color indexed="81"/>
            <rFont val="Tahoma"/>
            <family val="2"/>
          </rPr>
          <t>Martin Shkreli:</t>
        </r>
        <r>
          <rPr>
            <sz val="8"/>
            <color indexed="81"/>
            <rFont val="Tahoma"/>
            <family val="2"/>
          </rPr>
          <t xml:space="preserve">
10240 bear</t>
        </r>
      </text>
    </comment>
    <comment ref="EB112" authorId="2" shapeId="0" xr:uid="{00000000-0006-0000-0700-0000D9020000}">
      <text>
        <r>
          <rPr>
            <b/>
            <sz val="8"/>
            <color indexed="81"/>
            <rFont val="Tahoma"/>
            <family val="2"/>
          </rPr>
          <t>Martin Shkreli:</t>
        </r>
        <r>
          <rPr>
            <sz val="8"/>
            <color indexed="81"/>
            <rFont val="Tahoma"/>
            <family val="2"/>
          </rPr>
          <t xml:space="preserve">
11146 bear
</t>
        </r>
      </text>
    </comment>
    <comment ref="EC112" authorId="2" shapeId="0" xr:uid="{00000000-0006-0000-0700-0000DA020000}">
      <text>
        <r>
          <rPr>
            <b/>
            <sz val="8"/>
            <color indexed="81"/>
            <rFont val="Tahoma"/>
            <family val="2"/>
          </rPr>
          <t>Martin Shkreli:</t>
        </r>
        <r>
          <rPr>
            <sz val="8"/>
            <color indexed="81"/>
            <rFont val="Tahoma"/>
            <family val="2"/>
          </rPr>
          <t xml:space="preserve">
12583 Bear actual</t>
        </r>
      </text>
    </comment>
    <comment ref="EJ112"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2"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3" authorId="2" shapeId="0" xr:uid="{00000000-0006-0000-0700-0000DD020000}">
      <text>
        <r>
          <rPr>
            <b/>
            <sz val="8"/>
            <color indexed="81"/>
            <rFont val="Tahoma"/>
            <family val="2"/>
          </rPr>
          <t>Martin Shkreli:</t>
        </r>
        <r>
          <rPr>
            <sz val="8"/>
            <color indexed="81"/>
            <rFont val="Tahoma"/>
            <family val="2"/>
          </rPr>
          <t xml:space="preserve">
1493 bear</t>
        </r>
      </text>
    </comment>
    <comment ref="EA119" authorId="2" shapeId="0" xr:uid="{00000000-0006-0000-0700-0000DE020000}">
      <text>
        <r>
          <rPr>
            <b/>
            <sz val="8"/>
            <color indexed="81"/>
            <rFont val="Tahoma"/>
            <family val="2"/>
          </rPr>
          <t>Martin Shkreli:</t>
        </r>
        <r>
          <rPr>
            <sz val="8"/>
            <color indexed="81"/>
            <rFont val="Tahoma"/>
            <family val="2"/>
          </rPr>
          <t xml:space="preserve">
6271 bear</t>
        </r>
      </text>
    </comment>
    <comment ref="EB119" authorId="2" shapeId="0" xr:uid="{00000000-0006-0000-0700-0000DF020000}">
      <text>
        <r>
          <rPr>
            <b/>
            <sz val="8"/>
            <color indexed="81"/>
            <rFont val="Tahoma"/>
            <family val="2"/>
          </rPr>
          <t>Martin Shkreli:</t>
        </r>
        <r>
          <rPr>
            <sz val="8"/>
            <color indexed="81"/>
            <rFont val="Tahoma"/>
            <family val="2"/>
          </rPr>
          <t xml:space="preserve">
6321 bear</t>
        </r>
      </text>
    </comment>
    <comment ref="EJ119"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9"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0" authorId="2" shapeId="0" xr:uid="{00000000-0006-0000-0700-0000E2020000}">
      <text>
        <r>
          <rPr>
            <b/>
            <sz val="8"/>
            <color indexed="81"/>
            <rFont val="Tahoma"/>
            <family val="2"/>
          </rPr>
          <t>Martin Shkreli:</t>
        </r>
        <r>
          <rPr>
            <sz val="8"/>
            <color indexed="81"/>
            <rFont val="Tahoma"/>
            <family val="2"/>
          </rPr>
          <t xml:space="preserve">
bear 457</t>
        </r>
      </text>
    </comment>
    <comment ref="AM121"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4" authorId="2" shapeId="0" xr:uid="{00000000-0006-0000-0700-0000E4020000}">
      <text>
        <r>
          <rPr>
            <b/>
            <sz val="8"/>
            <color indexed="81"/>
            <rFont val="Tahoma"/>
            <family val="2"/>
          </rPr>
          <t>Martin Shkreli:</t>
        </r>
        <r>
          <rPr>
            <sz val="8"/>
            <color indexed="81"/>
            <rFont val="Tahoma"/>
            <family val="2"/>
          </rPr>
          <t xml:space="preserve">
+1.0% excluding Zyrtec</t>
        </r>
      </text>
    </comment>
    <comment ref="AR127"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7"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7" authorId="0" shapeId="0" xr:uid="{00000000-0006-0000-0700-0000E7020000}">
      <text>
        <r>
          <rPr>
            <sz val="9"/>
            <color indexed="81"/>
            <rFont val="Tahoma"/>
            <family val="2"/>
          </rPr>
          <t>Extra selling days accounted for half of operational growth.</t>
        </r>
      </text>
    </comment>
    <comment ref="AL130"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2" authorId="2" shapeId="0" xr:uid="{00000000-0006-0000-0700-0000E9020000}">
      <text>
        <r>
          <rPr>
            <b/>
            <sz val="8"/>
            <color indexed="81"/>
            <rFont val="Tahoma"/>
            <family val="2"/>
          </rPr>
          <t>Martin Shkreli:</t>
        </r>
        <r>
          <rPr>
            <sz val="8"/>
            <color indexed="81"/>
            <rFont val="Tahoma"/>
            <family val="2"/>
          </rPr>
          <t xml:space="preserve">
15532 bear</t>
        </r>
      </text>
    </comment>
    <comment ref="EA132" authorId="2" shapeId="0" xr:uid="{00000000-0006-0000-0700-0000EA020000}">
      <text>
        <r>
          <rPr>
            <b/>
            <sz val="8"/>
            <color indexed="81"/>
            <rFont val="Tahoma"/>
            <family val="2"/>
          </rPr>
          <t>Martin Shkreli:</t>
        </r>
        <r>
          <rPr>
            <sz val="8"/>
            <color indexed="81"/>
            <rFont val="Tahoma"/>
            <family val="2"/>
          </rPr>
          <t xml:space="preserve">
17316 bear</t>
        </r>
      </text>
    </comment>
    <comment ref="AA136"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6"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6"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6"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6" authorId="2" shapeId="0" xr:uid="{00000000-0006-0000-0700-0000EF020000}">
      <text>
        <r>
          <rPr>
            <b/>
            <sz val="8"/>
            <color indexed="81"/>
            <rFont val="Tahoma"/>
            <family val="2"/>
          </rPr>
          <t>Martin Shkreli:</t>
        </r>
        <r>
          <rPr>
            <sz val="8"/>
            <color indexed="81"/>
            <rFont val="Tahoma"/>
            <family val="2"/>
          </rPr>
          <t xml:space="preserve">
11825 bear</t>
        </r>
      </text>
    </comment>
    <comment ref="EA136" authorId="2" shapeId="0" xr:uid="{00000000-0006-0000-0700-0000F0020000}">
      <text>
        <r>
          <rPr>
            <b/>
            <sz val="8"/>
            <color indexed="81"/>
            <rFont val="Tahoma"/>
            <family val="2"/>
          </rPr>
          <t>Martin Shkreli:</t>
        </r>
        <r>
          <rPr>
            <sz val="8"/>
            <color indexed="81"/>
            <rFont val="Tahoma"/>
            <family val="2"/>
          </rPr>
          <t xml:space="preserve">
11856 bear</t>
        </r>
      </text>
    </comment>
    <comment ref="EA143" authorId="2" shapeId="0" xr:uid="{00000000-0006-0000-0700-0000F1020000}">
      <text>
        <r>
          <rPr>
            <b/>
            <sz val="8"/>
            <color indexed="81"/>
            <rFont val="Tahoma"/>
            <family val="2"/>
          </rPr>
          <t>Martin Shkreli:</t>
        </r>
        <r>
          <rPr>
            <sz val="8"/>
            <color indexed="81"/>
            <rFont val="Tahoma"/>
            <family val="2"/>
          </rPr>
          <t xml:space="preserve">
1.50 share Bear</t>
        </r>
      </text>
    </comment>
    <comment ref="EB143" authorId="2" shapeId="0" xr:uid="{00000000-0006-0000-0700-0000F2020000}">
      <text>
        <r>
          <rPr>
            <b/>
            <sz val="8"/>
            <color indexed="81"/>
            <rFont val="Tahoma"/>
            <family val="2"/>
          </rPr>
          <t>Martin Shkreli:</t>
        </r>
        <r>
          <rPr>
            <sz val="8"/>
            <color indexed="81"/>
            <rFont val="Tahoma"/>
            <family val="2"/>
          </rPr>
          <t xml:space="preserve">
1.78 share Bear</t>
        </r>
      </text>
    </comment>
    <comment ref="EC143" authorId="2" shapeId="0" xr:uid="{00000000-0006-0000-0700-0000F3020000}">
      <text>
        <r>
          <rPr>
            <b/>
            <sz val="8"/>
            <color indexed="81"/>
            <rFont val="Tahoma"/>
            <family val="2"/>
          </rPr>
          <t>Martin Shkreli:</t>
        </r>
        <r>
          <rPr>
            <sz val="8"/>
            <color indexed="81"/>
            <rFont val="Tahoma"/>
            <family val="2"/>
          </rPr>
          <t xml:space="preserve">
2.13/share Bear</t>
        </r>
      </text>
    </comment>
    <comment ref="ED143" authorId="2" shapeId="0" xr:uid="{00000000-0006-0000-0700-0000F4020000}">
      <text>
        <r>
          <rPr>
            <b/>
            <sz val="8"/>
            <color indexed="81"/>
            <rFont val="Tahoma"/>
            <family val="2"/>
          </rPr>
          <t>Martin Shkreli:</t>
        </r>
        <r>
          <rPr>
            <sz val="8"/>
            <color indexed="81"/>
            <rFont val="Tahoma"/>
            <family val="2"/>
          </rPr>
          <t xml:space="preserve">
2.42/share Bear</t>
        </r>
      </text>
    </comment>
    <comment ref="EE143" authorId="2" shapeId="0" xr:uid="{00000000-0006-0000-0700-0000F5020000}">
      <text>
        <r>
          <rPr>
            <b/>
            <sz val="8"/>
            <color indexed="81"/>
            <rFont val="Tahoma"/>
            <family val="2"/>
          </rPr>
          <t>Martin Shkreli:</t>
        </r>
        <r>
          <rPr>
            <sz val="8"/>
            <color indexed="81"/>
            <rFont val="Tahoma"/>
            <family val="2"/>
          </rPr>
          <t xml:space="preserve">
3.06/share Bear</t>
        </r>
      </text>
    </comment>
    <comment ref="EF143" authorId="2" shapeId="0" xr:uid="{00000000-0006-0000-0700-0000F6020000}">
      <text>
        <r>
          <rPr>
            <b/>
            <sz val="8"/>
            <color indexed="81"/>
            <rFont val="Tahoma"/>
            <family val="2"/>
          </rPr>
          <t>Martin Shkreli:</t>
        </r>
        <r>
          <rPr>
            <sz val="8"/>
            <color indexed="81"/>
            <rFont val="Tahoma"/>
            <family val="2"/>
          </rPr>
          <t xml:space="preserve">
3.01/share Bear</t>
        </r>
      </text>
    </comment>
    <comment ref="BO194" authorId="5" shapeId="0" xr:uid="{00000000-0006-0000-0700-0000F7020000}">
      <text>
        <r>
          <rPr>
            <b/>
            <sz val="9"/>
            <color indexed="81"/>
            <rFont val="Tahoma"/>
            <family val="2"/>
          </rPr>
          <t>Martin:</t>
        </r>
        <r>
          <rPr>
            <sz val="9"/>
            <color indexed="81"/>
            <rFont val="Tahoma"/>
            <family val="2"/>
          </rPr>
          <t xml:space="preserve">
Venezuela</t>
        </r>
      </text>
    </comment>
    <comment ref="BP194" authorId="5" shapeId="0" xr:uid="{00000000-0006-0000-0700-0000F8020000}">
      <text>
        <r>
          <rPr>
            <b/>
            <sz val="9"/>
            <color indexed="81"/>
            <rFont val="Tahoma"/>
            <family val="2"/>
          </rPr>
          <t>Martin:</t>
        </r>
        <r>
          <rPr>
            <sz val="9"/>
            <color indexed="81"/>
            <rFont val="Tahoma"/>
            <family val="2"/>
          </rPr>
          <t xml:space="preserve">
Venezuela, net gain on equity</t>
        </r>
      </text>
    </comment>
    <comment ref="BQ194" authorId="5" shapeId="0" xr:uid="{00000000-0006-0000-0700-0000F9020000}">
      <text>
        <r>
          <rPr>
            <b/>
            <sz val="9"/>
            <color indexed="81"/>
            <rFont val="Tahoma"/>
            <family val="2"/>
          </rPr>
          <t>Martin:</t>
        </r>
        <r>
          <rPr>
            <sz val="9"/>
            <color indexed="81"/>
            <rFont val="Tahoma"/>
            <family val="2"/>
          </rPr>
          <t xml:space="preserve">
Venezuela, net gain on equity</t>
        </r>
      </text>
    </comment>
    <comment ref="BO207"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7" authorId="5" shapeId="0" xr:uid="{00000000-0006-0000-0700-0000FB020000}">
      <text>
        <r>
          <rPr>
            <b/>
            <sz val="9"/>
            <color indexed="81"/>
            <rFont val="Tahoma"/>
            <family val="2"/>
          </rPr>
          <t>Martin:</t>
        </r>
        <r>
          <rPr>
            <sz val="9"/>
            <color indexed="81"/>
            <rFont val="Tahoma"/>
            <family val="2"/>
          </rPr>
          <t xml:space="preserve">
Aragon</t>
        </r>
      </text>
    </comment>
    <comment ref="EJ237" authorId="4" shapeId="0" xr:uid="{00000000-0006-0000-0700-0000FC020000}">
      <text>
        <r>
          <rPr>
            <b/>
            <sz val="9"/>
            <color indexed="81"/>
            <rFont val="Tahoma"/>
            <family val="2"/>
          </rPr>
          <t>MSMB:</t>
        </r>
        <r>
          <rPr>
            <sz val="9"/>
            <color indexed="81"/>
            <rFont val="Tahoma"/>
            <family val="2"/>
          </rPr>
          <t xml:space="preserve">
3/9/09</t>
        </r>
      </text>
    </comment>
    <comment ref="Q247" authorId="2" shapeId="0" xr:uid="{00000000-0006-0000-0700-0000FD020000}">
      <text>
        <r>
          <rPr>
            <b/>
            <sz val="8"/>
            <color indexed="81"/>
            <rFont val="Tahoma"/>
            <family val="2"/>
          </rPr>
          <t>Martin Shkreli:</t>
        </r>
        <r>
          <rPr>
            <sz val="8"/>
            <color indexed="81"/>
            <rFont val="Tahoma"/>
            <family val="2"/>
          </rPr>
          <t xml:space="preserve">
100m destocking hit</t>
        </r>
      </text>
    </comment>
    <comment ref="T247" authorId="2" shapeId="0" xr:uid="{00000000-0006-0000-0700-0000FE020000}">
      <text>
        <r>
          <rPr>
            <b/>
            <sz val="8"/>
            <color indexed="81"/>
            <rFont val="Tahoma"/>
            <family val="2"/>
          </rPr>
          <t>Martin Shkreli:</t>
        </r>
        <r>
          <rPr>
            <sz val="8"/>
            <color indexed="81"/>
            <rFont val="Tahoma"/>
            <family val="2"/>
          </rPr>
          <t xml:space="preserve">
AZA?</t>
        </r>
      </text>
    </comment>
    <comment ref="EA247" authorId="2" shapeId="0" xr:uid="{00000000-0006-0000-0700-0000FF020000}">
      <text>
        <r>
          <rPr>
            <b/>
            <sz val="8"/>
            <color indexed="81"/>
            <rFont val="Tahoma"/>
            <family val="2"/>
          </rPr>
          <t>Martin Shkreli:</t>
        </r>
        <r>
          <rPr>
            <sz val="8"/>
            <color indexed="81"/>
            <rFont val="Tahoma"/>
            <family val="2"/>
          </rPr>
          <t xml:space="preserve">
8441 bear</t>
        </r>
      </text>
    </comment>
    <comment ref="Q248" authorId="2" shapeId="0" xr:uid="{00000000-0006-0000-0700-000000030000}">
      <text>
        <r>
          <rPr>
            <b/>
            <sz val="8"/>
            <color indexed="81"/>
            <rFont val="Tahoma"/>
            <family val="2"/>
          </rPr>
          <t>Martin Shkreli:</t>
        </r>
        <r>
          <rPr>
            <sz val="8"/>
            <color indexed="81"/>
            <rFont val="Tahoma"/>
            <family val="2"/>
          </rPr>
          <t xml:space="preserve">
8% constant FX growth</t>
        </r>
      </text>
    </comment>
    <comment ref="EA248" authorId="2" shapeId="0" xr:uid="{00000000-0006-0000-0700-000001030000}">
      <text>
        <r>
          <rPr>
            <b/>
            <sz val="8"/>
            <color indexed="81"/>
            <rFont val="Tahoma"/>
            <family val="2"/>
          </rPr>
          <t>Martin Shkreli:</t>
        </r>
        <r>
          <rPr>
            <sz val="8"/>
            <color indexed="81"/>
            <rFont val="Tahoma"/>
            <family val="2"/>
          </rPr>
          <t xml:space="preserve">
4220 bear</t>
        </r>
      </text>
    </comment>
    <comment ref="Q249" authorId="2" shapeId="0" xr:uid="{00000000-0006-0000-0700-000002030000}">
      <text>
        <r>
          <rPr>
            <b/>
            <sz val="8"/>
            <color indexed="81"/>
            <rFont val="Tahoma"/>
            <family val="2"/>
          </rPr>
          <t>Martin Shkreli:</t>
        </r>
        <r>
          <rPr>
            <sz val="8"/>
            <color indexed="81"/>
            <rFont val="Tahoma"/>
            <family val="2"/>
          </rPr>
          <t xml:space="preserve">
11% constant FX growth</t>
        </r>
      </text>
    </comment>
    <comment ref="AA249" authorId="2" shapeId="0" xr:uid="{00000000-0006-0000-0700-000003030000}">
      <text>
        <r>
          <rPr>
            <b/>
            <sz val="8"/>
            <color indexed="81"/>
            <rFont val="Tahoma"/>
            <family val="2"/>
          </rPr>
          <t>Martin Shkreli:</t>
        </r>
        <r>
          <rPr>
            <sz val="8"/>
            <color indexed="81"/>
            <rFont val="Tahoma"/>
            <family val="2"/>
          </rPr>
          <t xml:space="preserve">
7.8% CC</t>
        </r>
      </text>
    </comment>
    <comment ref="AC249" authorId="2" shapeId="0" xr:uid="{00000000-0006-0000-0700-000004030000}">
      <text>
        <r>
          <rPr>
            <b/>
            <sz val="8"/>
            <color indexed="81"/>
            <rFont val="Tahoma"/>
            <family val="2"/>
          </rPr>
          <t>Martin Shkreli:</t>
        </r>
        <r>
          <rPr>
            <sz val="8"/>
            <color indexed="81"/>
            <rFont val="Tahoma"/>
            <family val="2"/>
          </rPr>
          <t xml:space="preserve">
9.7% CC growth</t>
        </r>
      </text>
    </comment>
    <comment ref="DZ249" authorId="2" shapeId="0" xr:uid="{00000000-0006-0000-0700-000005030000}">
      <text>
        <r>
          <rPr>
            <b/>
            <sz val="8"/>
            <color indexed="81"/>
            <rFont val="Tahoma"/>
            <family val="2"/>
          </rPr>
          <t>Martin Shkreli:</t>
        </r>
        <r>
          <rPr>
            <sz val="8"/>
            <color indexed="81"/>
            <rFont val="Tahoma"/>
            <family val="2"/>
          </rPr>
          <t xml:space="preserve">
jpm may incl alza</t>
        </r>
      </text>
    </comment>
    <comment ref="EA249" authorId="2" shapeId="0" xr:uid="{00000000-0006-0000-0700-000006030000}">
      <text>
        <r>
          <rPr>
            <b/>
            <sz val="8"/>
            <color indexed="81"/>
            <rFont val="Tahoma"/>
            <family val="2"/>
          </rPr>
          <t>Martin Shkreli:</t>
        </r>
        <r>
          <rPr>
            <sz val="8"/>
            <color indexed="81"/>
            <rFont val="Tahoma"/>
            <family val="2"/>
          </rPr>
          <t xml:space="preserve">
jpm may incl alza</t>
        </r>
      </text>
    </comment>
    <comment ref="DZ250" authorId="2" shapeId="0" xr:uid="{00000000-0006-0000-0700-000007030000}">
      <text>
        <r>
          <rPr>
            <b/>
            <sz val="8"/>
            <color indexed="81"/>
            <rFont val="Tahoma"/>
            <family val="2"/>
          </rPr>
          <t>Martin Shkreli:</t>
        </r>
        <r>
          <rPr>
            <sz val="8"/>
            <color indexed="81"/>
            <rFont val="Tahoma"/>
            <family val="2"/>
          </rPr>
          <t xml:space="preserve">
5266 bear</t>
        </r>
      </text>
    </comment>
    <comment ref="EA250" authorId="2" shapeId="0" xr:uid="{00000000-0006-0000-0700-000008030000}">
      <text>
        <r>
          <rPr>
            <b/>
            <sz val="8"/>
            <color indexed="81"/>
            <rFont val="Tahoma"/>
            <family val="2"/>
          </rPr>
          <t>Martin Shkreli:</t>
        </r>
        <r>
          <rPr>
            <sz val="8"/>
            <color indexed="81"/>
            <rFont val="Tahoma"/>
            <family val="2"/>
          </rPr>
          <t xml:space="preserve">
5472 bear</t>
        </r>
      </text>
    </comment>
    <comment ref="Q251"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1" authorId="2" shapeId="0" xr:uid="{00000000-0006-0000-0700-00000A030000}">
      <text>
        <r>
          <rPr>
            <b/>
            <sz val="8"/>
            <color indexed="81"/>
            <rFont val="Tahoma"/>
            <family val="2"/>
          </rPr>
          <t>Martin Shkreli:</t>
        </r>
        <r>
          <rPr>
            <sz val="8"/>
            <color indexed="81"/>
            <rFont val="Tahoma"/>
            <family val="2"/>
          </rPr>
          <t xml:space="preserve">
4613 bear</t>
        </r>
      </text>
    </comment>
    <comment ref="EA251" authorId="2" shapeId="0" xr:uid="{00000000-0006-0000-0700-00000B030000}">
      <text>
        <r>
          <rPr>
            <b/>
            <sz val="8"/>
            <color indexed="81"/>
            <rFont val="Tahoma"/>
            <family val="2"/>
          </rPr>
          <t>Martin Shkreli:</t>
        </r>
        <r>
          <rPr>
            <sz val="8"/>
            <color indexed="81"/>
            <rFont val="Tahoma"/>
            <family val="2"/>
          </rPr>
          <t xml:space="preserve">
4768 bear</t>
        </r>
      </text>
    </comment>
    <comment ref="Q252" authorId="2" shapeId="0" xr:uid="{00000000-0006-0000-0700-00000C030000}">
      <text>
        <r>
          <rPr>
            <b/>
            <sz val="8"/>
            <color indexed="81"/>
            <rFont val="Tahoma"/>
            <family val="2"/>
          </rPr>
          <t>Martin Shkreli:</t>
        </r>
        <r>
          <rPr>
            <sz val="8"/>
            <color indexed="81"/>
            <rFont val="Tahoma"/>
            <family val="2"/>
          </rPr>
          <t xml:space="preserve">
8% constant FX growth</t>
        </r>
      </text>
    </comment>
    <comment ref="DZ252" authorId="2" shapeId="0" xr:uid="{00000000-0006-0000-0700-00000D030000}">
      <text>
        <r>
          <rPr>
            <b/>
            <sz val="8"/>
            <color indexed="81"/>
            <rFont val="Tahoma"/>
            <family val="2"/>
          </rPr>
          <t>Martin Shkreli:</t>
        </r>
        <r>
          <rPr>
            <sz val="8"/>
            <color indexed="81"/>
            <rFont val="Tahoma"/>
            <family val="2"/>
          </rPr>
          <t xml:space="preserve">
9879 bear</t>
        </r>
      </text>
    </comment>
    <comment ref="EA252" authorId="2" shapeId="0" xr:uid="{00000000-0006-0000-0700-00000E030000}">
      <text>
        <r>
          <rPr>
            <b/>
            <sz val="8"/>
            <color indexed="81"/>
            <rFont val="Tahoma"/>
            <family val="2"/>
          </rPr>
          <t>Martin Shkreli:</t>
        </r>
        <r>
          <rPr>
            <sz val="8"/>
            <color indexed="81"/>
            <rFont val="Tahoma"/>
            <family val="2"/>
          </rPr>
          <t xml:space="preserve">
10240 bear</t>
        </r>
      </text>
    </comment>
    <comment ref="DZ253" authorId="2" shapeId="0" xr:uid="{00000000-0006-0000-0700-00000F030000}">
      <text>
        <r>
          <rPr>
            <b/>
            <sz val="8"/>
            <color indexed="81"/>
            <rFont val="Tahoma"/>
            <family val="2"/>
          </rPr>
          <t>Martin Shkreli:</t>
        </r>
        <r>
          <rPr>
            <sz val="8"/>
            <color indexed="81"/>
            <rFont val="Tahoma"/>
            <family val="2"/>
          </rPr>
          <t xml:space="preserve">
3311 bear</t>
        </r>
      </text>
    </comment>
    <comment ref="EA253" authorId="2" shapeId="0" xr:uid="{00000000-0006-0000-0700-000010030000}">
      <text>
        <r>
          <rPr>
            <b/>
            <sz val="8"/>
            <color indexed="81"/>
            <rFont val="Tahoma"/>
            <family val="2"/>
          </rPr>
          <t>Martin Shkreli:</t>
        </r>
        <r>
          <rPr>
            <sz val="8"/>
            <color indexed="81"/>
            <rFont val="Tahoma"/>
            <family val="2"/>
          </rPr>
          <t xml:space="preserve">
3403 bear</t>
        </r>
      </text>
    </comment>
    <comment ref="Q254" authorId="2" shapeId="0" xr:uid="{00000000-0006-0000-0700-000011030000}">
      <text>
        <r>
          <rPr>
            <b/>
            <sz val="8"/>
            <color indexed="81"/>
            <rFont val="Tahoma"/>
            <family val="2"/>
          </rPr>
          <t>Martin Shkreli:</t>
        </r>
        <r>
          <rPr>
            <sz val="8"/>
            <color indexed="81"/>
            <rFont val="Tahoma"/>
            <family val="2"/>
          </rPr>
          <t xml:space="preserve">
7% constant FX growth</t>
        </r>
      </text>
    </comment>
    <comment ref="DZ254" authorId="2" shapeId="0" xr:uid="{00000000-0006-0000-0700-000012030000}">
      <text>
        <r>
          <rPr>
            <b/>
            <sz val="8"/>
            <color indexed="81"/>
            <rFont val="Tahoma"/>
            <family val="2"/>
          </rPr>
          <t>Martin Shkreli:</t>
        </r>
        <r>
          <rPr>
            <sz val="8"/>
            <color indexed="81"/>
            <rFont val="Tahoma"/>
            <family val="2"/>
          </rPr>
          <t xml:space="preserve">
2937 bear</t>
        </r>
      </text>
    </comment>
    <comment ref="EA254" authorId="2" shapeId="0" xr:uid="{00000000-0006-0000-0700-000013030000}">
      <text>
        <r>
          <rPr>
            <b/>
            <sz val="8"/>
            <color indexed="81"/>
            <rFont val="Tahoma"/>
            <family val="2"/>
          </rPr>
          <t>Martin Shkreli:</t>
        </r>
        <r>
          <rPr>
            <sz val="8"/>
            <color indexed="81"/>
            <rFont val="Tahoma"/>
            <family val="2"/>
          </rPr>
          <t xml:space="preserve">
2868 bear</t>
        </r>
      </text>
    </comment>
    <comment ref="Q255" authorId="2" shapeId="0" xr:uid="{00000000-0006-0000-0700-000014030000}">
      <text>
        <r>
          <rPr>
            <b/>
            <sz val="8"/>
            <color indexed="81"/>
            <rFont val="Tahoma"/>
            <family val="2"/>
          </rPr>
          <t>Martin Shkreli:</t>
        </r>
        <r>
          <rPr>
            <sz val="8"/>
            <color indexed="81"/>
            <rFont val="Tahoma"/>
            <family val="2"/>
          </rPr>
          <t xml:space="preserve">
4% constant FX growth</t>
        </r>
      </text>
    </comment>
    <comment ref="DZ255" authorId="2" shapeId="0" xr:uid="{00000000-0006-0000-0700-000015030000}">
      <text>
        <r>
          <rPr>
            <b/>
            <sz val="8"/>
            <color indexed="81"/>
            <rFont val="Tahoma"/>
            <family val="2"/>
          </rPr>
          <t>Martin Shkreli:</t>
        </r>
        <r>
          <rPr>
            <sz val="8"/>
            <color indexed="81"/>
            <rFont val="Tahoma"/>
            <family val="2"/>
          </rPr>
          <t xml:space="preserve">
6248 bear</t>
        </r>
      </text>
    </comment>
    <comment ref="EA255"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<sst xmlns="http://schemas.openxmlformats.org/spreadsheetml/2006/main" count="3012" uniqueCount="1966">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</sst>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6">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259</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270</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6" dT="2022-07-30T15:52:21.07" personId="{B1B0F6F1-FCBF-4ADA-B0C2-E6331D9AF452}" id="{A3206388-7B58-4567-90FD-49B826FAE6FB}">
    <text>Phase III</text>
  </threadedComment>
  <threadedComment ref="EH46" dT="2022-07-30T15:52:25.24" personId="{B1B0F6F1-FCBF-4ADA-B0C2-E6331D9AF452}" id="{C96DF80E-DB02-49F1-A10F-FA660591CCDB}">
    <text>Phase III</text>
  </threadedComment>
  <threadedComment ref="EI46" dT="2022-07-30T15:52:28.51" personId="{B1B0F6F1-FCBF-4ADA-B0C2-E6331D9AF452}" id="{D4E15153-68A6-45BA-A7A9-B7478B48B6DE}">
    <text>Filed</text>
  </threadedComment>
  <threadedComment ref="CV48" dT="2022-07-22T14:56:33.21" personId="{B1B0F6F1-FCBF-4ADA-B0C2-E6331D9AF452}" id="{4DB783BB-D4CA-476A-8111-7E0E945FB149}">
    <text>had 271?</text>
  </threadedComment>
  <threadedComment ref="CJ62" dT="2022-07-30T15:43:25.26" personId="{B1B0F6F1-FCBF-4ADA-B0C2-E6331D9AF452}" id="{8DFE66A4-8ABE-4D82-9EB1-696F5E7D611D}">
    <text>3504 actual</text>
  </threadedComment>
  <threadedComment ref="CN62" dT="2022-07-30T15:37:35.18" personId="{B1B0F6F1-FCBF-4ADA-B0C2-E6331D9AF452}" id="{3494F573-46D4-4E53-A253-04C304315026}">
    <text>actual: 3544</text>
  </threadedComment>
  <threadedComment ref="CU62" dT="2022-06-17T01:08:52.72" personId="{B1B0F6F1-FCBF-4ADA-B0C2-E6331D9AF452}" id="{D4AB6CA5-1D56-4651-98CE-4220E7D81D4C}">
    <text>Q121 report: 3543m</text>
  </threadedComment>
  <threadedComment ref="CV62" dT="2022-07-22T14:43:04.87" personId="{B1B0F6F1-FCBF-4ADA-B0C2-E6331D9AF452}" id="{D8FE38F6-D7D6-460E-9D87-73CEBFFA1B4E}">
    <text>was 3735, now 3854?</text>
  </threadedComment>
  <threadedComment ref="CX62" dT="2023-01-24T18:45:55.75" personId="{B1B0F6F1-FCBF-4ADA-B0C2-E6331D9AF452}" id="{B0274F3D-4C01-427B-BAEB-F305023327D6}">
    <text>Was 3657</text>
  </threadedComment>
  <threadedComment ref="CN63" dT="2022-07-30T15:43:00.35" personId="{B1B0F6F1-FCBF-4ADA-B0C2-E6331D9AF452}" id="{4074C536-E10D-4126-A24D-0AAC46FA4222}">
    <text>20562 actual</text>
  </threadedComment>
  <threadedComment ref="CV63" dT="2022-07-22T14:57:45.74" personId="{B1B0F6F1-FCBF-4ADA-B0C2-E6331D9AF452}" id="{3B857DD8-37A9-4E26-BCDD-046757882E93}">
    <text>23312 offcial in Q222 release</text>
  </threadedComment>
  <threadedComment ref="EU63" dT="2023-04-23T22:11:55.89" personId="{B1B0F6F1-FCBF-4ADA-B0C2-E6331D9AF452}" id="{81B591DD-1FF9-411C-BAA6-4375EF42A02A}">
    <text>2022 10-K 82584</text>
  </threadedComment>
  <threadedComment ref="EV63" dT="2023-04-23T22:12:02.84" personId="{B1B0F6F1-FCBF-4ADA-B0C2-E6331D9AF452}" id="{17B6C408-6627-42FF-9ADC-D78B6E22BBFE}">
    <text>2022 10-K: 93775</text>
  </threadedComment>
  <threadedComment ref="EW63" dT="2023-04-23T22:12:08.95" personId="{B1B0F6F1-FCBF-4ADA-B0C2-E6331D9AF452}" id="{2B6993CA-2FE9-424C-A2AB-7F7A198D76A3}">
    <text>2022 10-K 94943</text>
  </threadedComment>
  <threadedComment ref="EZ63" dT="2024-10-23T19:27:05.43" personId="{B1B0F6F1-FCBF-4ADA-B0C2-E6331D9AF452}" id="{7C8EB3EA-9F68-4382-B912-52A378943493}">
    <text>Guided to &gt;57B pharma</text>
  </threadedComment>
  <threadedComment ref="DC64" dT="2024-07-03T02:26:47.10" personId="{B1B0F6F1-FCBF-4ADA-B0C2-E6331D9AF452}" id="{97C52B0D-8BC9-4BBC-9350-037D6E02FA16}">
    <text xml:space="preserve">8,395 with consumer </text>
  </threadedComment>
  <threadedComment ref="DC66" dT="2024-07-03T02:31:32.16" personId="{B1B0F6F1-FCBF-4ADA-B0C2-E6331D9AF452}" id="{A6B1AE65-7C0C-4941-91EE-ACEB2687BFB0}">
    <text>6,138 with consumer</text>
  </threadedComment>
  <threadedComment ref="DC67" dT="2024-07-03T02:31:57.67" personId="{B1B0F6F1-FCBF-4ADA-B0C2-E6331D9AF452}" id="{6D6FCDAD-D5A2-4FD0-B2FF-F3F42C14E7F2}">
    <text>3,563 with consumer</text>
  </threadedComment>
  <threadedComment ref="CI72" dT="2022-07-30T15:47:37.74" personId="{B1B0F6F1-FCBF-4ADA-B0C2-E6331D9AF452}" id="{F70AD04F-B9D4-4CB9-B097-57425D52099B}">
    <text>6858 actual adjusted</text>
  </threadedComment>
  <threadedComment ref="CJ72" dT="2022-07-30T15:45:11.81" personId="{B1B0F6F1-FCBF-4ADA-B0C2-E6331D9AF452}" id="{20726B22-689A-4361-A90E-379BEBA561A2}">
    <text>7014 actual adjusted</text>
  </threadedComment>
  <threadedComment ref="CL72" dT="2022-07-28T04:41:08.94" personId="{B1B0F6F1-FCBF-4ADA-B0C2-E6331D9AF452}" id="{BC3D4B04-C7B0-4F80-80CD-57FBE3F8501B}">
    <text>6046 actual adj</text>
  </threadedComment>
  <threadedComment ref="CM72" dT="2022-07-30T15:46:39.66" personId="{B1B0F6F1-FCBF-4ADA-B0C2-E6331D9AF452}" id="{E6348EFC-440C-4293-AB93-3C9CF0C1D22D}">
    <text>actual adjusted 6867</text>
  </threadedComment>
  <threadedComment ref="CN72" dT="2022-07-30T15:44:23.55" personId="{B1B0F6F1-FCBF-4ADA-B0C2-E6331D9AF452}" id="{E2E41AA0-40DB-4996-B9AC-68C5F5B416A4}">
    <text>8614 actual adjusted</text>
  </threadedComment>
  <threadedComment ref="CP72" dT="2022-07-28T04:41:01.40" personId="{B1B0F6F1-FCBF-4ADA-B0C2-E6331D9AF452}" id="{3914D8D0-C1CC-4713-8C4B-D6B4902A1DB5}">
    <text>5628 actual adj</text>
  </threadedComment>
  <threadedComment ref="DB72" dT="2023-01-24T18:48:45.18" personId="{B1B0F6F1-FCBF-4ADA-B0C2-E6331D9AF452}" id="{57A98D57-1151-4549-BB71-45A70090615A}">
    <text>7418 nongaap</text>
  </threadedComment>
  <threadedComment ref="CI74" dT="2022-07-30T15:47:43.76" personId="{B1B0F6F1-FCBF-4ADA-B0C2-E6331D9AF452}" id="{D7D0FEAC-BD98-4AF1-AF71-FD17A1AD0FC2}">
    <text>5635 actual adjusted</text>
  </threadedComment>
  <threadedComment ref="CJ74" dT="2022-07-30T15:45:18.54" personId="{B1B0F6F1-FCBF-4ADA-B0C2-E6331D9AF452}" id="{1EB83523-8F14-4259-A556-7AEDAE7F7981}">
    <text>5718 actual adjusted</text>
  </threadedComment>
  <threadedComment ref="CK74" dT="2022-07-28T02:46:40.56" personId="{B1B0F6F1-FCBF-4ADA-B0C2-E6331D9AF452}" id="{D6788F96-B571-4606-A723-15B6B28134D7}">
    <text>5590 actual</text>
  </threadedComment>
  <threadedComment ref="CL74" dT="2022-07-28T04:41:33.24" personId="{B1B0F6F1-FCBF-4ADA-B0C2-E6331D9AF452}" id="{D831ACBC-24BA-48CB-B852-D2FD856C1AA9}">
    <text>5372 actual adj</text>
  </threadedComment>
  <threadedComment ref="CM74" dT="2022-07-30T15:46:59.28" personId="{B1B0F6F1-FCBF-4ADA-B0C2-E6331D9AF452}" id="{FB29B332-ABE4-40F3-9424-4509BB9707B1}">
    <text>5661 actual adjusted</text>
  </threadedComment>
  <threadedComment ref="CN74" dT="2022-07-30T15:44:29.70" personId="{B1B0F6F1-FCBF-4ADA-B0C2-E6331D9AF452}" id="{AB2FD171-4878-4785-9CC6-E5E6981B40E8}">
    <text>6950 actual adjusted</text>
  </threadedComment>
  <threadedComment ref="CO74" dT="2022-07-28T02:46:49.33" personId="{B1B0F6F1-FCBF-4ADA-B0C2-E6331D9AF452}" id="{DF9141A9-C917-4FCC-ACAB-81BC3B8FBDC3}">
    <text>5672 actual adjusted</text>
  </threadedComment>
  <threadedComment ref="CP74" dT="2022-07-28T04:41:25.40" personId="{B1B0F6F1-FCBF-4ADA-B0C2-E6331D9AF452}" id="{38B02D27-96B4-4C61-A1A4-2D8D3DA05C55}">
    <text>5027 actual adj</text>
  </threadedComment>
  <threadedComment ref="DB74" dT="2023-01-24T18:48:50.87" personId="{B1B0F6F1-FCBF-4ADA-B0C2-E6331D9AF452}" id="{14B8FD79-CE1E-46F9-9F8A-B2BFC85FF655}">
    <text>6218 nongaap</text>
  </threadedComment>
  <threadedComment ref="DB79"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1849</v>
      </c>
    </row>
    <row r="3" spans="1:15" x14ac:dyDescent="0.2">
      <c r="A3" s="116"/>
      <c r="B3" t="s">
        <v>1853</v>
      </c>
    </row>
    <row r="4" spans="1:15" x14ac:dyDescent="0.2">
      <c r="A4" s="116"/>
    </row>
    <row r="5" spans="1:15" x14ac:dyDescent="0.2">
      <c r="B5" t="s">
        <v>1846</v>
      </c>
      <c r="O5" s="3"/>
    </row>
    <row r="6" spans="1:15" x14ac:dyDescent="0.2">
      <c r="B6" t="s">
        <v>1852</v>
      </c>
      <c r="O6" s="3"/>
    </row>
    <row r="7" spans="1:15" x14ac:dyDescent="0.2">
      <c r="B7" t="s">
        <v>1847</v>
      </c>
      <c r="O7" s="3"/>
    </row>
    <row r="8" spans="1:15" x14ac:dyDescent="0.2">
      <c r="B8" t="s">
        <v>1800</v>
      </c>
      <c r="O8" s="3"/>
    </row>
    <row r="9" spans="1:15" x14ac:dyDescent="0.2">
      <c r="B9" t="s">
        <v>1801</v>
      </c>
      <c r="O9" s="3"/>
    </row>
    <row r="10" spans="1:15" x14ac:dyDescent="0.2">
      <c r="B10" t="s">
        <v>1845</v>
      </c>
      <c r="O10" s="3"/>
    </row>
    <row r="11" spans="1:15" x14ac:dyDescent="0.2">
      <c r="B11" t="s">
        <v>1864</v>
      </c>
      <c r="O11" s="3"/>
    </row>
    <row r="12" spans="1:15" x14ac:dyDescent="0.2">
      <c r="O12" s="3"/>
    </row>
    <row r="13" spans="1:15" x14ac:dyDescent="0.2">
      <c r="B13" t="s">
        <v>1850</v>
      </c>
      <c r="O13" s="3"/>
    </row>
    <row r="14" spans="1:15" x14ac:dyDescent="0.2">
      <c r="B14" t="s">
        <v>1402</v>
      </c>
      <c r="O14" s="3"/>
    </row>
    <row r="15" spans="1:15" x14ac:dyDescent="0.2">
      <c r="B15" t="s">
        <v>1280</v>
      </c>
    </row>
    <row r="16" spans="1:15" x14ac:dyDescent="0.2">
      <c r="B16" t="s">
        <v>133</v>
      </c>
    </row>
    <row r="17" spans="2:15" x14ac:dyDescent="0.2">
      <c r="B17" t="s">
        <v>1410</v>
      </c>
    </row>
    <row r="18" spans="2:15" x14ac:dyDescent="0.2">
      <c r="B18" t="s">
        <v>1414</v>
      </c>
    </row>
    <row r="19" spans="2:15" x14ac:dyDescent="0.2">
      <c r="B19" t="s">
        <v>1418</v>
      </c>
    </row>
    <row r="20" spans="2:15" x14ac:dyDescent="0.2">
      <c r="B20" t="s">
        <v>1851</v>
      </c>
      <c r="O20" s="3"/>
    </row>
    <row r="21" spans="2:15" x14ac:dyDescent="0.2">
      <c r="B21" t="s">
        <v>1009</v>
      </c>
    </row>
    <row r="22" spans="2:15" x14ac:dyDescent="0.2">
      <c r="B22" t="s">
        <v>1191</v>
      </c>
    </row>
    <row r="24" spans="2:15" x14ac:dyDescent="0.2">
      <c r="B24" t="s">
        <v>1411</v>
      </c>
    </row>
    <row r="25" spans="2:15" x14ac:dyDescent="0.2">
      <c r="B25" t="s">
        <v>1848</v>
      </c>
    </row>
    <row r="27" spans="2:15" x14ac:dyDescent="0.2">
      <c r="B27" t="s">
        <v>1741</v>
      </c>
    </row>
    <row r="28" spans="2:15" x14ac:dyDescent="0.2">
      <c r="B28" s="248" t="s">
        <v>628</v>
      </c>
    </row>
    <row r="29" spans="2:15" x14ac:dyDescent="0.2">
      <c r="B29" s="248" t="s">
        <v>436</v>
      </c>
    </row>
    <row r="30" spans="2:15" x14ac:dyDescent="0.2">
      <c r="B30" t="s">
        <v>1311</v>
      </c>
    </row>
    <row r="31" spans="2:15" x14ac:dyDescent="0.2">
      <c r="B31" t="s">
        <v>1397</v>
      </c>
    </row>
    <row r="32" spans="2:15" x14ac:dyDescent="0.2">
      <c r="B32" t="s">
        <v>1398</v>
      </c>
    </row>
    <row r="33" spans="2:16" x14ac:dyDescent="0.2">
      <c r="B33" t="s">
        <v>1401</v>
      </c>
    </row>
    <row r="34" spans="2:16" x14ac:dyDescent="0.2">
      <c r="B34" t="s">
        <v>1407</v>
      </c>
    </row>
    <row r="36" spans="2:16" x14ac:dyDescent="0.2">
      <c r="B36" s="184" t="s">
        <v>1504</v>
      </c>
      <c r="J36" s="184" t="s">
        <v>1514</v>
      </c>
      <c r="P36" s="184" t="s">
        <v>1515</v>
      </c>
    </row>
    <row r="37" spans="2:16" x14ac:dyDescent="0.2">
      <c r="B37" t="s">
        <v>1505</v>
      </c>
      <c r="J37" t="s">
        <v>1740</v>
      </c>
      <c r="P37" t="s">
        <v>1516</v>
      </c>
    </row>
    <row r="38" spans="2:16" x14ac:dyDescent="0.2">
      <c r="B38" t="s">
        <v>1739</v>
      </c>
      <c r="P38" t="s">
        <v>1517</v>
      </c>
    </row>
    <row r="39" spans="2:16" x14ac:dyDescent="0.2">
      <c r="B39" t="s">
        <v>1509</v>
      </c>
      <c r="P39" t="s">
        <v>1518</v>
      </c>
    </row>
    <row r="40" spans="2:16" x14ac:dyDescent="0.2">
      <c r="B40" t="s">
        <v>1508</v>
      </c>
      <c r="P40" t="s">
        <v>1519</v>
      </c>
    </row>
    <row r="41" spans="2:16" x14ac:dyDescent="0.2">
      <c r="B41" t="s">
        <v>1506</v>
      </c>
      <c r="P41" t="s">
        <v>1520</v>
      </c>
    </row>
    <row r="42" spans="2:16" x14ac:dyDescent="0.2">
      <c r="B42" t="s">
        <v>1507</v>
      </c>
      <c r="P42" t="s">
        <v>1521</v>
      </c>
    </row>
    <row r="43" spans="2:16" x14ac:dyDescent="0.2">
      <c r="B43" t="s">
        <v>1510</v>
      </c>
      <c r="P43" t="s">
        <v>1522</v>
      </c>
    </row>
    <row r="44" spans="2:16" x14ac:dyDescent="0.2">
      <c r="B44" t="s">
        <v>1511</v>
      </c>
      <c r="P44" t="s">
        <v>1523</v>
      </c>
    </row>
    <row r="45" spans="2:16" x14ac:dyDescent="0.2">
      <c r="B45" t="s">
        <v>1512</v>
      </c>
      <c r="P45" t="s">
        <v>1524</v>
      </c>
    </row>
    <row r="46" spans="2:16" x14ac:dyDescent="0.2">
      <c r="B46" t="s">
        <v>1513</v>
      </c>
      <c r="P46" t="s">
        <v>1525</v>
      </c>
    </row>
    <row r="47" spans="2:16" x14ac:dyDescent="0.2">
      <c r="P47" t="s">
        <v>1526</v>
      </c>
    </row>
    <row r="48" spans="2:16" x14ac:dyDescent="0.2">
      <c r="P48" t="s">
        <v>1527</v>
      </c>
    </row>
    <row r="51" spans="2:3" x14ac:dyDescent="0.2">
      <c r="B51" s="184" t="s">
        <v>1794</v>
      </c>
    </row>
    <row r="52" spans="2:3" x14ac:dyDescent="0.2">
      <c r="B52" t="s">
        <v>1795</v>
      </c>
      <c r="C52" t="s">
        <v>1796</v>
      </c>
    </row>
    <row r="53" spans="2:3" x14ac:dyDescent="0.2">
      <c r="B53" t="s">
        <v>1797</v>
      </c>
      <c r="C53" t="s">
        <v>1796</v>
      </c>
    </row>
    <row r="54" spans="2:3" x14ac:dyDescent="0.2">
      <c r="B54" t="s">
        <v>1798</v>
      </c>
      <c r="C54" t="s">
        <v>1799</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1469</v>
      </c>
      <c r="D16" s="93"/>
      <c r="E16" s="93"/>
      <c r="F16" s="93"/>
    </row>
    <row r="17" spans="2:43" x14ac:dyDescent="0.2">
      <c r="B17" s="93"/>
      <c r="C17" s="4" t="s">
        <v>1470</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44" t="s">
        <v>738</v>
      </c>
      <c r="G30" s="344"/>
      <c r="H30" s="344"/>
      <c r="I30" s="344"/>
      <c r="J30" s="344"/>
      <c r="K30" s="344"/>
      <c r="L30" s="344"/>
      <c r="M30" s="344"/>
      <c r="N30" s="344"/>
      <c r="P30" s="344" t="s">
        <v>644</v>
      </c>
      <c r="Q30" s="344"/>
      <c r="R30" s="344"/>
      <c r="S30" s="344"/>
      <c r="T30" s="344"/>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1464</v>
      </c>
      <c r="BJ58" s="258" t="s">
        <v>1465</v>
      </c>
      <c r="BK58" s="258" t="s">
        <v>1466</v>
      </c>
      <c r="BL58" s="155" t="s">
        <v>1467</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1468</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1694</v>
      </c>
      <c r="C2" t="s">
        <v>1839</v>
      </c>
    </row>
    <row r="3" spans="1:3" x14ac:dyDescent="0.2">
      <c r="B3" t="s">
        <v>1275</v>
      </c>
      <c r="C3" t="s">
        <v>1586</v>
      </c>
    </row>
    <row r="4" spans="1:3" x14ac:dyDescent="0.2">
      <c r="B4" t="s">
        <v>159</v>
      </c>
      <c r="C4" t="s">
        <v>1840</v>
      </c>
    </row>
    <row r="5" spans="1:3" x14ac:dyDescent="0.2">
      <c r="B5" t="s">
        <v>1695</v>
      </c>
      <c r="C5" t="s">
        <v>1841</v>
      </c>
    </row>
    <row r="6" spans="1:3" x14ac:dyDescent="0.2">
      <c r="B6" t="s">
        <v>773</v>
      </c>
    </row>
    <row r="7" spans="1:3" x14ac:dyDescent="0.2">
      <c r="C7" s="184" t="s">
        <v>1842</v>
      </c>
    </row>
    <row r="8" spans="1:3" x14ac:dyDescent="0.2">
      <c r="C8" t="s">
        <v>1843</v>
      </c>
    </row>
    <row r="11" spans="1:3" x14ac:dyDescent="0.2">
      <c r="C11" s="184" t="s">
        <v>1874</v>
      </c>
    </row>
    <row r="12" spans="1:3" x14ac:dyDescent="0.2">
      <c r="C12" t="s">
        <v>1875</v>
      </c>
    </row>
    <row r="14" spans="1:3" x14ac:dyDescent="0.2">
      <c r="C14" s="184" t="s">
        <v>1877</v>
      </c>
    </row>
    <row r="15" spans="1:3" x14ac:dyDescent="0.2">
      <c r="C15" t="s">
        <v>1876</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1694</v>
      </c>
      <c r="C2" t="s">
        <v>1831</v>
      </c>
    </row>
    <row r="3" spans="1:3" x14ac:dyDescent="0.2">
      <c r="B3" t="s">
        <v>1275</v>
      </c>
      <c r="C3" t="s">
        <v>1538</v>
      </c>
    </row>
    <row r="4" spans="1:3" x14ac:dyDescent="0.2">
      <c r="B4" t="s">
        <v>159</v>
      </c>
      <c r="C4" t="s">
        <v>1837</v>
      </c>
    </row>
    <row r="5" spans="1:3" x14ac:dyDescent="0.2">
      <c r="B5" t="s">
        <v>1695</v>
      </c>
      <c r="C5" t="s">
        <v>1788</v>
      </c>
    </row>
    <row r="6" spans="1:3" x14ac:dyDescent="0.2">
      <c r="B6" t="s">
        <v>768</v>
      </c>
      <c r="C6" t="s">
        <v>1836</v>
      </c>
    </row>
    <row r="7" spans="1:3" x14ac:dyDescent="0.2">
      <c r="B7" t="s">
        <v>163</v>
      </c>
    </row>
    <row r="8" spans="1:3" x14ac:dyDescent="0.2">
      <c r="B8" t="s">
        <v>773</v>
      </c>
    </row>
    <row r="9" spans="1:3" x14ac:dyDescent="0.2">
      <c r="C9" s="184" t="s">
        <v>1835</v>
      </c>
    </row>
    <row r="10" spans="1:3" x14ac:dyDescent="0.2">
      <c r="C10" t="s">
        <v>1832</v>
      </c>
    </row>
    <row r="11" spans="1:3" x14ac:dyDescent="0.2">
      <c r="C11" t="s">
        <v>1834</v>
      </c>
    </row>
    <row r="12" spans="1:3" x14ac:dyDescent="0.2">
      <c r="C12" t="s">
        <v>1833</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1694</v>
      </c>
      <c r="C2" t="s">
        <v>1815</v>
      </c>
    </row>
    <row r="3" spans="1:3" x14ac:dyDescent="0.2">
      <c r="B3" t="s">
        <v>1275</v>
      </c>
      <c r="C3" t="s">
        <v>1816</v>
      </c>
    </row>
    <row r="4" spans="1:3" x14ac:dyDescent="0.2">
      <c r="B4" t="s">
        <v>159</v>
      </c>
      <c r="C4" t="s">
        <v>1819</v>
      </c>
    </row>
    <row r="5" spans="1:3" x14ac:dyDescent="0.2">
      <c r="B5" t="s">
        <v>768</v>
      </c>
      <c r="C5" t="s">
        <v>1822</v>
      </c>
    </row>
    <row r="6" spans="1:3" x14ac:dyDescent="0.2">
      <c r="B6" t="s">
        <v>773</v>
      </c>
    </row>
    <row r="7" spans="1:3" x14ac:dyDescent="0.2">
      <c r="C7" s="184" t="s">
        <v>1820</v>
      </c>
    </row>
    <row r="8" spans="1:3" x14ac:dyDescent="0.2">
      <c r="C8" t="s">
        <v>1821</v>
      </c>
    </row>
    <row r="9" spans="1:3" x14ac:dyDescent="0.2">
      <c r="C9" t="s">
        <v>1818</v>
      </c>
    </row>
    <row r="10" spans="1:3" x14ac:dyDescent="0.2">
      <c r="C10" t="s">
        <v>1817</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1408</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1409</v>
      </c>
    </row>
    <row r="14" spans="1:3" x14ac:dyDescent="0.2">
      <c r="C14" s="4" t="s">
        <v>1497</v>
      </c>
    </row>
    <row r="15" spans="1:3" x14ac:dyDescent="0.2">
      <c r="C15" s="4" t="s">
        <v>1499</v>
      </c>
    </row>
    <row r="16" spans="1:3" x14ac:dyDescent="0.2">
      <c r="C16" s="4" t="s">
        <v>1498</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1490</v>
      </c>
    </row>
    <row r="23" spans="2:3" x14ac:dyDescent="0.2">
      <c r="C23" s="4" t="s">
        <v>1491</v>
      </c>
    </row>
    <row r="25" spans="2:3" x14ac:dyDescent="0.2">
      <c r="C25" s="30" t="s">
        <v>1412</v>
      </c>
    </row>
    <row r="26" spans="2:3" x14ac:dyDescent="0.2">
      <c r="C26" s="4" t="s">
        <v>1413</v>
      </c>
    </row>
    <row r="27" spans="2:3" x14ac:dyDescent="0.2">
      <c r="C27" s="4" t="s">
        <v>1475</v>
      </c>
    </row>
    <row r="28" spans="2:3" x14ac:dyDescent="0.2">
      <c r="C28" s="4" t="s">
        <v>1476</v>
      </c>
    </row>
    <row r="29" spans="2:3" x14ac:dyDescent="0.2">
      <c r="C29" s="4" t="s">
        <v>1477</v>
      </c>
    </row>
    <row r="31" spans="2:3" x14ac:dyDescent="0.2">
      <c r="C31" s="30" t="s">
        <v>1415</v>
      </c>
    </row>
    <row r="32" spans="2:3" x14ac:dyDescent="0.2">
      <c r="C32" s="4" t="s">
        <v>1417</v>
      </c>
    </row>
    <row r="33" spans="1:3" x14ac:dyDescent="0.2">
      <c r="C33" s="4" t="s">
        <v>1416</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ColWidth="8.85546875" defaultRowHeight="12.75" x14ac:dyDescent="0.2"/>
  <cols>
    <col min="1" max="1" width="5" bestFit="1" customWidth="1"/>
    <col min="2" max="2" width="10.28515625" bestFit="1" customWidth="1"/>
  </cols>
  <sheetData>
    <row r="1" spans="1:3" x14ac:dyDescent="0.2">
      <c r="A1" s="116" t="s">
        <v>154</v>
      </c>
    </row>
    <row r="2" spans="1:3" x14ac:dyDescent="0.2">
      <c r="B2" t="s">
        <v>1694</v>
      </c>
      <c r="C2" t="s">
        <v>1862</v>
      </c>
    </row>
    <row r="3" spans="1:3" x14ac:dyDescent="0.2">
      <c r="B3" t="s">
        <v>1275</v>
      </c>
      <c r="C3" t="s">
        <v>1856</v>
      </c>
    </row>
    <row r="4" spans="1:3" x14ac:dyDescent="0.2">
      <c r="B4" t="s">
        <v>159</v>
      </c>
      <c r="C4" t="s">
        <v>194</v>
      </c>
    </row>
    <row r="5" spans="1:3" x14ac:dyDescent="0.2">
      <c r="B5" t="s">
        <v>1695</v>
      </c>
      <c r="C5" t="s">
        <v>1861</v>
      </c>
    </row>
    <row r="6" spans="1:3" x14ac:dyDescent="0.2">
      <c r="B6" t="s">
        <v>768</v>
      </c>
      <c r="C6" t="s">
        <v>1863</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1690</v>
      </c>
    </row>
    <row r="7" spans="1:3" x14ac:dyDescent="0.2">
      <c r="B7" s="4" t="s">
        <v>163</v>
      </c>
    </row>
    <row r="8" spans="1:3" x14ac:dyDescent="0.2">
      <c r="C8" s="4" t="s">
        <v>1691</v>
      </c>
    </row>
    <row r="9" spans="1:3" x14ac:dyDescent="0.2">
      <c r="C9" s="4" t="s">
        <v>1692</v>
      </c>
    </row>
    <row r="10" spans="1:3" x14ac:dyDescent="0.2">
      <c r="C10" s="4" t="s">
        <v>1693</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45" t="s">
        <v>1286</v>
      </c>
      <c r="M51" s="345"/>
      <c r="N51" s="345" t="s">
        <v>1287</v>
      </c>
      <c r="O51" s="345"/>
      <c r="P51" s="345" t="s">
        <v>455</v>
      </c>
      <c r="Q51" s="345"/>
      <c r="R51" s="345" t="s">
        <v>456</v>
      </c>
      <c r="S51" s="345"/>
    </row>
    <row r="52" spans="2:19" x14ac:dyDescent="0.2">
      <c r="D52" s="20" t="s">
        <v>1286</v>
      </c>
      <c r="E52" s="20" t="s">
        <v>455</v>
      </c>
      <c r="F52" s="20" t="s">
        <v>456</v>
      </c>
      <c r="G52" s="20" t="s">
        <v>1287</v>
      </c>
      <c r="H52" s="20" t="s">
        <v>1288</v>
      </c>
      <c r="I52" s="20" t="s">
        <v>1289</v>
      </c>
      <c r="L52" s="20" t="s">
        <v>1288</v>
      </c>
      <c r="M52" s="20" t="s">
        <v>1289</v>
      </c>
      <c r="N52" s="20" t="s">
        <v>1288</v>
      </c>
      <c r="O52" s="20" t="s">
        <v>1289</v>
      </c>
      <c r="P52" s="20" t="s">
        <v>1288</v>
      </c>
      <c r="Q52" s="20" t="s">
        <v>1289</v>
      </c>
      <c r="R52" s="20" t="s">
        <v>1288</v>
      </c>
      <c r="S52" s="20" t="s">
        <v>1289</v>
      </c>
    </row>
    <row r="53" spans="2:19" x14ac:dyDescent="0.2">
      <c r="C53" s="37">
        <v>40060</v>
      </c>
      <c r="D53" s="20"/>
      <c r="E53" s="20"/>
      <c r="F53" s="20"/>
      <c r="G53" s="20"/>
      <c r="H53" s="14">
        <v>485</v>
      </c>
      <c r="I53" s="14">
        <v>972</v>
      </c>
      <c r="K53" s="4" t="s">
        <v>1290</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1291</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1292</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1279</v>
      </c>
    </row>
    <row r="3" spans="1:2" x14ac:dyDescent="0.2">
      <c r="B3" t="s">
        <v>1283</v>
      </c>
    </row>
    <row r="4" spans="1:2" x14ac:dyDescent="0.2">
      <c r="B4" t="s">
        <v>1303</v>
      </c>
    </row>
    <row r="5" spans="1:2" x14ac:dyDescent="0.2">
      <c r="B5" t="s">
        <v>1282</v>
      </c>
    </row>
    <row r="7" spans="1:2" x14ac:dyDescent="0.2">
      <c r="B7" s="184" t="s">
        <v>136</v>
      </c>
    </row>
    <row r="8" spans="1:2" x14ac:dyDescent="0.2">
      <c r="B8" t="s">
        <v>1304</v>
      </c>
    </row>
    <row r="9" spans="1:2" x14ac:dyDescent="0.2">
      <c r="B9" t="s">
        <v>134</v>
      </c>
    </row>
    <row r="10" spans="1:2" x14ac:dyDescent="0.2">
      <c r="B10" t="s">
        <v>135</v>
      </c>
    </row>
    <row r="11" spans="1:2" x14ac:dyDescent="0.2">
      <c r="B11" t="s">
        <v>1306</v>
      </c>
    </row>
    <row r="12" spans="1:2" x14ac:dyDescent="0.2">
      <c r="B12" t="s">
        <v>1305</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1284</v>
      </c>
    </row>
    <row r="24" spans="2:2" x14ac:dyDescent="0.2">
      <c r="B24" t="s">
        <v>1285</v>
      </c>
    </row>
    <row r="25" spans="2:2" x14ac:dyDescent="0.2">
      <c r="B25" t="s">
        <v>1341</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1425</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1551</v>
      </c>
    </row>
    <row r="3" spans="1:3" x14ac:dyDescent="0.2">
      <c r="B3" t="s">
        <v>486</v>
      </c>
      <c r="C3" t="s">
        <v>836</v>
      </c>
    </row>
    <row r="4" spans="1:3" x14ac:dyDescent="0.2">
      <c r="B4" t="s">
        <v>159</v>
      </c>
      <c r="C4" t="s">
        <v>1549</v>
      </c>
    </row>
    <row r="5" spans="1:3" x14ac:dyDescent="0.2">
      <c r="B5" t="s">
        <v>768</v>
      </c>
      <c r="C5" t="s">
        <v>1550</v>
      </c>
    </row>
    <row r="6" spans="1:3" x14ac:dyDescent="0.2">
      <c r="B6" t="s">
        <v>489</v>
      </c>
      <c r="C6" t="s">
        <v>837</v>
      </c>
    </row>
    <row r="7" spans="1:3" x14ac:dyDescent="0.2">
      <c r="B7" t="s">
        <v>773</v>
      </c>
    </row>
    <row r="8" spans="1:3" x14ac:dyDescent="0.2">
      <c r="C8" s="184" t="s">
        <v>1327</v>
      </c>
    </row>
    <row r="10" spans="1:3" x14ac:dyDescent="0.2">
      <c r="C10" s="184" t="s">
        <v>1333</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1322</v>
      </c>
    </row>
    <row r="3" spans="1:3" x14ac:dyDescent="0.2">
      <c r="B3" t="s">
        <v>489</v>
      </c>
    </row>
    <row r="4" spans="1:3" x14ac:dyDescent="0.2">
      <c r="B4" t="s">
        <v>773</v>
      </c>
    </row>
    <row r="5" spans="1:3" x14ac:dyDescent="0.2">
      <c r="C5" s="184" t="s">
        <v>1324</v>
      </c>
    </row>
    <row r="6" spans="1:3" x14ac:dyDescent="0.2">
      <c r="C6" t="s">
        <v>1323</v>
      </c>
    </row>
    <row r="8" spans="1:3" x14ac:dyDescent="0.2">
      <c r="C8" s="184" t="s">
        <v>1325</v>
      </c>
    </row>
    <row r="9" spans="1:3" x14ac:dyDescent="0.2">
      <c r="C9" t="s">
        <v>1326</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1357</v>
      </c>
      <c r="E4" s="76" t="s">
        <v>1358</v>
      </c>
      <c r="F4" s="76" t="s">
        <v>1343</v>
      </c>
      <c r="G4" s="76" t="s">
        <v>1344</v>
      </c>
      <c r="H4" s="76" t="s">
        <v>1345</v>
      </c>
      <c r="I4" s="76" t="s">
        <v>155</v>
      </c>
      <c r="J4" s="76" t="s">
        <v>1347</v>
      </c>
      <c r="K4" s="76" t="s">
        <v>362</v>
      </c>
      <c r="L4" s="76" t="s">
        <v>1348</v>
      </c>
      <c r="M4" s="76" t="s">
        <v>1351</v>
      </c>
      <c r="N4" s="76" t="s">
        <v>1353</v>
      </c>
      <c r="O4" s="76" t="s">
        <v>1354</v>
      </c>
      <c r="P4" s="76" t="s">
        <v>1355</v>
      </c>
      <c r="Q4" s="76" t="s">
        <v>1356</v>
      </c>
      <c r="R4" s="76" t="s">
        <v>1360</v>
      </c>
    </row>
    <row r="5" spans="1:19" x14ac:dyDescent="0.2">
      <c r="B5" s="256" t="s">
        <v>1366</v>
      </c>
      <c r="C5" s="163">
        <v>41136</v>
      </c>
      <c r="D5" s="163">
        <v>39310</v>
      </c>
      <c r="E5" s="76" t="s">
        <v>1368</v>
      </c>
      <c r="F5" s="76">
        <v>600</v>
      </c>
      <c r="G5" s="255">
        <v>5.1499999999999997E-2</v>
      </c>
      <c r="H5" s="76" t="s">
        <v>1346</v>
      </c>
      <c r="I5" s="76">
        <v>108.89400000000001</v>
      </c>
      <c r="J5" s="255">
        <v>1.12E-2</v>
      </c>
      <c r="K5" s="255" t="s">
        <v>1375</v>
      </c>
      <c r="L5" s="76" t="s">
        <v>1367</v>
      </c>
      <c r="M5" s="76" t="s">
        <v>1352</v>
      </c>
      <c r="N5" s="255">
        <v>5.1999999999999998E-2</v>
      </c>
      <c r="O5" s="163">
        <v>39370</v>
      </c>
      <c r="P5" s="255">
        <v>7.7099999999999998E-3</v>
      </c>
      <c r="Q5" s="163">
        <v>40260</v>
      </c>
      <c r="R5" s="255">
        <v>7.7999999999999996E-3</v>
      </c>
      <c r="S5" s="255">
        <f t="shared" ref="S5:S14" si="0">+J5-R5</f>
        <v>3.4000000000000002E-3</v>
      </c>
    </row>
    <row r="6" spans="1:19" x14ac:dyDescent="0.2">
      <c r="B6" s="256" t="s">
        <v>1371</v>
      </c>
      <c r="C6" s="163">
        <v>41409</v>
      </c>
      <c r="D6" s="163">
        <v>37760</v>
      </c>
      <c r="E6" s="76" t="s">
        <v>1370</v>
      </c>
      <c r="F6" s="76">
        <v>500</v>
      </c>
      <c r="G6" s="255">
        <v>3.7999999999999999E-2</v>
      </c>
      <c r="H6" s="76" t="s">
        <v>1369</v>
      </c>
      <c r="I6" s="76">
        <v>105.56</v>
      </c>
      <c r="J6" s="255">
        <v>1.8800000000000001E-2</v>
      </c>
      <c r="K6" s="255" t="s">
        <v>1375</v>
      </c>
      <c r="L6" s="76" t="s">
        <v>1367</v>
      </c>
      <c r="M6" s="76" t="s">
        <v>1352</v>
      </c>
      <c r="N6" s="255">
        <v>5.8259999999999999E-2</v>
      </c>
      <c r="O6" s="163">
        <v>39251</v>
      </c>
      <c r="P6" s="255">
        <v>1.073E-2</v>
      </c>
      <c r="Q6" s="163">
        <v>40298</v>
      </c>
      <c r="R6" s="255">
        <v>1.29E-2</v>
      </c>
      <c r="S6" s="255">
        <f t="shared" si="0"/>
        <v>5.9000000000000007E-3</v>
      </c>
    </row>
    <row r="7" spans="1:19" x14ac:dyDescent="0.2">
      <c r="B7" s="256" t="s">
        <v>1372</v>
      </c>
      <c r="C7" s="163">
        <v>42962</v>
      </c>
      <c r="D7" s="163">
        <v>39307</v>
      </c>
      <c r="E7" s="76" t="s">
        <v>1373</v>
      </c>
      <c r="F7" s="76">
        <v>1000</v>
      </c>
      <c r="G7" s="255">
        <v>5.5500000000000001E-2</v>
      </c>
      <c r="H7" s="76" t="s">
        <v>1346</v>
      </c>
      <c r="I7" s="76">
        <v>113.53700000000001</v>
      </c>
      <c r="J7" s="255">
        <v>3.4200000000000001E-2</v>
      </c>
      <c r="K7" s="255" t="s">
        <v>1375</v>
      </c>
      <c r="L7" s="76" t="s">
        <v>1367</v>
      </c>
      <c r="M7" s="76" t="s">
        <v>1352</v>
      </c>
      <c r="N7" s="255">
        <v>5.9049999999999998E-2</v>
      </c>
      <c r="O7" s="163">
        <v>39735</v>
      </c>
      <c r="P7" s="255">
        <v>3.0290000000000001E-2</v>
      </c>
      <c r="Q7" s="163">
        <v>39867</v>
      </c>
      <c r="R7" s="255">
        <v>2.87E-2</v>
      </c>
      <c r="S7" s="255">
        <f t="shared" si="0"/>
        <v>5.5000000000000014E-3</v>
      </c>
    </row>
    <row r="8" spans="1:19" x14ac:dyDescent="0.2">
      <c r="B8" s="256" t="s">
        <v>1376</v>
      </c>
      <c r="C8" s="163">
        <v>43296</v>
      </c>
      <c r="D8" s="163">
        <v>39617</v>
      </c>
      <c r="E8" s="76" t="s">
        <v>1374</v>
      </c>
      <c r="F8" s="76">
        <v>900</v>
      </c>
      <c r="G8" s="255">
        <v>5.1499999999999997E-2</v>
      </c>
      <c r="H8" s="76" t="s">
        <v>1346</v>
      </c>
      <c r="I8" s="76">
        <v>110.286</v>
      </c>
      <c r="J8" s="255">
        <v>3.6799999999999999E-2</v>
      </c>
      <c r="K8" s="255" t="s">
        <v>1375</v>
      </c>
      <c r="L8" s="76" t="s">
        <v>1349</v>
      </c>
      <c r="M8" s="76" t="s">
        <v>1352</v>
      </c>
      <c r="N8" s="255">
        <v>5.7639999999999997E-2</v>
      </c>
      <c r="O8" s="163">
        <v>39735</v>
      </c>
      <c r="P8" s="255">
        <v>3.2250000000000001E-2</v>
      </c>
      <c r="Q8" s="163">
        <v>39868</v>
      </c>
      <c r="R8" s="255">
        <v>2.9700000000000001E-2</v>
      </c>
      <c r="S8" s="255">
        <f t="shared" si="0"/>
        <v>7.0999999999999987E-3</v>
      </c>
    </row>
    <row r="9" spans="1:19" x14ac:dyDescent="0.2">
      <c r="B9" s="256" t="s">
        <v>1377</v>
      </c>
      <c r="C9" s="163">
        <v>43775</v>
      </c>
      <c r="D9" s="163">
        <v>39385</v>
      </c>
      <c r="E9" s="76" t="s">
        <v>1378</v>
      </c>
      <c r="F9" s="76">
        <v>1000</v>
      </c>
      <c r="G9" s="255">
        <v>4.7500000000000001E-2</v>
      </c>
      <c r="H9" s="76" t="s">
        <v>1346</v>
      </c>
      <c r="I9" s="76">
        <v>112.91370000000001</v>
      </c>
      <c r="J9" s="255">
        <v>3.15E-2</v>
      </c>
      <c r="K9" s="255" t="s">
        <v>1379</v>
      </c>
      <c r="L9" s="76" t="s">
        <v>1367</v>
      </c>
      <c r="M9" s="76" t="s">
        <v>1352</v>
      </c>
      <c r="N9" s="255">
        <v>5.6779999999999997E-2</v>
      </c>
      <c r="O9" s="163">
        <v>39735</v>
      </c>
      <c r="P9" s="255">
        <v>3.125E-2</v>
      </c>
      <c r="Q9" s="163">
        <v>40304</v>
      </c>
      <c r="R9" s="255">
        <v>3.3500000000000002E-2</v>
      </c>
      <c r="S9" s="255">
        <f t="shared" si="0"/>
        <v>-2.0000000000000018E-3</v>
      </c>
    </row>
    <row r="10" spans="1:19" x14ac:dyDescent="0.2">
      <c r="B10" s="256" t="s">
        <v>1380</v>
      </c>
      <c r="C10" s="163">
        <v>45245</v>
      </c>
      <c r="D10" s="163">
        <v>34289</v>
      </c>
      <c r="E10" s="76" t="s">
        <v>1381</v>
      </c>
      <c r="F10" s="76">
        <v>250</v>
      </c>
      <c r="G10" s="255">
        <v>6.7299999999999999E-2</v>
      </c>
      <c r="H10" s="76" t="s">
        <v>1369</v>
      </c>
      <c r="I10" s="76">
        <v>125.001</v>
      </c>
      <c r="J10" s="255">
        <v>4.2700000000000002E-2</v>
      </c>
      <c r="K10" s="255" t="s">
        <v>1375</v>
      </c>
      <c r="L10" s="76" t="s">
        <v>1367</v>
      </c>
      <c r="M10" s="76" t="s">
        <v>1352</v>
      </c>
      <c r="N10" s="255">
        <v>7.6319999999999999E-2</v>
      </c>
      <c r="O10" s="163">
        <v>39741</v>
      </c>
      <c r="P10" s="255">
        <v>4.0099999999999997E-2</v>
      </c>
      <c r="Q10" s="163">
        <v>39828</v>
      </c>
      <c r="R10" s="255">
        <v>3.5499999999999997E-2</v>
      </c>
      <c r="S10" s="255">
        <f t="shared" si="0"/>
        <v>7.200000000000005E-3</v>
      </c>
    </row>
    <row r="11" spans="1:19" x14ac:dyDescent="0.2">
      <c r="B11" s="256" t="s">
        <v>1382</v>
      </c>
      <c r="C11" s="163">
        <v>45602</v>
      </c>
      <c r="D11" s="163">
        <v>39385</v>
      </c>
      <c r="E11" s="76" t="s">
        <v>1383</v>
      </c>
      <c r="F11" s="76">
        <v>500</v>
      </c>
      <c r="G11" s="255">
        <v>5.5E-2</v>
      </c>
      <c r="H11" s="76" t="s">
        <v>1346</v>
      </c>
      <c r="I11" s="76">
        <v>106.005</v>
      </c>
      <c r="J11" s="255">
        <v>4.8800000000000003E-2</v>
      </c>
      <c r="K11" s="255" t="s">
        <v>1384</v>
      </c>
      <c r="L11" s="76" t="s">
        <v>1367</v>
      </c>
      <c r="M11" s="76" t="s">
        <v>1352</v>
      </c>
      <c r="N11" s="255">
        <v>6.0879999999999997E-2</v>
      </c>
      <c r="O11" s="163">
        <v>39735</v>
      </c>
      <c r="P11" s="255">
        <v>4.4979999999999999E-2</v>
      </c>
      <c r="Q11" s="163">
        <v>40056</v>
      </c>
      <c r="R11" s="255">
        <v>3.6499999999999998E-2</v>
      </c>
      <c r="S11" s="255">
        <f t="shared" si="0"/>
        <v>1.2300000000000005E-2</v>
      </c>
    </row>
    <row r="12" spans="1:19" x14ac:dyDescent="0.2">
      <c r="B12" s="256" t="s">
        <v>1385</v>
      </c>
      <c r="C12" s="163">
        <v>47362</v>
      </c>
      <c r="D12" s="163">
        <v>36402</v>
      </c>
      <c r="E12" s="76" t="s">
        <v>1386</v>
      </c>
      <c r="F12" s="76">
        <v>293</v>
      </c>
      <c r="G12" s="255">
        <v>6.9500000000000006E-2</v>
      </c>
      <c r="H12" s="76" t="s">
        <v>1369</v>
      </c>
      <c r="I12" s="76">
        <v>131.88200000000001</v>
      </c>
      <c r="J12" s="255">
        <v>4.446E-2</v>
      </c>
      <c r="K12" s="255" t="s">
        <v>1375</v>
      </c>
      <c r="L12" s="76" t="s">
        <v>1367</v>
      </c>
      <c r="M12" s="76" t="s">
        <v>1352</v>
      </c>
      <c r="N12" s="255">
        <v>6.9029999999999994E-2</v>
      </c>
      <c r="O12" s="163">
        <v>40039</v>
      </c>
      <c r="P12" s="255">
        <v>4.1110000000000001E-2</v>
      </c>
      <c r="Q12" s="163">
        <v>37785</v>
      </c>
      <c r="R12" s="255">
        <v>3.6499999999999998E-2</v>
      </c>
      <c r="S12" s="255">
        <f t="shared" si="0"/>
        <v>7.9600000000000018E-3</v>
      </c>
    </row>
    <row r="13" spans="1:19" x14ac:dyDescent="0.2">
      <c r="B13" s="256" t="s">
        <v>1387</v>
      </c>
      <c r="C13" s="163">
        <v>48714</v>
      </c>
      <c r="D13" s="163">
        <v>37760</v>
      </c>
      <c r="E13" s="76" t="s">
        <v>1388</v>
      </c>
      <c r="F13" s="76">
        <v>500</v>
      </c>
      <c r="G13" s="255">
        <v>4.9500000000000002E-2</v>
      </c>
      <c r="H13" s="76" t="s">
        <v>1369</v>
      </c>
      <c r="I13" s="76">
        <v>109.919</v>
      </c>
      <c r="J13" s="255">
        <v>4.2630000000000001E-2</v>
      </c>
      <c r="K13" s="255" t="s">
        <v>1375</v>
      </c>
      <c r="L13" s="76" t="s">
        <v>1367</v>
      </c>
      <c r="M13" s="76" t="s">
        <v>1352</v>
      </c>
      <c r="N13" s="255">
        <v>7.7630000000000005E-2</v>
      </c>
      <c r="O13" s="163">
        <v>39735</v>
      </c>
      <c r="P13" s="255">
        <v>4.0050000000000002E-2</v>
      </c>
      <c r="Q13" s="163">
        <v>40414</v>
      </c>
      <c r="R13" s="255">
        <v>3.6999999999999998E-2</v>
      </c>
      <c r="S13" s="255">
        <f t="shared" si="0"/>
        <v>5.6300000000000031E-3</v>
      </c>
    </row>
    <row r="14" spans="1:19" x14ac:dyDescent="0.2">
      <c r="B14" s="256" t="s">
        <v>1389</v>
      </c>
      <c r="C14" s="163">
        <v>50267</v>
      </c>
      <c r="D14" s="163">
        <v>39307</v>
      </c>
      <c r="E14" s="76" t="s">
        <v>1390</v>
      </c>
      <c r="F14" s="76">
        <v>995</v>
      </c>
      <c r="G14" s="255">
        <v>5.9499999999999997E-2</v>
      </c>
      <c r="H14" s="76" t="s">
        <v>1346</v>
      </c>
      <c r="I14" s="76">
        <v>123.142</v>
      </c>
      <c r="J14" s="255">
        <v>4.4639999999999999E-2</v>
      </c>
      <c r="K14" s="255" t="s">
        <v>1375</v>
      </c>
      <c r="L14" s="76" t="s">
        <v>1349</v>
      </c>
      <c r="M14" s="76" t="s">
        <v>1352</v>
      </c>
      <c r="N14" s="255">
        <v>6.318E-2</v>
      </c>
      <c r="O14" s="163">
        <v>39738</v>
      </c>
      <c r="P14" s="255">
        <v>4.1369999999999997E-2</v>
      </c>
      <c r="Q14" s="163">
        <v>40421</v>
      </c>
      <c r="R14" s="255">
        <v>3.78E-2</v>
      </c>
      <c r="S14" s="255">
        <f t="shared" si="0"/>
        <v>6.8399999999999989E-3</v>
      </c>
    </row>
    <row r="15" spans="1:19" x14ac:dyDescent="0.2">
      <c r="B15" s="256" t="s">
        <v>1350</v>
      </c>
      <c r="C15" s="163">
        <v>50601</v>
      </c>
      <c r="D15" s="163">
        <v>39617</v>
      </c>
      <c r="E15" s="163" t="s">
        <v>1436</v>
      </c>
      <c r="F15" s="76">
        <v>700</v>
      </c>
      <c r="G15" s="255">
        <v>5.8500000000000003E-2</v>
      </c>
      <c r="H15" s="76" t="s">
        <v>1346</v>
      </c>
      <c r="I15" s="76">
        <v>122.22</v>
      </c>
      <c r="J15" s="255">
        <v>4.4499999999999998E-2</v>
      </c>
      <c r="K15" s="255" t="s">
        <v>1375</v>
      </c>
      <c r="L15" s="76" t="s">
        <v>1349</v>
      </c>
      <c r="M15" s="76" t="s">
        <v>1352</v>
      </c>
      <c r="N15" s="255">
        <v>7.0529999999999995E-2</v>
      </c>
      <c r="O15" s="163">
        <v>39738</v>
      </c>
      <c r="P15" s="255">
        <v>4.165E-2</v>
      </c>
      <c r="Q15" s="163">
        <v>40415</v>
      </c>
      <c r="R15" s="255">
        <v>3.7900000000000003E-2</v>
      </c>
      <c r="S15" s="255">
        <f>J15-R15</f>
        <v>6.5999999999999948E-3</v>
      </c>
    </row>
    <row r="16" spans="1:19" x14ac:dyDescent="0.2">
      <c r="B16" s="256" t="s">
        <v>1434</v>
      </c>
      <c r="C16" s="163">
        <v>51380</v>
      </c>
      <c r="D16" s="163">
        <v>40407</v>
      </c>
      <c r="E16" s="76" t="s">
        <v>1359</v>
      </c>
      <c r="F16" s="76">
        <v>550</v>
      </c>
      <c r="G16" s="255">
        <v>4.4999999999999998E-2</v>
      </c>
      <c r="H16" s="76" t="s">
        <v>1435</v>
      </c>
      <c r="I16" s="76">
        <v>101.13200000000001</v>
      </c>
      <c r="J16" s="255">
        <v>4.4299999999999999E-2</v>
      </c>
      <c r="K16" s="255" t="s">
        <v>1375</v>
      </c>
      <c r="L16" s="76" t="s">
        <v>1349</v>
      </c>
      <c r="M16" s="76" t="s">
        <v>1352</v>
      </c>
      <c r="N16" s="255">
        <v>4.6179999999999999E-2</v>
      </c>
      <c r="O16" s="163">
        <v>40402</v>
      </c>
      <c r="P16" s="255">
        <v>4.1230000000000003E-2</v>
      </c>
      <c r="Q16" s="163">
        <v>40415</v>
      </c>
      <c r="R16" s="255">
        <v>3.8100000000000002E-2</v>
      </c>
      <c r="S16" s="255">
        <f>J16-R16</f>
        <v>6.1999999999999972E-3</v>
      </c>
    </row>
    <row r="20" spans="2:2" x14ac:dyDescent="0.2">
      <c r="B20" t="s">
        <v>1568</v>
      </c>
    </row>
    <row r="21" spans="2:2" x14ac:dyDescent="0.2">
      <c r="B21" t="s">
        <v>1569</v>
      </c>
    </row>
    <row r="22" spans="2:2" x14ac:dyDescent="0.2">
      <c r="B22" t="s">
        <v>1570</v>
      </c>
    </row>
    <row r="23" spans="2:2" x14ac:dyDescent="0.2">
      <c r="B23" t="s">
        <v>1708</v>
      </c>
    </row>
    <row r="24" spans="2:2" x14ac:dyDescent="0.2">
      <c r="B24" t="s">
        <v>1716</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1452</v>
      </c>
    </row>
    <row r="3" spans="1:2" x14ac:dyDescent="0.2">
      <c r="A3" s="172"/>
    </row>
    <row r="4" spans="1:2" x14ac:dyDescent="0.2">
      <c r="B4" s="1" t="s">
        <v>1463</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1460</v>
      </c>
    </row>
    <row r="30" spans="2:2" x14ac:dyDescent="0.2">
      <c r="B30" t="s">
        <v>1461</v>
      </c>
    </row>
    <row r="31" spans="2:2" x14ac:dyDescent="0.2">
      <c r="B31" t="s">
        <v>1462</v>
      </c>
    </row>
    <row r="32" spans="2:2" x14ac:dyDescent="0.2">
      <c r="B32" t="s">
        <v>1204</v>
      </c>
    </row>
    <row r="33" spans="2:10" x14ac:dyDescent="0.2">
      <c r="B33" s="56" t="s">
        <v>1451</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1459</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1492</v>
      </c>
    </row>
    <row r="3" spans="1:3" x14ac:dyDescent="0.2">
      <c r="B3" t="s">
        <v>486</v>
      </c>
      <c r="C3" t="s">
        <v>730</v>
      </c>
    </row>
    <row r="4" spans="1:3" x14ac:dyDescent="0.2">
      <c r="B4" t="s">
        <v>489</v>
      </c>
      <c r="C4" t="s">
        <v>1421</v>
      </c>
    </row>
    <row r="5" spans="1:3" x14ac:dyDescent="0.2">
      <c r="B5" t="s">
        <v>768</v>
      </c>
      <c r="C5" t="s">
        <v>1422</v>
      </c>
    </row>
    <row r="6" spans="1:3" x14ac:dyDescent="0.2">
      <c r="B6" t="s">
        <v>773</v>
      </c>
    </row>
    <row r="7" spans="1:3" x14ac:dyDescent="0.2">
      <c r="C7" s="184" t="s">
        <v>1423</v>
      </c>
    </row>
    <row r="8" spans="1:3" x14ac:dyDescent="0.2">
      <c r="C8" t="s">
        <v>1424</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1298</v>
      </c>
      <c r="AV2" s="174" t="s">
        <v>1299</v>
      </c>
      <c r="AW2" s="174" t="s">
        <v>1300</v>
      </c>
      <c r="AX2" s="174" t="s">
        <v>1301</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1453</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1454</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1455</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1456</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1457</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1458</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1273</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1400</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154</v>
      </c>
    </row>
    <row r="2" spans="1:12" x14ac:dyDescent="0.2">
      <c r="A2" s="5"/>
      <c r="B2" s="93" t="s">
        <v>1315</v>
      </c>
    </row>
    <row r="3" spans="1:12" x14ac:dyDescent="0.2">
      <c r="A3" s="5"/>
      <c r="B3" s="93" t="s">
        <v>1316</v>
      </c>
    </row>
    <row r="4" spans="1:12" x14ac:dyDescent="0.2">
      <c r="A4" s="5"/>
      <c r="B4" s="93" t="s">
        <v>1869</v>
      </c>
    </row>
    <row r="5" spans="1:12" x14ac:dyDescent="0.2">
      <c r="A5" s="5"/>
    </row>
    <row r="6" spans="1:12" x14ac:dyDescent="0.2">
      <c r="A6" s="5"/>
      <c r="B6" s="93" t="s">
        <v>1317</v>
      </c>
    </row>
    <row r="7" spans="1:12" x14ac:dyDescent="0.2">
      <c r="A7" s="5"/>
      <c r="B7" s="93" t="s">
        <v>1312</v>
      </c>
    </row>
    <row r="8" spans="1:12" x14ac:dyDescent="0.2">
      <c r="A8" s="5"/>
      <c r="B8" s="93" t="s">
        <v>1313</v>
      </c>
    </row>
    <row r="9" spans="1:12" x14ac:dyDescent="0.2">
      <c r="A9" s="5"/>
      <c r="B9" s="93" t="s">
        <v>1314</v>
      </c>
    </row>
    <row r="10" spans="1:12" x14ac:dyDescent="0.2">
      <c r="A10" s="5"/>
      <c r="B10" s="93" t="s">
        <v>1393</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1099</v>
      </c>
      <c r="C13" s="250"/>
      <c r="D13" s="250"/>
      <c r="E13" s="250"/>
      <c r="F13" s="250"/>
      <c r="G13" s="250"/>
      <c r="H13" s="250"/>
      <c r="I13" s="250"/>
      <c r="J13" s="177"/>
      <c r="K13" s="177"/>
      <c r="L13" s="177"/>
    </row>
    <row r="14" spans="1:12" s="96" customFormat="1" x14ac:dyDescent="0.2">
      <c r="B14" s="96" t="s">
        <v>1100</v>
      </c>
      <c r="C14" s="250">
        <f>'MD&amp;D'!AC6</f>
        <v>344.5</v>
      </c>
      <c r="D14" s="250">
        <f>'MD&amp;D'!AD6</f>
        <v>524</v>
      </c>
      <c r="E14" s="250">
        <f>'MD&amp;D'!AE6</f>
        <v>654.20000000000005</v>
      </c>
      <c r="F14" s="250"/>
      <c r="G14" s="250"/>
      <c r="H14" s="250"/>
      <c r="I14" s="250"/>
      <c r="J14" s="177"/>
      <c r="K14" s="177"/>
      <c r="L14" s="177"/>
    </row>
    <row r="15" spans="1:12" s="96" customFormat="1" x14ac:dyDescent="0.2">
      <c r="B15" s="96" t="s">
        <v>1101</v>
      </c>
      <c r="C15" s="250">
        <f>'MD&amp;D'!AC9</f>
        <v>155</v>
      </c>
      <c r="D15" s="250">
        <f>'MD&amp;D'!AD9</f>
        <v>0</v>
      </c>
      <c r="E15" s="250">
        <f>'MD&amp;D'!AE9</f>
        <v>0</v>
      </c>
      <c r="F15" s="250"/>
      <c r="G15" s="250"/>
      <c r="H15" s="250"/>
      <c r="I15" s="250"/>
      <c r="J15" s="177"/>
      <c r="K15" s="177"/>
      <c r="L15" s="177"/>
    </row>
    <row r="16" spans="1:12" s="96" customFormat="1" x14ac:dyDescent="0.2">
      <c r="B16" s="96" t="s">
        <v>1102</v>
      </c>
      <c r="C16" s="250"/>
      <c r="D16" s="250"/>
      <c r="E16" s="250"/>
      <c r="F16" s="250">
        <v>2602</v>
      </c>
      <c r="G16" s="250">
        <v>2905</v>
      </c>
      <c r="H16" s="250">
        <v>2599</v>
      </c>
      <c r="I16" s="250">
        <v>1864</v>
      </c>
      <c r="J16" s="250">
        <v>1420</v>
      </c>
      <c r="K16" s="250">
        <v>1283</v>
      </c>
      <c r="L16" s="177"/>
    </row>
    <row r="17" spans="2:12" s="96" customFormat="1" x14ac:dyDescent="0.2">
      <c r="B17" s="96" t="s">
        <v>1103</v>
      </c>
      <c r="C17" s="250">
        <f>'MD&amp;D'!AC7</f>
        <v>738.8</v>
      </c>
      <c r="D17" s="250">
        <f>'MD&amp;D'!AD7</f>
        <v>1120</v>
      </c>
      <c r="E17" s="250">
        <f>'MD&amp;D'!AE7</f>
        <v>1301.3000000000002</v>
      </c>
      <c r="F17" s="250"/>
      <c r="G17" s="250"/>
      <c r="H17" s="250"/>
      <c r="I17" s="250"/>
      <c r="J17" s="177"/>
      <c r="K17" s="177"/>
      <c r="L17" s="177"/>
    </row>
    <row r="18" spans="2:12" s="96" customFormat="1" x14ac:dyDescent="0.2">
      <c r="B18" s="96" t="s">
        <v>1104</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1105</v>
      </c>
      <c r="C20" s="250"/>
      <c r="D20" s="250"/>
      <c r="E20" s="250"/>
      <c r="F20" s="250"/>
      <c r="G20" s="250" t="s">
        <v>1106</v>
      </c>
      <c r="H20" s="250"/>
      <c r="I20" s="250"/>
      <c r="J20" s="177"/>
      <c r="K20" s="177"/>
      <c r="L20" s="177"/>
    </row>
    <row r="21" spans="2:12" s="96" customFormat="1" x14ac:dyDescent="0.2">
      <c r="B21" s="96" t="s">
        <v>1107</v>
      </c>
      <c r="C21" s="250"/>
      <c r="D21" s="250"/>
      <c r="E21" s="250"/>
      <c r="F21" s="250"/>
      <c r="G21" s="251" t="s">
        <v>1108</v>
      </c>
      <c r="H21" s="251"/>
      <c r="I21" s="251"/>
      <c r="J21" s="177"/>
      <c r="K21" s="177"/>
      <c r="L21" s="177"/>
    </row>
    <row r="22" spans="2:12" s="96" customFormat="1" x14ac:dyDescent="0.2">
      <c r="B22" s="96" t="s">
        <v>1109</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1110</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32</v>
      </c>
    </row>
    <row r="40" spans="2:3" x14ac:dyDescent="0.2">
      <c r="B40" s="93" t="s">
        <v>33</v>
      </c>
    </row>
    <row r="41" spans="2:3" x14ac:dyDescent="0.2">
      <c r="B41" s="93" t="s">
        <v>34</v>
      </c>
    </row>
    <row r="42" spans="2:3" x14ac:dyDescent="0.2">
      <c r="B42" s="93" t="s">
        <v>35</v>
      </c>
    </row>
    <row r="44" spans="2:3" x14ac:dyDescent="0.2">
      <c r="B44" s="9" t="s">
        <v>36</v>
      </c>
    </row>
    <row r="45" spans="2:3" x14ac:dyDescent="0.2">
      <c r="B45" s="93" t="s">
        <v>37</v>
      </c>
    </row>
    <row r="46" spans="2:3" x14ac:dyDescent="0.2">
      <c r="B46" s="93" t="s">
        <v>38</v>
      </c>
    </row>
    <row r="47" spans="2:3" x14ac:dyDescent="0.2">
      <c r="B47" s="93" t="s">
        <v>39</v>
      </c>
    </row>
    <row r="48" spans="2:3" x14ac:dyDescent="0.2">
      <c r="B48" s="13" t="s">
        <v>883</v>
      </c>
    </row>
    <row r="50" spans="1:31" x14ac:dyDescent="0.2">
      <c r="B50" s="30" t="s">
        <v>884</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227</v>
      </c>
      <c r="B55" s="198"/>
      <c r="C55" s="198"/>
      <c r="D55" s="335"/>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95</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77</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78</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96</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77</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78</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97</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77</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78</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98</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77</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78</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1094</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77</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78</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1399</v>
      </c>
    </row>
    <row r="4" spans="1:32" x14ac:dyDescent="0.2">
      <c r="B4" s="93" t="s">
        <v>130</v>
      </c>
    </row>
    <row r="5" spans="1:32" x14ac:dyDescent="0.2">
      <c r="B5" s="93" t="s">
        <v>132</v>
      </c>
    </row>
    <row r="6" spans="1:32" x14ac:dyDescent="0.2">
      <c r="B6" s="93" t="s">
        <v>131</v>
      </c>
    </row>
    <row r="7" spans="1:32" x14ac:dyDescent="0.2">
      <c r="B7" s="4" t="s">
        <v>1493</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1496</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1554</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1278</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1494</v>
      </c>
      <c r="E3" t="s">
        <v>1495</v>
      </c>
    </row>
    <row r="4" spans="1:6" x14ac:dyDescent="0.2">
      <c r="A4" s="2"/>
      <c r="B4" t="s">
        <v>1391</v>
      </c>
      <c r="C4" s="163">
        <v>40330</v>
      </c>
      <c r="E4" t="s">
        <v>1392</v>
      </c>
    </row>
    <row r="5" spans="1:6" x14ac:dyDescent="0.2">
      <c r="A5" s="2"/>
      <c r="B5" t="s">
        <v>1293</v>
      </c>
      <c r="C5" s="163">
        <v>40096</v>
      </c>
      <c r="D5" s="234" t="s">
        <v>1294</v>
      </c>
      <c r="E5" t="s">
        <v>1295</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1296</v>
      </c>
      <c r="E14" t="s">
        <v>1297</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1307</v>
      </c>
    </row>
    <row r="32" spans="2:6" x14ac:dyDescent="0.2">
      <c r="B32" t="s">
        <v>1308</v>
      </c>
    </row>
    <row r="33" spans="2:2" x14ac:dyDescent="0.2">
      <c r="B33" t="s">
        <v>1309</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1500</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1501</v>
      </c>
    </row>
    <row r="9" spans="1:4" x14ac:dyDescent="0.2">
      <c r="C9" s="134" t="s">
        <v>1503</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1272</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1274</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1703</v>
      </c>
      <c r="C2" t="s">
        <v>1704</v>
      </c>
      <c r="D2" t="s">
        <v>1705</v>
      </c>
      <c r="E2" t="s">
        <v>72</v>
      </c>
      <c r="F2" t="s">
        <v>1357</v>
      </c>
      <c r="G2" t="s">
        <v>1707</v>
      </c>
      <c r="H2" t="s">
        <v>1709</v>
      </c>
    </row>
    <row r="3" spans="1:8" x14ac:dyDescent="0.2">
      <c r="A3" s="116"/>
      <c r="B3" s="76">
        <v>11384122</v>
      </c>
      <c r="C3" t="s">
        <v>1702</v>
      </c>
      <c r="H3">
        <v>1</v>
      </c>
    </row>
    <row r="4" spans="1:8" x14ac:dyDescent="0.2">
      <c r="A4" s="116"/>
      <c r="B4" s="76">
        <v>11384099</v>
      </c>
      <c r="C4" t="s">
        <v>1706</v>
      </c>
      <c r="D4" t="s">
        <v>1708</v>
      </c>
      <c r="E4" s="305">
        <v>43427</v>
      </c>
      <c r="F4" s="305">
        <v>44754</v>
      </c>
      <c r="G4" t="s">
        <v>1710</v>
      </c>
      <c r="H4">
        <v>3</v>
      </c>
    </row>
    <row r="5" spans="1:8" x14ac:dyDescent="0.2">
      <c r="A5" s="116"/>
      <c r="B5" s="76">
        <v>11384075</v>
      </c>
      <c r="C5" t="s">
        <v>1711</v>
      </c>
      <c r="D5" t="s">
        <v>1708</v>
      </c>
      <c r="E5" s="305">
        <v>43277</v>
      </c>
      <c r="F5" s="305">
        <v>44754</v>
      </c>
      <c r="G5" t="s">
        <v>1710</v>
      </c>
      <c r="H5">
        <v>3</v>
      </c>
    </row>
    <row r="6" spans="1:8" x14ac:dyDescent="0.2">
      <c r="A6" s="116"/>
      <c r="B6" s="76">
        <v>11377640</v>
      </c>
      <c r="C6" t="s">
        <v>1712</v>
      </c>
      <c r="E6" s="305"/>
      <c r="F6" s="305"/>
      <c r="H6">
        <v>1</v>
      </c>
    </row>
    <row r="7" spans="1:8" x14ac:dyDescent="0.2">
      <c r="A7" s="116"/>
      <c r="B7" s="76" t="s">
        <v>1713</v>
      </c>
      <c r="C7" t="s">
        <v>1714</v>
      </c>
      <c r="E7" s="305"/>
      <c r="F7" s="305"/>
      <c r="H7">
        <v>1</v>
      </c>
    </row>
    <row r="8" spans="1:8" x14ac:dyDescent="0.2">
      <c r="A8" s="116"/>
      <c r="B8" s="76">
        <v>11369642</v>
      </c>
      <c r="C8" t="s">
        <v>1715</v>
      </c>
      <c r="D8" t="s">
        <v>1716</v>
      </c>
      <c r="E8" s="305">
        <v>43690</v>
      </c>
      <c r="F8" s="305">
        <v>44740</v>
      </c>
      <c r="G8" t="s">
        <v>1717</v>
      </c>
      <c r="H8">
        <v>2</v>
      </c>
    </row>
    <row r="9" spans="1:8" x14ac:dyDescent="0.2">
      <c r="A9" s="116"/>
      <c r="B9" s="76">
        <v>11369612</v>
      </c>
      <c r="C9" t="s">
        <v>1718</v>
      </c>
      <c r="D9" t="s">
        <v>1719</v>
      </c>
      <c r="E9" s="305">
        <v>43438</v>
      </c>
      <c r="F9" s="305">
        <v>44740</v>
      </c>
      <c r="G9" t="s">
        <v>1720</v>
      </c>
      <c r="H9">
        <v>3</v>
      </c>
    </row>
    <row r="10" spans="1:8" x14ac:dyDescent="0.2">
      <c r="A10" s="116"/>
      <c r="B10" s="76">
        <v>11369606</v>
      </c>
      <c r="C10" t="s">
        <v>1721</v>
      </c>
      <c r="D10" t="s">
        <v>1708</v>
      </c>
      <c r="E10" s="305">
        <v>43818</v>
      </c>
      <c r="F10" s="305">
        <v>44740</v>
      </c>
      <c r="G10" t="s">
        <v>1722</v>
      </c>
      <c r="H10">
        <v>3</v>
      </c>
    </row>
    <row r="11" spans="1:8" x14ac:dyDescent="0.2">
      <c r="A11" s="116"/>
      <c r="B11" s="76">
        <v>11365244</v>
      </c>
      <c r="C11" t="s">
        <v>1723</v>
      </c>
      <c r="D11" t="s">
        <v>1716</v>
      </c>
      <c r="E11" s="305">
        <v>44049</v>
      </c>
      <c r="F11" s="305">
        <v>44733</v>
      </c>
      <c r="G11" t="s">
        <v>1724</v>
      </c>
      <c r="H11">
        <v>4</v>
      </c>
    </row>
    <row r="12" spans="1:8" x14ac:dyDescent="0.2">
      <c r="A12" s="116"/>
      <c r="B12" s="76">
        <v>11365222</v>
      </c>
      <c r="C12" t="s">
        <v>1725</v>
      </c>
      <c r="D12" t="s">
        <v>1726</v>
      </c>
      <c r="E12" s="305">
        <v>44056</v>
      </c>
      <c r="F12" s="305">
        <v>44733</v>
      </c>
      <c r="G12" t="s">
        <v>1727</v>
      </c>
      <c r="H12">
        <v>3</v>
      </c>
    </row>
    <row r="13" spans="1:8" x14ac:dyDescent="0.2">
      <c r="A13" s="116"/>
      <c r="B13" s="76">
        <v>11364310</v>
      </c>
      <c r="C13" t="s">
        <v>1728</v>
      </c>
      <c r="D13" t="s">
        <v>1729</v>
      </c>
      <c r="E13" s="305">
        <v>42950</v>
      </c>
      <c r="F13" s="305">
        <v>44733</v>
      </c>
      <c r="H13">
        <v>2</v>
      </c>
    </row>
    <row r="14" spans="1:8" x14ac:dyDescent="0.2">
      <c r="A14" s="116"/>
      <c r="B14" s="76">
        <v>11359029</v>
      </c>
      <c r="C14" t="s">
        <v>1730</v>
      </c>
      <c r="D14" t="s">
        <v>1731</v>
      </c>
      <c r="E14" s="305">
        <v>43927</v>
      </c>
      <c r="F14" s="305">
        <v>44726</v>
      </c>
      <c r="G14" t="s">
        <v>1732</v>
      </c>
      <c r="H14">
        <v>4</v>
      </c>
    </row>
    <row r="15" spans="1:8" x14ac:dyDescent="0.2">
      <c r="A15" s="116"/>
      <c r="B15" s="76">
        <v>11345739</v>
      </c>
      <c r="C15" t="s">
        <v>1733</v>
      </c>
      <c r="E15" s="305"/>
      <c r="F15" s="305"/>
    </row>
    <row r="16" spans="1:8" x14ac:dyDescent="0.2">
      <c r="B16" s="76">
        <v>8785605</v>
      </c>
      <c r="C16" t="s">
        <v>1632</v>
      </c>
    </row>
    <row r="17" spans="2:3" x14ac:dyDescent="0.2">
      <c r="B17" s="76">
        <v>8785486</v>
      </c>
      <c r="C17" t="s">
        <v>1633</v>
      </c>
    </row>
    <row r="18" spans="2:3" x14ac:dyDescent="0.2">
      <c r="B18" s="76">
        <v>8784810</v>
      </c>
      <c r="C18" t="s">
        <v>1634</v>
      </c>
    </row>
    <row r="19" spans="2:3" x14ac:dyDescent="0.2">
      <c r="B19" s="76">
        <v>8779158</v>
      </c>
      <c r="C19" t="s">
        <v>1635</v>
      </c>
    </row>
    <row r="20" spans="2:3" x14ac:dyDescent="0.2">
      <c r="B20" s="76">
        <v>8778966</v>
      </c>
      <c r="C20" t="s">
        <v>1636</v>
      </c>
    </row>
    <row r="21" spans="2:3" x14ac:dyDescent="0.2">
      <c r="B21" s="76">
        <v>8778956</v>
      </c>
      <c r="C21" t="s">
        <v>1637</v>
      </c>
    </row>
    <row r="22" spans="2:3" x14ac:dyDescent="0.2">
      <c r="B22" s="76">
        <v>8778920</v>
      </c>
      <c r="C22" t="s">
        <v>1638</v>
      </c>
    </row>
    <row r="23" spans="2:3" x14ac:dyDescent="0.2">
      <c r="B23" s="76">
        <v>8778919</v>
      </c>
      <c r="C23" t="s">
        <v>1639</v>
      </c>
    </row>
    <row r="24" spans="2:3" x14ac:dyDescent="0.2">
      <c r="B24" s="76">
        <v>8772504</v>
      </c>
      <c r="C24" t="s">
        <v>1640</v>
      </c>
    </row>
    <row r="25" spans="2:3" x14ac:dyDescent="0.2">
      <c r="B25" s="76">
        <v>8772494</v>
      </c>
      <c r="C25" t="s">
        <v>1641</v>
      </c>
    </row>
    <row r="26" spans="2:3" x14ac:dyDescent="0.2">
      <c r="B26" s="76">
        <v>8772325</v>
      </c>
      <c r="C26" t="s">
        <v>1642</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1694</v>
      </c>
      <c r="C2" t="s">
        <v>1275</v>
      </c>
      <c r="D2" t="s">
        <v>1695</v>
      </c>
      <c r="E2" t="s">
        <v>159</v>
      </c>
      <c r="F2" t="s">
        <v>1696</v>
      </c>
      <c r="G2" t="s">
        <v>768</v>
      </c>
      <c r="H2" t="s">
        <v>321</v>
      </c>
      <c r="I2" t="s">
        <v>1776</v>
      </c>
      <c r="J2" t="s">
        <v>495</v>
      </c>
      <c r="K2" t="s">
        <v>316</v>
      </c>
    </row>
    <row r="3" spans="1:11" x14ac:dyDescent="0.2">
      <c r="B3" t="s">
        <v>1762</v>
      </c>
      <c r="C3" t="s">
        <v>1538</v>
      </c>
      <c r="D3" t="s">
        <v>1611</v>
      </c>
      <c r="E3" t="s">
        <v>194</v>
      </c>
      <c r="F3" t="s">
        <v>770</v>
      </c>
      <c r="G3" t="s">
        <v>1701</v>
      </c>
      <c r="J3" t="s">
        <v>168</v>
      </c>
    </row>
    <row r="4" spans="1:11" x14ac:dyDescent="0.2">
      <c r="B4" t="s">
        <v>12</v>
      </c>
      <c r="D4" s="320"/>
      <c r="E4" t="s">
        <v>1751</v>
      </c>
      <c r="F4" t="s">
        <v>14</v>
      </c>
      <c r="G4" t="s">
        <v>17</v>
      </c>
      <c r="H4" s="320" t="s">
        <v>16</v>
      </c>
      <c r="I4" t="s">
        <v>13</v>
      </c>
      <c r="J4" t="s">
        <v>168</v>
      </c>
    </row>
    <row r="5" spans="1:11" x14ac:dyDescent="0.2">
      <c r="B5" t="s">
        <v>1054</v>
      </c>
      <c r="H5" t="s">
        <v>1775</v>
      </c>
      <c r="I5" t="s">
        <v>1056</v>
      </c>
    </row>
    <row r="6" spans="1:11" x14ac:dyDescent="0.2">
      <c r="B6" t="s">
        <v>1734</v>
      </c>
      <c r="C6" t="s">
        <v>1586</v>
      </c>
      <c r="D6" t="s">
        <v>1735</v>
      </c>
      <c r="E6" t="s">
        <v>1737</v>
      </c>
      <c r="G6" t="s">
        <v>1736</v>
      </c>
    </row>
    <row r="7" spans="1:11" x14ac:dyDescent="0.2">
      <c r="B7" t="s">
        <v>184</v>
      </c>
      <c r="C7" t="s">
        <v>1790</v>
      </c>
      <c r="D7" t="s">
        <v>1782</v>
      </c>
      <c r="E7" t="s">
        <v>169</v>
      </c>
      <c r="F7" t="s">
        <v>1275</v>
      </c>
    </row>
    <row r="8" spans="1:11" x14ac:dyDescent="0.2">
      <c r="B8" t="s">
        <v>1617</v>
      </c>
      <c r="C8" t="s">
        <v>836</v>
      </c>
      <c r="D8" t="s">
        <v>837</v>
      </c>
      <c r="E8" t="s">
        <v>1549</v>
      </c>
    </row>
    <row r="9" spans="1:11" x14ac:dyDescent="0.2">
      <c r="B9" t="s">
        <v>1600</v>
      </c>
      <c r="C9" t="s">
        <v>1596</v>
      </c>
      <c r="E9" t="s">
        <v>186</v>
      </c>
      <c r="F9" t="s">
        <v>1777</v>
      </c>
      <c r="H9" s="253"/>
    </row>
    <row r="10" spans="1:11" x14ac:dyDescent="0.2">
      <c r="B10" t="s">
        <v>166</v>
      </c>
      <c r="D10" t="s">
        <v>25</v>
      </c>
      <c r="E10" t="s">
        <v>167</v>
      </c>
      <c r="H10" s="253"/>
    </row>
    <row r="11" spans="1:11" x14ac:dyDescent="0.2">
      <c r="B11" t="s">
        <v>524</v>
      </c>
      <c r="C11" t="s">
        <v>525</v>
      </c>
      <c r="D11" s="320" t="s">
        <v>1782</v>
      </c>
      <c r="E11" t="s">
        <v>547</v>
      </c>
      <c r="F11" t="s">
        <v>1275</v>
      </c>
      <c r="G11" s="3">
        <v>1</v>
      </c>
      <c r="H11">
        <v>1993</v>
      </c>
      <c r="J11" t="s">
        <v>170</v>
      </c>
    </row>
    <row r="12" spans="1:11" x14ac:dyDescent="0.2">
      <c r="B12" t="s">
        <v>1590</v>
      </c>
      <c r="C12" t="s">
        <v>950</v>
      </c>
      <c r="D12" t="s">
        <v>1738</v>
      </c>
      <c r="E12" t="s">
        <v>1620</v>
      </c>
    </row>
    <row r="13" spans="1:11" x14ac:dyDescent="0.2">
      <c r="B13" t="s">
        <v>1746</v>
      </c>
      <c r="C13" t="s">
        <v>1745</v>
      </c>
      <c r="D13" s="254" t="s">
        <v>240</v>
      </c>
      <c r="E13" t="s">
        <v>1743</v>
      </c>
    </row>
    <row r="14" spans="1:11" x14ac:dyDescent="0.2">
      <c r="B14" t="s">
        <v>1593</v>
      </c>
      <c r="C14" t="s">
        <v>1170</v>
      </c>
      <c r="E14" t="s">
        <v>1612</v>
      </c>
    </row>
    <row r="15" spans="1:11" x14ac:dyDescent="0.2">
      <c r="B15" t="s">
        <v>1755</v>
      </c>
      <c r="C15" t="s">
        <v>1581</v>
      </c>
      <c r="D15" t="s">
        <v>1756</v>
      </c>
      <c r="E15" t="s">
        <v>1757</v>
      </c>
      <c r="F15" t="s">
        <v>1778</v>
      </c>
    </row>
    <row r="16" spans="1:11" x14ac:dyDescent="0.2">
      <c r="B16" t="s">
        <v>1860</v>
      </c>
      <c r="C16" t="s">
        <v>1856</v>
      </c>
      <c r="D16" t="s">
        <v>1857</v>
      </c>
      <c r="E16" t="s">
        <v>194</v>
      </c>
    </row>
    <row r="17" spans="2:9" x14ac:dyDescent="0.2">
      <c r="B17" t="s">
        <v>1826</v>
      </c>
      <c r="C17" t="s">
        <v>1575</v>
      </c>
      <c r="D17" t="s">
        <v>1548</v>
      </c>
      <c r="E17" t="s">
        <v>1547</v>
      </c>
    </row>
    <row r="18" spans="2:9" x14ac:dyDescent="0.2">
      <c r="B18" t="s">
        <v>1584</v>
      </c>
      <c r="C18" t="s">
        <v>1265</v>
      </c>
      <c r="E18" t="s">
        <v>1619</v>
      </c>
    </row>
    <row r="19" spans="2:9" x14ac:dyDescent="0.2">
      <c r="B19" t="s">
        <v>1618</v>
      </c>
      <c r="C19" t="s">
        <v>1322</v>
      </c>
      <c r="E19" t="s">
        <v>1587</v>
      </c>
      <c r="F19" t="s">
        <v>1275</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1483</v>
      </c>
      <c r="C35" t="s">
        <v>196</v>
      </c>
      <c r="D35" s="254" t="s">
        <v>197</v>
      </c>
      <c r="E35" s="254" t="s">
        <v>198</v>
      </c>
      <c r="F35" s="254" t="s">
        <v>170</v>
      </c>
      <c r="G35" t="s">
        <v>1484</v>
      </c>
      <c r="I35" s="313" t="s">
        <v>23</v>
      </c>
    </row>
    <row r="36" spans="2:11" x14ac:dyDescent="0.2">
      <c r="B36" s="322" t="s">
        <v>241</v>
      </c>
      <c r="C36" t="s">
        <v>1544</v>
      </c>
      <c r="D36" s="254"/>
      <c r="E36" s="277" t="s">
        <v>1342</v>
      </c>
      <c r="F36" s="254" t="s">
        <v>170</v>
      </c>
      <c r="H36" s="254">
        <v>2001</v>
      </c>
      <c r="I36" s="254" t="s">
        <v>22</v>
      </c>
    </row>
    <row r="37" spans="2:11" x14ac:dyDescent="0.2">
      <c r="B37" s="2" t="s">
        <v>1502</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1622</v>
      </c>
      <c r="C43" t="s">
        <v>196</v>
      </c>
      <c r="D43" s="254" t="s">
        <v>197</v>
      </c>
      <c r="E43" s="277" t="s">
        <v>259</v>
      </c>
      <c r="F43" s="254" t="s">
        <v>170</v>
      </c>
      <c r="G43" t="s">
        <v>1623</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1776</v>
      </c>
      <c r="J45" t="s">
        <v>495</v>
      </c>
      <c r="K45" t="s">
        <v>316</v>
      </c>
    </row>
    <row r="46" spans="2:11" x14ac:dyDescent="0.2">
      <c r="B46" t="s">
        <v>1610</v>
      </c>
    </row>
    <row r="47" spans="2:11" x14ac:dyDescent="0.2">
      <c r="B47" t="s">
        <v>1601</v>
      </c>
      <c r="C47" t="s">
        <v>1580</v>
      </c>
      <c r="D47" t="s">
        <v>1606</v>
      </c>
      <c r="E47" t="s">
        <v>1698</v>
      </c>
      <c r="F47" t="s">
        <v>1697</v>
      </c>
      <c r="G47" t="s">
        <v>1542</v>
      </c>
    </row>
    <row r="48" spans="2:11" x14ac:dyDescent="0.2">
      <c r="B48" t="s">
        <v>1592</v>
      </c>
    </row>
    <row r="49" spans="2:11" x14ac:dyDescent="0.2">
      <c r="B49" t="s">
        <v>1598</v>
      </c>
    </row>
    <row r="50" spans="2:11" x14ac:dyDescent="0.2">
      <c r="D50" t="s">
        <v>1606</v>
      </c>
      <c r="E50" t="s">
        <v>194</v>
      </c>
    </row>
    <row r="51" spans="2:11" x14ac:dyDescent="0.2">
      <c r="B51" t="s">
        <v>1591</v>
      </c>
      <c r="E51" t="s">
        <v>1604</v>
      </c>
    </row>
    <row r="52" spans="2:11" x14ac:dyDescent="0.2">
      <c r="B52" t="s">
        <v>1699</v>
      </c>
      <c r="C52" t="s">
        <v>1700</v>
      </c>
      <c r="D52" t="s">
        <v>1748</v>
      </c>
      <c r="E52" t="s">
        <v>1747</v>
      </c>
      <c r="G52" s="321"/>
      <c r="H52" s="254"/>
      <c r="I52" s="254"/>
    </row>
    <row r="53" spans="2:11" x14ac:dyDescent="0.2">
      <c r="B53" t="s">
        <v>1749</v>
      </c>
      <c r="C53" t="s">
        <v>1750</v>
      </c>
      <c r="D53" t="s">
        <v>1752</v>
      </c>
      <c r="E53" t="s">
        <v>1751</v>
      </c>
      <c r="G53" s="321"/>
      <c r="H53" s="254"/>
      <c r="I53" s="254"/>
    </row>
    <row r="54" spans="2:11" x14ac:dyDescent="0.2">
      <c r="B54" t="s">
        <v>1302</v>
      </c>
    </row>
    <row r="55" spans="2:11" x14ac:dyDescent="0.2">
      <c r="B55" t="s">
        <v>242</v>
      </c>
      <c r="D55" t="s">
        <v>1780</v>
      </c>
      <c r="E55" t="s">
        <v>1781</v>
      </c>
      <c r="J55" t="s">
        <v>1562</v>
      </c>
    </row>
    <row r="56" spans="2:11" x14ac:dyDescent="0.2">
      <c r="B56" t="s">
        <v>250</v>
      </c>
      <c r="D56" t="s">
        <v>251</v>
      </c>
      <c r="E56" t="s">
        <v>1824</v>
      </c>
      <c r="H56" t="s">
        <v>212</v>
      </c>
      <c r="J56" t="s">
        <v>170</v>
      </c>
    </row>
    <row r="57" spans="2:11" x14ac:dyDescent="0.2">
      <c r="B57" t="s">
        <v>1565</v>
      </c>
      <c r="E57" t="s">
        <v>1566</v>
      </c>
    </row>
    <row r="58" spans="2:11" x14ac:dyDescent="0.2">
      <c r="B58" t="s">
        <v>317</v>
      </c>
      <c r="D58" t="s">
        <v>1829</v>
      </c>
      <c r="E58" t="s">
        <v>1830</v>
      </c>
    </row>
    <row r="59" spans="2:11" x14ac:dyDescent="0.2">
      <c r="B59" t="s">
        <v>235</v>
      </c>
    </row>
    <row r="60" spans="2:11" x14ac:dyDescent="0.2">
      <c r="B60" t="s">
        <v>1608</v>
      </c>
      <c r="D60" t="s">
        <v>833</v>
      </c>
    </row>
    <row r="61" spans="2:11" x14ac:dyDescent="0.2">
      <c r="B61" t="s">
        <v>1429</v>
      </c>
      <c r="D61" t="s">
        <v>1559</v>
      </c>
      <c r="E61" t="s">
        <v>1784</v>
      </c>
      <c r="F61" t="s">
        <v>1697</v>
      </c>
      <c r="G61" t="s">
        <v>709</v>
      </c>
      <c r="H61" t="s">
        <v>212</v>
      </c>
      <c r="J61" t="s">
        <v>170</v>
      </c>
      <c r="K61" t="s">
        <v>1783</v>
      </c>
    </row>
    <row r="62" spans="2:11" x14ac:dyDescent="0.2">
      <c r="B62" t="s">
        <v>1599</v>
      </c>
    </row>
    <row r="63" spans="2:11" x14ac:dyDescent="0.2">
      <c r="B63" t="s">
        <v>1615</v>
      </c>
    </row>
    <row r="64" spans="2:11" x14ac:dyDescent="0.2">
      <c r="B64" t="s">
        <v>239</v>
      </c>
      <c r="C64" t="s">
        <v>169</v>
      </c>
      <c r="D64" t="s">
        <v>1825</v>
      </c>
      <c r="E64" t="s">
        <v>169</v>
      </c>
    </row>
    <row r="65" spans="2:6" x14ac:dyDescent="0.2">
      <c r="B65" t="s">
        <v>1585</v>
      </c>
      <c r="E65" t="s">
        <v>1589</v>
      </c>
    </row>
    <row r="66" spans="2:6" x14ac:dyDescent="0.2">
      <c r="B66" t="s">
        <v>1432</v>
      </c>
    </row>
    <row r="67" spans="2:6" x14ac:dyDescent="0.2">
      <c r="B67" t="s">
        <v>1572</v>
      </c>
      <c r="E67" t="s">
        <v>1573</v>
      </c>
    </row>
    <row r="68" spans="2:6" x14ac:dyDescent="0.2">
      <c r="B68" t="s">
        <v>1321</v>
      </c>
      <c r="D68" t="s">
        <v>1771</v>
      </c>
      <c r="E68" t="s">
        <v>1770</v>
      </c>
    </row>
    <row r="69" spans="2:6" x14ac:dyDescent="0.2">
      <c r="B69" t="s">
        <v>1567</v>
      </c>
    </row>
    <row r="70" spans="2:6" x14ac:dyDescent="0.2">
      <c r="B70" t="s">
        <v>1330</v>
      </c>
      <c r="E70" t="s">
        <v>1597</v>
      </c>
    </row>
    <row r="71" spans="2:6" x14ac:dyDescent="0.2">
      <c r="B71" t="s">
        <v>1430</v>
      </c>
      <c r="D71" t="s">
        <v>1574</v>
      </c>
      <c r="E71" t="s">
        <v>1583</v>
      </c>
    </row>
    <row r="72" spans="2:6" x14ac:dyDescent="0.2">
      <c r="B72" t="s">
        <v>1605</v>
      </c>
      <c r="E72" t="s">
        <v>1614</v>
      </c>
    </row>
    <row r="73" spans="2:6" x14ac:dyDescent="0.2">
      <c r="B73" t="s">
        <v>1571</v>
      </c>
    </row>
    <row r="74" spans="2:6" x14ac:dyDescent="0.2">
      <c r="B74" t="s">
        <v>1595</v>
      </c>
      <c r="E74" t="s">
        <v>237</v>
      </c>
    </row>
    <row r="75" spans="2:6" x14ac:dyDescent="0.2">
      <c r="B75" t="s">
        <v>1616</v>
      </c>
      <c r="E75" t="s">
        <v>318</v>
      </c>
    </row>
    <row r="76" spans="2:6" x14ac:dyDescent="0.2">
      <c r="B76" t="s">
        <v>1607</v>
      </c>
      <c r="E76" t="s">
        <v>1604</v>
      </c>
    </row>
    <row r="77" spans="2:6" x14ac:dyDescent="0.2">
      <c r="B77" t="s">
        <v>1603</v>
      </c>
      <c r="E77" t="s">
        <v>1428</v>
      </c>
    </row>
    <row r="78" spans="2:6" x14ac:dyDescent="0.2">
      <c r="B78" t="s">
        <v>1764</v>
      </c>
      <c r="C78" t="s">
        <v>1761</v>
      </c>
      <c r="D78" t="s">
        <v>1765</v>
      </c>
      <c r="E78" t="s">
        <v>1613</v>
      </c>
      <c r="F78" t="s">
        <v>1766</v>
      </c>
    </row>
    <row r="79" spans="2:6" x14ac:dyDescent="0.2">
      <c r="B79" t="s">
        <v>1553</v>
      </c>
      <c r="C79" t="s">
        <v>1827</v>
      </c>
      <c r="D79" t="s">
        <v>1828</v>
      </c>
      <c r="E79" t="s">
        <v>1544</v>
      </c>
    </row>
    <row r="80" spans="2:6" x14ac:dyDescent="0.2">
      <c r="B80" t="s">
        <v>1609</v>
      </c>
    </row>
    <row r="81" spans="2:7" x14ac:dyDescent="0.2">
      <c r="B81" t="s">
        <v>1763</v>
      </c>
      <c r="C81" t="s">
        <v>1602</v>
      </c>
    </row>
    <row r="82" spans="2:7" x14ac:dyDescent="0.2">
      <c r="B82" t="s">
        <v>1576</v>
      </c>
      <c r="C82" t="s">
        <v>1577</v>
      </c>
    </row>
    <row r="83" spans="2:7" x14ac:dyDescent="0.2">
      <c r="B83" t="s">
        <v>1578</v>
      </c>
      <c r="D83" t="s">
        <v>1579</v>
      </c>
    </row>
    <row r="84" spans="2:7" x14ac:dyDescent="0.2">
      <c r="B84" t="s">
        <v>224</v>
      </c>
      <c r="E84" t="s">
        <v>214</v>
      </c>
    </row>
    <row r="85" spans="2:7" x14ac:dyDescent="0.2">
      <c r="B85" t="s">
        <v>1588</v>
      </c>
    </row>
    <row r="86" spans="2:7" x14ac:dyDescent="0.2">
      <c r="B86" t="s">
        <v>244</v>
      </c>
      <c r="E86" t="s">
        <v>245</v>
      </c>
    </row>
    <row r="87" spans="2:7" x14ac:dyDescent="0.2">
      <c r="C87" t="s">
        <v>1543</v>
      </c>
      <c r="E87" t="s">
        <v>1544</v>
      </c>
      <c r="G87" t="s">
        <v>172</v>
      </c>
    </row>
    <row r="88" spans="2:7" x14ac:dyDescent="0.2">
      <c r="C88" t="s">
        <v>1581</v>
      </c>
      <c r="E88" t="s">
        <v>1582</v>
      </c>
    </row>
    <row r="89" spans="2:7" x14ac:dyDescent="0.2">
      <c r="C89" t="s">
        <v>1594</v>
      </c>
      <c r="E89" t="s">
        <v>1621</v>
      </c>
    </row>
    <row r="91" spans="2:7" x14ac:dyDescent="0.2">
      <c r="B91" t="s">
        <v>1231</v>
      </c>
    </row>
    <row r="92" spans="2:7" x14ac:dyDescent="0.2">
      <c r="B92" t="s">
        <v>1232</v>
      </c>
    </row>
    <row r="93" spans="2:7" x14ac:dyDescent="0.2">
      <c r="B93" t="s">
        <v>1233</v>
      </c>
    </row>
    <row r="94" spans="2:7" x14ac:dyDescent="0.2">
      <c r="B94" t="s">
        <v>1302</v>
      </c>
    </row>
    <row r="95" spans="2:7" x14ac:dyDescent="0.2">
      <c r="B95" t="s">
        <v>1335</v>
      </c>
    </row>
    <row r="96" spans="2:7" x14ac:dyDescent="0.2">
      <c r="B96" t="s">
        <v>1336</v>
      </c>
    </row>
    <row r="97" spans="2:7" x14ac:dyDescent="0.2">
      <c r="B97" t="s">
        <v>1337</v>
      </c>
    </row>
    <row r="98" spans="2:7" x14ac:dyDescent="0.2">
      <c r="B98" t="s">
        <v>1338</v>
      </c>
    </row>
    <row r="99" spans="2:7" x14ac:dyDescent="0.2">
      <c r="B99" s="310" t="s">
        <v>1758</v>
      </c>
      <c r="C99" s="254"/>
      <c r="D99" s="254" t="s">
        <v>1759</v>
      </c>
      <c r="E99" s="254" t="s">
        <v>1760</v>
      </c>
      <c r="F99" s="254" t="s">
        <v>170</v>
      </c>
      <c r="G99" s="330" t="s">
        <v>709</v>
      </c>
    </row>
    <row r="100" spans="2:7" x14ac:dyDescent="0.2">
      <c r="B100" s="310" t="s">
        <v>1767</v>
      </c>
      <c r="C100" s="254" t="s">
        <v>1768</v>
      </c>
      <c r="D100" s="254"/>
      <c r="E100" s="254" t="s">
        <v>212</v>
      </c>
      <c r="F100" s="254"/>
      <c r="G100" s="330" t="s">
        <v>1769</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56"/>
  <sheetViews>
    <sheetView tabSelected="1" zoomScale="130" zoomScaleNormal="130" workbookViewId="0"/>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4" width="7.42578125" customWidth="1"/>
    <col min="15" max="15" width="11.4257812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3" t="s">
        <v>770</v>
      </c>
      <c r="H2" s="328" t="s">
        <v>163</v>
      </c>
      <c r="I2" s="306" t="s">
        <v>158</v>
      </c>
      <c r="J2" s="307" t="s">
        <v>159</v>
      </c>
      <c r="K2" s="307" t="s">
        <v>160</v>
      </c>
      <c r="L2" s="307" t="s">
        <v>164</v>
      </c>
      <c r="M2" s="307" t="s">
        <v>162</v>
      </c>
      <c r="N2" s="307" t="s">
        <v>165</v>
      </c>
      <c r="O2" s="328" t="s">
        <v>161</v>
      </c>
      <c r="Q2" t="s">
        <v>155</v>
      </c>
      <c r="R2" s="292">
        <v>165</v>
      </c>
      <c r="S2" s="254"/>
    </row>
    <row r="3" spans="2:22" x14ac:dyDescent="0.2">
      <c r="B3" s="308" t="s">
        <v>530</v>
      </c>
      <c r="C3" t="s">
        <v>177</v>
      </c>
      <c r="D3" s="254" t="s">
        <v>1787</v>
      </c>
      <c r="E3" s="254" t="s">
        <v>1420</v>
      </c>
      <c r="F3" s="254" t="s">
        <v>398</v>
      </c>
      <c r="G3" s="163">
        <v>40081</v>
      </c>
      <c r="H3" s="324" t="s">
        <v>1942</v>
      </c>
      <c r="I3" s="310" t="s">
        <v>1753</v>
      </c>
      <c r="J3" s="254" t="s">
        <v>1754</v>
      </c>
      <c r="K3" s="254"/>
      <c r="L3" s="254"/>
      <c r="M3" s="254"/>
      <c r="N3" t="s">
        <v>1964</v>
      </c>
      <c r="O3" s="330" t="s">
        <v>1769</v>
      </c>
      <c r="Q3" t="s">
        <v>260</v>
      </c>
      <c r="R3" s="79">
        <v>2422</v>
      </c>
      <c r="S3" s="76" t="s">
        <v>1895</v>
      </c>
    </row>
    <row r="4" spans="2:22" x14ac:dyDescent="0.2">
      <c r="B4" s="311" t="s">
        <v>1675</v>
      </c>
      <c r="C4" t="s">
        <v>194</v>
      </c>
      <c r="D4" s="254" t="s">
        <v>1788</v>
      </c>
      <c r="E4" s="277" t="s">
        <v>1779</v>
      </c>
      <c r="F4" s="254" t="s">
        <v>168</v>
      </c>
      <c r="G4" s="163">
        <v>42324</v>
      </c>
      <c r="H4" s="312" t="s">
        <v>957</v>
      </c>
      <c r="I4" s="310" t="s">
        <v>1899</v>
      </c>
      <c r="J4" s="254" t="s">
        <v>1957</v>
      </c>
      <c r="K4" s="254" t="s">
        <v>1901</v>
      </c>
      <c r="L4" s="254" t="s">
        <v>1760</v>
      </c>
      <c r="M4" s="254"/>
      <c r="N4" s="254"/>
      <c r="O4" s="330"/>
      <c r="Q4" t="s">
        <v>262</v>
      </c>
      <c r="R4" s="79">
        <f>R3*R2</f>
        <v>399630</v>
      </c>
      <c r="S4" s="254"/>
    </row>
    <row r="5" spans="2:22" x14ac:dyDescent="0.2">
      <c r="B5" s="308" t="s">
        <v>1858</v>
      </c>
      <c r="C5" t="s">
        <v>194</v>
      </c>
      <c r="D5" s="254" t="s">
        <v>1859</v>
      </c>
      <c r="E5" s="277" t="s">
        <v>1779</v>
      </c>
      <c r="F5" s="254" t="s">
        <v>398</v>
      </c>
      <c r="H5" s="312" t="s">
        <v>957</v>
      </c>
      <c r="I5" s="310" t="s">
        <v>1917</v>
      </c>
      <c r="J5" s="254" t="s">
        <v>1918</v>
      </c>
      <c r="K5" s="254"/>
      <c r="L5" s="254" t="s">
        <v>212</v>
      </c>
      <c r="M5" s="254"/>
      <c r="N5" s="254"/>
      <c r="O5" s="330"/>
      <c r="Q5" t="s">
        <v>157</v>
      </c>
      <c r="R5" s="79">
        <v>25475</v>
      </c>
      <c r="S5" s="76" t="s">
        <v>1895</v>
      </c>
    </row>
    <row r="6" spans="2:22" x14ac:dyDescent="0.2">
      <c r="B6" s="325" t="s">
        <v>1907</v>
      </c>
      <c r="C6" t="s">
        <v>194</v>
      </c>
      <c r="D6" s="254" t="s">
        <v>1905</v>
      </c>
      <c r="E6" s="277" t="s">
        <v>1904</v>
      </c>
      <c r="F6" s="254" t="s">
        <v>168</v>
      </c>
      <c r="G6" s="76"/>
      <c r="H6" s="312"/>
      <c r="I6" s="310" t="s">
        <v>1885</v>
      </c>
      <c r="J6" s="254" t="s">
        <v>255</v>
      </c>
      <c r="K6" s="254" t="s">
        <v>1886</v>
      </c>
      <c r="L6" s="254" t="s">
        <v>212</v>
      </c>
      <c r="M6" s="254" t="s">
        <v>170</v>
      </c>
      <c r="N6" s="254"/>
      <c r="O6" s="330"/>
      <c r="Q6" t="s">
        <v>263</v>
      </c>
      <c r="R6" s="79">
        <f>9855+31636</f>
        <v>41491</v>
      </c>
      <c r="S6" s="76" t="s">
        <v>1895</v>
      </c>
    </row>
    <row r="7" spans="2:22" x14ac:dyDescent="0.2">
      <c r="B7" s="311" t="s">
        <v>838</v>
      </c>
      <c r="C7" t="s">
        <v>169</v>
      </c>
      <c r="D7" s="254" t="s">
        <v>1782</v>
      </c>
      <c r="E7" s="277" t="s">
        <v>172</v>
      </c>
      <c r="F7" s="277" t="s">
        <v>1270</v>
      </c>
      <c r="G7" s="76"/>
      <c r="H7" s="312" t="s">
        <v>1271</v>
      </c>
      <c r="I7" s="310" t="s">
        <v>1910</v>
      </c>
      <c r="J7" s="254" t="s">
        <v>245</v>
      </c>
      <c r="K7" s="254" t="s">
        <v>1911</v>
      </c>
      <c r="L7" s="337"/>
      <c r="M7" s="337"/>
      <c r="N7" s="337"/>
      <c r="O7" s="331"/>
      <c r="Q7" t="s">
        <v>264</v>
      </c>
      <c r="R7" s="79">
        <f>R4-R5+R6</f>
        <v>415646</v>
      </c>
      <c r="S7" s="254"/>
    </row>
    <row r="8" spans="2:22" x14ac:dyDescent="0.2">
      <c r="B8" s="311" t="s">
        <v>191</v>
      </c>
      <c r="C8" t="s">
        <v>1419</v>
      </c>
      <c r="D8" s="254" t="s">
        <v>192</v>
      </c>
      <c r="E8" s="277" t="s">
        <v>1482</v>
      </c>
      <c r="F8" s="254" t="s">
        <v>170</v>
      </c>
      <c r="G8" s="76">
        <v>2011</v>
      </c>
      <c r="H8" s="312"/>
      <c r="I8" s="310" t="s">
        <v>1912</v>
      </c>
      <c r="J8" s="254" t="s">
        <v>1587</v>
      </c>
      <c r="K8" s="254" t="s">
        <v>1913</v>
      </c>
      <c r="L8" s="254" t="s">
        <v>238</v>
      </c>
      <c r="M8" s="338"/>
      <c r="N8" s="338"/>
      <c r="O8" s="332"/>
      <c r="S8" s="254"/>
    </row>
    <row r="9" spans="2:22" x14ac:dyDescent="0.2">
      <c r="B9" s="311" t="s">
        <v>1561</v>
      </c>
      <c r="C9" t="s">
        <v>1844</v>
      </c>
      <c r="D9" s="254" t="s">
        <v>1735</v>
      </c>
      <c r="E9" s="277" t="s">
        <v>1791</v>
      </c>
      <c r="F9" s="277" t="s">
        <v>170</v>
      </c>
      <c r="G9" s="76">
        <v>2013</v>
      </c>
      <c r="H9" s="312"/>
      <c r="I9" s="310" t="s">
        <v>1914</v>
      </c>
      <c r="J9" s="254" t="s">
        <v>1587</v>
      </c>
      <c r="K9" s="254" t="s">
        <v>1915</v>
      </c>
      <c r="L9" s="254"/>
      <c r="M9" s="254"/>
      <c r="N9" s="254"/>
      <c r="O9" s="330"/>
      <c r="R9" s="292"/>
      <c r="S9" s="254"/>
    </row>
    <row r="10" spans="2:22" x14ac:dyDescent="0.2">
      <c r="B10" s="311" t="s">
        <v>178</v>
      </c>
      <c r="C10" t="s">
        <v>179</v>
      </c>
      <c r="D10" s="254" t="s">
        <v>1789</v>
      </c>
      <c r="E10" s="277" t="s">
        <v>1478</v>
      </c>
      <c r="F10" s="277" t="s">
        <v>168</v>
      </c>
      <c r="G10" s="163">
        <v>36031</v>
      </c>
      <c r="H10" s="312" t="s">
        <v>957</v>
      </c>
      <c r="I10" s="310" t="s">
        <v>1916</v>
      </c>
      <c r="J10" s="254" t="s">
        <v>1919</v>
      </c>
      <c r="L10" s="254" t="s">
        <v>1760</v>
      </c>
      <c r="O10" s="309"/>
      <c r="Q10" t="s">
        <v>1865</v>
      </c>
      <c r="R10" s="3"/>
      <c r="S10" s="254"/>
    </row>
    <row r="11" spans="2:22" x14ac:dyDescent="0.2">
      <c r="B11" s="311" t="s">
        <v>729</v>
      </c>
      <c r="C11" t="s">
        <v>623</v>
      </c>
      <c r="D11" s="254" t="s">
        <v>1789</v>
      </c>
      <c r="E11" s="277" t="s">
        <v>1479</v>
      </c>
      <c r="F11" s="254" t="s">
        <v>398</v>
      </c>
      <c r="G11" s="163">
        <v>39927</v>
      </c>
      <c r="H11" s="312" t="s">
        <v>957</v>
      </c>
      <c r="I11" s="310" t="s">
        <v>1920</v>
      </c>
      <c r="J11" s="254" t="s">
        <v>1932</v>
      </c>
      <c r="K11" s="254" t="s">
        <v>1931</v>
      </c>
      <c r="O11" s="309"/>
      <c r="Q11" t="s">
        <v>1868</v>
      </c>
      <c r="S11" s="254"/>
      <c r="T11" s="254"/>
      <c r="U11" s="254"/>
      <c r="V11" s="254"/>
    </row>
    <row r="12" spans="2:22" x14ac:dyDescent="0.2">
      <c r="B12" s="325" t="s">
        <v>1685</v>
      </c>
      <c r="C12" t="s">
        <v>177</v>
      </c>
      <c r="D12" s="254" t="s">
        <v>1548</v>
      </c>
      <c r="E12" s="277">
        <v>1</v>
      </c>
      <c r="F12" s="254" t="s">
        <v>398</v>
      </c>
      <c r="G12" s="163">
        <v>42929</v>
      </c>
      <c r="H12" s="312" t="s">
        <v>957</v>
      </c>
      <c r="I12" s="310" t="s">
        <v>1958</v>
      </c>
      <c r="J12" s="254" t="s">
        <v>177</v>
      </c>
      <c r="K12" s="254" t="s">
        <v>1548</v>
      </c>
      <c r="L12" s="254" t="s">
        <v>1760</v>
      </c>
      <c r="M12" s="254" t="s">
        <v>170</v>
      </c>
      <c r="N12" s="254"/>
      <c r="O12" s="312" t="s">
        <v>1921</v>
      </c>
    </row>
    <row r="13" spans="2:22" x14ac:dyDescent="0.2">
      <c r="B13" s="311" t="s">
        <v>570</v>
      </c>
      <c r="C13" t="s">
        <v>188</v>
      </c>
      <c r="D13" s="254" t="s">
        <v>189</v>
      </c>
      <c r="E13" s="277">
        <v>1</v>
      </c>
      <c r="F13" s="277" t="s">
        <v>170</v>
      </c>
      <c r="G13" s="76"/>
      <c r="H13" s="312" t="s">
        <v>190</v>
      </c>
      <c r="I13" s="310" t="s">
        <v>1545</v>
      </c>
      <c r="J13" s="254" t="s">
        <v>1328</v>
      </c>
      <c r="K13" s="254" t="s">
        <v>1546</v>
      </c>
      <c r="L13" s="254" t="s">
        <v>212</v>
      </c>
      <c r="M13" s="254" t="s">
        <v>398</v>
      </c>
      <c r="N13" s="254"/>
      <c r="O13" s="330">
        <v>1</v>
      </c>
    </row>
    <row r="14" spans="2:22" x14ac:dyDescent="0.2">
      <c r="B14" s="311" t="s">
        <v>1552</v>
      </c>
      <c r="C14" t="s">
        <v>225</v>
      </c>
      <c r="D14" s="254" t="s">
        <v>837</v>
      </c>
      <c r="E14" s="277" t="s">
        <v>226</v>
      </c>
      <c r="F14" s="277" t="s">
        <v>170</v>
      </c>
      <c r="G14" s="76"/>
      <c r="H14" s="312"/>
      <c r="I14" s="310" t="s">
        <v>1933</v>
      </c>
      <c r="J14" s="254" t="s">
        <v>1934</v>
      </c>
      <c r="K14" s="254" t="s">
        <v>1935</v>
      </c>
      <c r="L14" s="254"/>
      <c r="M14" s="254"/>
      <c r="N14" s="254"/>
      <c r="O14" s="330"/>
    </row>
    <row r="15" spans="2:22" x14ac:dyDescent="0.2">
      <c r="B15" s="311" t="s">
        <v>1812</v>
      </c>
      <c r="C15" t="s">
        <v>1813</v>
      </c>
      <c r="D15" s="254" t="s">
        <v>1814</v>
      </c>
      <c r="E15" s="277" t="s">
        <v>1823</v>
      </c>
      <c r="F15" s="277" t="s">
        <v>170</v>
      </c>
      <c r="G15" s="163">
        <v>44273</v>
      </c>
      <c r="H15" s="312"/>
      <c r="I15" s="310" t="s">
        <v>1427</v>
      </c>
      <c r="J15" s="254" t="s">
        <v>1428</v>
      </c>
      <c r="K15" s="254"/>
      <c r="L15" s="254" t="s">
        <v>212</v>
      </c>
      <c r="M15" s="254"/>
      <c r="N15" s="254"/>
      <c r="O15" s="309"/>
    </row>
    <row r="16" spans="2:22" x14ac:dyDescent="0.2">
      <c r="B16" s="329" t="s">
        <v>1878</v>
      </c>
      <c r="C16" t="s">
        <v>1879</v>
      </c>
      <c r="D16" s="254" t="s">
        <v>1759</v>
      </c>
      <c r="E16" s="277"/>
      <c r="F16" s="277" t="s">
        <v>170</v>
      </c>
      <c r="G16" s="76"/>
      <c r="H16" s="312"/>
      <c r="I16" s="310" t="s">
        <v>1329</v>
      </c>
      <c r="J16" s="254" t="s">
        <v>243</v>
      </c>
      <c r="K16" s="254"/>
      <c r="L16" s="254" t="s">
        <v>212</v>
      </c>
      <c r="M16" s="254"/>
      <c r="N16" s="254"/>
      <c r="O16" s="309"/>
    </row>
    <row r="17" spans="2:15" x14ac:dyDescent="0.2">
      <c r="B17" s="308" t="s">
        <v>176</v>
      </c>
      <c r="C17" t="s">
        <v>169</v>
      </c>
      <c r="D17" s="254" t="s">
        <v>1782</v>
      </c>
      <c r="E17" s="277" t="s">
        <v>1276</v>
      </c>
      <c r="F17" s="277" t="s">
        <v>1270</v>
      </c>
      <c r="G17" s="76"/>
      <c r="H17" s="312" t="s">
        <v>1277</v>
      </c>
      <c r="I17" s="310" t="s">
        <v>319</v>
      </c>
      <c r="J17" s="254" t="s">
        <v>320</v>
      </c>
      <c r="K17" s="254" t="s">
        <v>1431</v>
      </c>
      <c r="L17" s="254" t="s">
        <v>212</v>
      </c>
      <c r="M17" s="254"/>
      <c r="N17" s="254"/>
      <c r="O17" s="309"/>
    </row>
    <row r="18" spans="2:15" x14ac:dyDescent="0.2">
      <c r="B18" s="308" t="s">
        <v>1481</v>
      </c>
      <c r="C18" t="s">
        <v>214</v>
      </c>
      <c r="D18" s="254" t="s">
        <v>217</v>
      </c>
      <c r="E18" s="277">
        <v>1</v>
      </c>
      <c r="F18" s="254" t="s">
        <v>170</v>
      </c>
      <c r="G18" s="76"/>
      <c r="H18" s="309" t="s">
        <v>1426</v>
      </c>
      <c r="I18" s="310" t="s">
        <v>1925</v>
      </c>
      <c r="J18" s="254" t="s">
        <v>1926</v>
      </c>
      <c r="K18" s="254"/>
      <c r="L18" s="254"/>
      <c r="M18" s="254"/>
      <c r="N18" s="254"/>
      <c r="O18" s="309"/>
    </row>
    <row r="19" spans="2:15" x14ac:dyDescent="0.2">
      <c r="B19" s="311" t="s">
        <v>213</v>
      </c>
      <c r="C19" t="s">
        <v>214</v>
      </c>
      <c r="D19" s="254" t="s">
        <v>197</v>
      </c>
      <c r="E19" s="277">
        <v>1</v>
      </c>
      <c r="F19" s="254" t="s">
        <v>170</v>
      </c>
      <c r="G19" s="76"/>
      <c r="H19" s="312">
        <v>2015</v>
      </c>
      <c r="I19" s="310" t="s">
        <v>1954</v>
      </c>
      <c r="J19" s="254" t="s">
        <v>1956</v>
      </c>
      <c r="K19" s="254" t="s">
        <v>1955</v>
      </c>
      <c r="L19" s="254" t="s">
        <v>1760</v>
      </c>
      <c r="M19" s="254"/>
      <c r="N19" s="254"/>
      <c r="O19" s="309"/>
    </row>
    <row r="20" spans="2:15" x14ac:dyDescent="0.2">
      <c r="B20" s="311" t="s">
        <v>216</v>
      </c>
      <c r="C20" t="s">
        <v>214</v>
      </c>
      <c r="D20" s="254" t="s">
        <v>217</v>
      </c>
      <c r="E20" s="277">
        <v>1</v>
      </c>
      <c r="F20" s="254" t="s">
        <v>170</v>
      </c>
      <c r="G20" s="76"/>
      <c r="H20" s="312" t="s">
        <v>23</v>
      </c>
      <c r="I20" s="310" t="s">
        <v>1927</v>
      </c>
      <c r="J20" s="254" t="s">
        <v>839</v>
      </c>
      <c r="K20" s="254"/>
      <c r="L20" s="254"/>
      <c r="M20" s="254"/>
      <c r="N20" s="254"/>
      <c r="O20" s="309"/>
    </row>
    <row r="21" spans="2:15" x14ac:dyDescent="0.2">
      <c r="B21" s="308" t="s">
        <v>1480</v>
      </c>
      <c r="C21" t="s">
        <v>839</v>
      </c>
      <c r="D21" s="254" t="s">
        <v>874</v>
      </c>
      <c r="E21" s="277">
        <v>1</v>
      </c>
      <c r="F21" s="254" t="s">
        <v>170</v>
      </c>
      <c r="G21" s="76">
        <v>2011</v>
      </c>
      <c r="H21" s="312" t="s">
        <v>873</v>
      </c>
      <c r="I21" s="310" t="s">
        <v>1928</v>
      </c>
      <c r="J21" s="254" t="s">
        <v>1930</v>
      </c>
      <c r="K21" s="254" t="s">
        <v>1929</v>
      </c>
      <c r="L21" s="254"/>
      <c r="M21" s="254"/>
      <c r="N21" s="254"/>
      <c r="O21" s="309"/>
    </row>
    <row r="22" spans="2:15" x14ac:dyDescent="0.2">
      <c r="B22" s="325" t="s">
        <v>1880</v>
      </c>
      <c r="C22" t="s">
        <v>839</v>
      </c>
      <c r="E22" s="277">
        <v>1</v>
      </c>
      <c r="F22" s="254" t="s">
        <v>170</v>
      </c>
      <c r="G22" s="76"/>
      <c r="H22" s="312"/>
      <c r="I22" s="310" t="s">
        <v>1923</v>
      </c>
      <c r="J22" s="254" t="s">
        <v>1924</v>
      </c>
      <c r="K22" s="254"/>
      <c r="L22" s="254"/>
      <c r="M22" s="254"/>
      <c r="N22" s="254"/>
      <c r="O22" s="309"/>
    </row>
    <row r="23" spans="2:15" x14ac:dyDescent="0.2">
      <c r="B23" s="325" t="s">
        <v>1902</v>
      </c>
      <c r="C23" t="s">
        <v>1903</v>
      </c>
      <c r="D23" s="254" t="s">
        <v>1906</v>
      </c>
      <c r="E23" s="277">
        <v>1</v>
      </c>
      <c r="F23" s="254" t="s">
        <v>1562</v>
      </c>
      <c r="G23" s="76"/>
      <c r="H23" s="312"/>
      <c r="I23" s="310" t="s">
        <v>1922</v>
      </c>
      <c r="J23" s="254"/>
      <c r="K23" s="254"/>
      <c r="L23" s="254"/>
      <c r="M23" s="254"/>
      <c r="N23" s="254"/>
      <c r="O23" s="309"/>
    </row>
    <row r="24" spans="2:15" x14ac:dyDescent="0.2">
      <c r="B24" s="310" t="s">
        <v>1965</v>
      </c>
      <c r="C24" s="256" t="s">
        <v>194</v>
      </c>
      <c r="D24" s="254" t="s">
        <v>1908</v>
      </c>
      <c r="E24" s="277"/>
      <c r="F24" s="254"/>
      <c r="G24" s="76"/>
      <c r="H24" s="312"/>
      <c r="I24" s="310" t="s">
        <v>1432</v>
      </c>
      <c r="J24" s="254" t="s">
        <v>169</v>
      </c>
      <c r="K24" s="254" t="s">
        <v>1560</v>
      </c>
      <c r="L24" s="254" t="s">
        <v>212</v>
      </c>
      <c r="M24" s="254"/>
      <c r="N24" s="254"/>
      <c r="O24" s="312"/>
    </row>
    <row r="25" spans="2:15" x14ac:dyDescent="0.2">
      <c r="B25" s="325" t="s">
        <v>1909</v>
      </c>
      <c r="E25" s="277"/>
      <c r="F25" s="254"/>
      <c r="G25" s="76"/>
      <c r="H25" s="312"/>
      <c r="I25" s="310" t="s">
        <v>1534</v>
      </c>
      <c r="J25" s="254" t="s">
        <v>1535</v>
      </c>
      <c r="K25" s="254" t="s">
        <v>1536</v>
      </c>
      <c r="L25" s="254" t="s">
        <v>212</v>
      </c>
      <c r="M25" s="254" t="s">
        <v>170</v>
      </c>
      <c r="N25" s="254"/>
      <c r="O25" s="312" t="s">
        <v>1537</v>
      </c>
    </row>
    <row r="26" spans="2:15" x14ac:dyDescent="0.2">
      <c r="B26" s="310" t="s">
        <v>1742</v>
      </c>
      <c r="C26" t="s">
        <v>1743</v>
      </c>
      <c r="D26" s="254" t="s">
        <v>1744</v>
      </c>
      <c r="E26" s="254" t="s">
        <v>709</v>
      </c>
      <c r="F26" s="254" t="s">
        <v>170</v>
      </c>
      <c r="G26" s="163">
        <v>41261</v>
      </c>
      <c r="H26" s="309"/>
      <c r="I26" s="310" t="s">
        <v>1430</v>
      </c>
      <c r="J26" s="254" t="s">
        <v>169</v>
      </c>
      <c r="K26" s="254"/>
      <c r="L26" s="254" t="s">
        <v>212</v>
      </c>
      <c r="M26" s="254"/>
      <c r="N26" s="254"/>
      <c r="O26" s="309"/>
    </row>
    <row r="27" spans="2:15" x14ac:dyDescent="0.2">
      <c r="B27" s="326" t="s">
        <v>1900</v>
      </c>
      <c r="C27" s="315" t="s">
        <v>1932</v>
      </c>
      <c r="D27" s="316"/>
      <c r="E27" s="317"/>
      <c r="F27" s="316"/>
      <c r="G27" s="334"/>
      <c r="H27" s="327"/>
      <c r="I27" s="310" t="s">
        <v>1331</v>
      </c>
      <c r="J27" s="254" t="s">
        <v>1332</v>
      </c>
      <c r="K27" s="254"/>
      <c r="L27" s="254" t="s">
        <v>238</v>
      </c>
      <c r="M27" s="254"/>
      <c r="N27" s="254"/>
      <c r="O27" s="309"/>
    </row>
    <row r="28" spans="2:15" x14ac:dyDescent="0.2">
      <c r="I28" s="310" t="s">
        <v>830</v>
      </c>
      <c r="J28" s="254" t="s">
        <v>237</v>
      </c>
      <c r="K28" s="254" t="s">
        <v>831</v>
      </c>
      <c r="L28" s="254" t="s">
        <v>238</v>
      </c>
      <c r="M28" s="254"/>
      <c r="N28" s="254"/>
      <c r="O28" s="330">
        <v>1</v>
      </c>
    </row>
    <row r="29" spans="2:15" x14ac:dyDescent="0.2">
      <c r="I29" s="310" t="s">
        <v>1330</v>
      </c>
      <c r="J29" s="254"/>
      <c r="K29" s="254"/>
      <c r="L29" s="254" t="s">
        <v>238</v>
      </c>
      <c r="M29" s="254"/>
      <c r="N29" s="254"/>
      <c r="O29" s="330"/>
    </row>
    <row r="30" spans="2:15" x14ac:dyDescent="0.2">
      <c r="I30" s="310" t="s">
        <v>1403</v>
      </c>
      <c r="J30" s="254" t="s">
        <v>236</v>
      </c>
      <c r="K30" s="254" t="s">
        <v>1405</v>
      </c>
      <c r="L30" s="254" t="s">
        <v>238</v>
      </c>
      <c r="M30" s="254" t="s">
        <v>1406</v>
      </c>
      <c r="N30" s="254"/>
      <c r="O30" s="330">
        <v>1</v>
      </c>
    </row>
    <row r="31" spans="2:15" x14ac:dyDescent="0.2">
      <c r="B31" s="2" t="s">
        <v>227</v>
      </c>
      <c r="C31" s="2" t="s">
        <v>228</v>
      </c>
      <c r="D31" s="172" t="s">
        <v>229</v>
      </c>
      <c r="E31" s="172" t="s">
        <v>234</v>
      </c>
      <c r="F31" s="172" t="s">
        <v>233</v>
      </c>
      <c r="G31" s="172"/>
      <c r="H31" s="172"/>
      <c r="I31" s="310" t="s">
        <v>1404</v>
      </c>
      <c r="J31" s="254" t="s">
        <v>236</v>
      </c>
      <c r="K31" s="254" t="s">
        <v>1405</v>
      </c>
      <c r="L31" s="254" t="s">
        <v>238</v>
      </c>
      <c r="M31" s="254" t="s">
        <v>1406</v>
      </c>
      <c r="N31" s="254"/>
      <c r="O31" s="330">
        <v>1</v>
      </c>
    </row>
    <row r="32" spans="2:15" x14ac:dyDescent="0.2">
      <c r="B32" s="2" t="s">
        <v>231</v>
      </c>
      <c r="C32" s="2" t="s">
        <v>247</v>
      </c>
      <c r="D32" s="172" t="s">
        <v>1334</v>
      </c>
      <c r="I32" s="310" t="s">
        <v>1339</v>
      </c>
      <c r="J32" s="254"/>
      <c r="K32" s="254"/>
      <c r="L32" s="254" t="s">
        <v>238</v>
      </c>
      <c r="M32" s="254" t="s">
        <v>1340</v>
      </c>
      <c r="N32" s="254"/>
      <c r="O32" s="330">
        <v>1</v>
      </c>
    </row>
    <row r="33" spans="2:15" x14ac:dyDescent="0.2">
      <c r="B33" s="2"/>
      <c r="C33" s="2"/>
      <c r="I33" s="310" t="s">
        <v>832</v>
      </c>
      <c r="J33" s="254" t="s">
        <v>237</v>
      </c>
      <c r="K33" s="254" t="s">
        <v>833</v>
      </c>
      <c r="L33" s="254" t="s">
        <v>238</v>
      </c>
      <c r="M33" s="254"/>
      <c r="N33" s="254"/>
      <c r="O33" s="309"/>
    </row>
    <row r="34" spans="2:15" x14ac:dyDescent="0.2">
      <c r="C34" s="2"/>
      <c r="E34" s="248"/>
      <c r="I34" s="310" t="s">
        <v>834</v>
      </c>
      <c r="J34" s="254" t="s">
        <v>237</v>
      </c>
      <c r="K34" s="254" t="s">
        <v>835</v>
      </c>
      <c r="L34" s="254" t="s">
        <v>238</v>
      </c>
      <c r="M34" s="254"/>
      <c r="N34" s="254"/>
      <c r="O34" s="309"/>
    </row>
    <row r="35" spans="2:15" x14ac:dyDescent="0.2">
      <c r="E35" s="248">
        <f>40/365</f>
        <v>0.1095890410958904</v>
      </c>
      <c r="I35" s="310" t="s">
        <v>1883</v>
      </c>
      <c r="J35" s="254" t="s">
        <v>194</v>
      </c>
      <c r="K35" s="254" t="s">
        <v>1884</v>
      </c>
      <c r="L35" s="254"/>
      <c r="M35" s="254"/>
      <c r="N35" s="254"/>
      <c r="O35" s="309"/>
    </row>
    <row r="36" spans="2:15" x14ac:dyDescent="0.2">
      <c r="E36" s="248"/>
      <c r="I36" s="310" t="s">
        <v>1881</v>
      </c>
      <c r="J36" s="254" t="s">
        <v>1882</v>
      </c>
      <c r="K36" s="254"/>
      <c r="L36" s="254" t="s">
        <v>238</v>
      </c>
      <c r="M36" s="254"/>
      <c r="N36" s="254"/>
      <c r="O36" s="309"/>
    </row>
    <row r="37" spans="2:15" x14ac:dyDescent="0.2">
      <c r="E37" s="248"/>
      <c r="I37" s="310" t="s">
        <v>248</v>
      </c>
      <c r="J37" s="254" t="s">
        <v>169</v>
      </c>
      <c r="K37" s="254" t="s">
        <v>249</v>
      </c>
      <c r="L37" s="254" t="s">
        <v>238</v>
      </c>
      <c r="M37" s="254"/>
      <c r="N37" s="254"/>
      <c r="O37" s="309"/>
    </row>
    <row r="38" spans="2:15" x14ac:dyDescent="0.2">
      <c r="E38" s="248"/>
      <c r="I38" s="310" t="s">
        <v>20</v>
      </c>
      <c r="J38" s="254" t="s">
        <v>225</v>
      </c>
      <c r="K38" s="254" t="s">
        <v>1336</v>
      </c>
      <c r="L38" s="254" t="s">
        <v>238</v>
      </c>
      <c r="M38" s="254" t="s">
        <v>398</v>
      </c>
      <c r="N38" s="254"/>
      <c r="O38" s="330">
        <v>1</v>
      </c>
    </row>
    <row r="39" spans="2:15" x14ac:dyDescent="0.2">
      <c r="E39" s="248"/>
      <c r="I39" s="310" t="s">
        <v>252</v>
      </c>
      <c r="J39" s="254" t="s">
        <v>225</v>
      </c>
      <c r="K39" s="254"/>
      <c r="L39" s="254" t="s">
        <v>238</v>
      </c>
      <c r="M39" s="254" t="s">
        <v>170</v>
      </c>
      <c r="N39" s="254"/>
      <c r="O39" s="312" t="s">
        <v>253</v>
      </c>
    </row>
    <row r="40" spans="2:15" x14ac:dyDescent="0.2">
      <c r="E40" s="248"/>
      <c r="I40" s="310" t="s">
        <v>254</v>
      </c>
      <c r="J40" s="254" t="s">
        <v>255</v>
      </c>
      <c r="K40" s="254" t="s">
        <v>256</v>
      </c>
      <c r="L40" s="254" t="s">
        <v>238</v>
      </c>
      <c r="M40" s="254"/>
      <c r="N40" s="254"/>
      <c r="O40" s="309"/>
    </row>
    <row r="41" spans="2:15" x14ac:dyDescent="0.2">
      <c r="E41" s="248"/>
      <c r="I41" s="318" t="s">
        <v>257</v>
      </c>
      <c r="J41" s="316" t="s">
        <v>258</v>
      </c>
      <c r="K41" s="316"/>
      <c r="L41" s="316" t="s">
        <v>238</v>
      </c>
      <c r="M41" s="316" t="s">
        <v>170</v>
      </c>
      <c r="N41" s="316"/>
      <c r="O41" s="319"/>
    </row>
    <row r="42" spans="2:15" x14ac:dyDescent="0.2">
      <c r="E42" s="248"/>
    </row>
    <row r="43" spans="2:15" x14ac:dyDescent="0.2">
      <c r="E43" s="248"/>
      <c r="I43" t="s">
        <v>1960</v>
      </c>
    </row>
    <row r="44" spans="2:15" x14ac:dyDescent="0.2">
      <c r="E44" s="248"/>
      <c r="I44" t="s">
        <v>1866</v>
      </c>
    </row>
    <row r="45" spans="2:15" x14ac:dyDescent="0.2">
      <c r="E45" s="248"/>
      <c r="I45" t="s">
        <v>1867</v>
      </c>
    </row>
    <row r="46" spans="2:15" x14ac:dyDescent="0.2">
      <c r="E46" s="248"/>
      <c r="I46" t="s">
        <v>1870</v>
      </c>
    </row>
    <row r="47" spans="2:15" x14ac:dyDescent="0.2">
      <c r="E47" s="248"/>
      <c r="I47" t="s">
        <v>1838</v>
      </c>
    </row>
    <row r="48" spans="2:15" x14ac:dyDescent="0.2">
      <c r="E48" s="248"/>
      <c r="I48" t="s">
        <v>1854</v>
      </c>
    </row>
    <row r="49" spans="5:9" x14ac:dyDescent="0.2">
      <c r="E49" s="248"/>
      <c r="I49" t="s">
        <v>1855</v>
      </c>
    </row>
    <row r="50" spans="5:9" x14ac:dyDescent="0.2">
      <c r="E50" s="248"/>
      <c r="I50" t="s">
        <v>1872</v>
      </c>
    </row>
    <row r="51" spans="5:9" x14ac:dyDescent="0.2">
      <c r="E51" s="248"/>
      <c r="I51" t="s">
        <v>1873</v>
      </c>
    </row>
    <row r="53" spans="5:9" x14ac:dyDescent="0.2">
      <c r="I53" s="1" t="s">
        <v>1871</v>
      </c>
    </row>
    <row r="54" spans="5:9" x14ac:dyDescent="0.2">
      <c r="I54" t="s">
        <v>1786</v>
      </c>
    </row>
    <row r="55" spans="5:9" x14ac:dyDescent="0.2">
      <c r="I55" t="s">
        <v>1811</v>
      </c>
    </row>
    <row r="56" spans="5:9" x14ac:dyDescent="0.2">
      <c r="E56" s="248"/>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D31"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32"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4"/>
  <sheetViews>
    <sheetView zoomScale="175" zoomScaleNormal="175" workbookViewId="0">
      <pane xSplit="2" ySplit="2" topLeftCell="ET23" activePane="bottomRight" state="frozen"/>
      <selection pane="topRight" activeCell="Q1" sqref="Q1"/>
      <selection pane="bottomLeft" activeCell="A3" sqref="A3"/>
      <selection pane="bottomRight" activeCell="FD30" sqref="FD30"/>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18" width="7.42578125"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1298</v>
      </c>
      <c r="BD2" s="76" t="s">
        <v>1299</v>
      </c>
      <c r="BE2" s="76" t="s">
        <v>1300</v>
      </c>
      <c r="BF2" s="76" t="s">
        <v>1301</v>
      </c>
      <c r="BG2" s="76" t="s">
        <v>1441</v>
      </c>
      <c r="BH2" s="76" t="s">
        <v>1442</v>
      </c>
      <c r="BI2" s="76" t="s">
        <v>1443</v>
      </c>
      <c r="BJ2" s="76" t="s">
        <v>1444</v>
      </c>
      <c r="BK2" s="76" t="s">
        <v>1485</v>
      </c>
      <c r="BL2" s="76" t="s">
        <v>1486</v>
      </c>
      <c r="BM2" s="76" t="s">
        <v>1487</v>
      </c>
      <c r="BN2" s="76" t="s">
        <v>1488</v>
      </c>
      <c r="BO2" s="76" t="s">
        <v>1528</v>
      </c>
      <c r="BP2" s="76" t="s">
        <v>1529</v>
      </c>
      <c r="BQ2" s="76" t="s">
        <v>1530</v>
      </c>
      <c r="BR2" s="76" t="s">
        <v>1531</v>
      </c>
      <c r="BS2" s="76" t="s">
        <v>1555</v>
      </c>
      <c r="BT2" s="76" t="s">
        <v>1556</v>
      </c>
      <c r="BU2" s="76" t="s">
        <v>1557</v>
      </c>
      <c r="BV2" s="76" t="s">
        <v>1558</v>
      </c>
      <c r="BW2" s="76" t="s">
        <v>1628</v>
      </c>
      <c r="BX2" s="76" t="s">
        <v>1629</v>
      </c>
      <c r="BY2" s="76" t="s">
        <v>1630</v>
      </c>
      <c r="BZ2" s="76" t="s">
        <v>1631</v>
      </c>
      <c r="CA2" s="76" t="s">
        <v>1643</v>
      </c>
      <c r="CB2" s="76" t="s">
        <v>1644</v>
      </c>
      <c r="CC2" s="76" t="s">
        <v>1645</v>
      </c>
      <c r="CD2" s="76" t="s">
        <v>1646</v>
      </c>
      <c r="CE2" s="76" t="s">
        <v>1647</v>
      </c>
      <c r="CF2" s="76" t="s">
        <v>1648</v>
      </c>
      <c r="CG2" s="76" t="s">
        <v>1649</v>
      </c>
      <c r="CH2" s="76" t="s">
        <v>1650</v>
      </c>
      <c r="CI2" s="76" t="s">
        <v>1652</v>
      </c>
      <c r="CJ2" s="76" t="s">
        <v>1653</v>
      </c>
      <c r="CK2" s="76" t="s">
        <v>1654</v>
      </c>
      <c r="CL2" s="76" t="s">
        <v>1655</v>
      </c>
      <c r="CM2" s="76" t="s">
        <v>1651</v>
      </c>
      <c r="CN2" s="76" t="s">
        <v>1656</v>
      </c>
      <c r="CO2" s="76" t="s">
        <v>1657</v>
      </c>
      <c r="CP2" s="76" t="s">
        <v>1658</v>
      </c>
      <c r="CQ2" s="76" t="s">
        <v>1659</v>
      </c>
      <c r="CR2" s="76" t="s">
        <v>1660</v>
      </c>
      <c r="CS2" s="76" t="s">
        <v>1661</v>
      </c>
      <c r="CT2" s="76" t="s">
        <v>1662</v>
      </c>
      <c r="CU2" s="76" t="s">
        <v>1663</v>
      </c>
      <c r="CV2" s="76" t="s">
        <v>1664</v>
      </c>
      <c r="CW2" s="76" t="s">
        <v>1665</v>
      </c>
      <c r="CX2" s="76" t="s">
        <v>1666</v>
      </c>
      <c r="CY2" s="76" t="s">
        <v>1667</v>
      </c>
      <c r="CZ2" s="76" t="s">
        <v>1668</v>
      </c>
      <c r="DA2" s="76" t="s">
        <v>1669</v>
      </c>
      <c r="DB2" s="76" t="s">
        <v>1670</v>
      </c>
      <c r="DC2" s="76" t="s">
        <v>1671</v>
      </c>
      <c r="DD2" s="76" t="s">
        <v>1672</v>
      </c>
      <c r="DE2" s="76" t="s">
        <v>1673</v>
      </c>
      <c r="DF2" s="76" t="s">
        <v>1674</v>
      </c>
      <c r="DG2" s="76" t="s">
        <v>1894</v>
      </c>
      <c r="DH2" s="76" t="s">
        <v>1895</v>
      </c>
      <c r="DI2" s="76" t="s">
        <v>1896</v>
      </c>
      <c r="DJ2" s="76" t="s">
        <v>1897</v>
      </c>
      <c r="DK2" s="76" t="s">
        <v>1950</v>
      </c>
      <c r="DL2" s="76" t="s">
        <v>1951</v>
      </c>
      <c r="DM2" s="76" t="s">
        <v>1952</v>
      </c>
      <c r="DN2" s="76" t="s">
        <v>1953</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9"/>
      <c r="D3" s="339"/>
      <c r="E3" s="339"/>
      <c r="F3" s="339"/>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v>419</v>
      </c>
      <c r="DJ3" s="243">
        <f t="shared" ref="DJ3" si="8">+DF3*0.8</f>
        <v>343.20000000000005</v>
      </c>
      <c r="DK3" s="243">
        <f t="shared" ref="DK3" si="9">+DG3*0.8</f>
        <v>347.20000000000005</v>
      </c>
      <c r="DL3" s="243">
        <f t="shared" ref="DL3" si="10">+DH3*0.8</f>
        <v>314.40000000000003</v>
      </c>
      <c r="DM3" s="243">
        <f t="shared" ref="DM3" si="11">+DI3*0.8</f>
        <v>335.20000000000005</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v>
      </c>
      <c r="EY3" s="235">
        <f>SUM(DG3:DJ3)</f>
        <v>1589.2</v>
      </c>
      <c r="EZ3" s="235">
        <f>SUM(DK3:DN3)</f>
        <v>1271.3600000000001</v>
      </c>
      <c r="FA3" s="235">
        <f t="shared" ref="FA3" si="14">EZ3*0.95</f>
        <v>1207.7920000000001</v>
      </c>
      <c r="FB3" s="235">
        <f t="shared" ref="FB3" si="15">FA3*0.95</f>
        <v>1147.4024000000002</v>
      </c>
      <c r="FC3" s="235">
        <f t="shared" ref="FC3" si="16">FB3*0.95</f>
        <v>1090.0322800000001</v>
      </c>
      <c r="FD3" s="235">
        <f t="shared" ref="FD3" si="17">FC3*0.95</f>
        <v>1035.5306660000001</v>
      </c>
      <c r="FE3" s="235">
        <f t="shared" ref="FE3:FJ3" si="18">FD3*0.95</f>
        <v>983.75413270000001</v>
      </c>
      <c r="FF3" s="235">
        <f t="shared" si="18"/>
        <v>934.56642606499997</v>
      </c>
      <c r="FG3" s="235">
        <f t="shared" si="18"/>
        <v>887.83810476174995</v>
      </c>
      <c r="FH3" s="235">
        <f t="shared" si="18"/>
        <v>843.44619952366236</v>
      </c>
      <c r="FI3" s="235">
        <f t="shared" si="18"/>
        <v>801.27388954747926</v>
      </c>
      <c r="FJ3" s="235">
        <f t="shared" si="18"/>
        <v>761.21019507010521</v>
      </c>
      <c r="FL3"/>
      <c r="FM3"/>
    </row>
    <row r="4" spans="1:169" ht="12.75" customHeight="1" x14ac:dyDescent="0.2">
      <c r="B4" t="s">
        <v>729</v>
      </c>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40"/>
      <c r="AF4" s="340"/>
      <c r="AG4" s="340"/>
      <c r="AH4" s="340"/>
      <c r="AI4" s="340"/>
      <c r="AJ4" s="340"/>
      <c r="AK4" s="340"/>
      <c r="AL4" s="340"/>
      <c r="AM4" s="340"/>
      <c r="AN4" s="340"/>
      <c r="AO4" s="340"/>
      <c r="AP4" s="340"/>
      <c r="AQ4" s="340"/>
      <c r="AR4" s="340"/>
      <c r="AS4" s="340"/>
      <c r="AT4" s="340"/>
      <c r="AU4" s="340"/>
      <c r="AV4" s="340"/>
      <c r="AW4" s="340"/>
      <c r="AX4" s="340"/>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v>516</v>
      </c>
      <c r="DJ4" s="243">
        <f t="shared" ref="DJ4" si="19">+DE4*0.95</f>
        <v>597.54999999999995</v>
      </c>
      <c r="DK4" s="243">
        <f t="shared" ref="DK4" si="20">+DF4*0.95</f>
        <v>476.9</v>
      </c>
      <c r="DL4" s="243">
        <f t="shared" ref="DL4" si="21">+DG4*0.95</f>
        <v>526.29999999999995</v>
      </c>
      <c r="DM4" s="243">
        <f t="shared" ref="DM4" si="22">+DH4*0.95</f>
        <v>510.15</v>
      </c>
      <c r="DN4" s="243">
        <f t="shared" ref="DN4" si="23">+DI4*0.95</f>
        <v>490.2</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4">EP4*1.05</f>
        <v>1370.9850000000001</v>
      </c>
      <c r="ER4" s="235"/>
      <c r="ES4" s="235">
        <f>SUM(CI4:CL4)</f>
        <v>2084</v>
      </c>
      <c r="ET4" s="235">
        <f>SUM(CM4:CP4)</f>
        <v>2188</v>
      </c>
      <c r="EU4" s="235">
        <f>SUM(CQ4:CT4)</f>
        <v>2243</v>
      </c>
      <c r="EV4" s="235">
        <f t="shared" ref="EV4:EV7" si="25">SUM(CU4:CX4)</f>
        <v>2276</v>
      </c>
      <c r="EW4" s="235">
        <f>SUM(CY4:DB4)</f>
        <v>2183</v>
      </c>
      <c r="EX4" s="235">
        <f t="shared" si="13"/>
        <v>2197</v>
      </c>
      <c r="EY4" s="235">
        <f t="shared" ref="EY4:EY48" si="26">SUM(DG4:DJ4)</f>
        <v>2204.5500000000002</v>
      </c>
      <c r="EZ4" s="235">
        <f>SUM(DK4:DN4)</f>
        <v>2003.55</v>
      </c>
      <c r="FA4" s="235">
        <f t="shared" ref="FA4:FJ4" si="27">EZ4*1.01</f>
        <v>2023.5854999999999</v>
      </c>
      <c r="FB4" s="235">
        <f t="shared" si="27"/>
        <v>2043.821355</v>
      </c>
      <c r="FC4" s="235">
        <f t="shared" si="27"/>
        <v>2064.25956855</v>
      </c>
      <c r="FD4" s="235">
        <f t="shared" si="27"/>
        <v>2084.9021642355001</v>
      </c>
      <c r="FE4" s="235">
        <f t="shared" si="27"/>
        <v>2105.7511858778553</v>
      </c>
      <c r="FF4" s="235">
        <f t="shared" si="27"/>
        <v>2126.8086977366338</v>
      </c>
      <c r="FG4" s="235">
        <f t="shared" si="27"/>
        <v>2148.076784714</v>
      </c>
      <c r="FH4" s="235">
        <f t="shared" si="27"/>
        <v>2169.5575525611403</v>
      </c>
      <c r="FI4" s="235">
        <f t="shared" si="27"/>
        <v>2191.2531280867515</v>
      </c>
      <c r="FJ4" s="235">
        <f t="shared" si="27"/>
        <v>2213.1656593676189</v>
      </c>
      <c r="FK4" s="254"/>
    </row>
    <row r="5" spans="1:169" ht="12.75" customHeight="1" x14ac:dyDescent="0.2">
      <c r="B5" t="s">
        <v>1685</v>
      </c>
      <c r="C5" s="339"/>
      <c r="D5" s="339"/>
      <c r="E5" s="339"/>
      <c r="F5" s="339"/>
      <c r="G5" s="339"/>
      <c r="H5" s="339"/>
      <c r="I5" s="339"/>
      <c r="J5" s="339"/>
      <c r="K5" s="339"/>
      <c r="L5" s="339"/>
      <c r="M5" s="339"/>
      <c r="N5" s="339"/>
      <c r="O5" s="339"/>
      <c r="P5" s="339"/>
      <c r="Q5" s="339"/>
      <c r="R5" s="339"/>
      <c r="S5" s="339"/>
      <c r="T5" s="339"/>
      <c r="U5" s="339"/>
      <c r="V5" s="339"/>
      <c r="W5" s="339"/>
      <c r="X5" s="339"/>
      <c r="Y5" s="339"/>
      <c r="Z5" s="339"/>
      <c r="AA5" s="339"/>
      <c r="AB5" s="339"/>
      <c r="AC5" s="339"/>
      <c r="AD5" s="339"/>
      <c r="AE5" s="340"/>
      <c r="AF5" s="340"/>
      <c r="AG5" s="340"/>
      <c r="AH5" s="340"/>
      <c r="AI5" s="340"/>
      <c r="AJ5" s="340"/>
      <c r="AK5" s="340"/>
      <c r="AL5" s="340"/>
      <c r="AM5" s="340"/>
      <c r="AN5" s="340"/>
      <c r="AO5" s="340"/>
      <c r="AP5" s="340"/>
      <c r="AQ5" s="340"/>
      <c r="AR5" s="340"/>
      <c r="AS5" s="340"/>
      <c r="AT5" s="340"/>
      <c r="AU5" s="340"/>
      <c r="AV5" s="340"/>
      <c r="AW5" s="340"/>
      <c r="AX5" s="340"/>
      <c r="AY5" s="339"/>
      <c r="AZ5" s="339"/>
      <c r="BA5" s="339"/>
      <c r="BB5" s="339"/>
      <c r="BC5" s="339"/>
      <c r="BD5" s="339"/>
      <c r="BE5" s="339"/>
      <c r="BF5" s="339"/>
      <c r="BG5" s="339"/>
      <c r="BH5" s="339"/>
      <c r="BI5" s="339"/>
      <c r="BJ5" s="339"/>
      <c r="BK5" s="339"/>
      <c r="BL5" s="339"/>
      <c r="BM5" s="339"/>
      <c r="BN5" s="339"/>
      <c r="BO5" s="339"/>
      <c r="BP5" s="339"/>
      <c r="BQ5" s="339"/>
      <c r="BR5" s="339"/>
      <c r="BS5" s="340"/>
      <c r="BT5" s="340"/>
      <c r="BU5" s="340"/>
      <c r="BV5" s="340"/>
      <c r="BW5" s="340"/>
      <c r="BX5" s="340"/>
      <c r="BY5" s="340"/>
      <c r="BZ5" s="340"/>
      <c r="CA5" s="340"/>
      <c r="CB5" s="340"/>
      <c r="CC5" s="340"/>
      <c r="CD5" s="340"/>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v>1007</v>
      </c>
      <c r="DJ5" s="243">
        <f t="shared" ref="DJ5" si="28">++DF5*1.25</f>
        <v>1137.5</v>
      </c>
      <c r="DK5" s="243">
        <f t="shared" ref="DK5" si="29">++DG5*1.25</f>
        <v>1010</v>
      </c>
      <c r="DL5" s="243">
        <f>++DH5*1.25</f>
        <v>1132.5</v>
      </c>
      <c r="DM5" s="243">
        <f t="shared" ref="DM5" si="30">++DI5*1.25</f>
        <v>1258.75</v>
      </c>
      <c r="DN5" s="243">
        <f t="shared" ref="DN5" si="31">++DJ5*1.25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5"/>
        <v>2127</v>
      </c>
      <c r="EW5" s="235">
        <f>SUM(CY5:DB5)</f>
        <v>2668</v>
      </c>
      <c r="EX5" s="235">
        <f t="shared" si="13"/>
        <v>3147</v>
      </c>
      <c r="EY5" s="235">
        <f t="shared" si="26"/>
        <v>3858.5</v>
      </c>
      <c r="EZ5" s="235">
        <f>SUM(DK5:DN5)</f>
        <v>4823.125</v>
      </c>
      <c r="FA5" s="235">
        <f>+EZ5*1.3</f>
        <v>6270.0625</v>
      </c>
      <c r="FB5" s="235">
        <f>+FA5*1.3</f>
        <v>8151.0812500000002</v>
      </c>
      <c r="FC5" s="235">
        <f>+FB5*1.3</f>
        <v>10596.405625000001</v>
      </c>
      <c r="FD5" s="235">
        <f t="shared" ref="FD5:FJ5" si="32">+FC5*1.05</f>
        <v>11126.225906250002</v>
      </c>
      <c r="FE5" s="235">
        <f t="shared" si="32"/>
        <v>11682.537201562502</v>
      </c>
      <c r="FF5" s="235">
        <f t="shared" si="32"/>
        <v>12266.664061640628</v>
      </c>
      <c r="FG5" s="235">
        <f t="shared" si="32"/>
        <v>12879.997264722659</v>
      </c>
      <c r="FH5" s="235">
        <f t="shared" si="32"/>
        <v>13523.997127958792</v>
      </c>
      <c r="FI5" s="235">
        <f t="shared" si="32"/>
        <v>14200.196984356731</v>
      </c>
      <c r="FJ5" s="235">
        <f t="shared" si="32"/>
        <v>14910.206833574568</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v>2676</v>
      </c>
      <c r="DJ6" s="243">
        <f>+DF6*0.9</f>
        <v>2477.7000000000003</v>
      </c>
      <c r="DK6" s="243">
        <f>+DG6*0.75</f>
        <v>1838.25</v>
      </c>
      <c r="DL6" s="243">
        <f>+DH6*0.6</f>
        <v>1731</v>
      </c>
      <c r="DM6" s="243">
        <f>+DI6*0.6</f>
        <v>1605.6</v>
      </c>
      <c r="DN6" s="243">
        <f>+DJ6*0.5</f>
        <v>1238.8500000000001</v>
      </c>
      <c r="EI6" s="235"/>
      <c r="EJ6" s="235"/>
      <c r="EK6" s="235"/>
      <c r="EL6" s="235">
        <f>SUM(BG6:BJ6)</f>
        <v>738</v>
      </c>
      <c r="EM6" s="235">
        <f>SUM(BK6:BN6)</f>
        <v>1025</v>
      </c>
      <c r="EN6" s="235">
        <f>SUM(BO6:BR6)</f>
        <v>1504</v>
      </c>
      <c r="EO6" s="235">
        <f>SUM(BS6:BV6)</f>
        <v>2072</v>
      </c>
      <c r="EP6" s="235">
        <f t="shared" ref="EP6" si="33">EO6*1.15</f>
        <v>2382.7999999999997</v>
      </c>
      <c r="EQ6" s="235"/>
      <c r="ER6" s="235"/>
      <c r="ES6" s="235">
        <f>SUM(CI6:CL6)</f>
        <v>5156</v>
      </c>
      <c r="ET6" s="235">
        <f>SUM(CM6:CP6)</f>
        <v>6361</v>
      </c>
      <c r="EU6" s="235">
        <f>SUM(CQ6:CT6)</f>
        <v>7707</v>
      </c>
      <c r="EV6" s="235">
        <f t="shared" si="25"/>
        <v>9134</v>
      </c>
      <c r="EW6" s="235">
        <f>SUM(CY6:DB6)</f>
        <v>9722</v>
      </c>
      <c r="EX6" s="235">
        <f t="shared" si="13"/>
        <v>10858</v>
      </c>
      <c r="EY6" s="235">
        <f t="shared" si="26"/>
        <v>10489.7</v>
      </c>
      <c r="EZ6" s="235">
        <f>SUM(DK6:DN6)</f>
        <v>6413.7000000000007</v>
      </c>
      <c r="FA6" s="235">
        <f>+EZ6*0.5</f>
        <v>3206.8500000000004</v>
      </c>
      <c r="FB6" s="235">
        <f>+FA6*0.5</f>
        <v>1603.4250000000002</v>
      </c>
      <c r="FC6" s="235">
        <f>+FB6*0.5</f>
        <v>801.71250000000009</v>
      </c>
      <c r="FD6" s="235">
        <f t="shared" ref="FD6:FJ6" si="34">+FC6*0.8</f>
        <v>641.37000000000012</v>
      </c>
      <c r="FE6" s="235">
        <f t="shared" si="34"/>
        <v>513.09600000000012</v>
      </c>
      <c r="FF6" s="235">
        <f t="shared" si="34"/>
        <v>410.47680000000014</v>
      </c>
      <c r="FG6" s="235">
        <f t="shared" si="34"/>
        <v>328.38144000000011</v>
      </c>
      <c r="FH6" s="235">
        <f t="shared" si="34"/>
        <v>262.70515200000011</v>
      </c>
      <c r="FI6" s="235">
        <f t="shared" si="34"/>
        <v>210.1641216000001</v>
      </c>
      <c r="FJ6" s="235">
        <f t="shared" si="34"/>
        <v>168.1312972800001</v>
      </c>
    </row>
    <row r="7" spans="1:169" x14ac:dyDescent="0.2">
      <c r="B7" t="s">
        <v>1679</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v>
      </c>
      <c r="DJ7" s="243">
        <f t="shared" ref="DJ7" si="35">+DI7</f>
        <v>1</v>
      </c>
      <c r="DK7" s="243">
        <f t="shared" ref="DK7" si="36">+DJ7</f>
        <v>1</v>
      </c>
      <c r="DL7" s="243">
        <f t="shared" ref="DL7" si="37">+DK7</f>
        <v>1</v>
      </c>
      <c r="DM7" s="243">
        <f t="shared" ref="DM7" si="38">+DL7</f>
        <v>1</v>
      </c>
      <c r="DN7" s="243">
        <f t="shared" ref="DN7" si="39">+DM7</f>
        <v>1</v>
      </c>
      <c r="EI7" s="235"/>
      <c r="EJ7" s="235"/>
      <c r="EK7" s="235"/>
      <c r="EL7" s="235"/>
      <c r="EM7" s="235"/>
      <c r="EN7" s="235"/>
      <c r="EO7" s="235"/>
      <c r="EP7" s="235"/>
      <c r="EQ7" s="235"/>
      <c r="ER7" s="235"/>
      <c r="ES7" s="235">
        <f>SUM(CI7:CL7)</f>
        <v>10</v>
      </c>
      <c r="ET7" s="235">
        <f>SUM(CM7:CP7)</f>
        <v>10</v>
      </c>
      <c r="EU7" s="235">
        <f>SUM(CQ7:CT7)</f>
        <v>11</v>
      </c>
      <c r="EV7" s="235">
        <f t="shared" si="25"/>
        <v>25</v>
      </c>
      <c r="EW7" s="235">
        <f>SUM(CY7:DB7)</f>
        <v>17</v>
      </c>
      <c r="EX7" s="235">
        <f t="shared" si="13"/>
        <v>11</v>
      </c>
      <c r="EY7" s="235">
        <f t="shared" si="26"/>
        <v>4</v>
      </c>
      <c r="EZ7" s="235">
        <f>SUM(DK7:DN7)</f>
        <v>4</v>
      </c>
      <c r="FA7" s="235">
        <f t="shared" ref="FA7:FJ7" si="40">+EZ7</f>
        <v>4</v>
      </c>
      <c r="FB7" s="235">
        <f t="shared" si="40"/>
        <v>4</v>
      </c>
      <c r="FC7" s="235">
        <f t="shared" si="40"/>
        <v>4</v>
      </c>
      <c r="FD7" s="235">
        <f t="shared" si="40"/>
        <v>4</v>
      </c>
      <c r="FE7" s="235">
        <f t="shared" si="40"/>
        <v>4</v>
      </c>
      <c r="FF7" s="235">
        <f t="shared" si="40"/>
        <v>4</v>
      </c>
      <c r="FG7" s="235">
        <f t="shared" si="40"/>
        <v>4</v>
      </c>
      <c r="FH7" s="235">
        <f t="shared" si="40"/>
        <v>4</v>
      </c>
      <c r="FI7" s="235">
        <f t="shared" si="40"/>
        <v>4</v>
      </c>
      <c r="FJ7" s="235">
        <f t="shared" si="40"/>
        <v>4</v>
      </c>
    </row>
    <row r="8" spans="1:169" s="254" customFormat="1" x14ac:dyDescent="0.2">
      <c r="B8" t="s">
        <v>1959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1471</v>
      </c>
      <c r="EJ8" s="272" t="s">
        <v>1472</v>
      </c>
      <c r="EK8" s="237" t="s">
        <v>1473</v>
      </c>
      <c r="EL8" s="236" t="s">
        <v>1474</v>
      </c>
      <c r="EM8" s="76"/>
      <c r="EN8" s="76"/>
      <c r="EO8" s="76"/>
      <c r="EP8" s="76"/>
      <c r="EQ8" s="76"/>
      <c r="ER8" s="76"/>
      <c r="ES8" s="76"/>
      <c r="ET8" s="76"/>
      <c r="EU8" s="76"/>
      <c r="EX8" s="235">
        <f t="shared" si="13"/>
        <v>0</v>
      </c>
      <c r="EY8" s="235">
        <f t="shared" si="26"/>
        <v>0</v>
      </c>
      <c r="EZ8" s="235"/>
    </row>
    <row r="9" spans="1:169" s="254" customForma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41">SUM(BC9:BF9)</f>
        <v>527</v>
      </c>
      <c r="EL9" s="235">
        <f t="shared" ref="EL9" si="42">SUM(BG9:BJ9)</f>
        <v>542</v>
      </c>
      <c r="EM9" s="76"/>
      <c r="EN9" s="76"/>
      <c r="EO9" s="76"/>
      <c r="EP9" s="76"/>
      <c r="EQ9" s="76"/>
      <c r="ER9" s="76"/>
      <c r="ES9" s="76"/>
      <c r="ET9" s="76"/>
      <c r="EU9" s="76"/>
      <c r="EX9" s="235">
        <f t="shared" si="13"/>
        <v>0</v>
      </c>
      <c r="EY9" s="235">
        <f t="shared" si="26"/>
        <v>0</v>
      </c>
      <c r="EZ9" s="235"/>
      <c r="FM9"/>
    </row>
    <row r="10" spans="1:169" s="254" customForma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41"/>
        <v>1500</v>
      </c>
      <c r="EL10" s="235">
        <f>SUM(BG10:BJ10)</f>
        <v>1583</v>
      </c>
      <c r="EM10" s="235">
        <f>SUM(BK10:BN10)</f>
        <v>1425</v>
      </c>
      <c r="EN10" s="235">
        <f>SUM(BO10:BR10)</f>
        <v>1318</v>
      </c>
      <c r="EO10" s="235">
        <f>SUM(BS10:BV10)</f>
        <v>1190</v>
      </c>
      <c r="EP10" s="235">
        <f t="shared" ref="EP10:EQ10" si="43">+EO10*0.95</f>
        <v>1130.5</v>
      </c>
      <c r="EQ10" s="235">
        <f t="shared" si="43"/>
        <v>1073.9749999999999</v>
      </c>
      <c r="ER10" s="235"/>
      <c r="ES10" s="235">
        <f>SUM(CI10:CL10)</f>
        <v>737</v>
      </c>
      <c r="ET10" s="235">
        <f>SUM(CM10:CP10)</f>
        <v>688</v>
      </c>
      <c r="EU10" s="235">
        <f>SUM(CQ10:CT10)</f>
        <v>642</v>
      </c>
      <c r="EV10" s="235">
        <f t="shared" ref="EV10:EV14" si="44">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v>
      </c>
      <c r="DJ11" s="243">
        <f t="shared" ref="DJ11" si="45">DF11*1.01</f>
        <v>1021.11</v>
      </c>
      <c r="DK11" s="243">
        <f t="shared" ref="DK11" si="46">DG11*1.01</f>
        <v>1066.56</v>
      </c>
      <c r="DL11" s="243">
        <f t="shared" ref="DL11" si="47">DH11*1.01</f>
        <v>1064.54</v>
      </c>
      <c r="DM11" s="243">
        <f t="shared" ref="DM11" si="48">DI11*1.01</f>
        <v>1059.49</v>
      </c>
      <c r="DN11" s="243">
        <f t="shared" ref="DN11" si="49">DJ11*1.01</f>
        <v>1031.3211000000001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41"/>
        <v>424</v>
      </c>
      <c r="EL11" s="235">
        <f>SUM(BG11:BJ11)</f>
        <v>600</v>
      </c>
      <c r="EM11" s="235">
        <f>SUM(BK11:BN11)</f>
        <v>1346</v>
      </c>
      <c r="EN11" s="235">
        <f>SUM(BO11:BR11)</f>
        <v>1831</v>
      </c>
      <c r="EO11" s="235">
        <f>SUM(BS11:BV11)</f>
        <v>2228</v>
      </c>
      <c r="EP11" s="235">
        <f t="shared" ref="EP11:EQ11" si="50">+EO11*1.02</f>
        <v>2272.56</v>
      </c>
      <c r="EQ11" s="235">
        <f t="shared" si="50"/>
        <v>2318.0111999999999</v>
      </c>
      <c r="ER11" s="235"/>
      <c r="ES11" s="235">
        <f>SUM(CI11:CL11)</f>
        <v>2928</v>
      </c>
      <c r="ET11" s="235">
        <f>SUM(CM11:CP11)</f>
        <v>3330</v>
      </c>
      <c r="EU11" s="235">
        <f>SUM(CQ11:CT11)</f>
        <v>3653</v>
      </c>
      <c r="EV11" s="235">
        <f t="shared" si="44"/>
        <v>4022</v>
      </c>
      <c r="EW11" s="235">
        <f>SUM(CY11:DB11)</f>
        <v>4141</v>
      </c>
      <c r="EX11" s="235">
        <f t="shared" ref="EX11:EX32" si="51">SUM(DC11:DF11)</f>
        <v>4115</v>
      </c>
      <c r="EY11" s="235">
        <f t="shared" si="26"/>
        <v>4180.1099999999997</v>
      </c>
      <c r="EZ11" s="235">
        <f>SUM(DK11:DN11)</f>
        <v>4221.9111000000003</v>
      </c>
      <c r="FA11" s="235">
        <f t="shared" ref="FA11:FJ11" si="52">+EZ11*0.8</f>
        <v>3377.5288800000003</v>
      </c>
      <c r="FB11" s="235">
        <f t="shared" si="52"/>
        <v>2702.0231040000003</v>
      </c>
      <c r="FC11" s="235">
        <f t="shared" si="52"/>
        <v>2161.6184832000004</v>
      </c>
      <c r="FD11" s="235">
        <f t="shared" si="52"/>
        <v>1729.2947865600004</v>
      </c>
      <c r="FE11" s="235">
        <f t="shared" si="52"/>
        <v>1383.4358292480003</v>
      </c>
      <c r="FF11" s="235">
        <f t="shared" si="52"/>
        <v>1106.7486633984004</v>
      </c>
      <c r="FG11" s="235">
        <f t="shared" si="52"/>
        <v>885.39893071872029</v>
      </c>
      <c r="FH11" s="235">
        <f t="shared" si="52"/>
        <v>708.31914457497624</v>
      </c>
      <c r="FI11" s="235">
        <f t="shared" si="52"/>
        <v>566.65531565998106</v>
      </c>
      <c r="FJ11" s="235">
        <f t="shared" si="52"/>
        <v>453.32425252798487</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v>
      </c>
      <c r="DJ12" s="243">
        <f t="shared" ref="DJ12:DJ14" si="53">DF12</f>
        <v>180</v>
      </c>
      <c r="DK12" s="243">
        <f t="shared" ref="DK12" si="54">DG12</f>
        <v>177</v>
      </c>
      <c r="DL12" s="243">
        <f t="shared" ref="DL12" si="55">DH12</f>
        <v>163</v>
      </c>
      <c r="DM12" s="243">
        <f t="shared" ref="DM12" si="56">DI12</f>
        <v>142</v>
      </c>
      <c r="DN12" s="243">
        <f t="shared" ref="DN12" si="57">DJ12</f>
        <v>180</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58">SUM(CI12:CL12)</f>
        <v>663</v>
      </c>
      <c r="ET12" s="235">
        <f t="shared" ref="ET12:ET13" si="59">SUM(CM12:CP12)</f>
        <v>696</v>
      </c>
      <c r="EU12" s="235">
        <f t="shared" ref="EU12" si="60">SUM(CQ12:CT12)</f>
        <v>622</v>
      </c>
      <c r="EV12" s="235">
        <f t="shared" ref="EV12" si="61">SUM(CU12:CX12)</f>
        <v>667</v>
      </c>
      <c r="EW12" s="235">
        <f t="shared" ref="EW12" si="62">SUM(CY12:DB12)</f>
        <v>644</v>
      </c>
      <c r="EX12" s="235">
        <f t="shared" si="51"/>
        <v>783</v>
      </c>
      <c r="EY12" s="235">
        <f t="shared" si="26"/>
        <v>662</v>
      </c>
      <c r="EZ12" s="235">
        <f>SUM(DK12:DN12)</f>
        <v>662</v>
      </c>
      <c r="FA12" s="235">
        <f t="shared" ref="FA12" si="63">EZ12*0.5</f>
        <v>331</v>
      </c>
      <c r="FB12" s="235">
        <f t="shared" ref="FB12" si="64">FA12*0.5</f>
        <v>165.5</v>
      </c>
      <c r="FC12" s="235">
        <f t="shared" ref="FC12" si="65">FB12*0.5</f>
        <v>82.75</v>
      </c>
      <c r="FD12" s="235">
        <f t="shared" ref="FD12" si="66">FC12*0.5</f>
        <v>41.375</v>
      </c>
      <c r="FE12" s="235">
        <f t="shared" ref="FE12:FJ12" si="67">FD12*0.5</f>
        <v>20.6875</v>
      </c>
      <c r="FF12" s="235">
        <f t="shared" si="67"/>
        <v>10.34375</v>
      </c>
      <c r="FG12" s="235">
        <f t="shared" si="67"/>
        <v>5.171875</v>
      </c>
      <c r="FH12" s="235">
        <f t="shared" si="67"/>
        <v>2.5859375</v>
      </c>
      <c r="FI12" s="235">
        <f t="shared" si="67"/>
        <v>1.29296875</v>
      </c>
      <c r="FJ12" s="235">
        <f t="shared" si="67"/>
        <v>0.646484375</v>
      </c>
      <c r="FM12"/>
    </row>
    <row r="13" spans="1:169" s="254" customFormat="1" x14ac:dyDescent="0.2">
      <c r="B13" t="s">
        <v>1902</v>
      </c>
      <c r="C13" s="339"/>
      <c r="D13" s="339"/>
      <c r="E13" s="339"/>
      <c r="F13" s="339"/>
      <c r="G13" s="339"/>
      <c r="H13" s="339"/>
      <c r="I13" s="339"/>
      <c r="J13" s="339"/>
      <c r="K13" s="339"/>
      <c r="L13" s="339"/>
      <c r="M13" s="339"/>
      <c r="N13" s="339"/>
      <c r="O13" s="339"/>
      <c r="P13" s="339"/>
      <c r="Q13" s="339"/>
      <c r="R13" s="339"/>
      <c r="S13" s="341"/>
      <c r="T13" s="341"/>
      <c r="U13" s="341"/>
      <c r="V13" s="341"/>
      <c r="W13" s="341"/>
      <c r="X13" s="341"/>
      <c r="Y13" s="341"/>
      <c r="Z13" s="341"/>
      <c r="AA13" s="341"/>
      <c r="AB13" s="341"/>
      <c r="AC13" s="341"/>
      <c r="AD13" s="340"/>
      <c r="AE13" s="340"/>
      <c r="AF13" s="340"/>
      <c r="AG13" s="340"/>
      <c r="AH13" s="340"/>
      <c r="AI13" s="340"/>
      <c r="AJ13" s="340"/>
      <c r="AK13" s="340"/>
      <c r="AL13" s="340"/>
      <c r="AM13" s="340"/>
      <c r="AN13" s="340"/>
      <c r="AO13" s="340"/>
      <c r="AP13" s="340"/>
      <c r="AQ13" s="340"/>
      <c r="AR13" s="340"/>
      <c r="AS13" s="340"/>
      <c r="AT13" s="340"/>
      <c r="AU13" s="340"/>
      <c r="AV13" s="340"/>
      <c r="AW13" s="340"/>
      <c r="AX13" s="340"/>
      <c r="AY13" s="340"/>
      <c r="AZ13" s="340"/>
      <c r="BA13" s="340"/>
      <c r="BB13" s="340"/>
      <c r="BC13" s="340"/>
      <c r="BD13" s="340"/>
      <c r="BE13" s="340"/>
      <c r="BF13" s="340"/>
      <c r="BG13" s="340"/>
      <c r="BH13" s="340"/>
      <c r="BI13" s="340"/>
      <c r="BJ13" s="340"/>
      <c r="BK13" s="340"/>
      <c r="BL13" s="340"/>
      <c r="BM13" s="340"/>
      <c r="BN13" s="340"/>
      <c r="BO13" s="340"/>
      <c r="BP13" s="340"/>
      <c r="BQ13" s="340"/>
      <c r="BR13" s="340"/>
      <c r="BS13" s="340"/>
      <c r="BT13" s="340"/>
      <c r="BU13" s="340"/>
      <c r="BV13" s="340"/>
      <c r="BW13" s="340"/>
      <c r="BX13" s="340"/>
      <c r="BY13" s="340"/>
      <c r="BZ13" s="340"/>
      <c r="CA13" s="340"/>
      <c r="CB13" s="340"/>
      <c r="CC13" s="340"/>
      <c r="CD13" s="340"/>
      <c r="CE13" s="340"/>
      <c r="CF13" s="340"/>
      <c r="CG13" s="340"/>
      <c r="CH13" s="340"/>
      <c r="CI13" s="340"/>
      <c r="CJ13" s="340"/>
      <c r="CK13" s="340"/>
      <c r="CL13" s="340"/>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v>
      </c>
      <c r="DJ13" s="243">
        <f t="shared" ref="DJ13" si="68">DI13+15</f>
        <v>299</v>
      </c>
      <c r="DK13" s="243">
        <f t="shared" ref="DK13" si="69">DJ13+15</f>
        <v>314</v>
      </c>
      <c r="DL13" s="243">
        <f t="shared" ref="DL13" si="70">DK13+15</f>
        <v>329</v>
      </c>
      <c r="DM13" s="243">
        <f t="shared" ref="DM13" si="71">DL13+15</f>
        <v>344</v>
      </c>
      <c r="DN13" s="243">
        <f t="shared" ref="DN13" si="72">DM13+15</f>
        <v>359</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58"/>
        <v>0</v>
      </c>
      <c r="ET13" s="235">
        <f t="shared" si="59"/>
        <v>0</v>
      </c>
      <c r="EU13" s="235">
        <v>0</v>
      </c>
      <c r="EV13" s="235">
        <v>224</v>
      </c>
      <c r="EW13" s="235">
        <v>374</v>
      </c>
      <c r="EX13" s="235">
        <f t="shared" si="51"/>
        <v>689</v>
      </c>
      <c r="EY13" s="235">
        <f t="shared" si="26"/>
        <v>1079</v>
      </c>
      <c r="EZ13" s="235">
        <f>SUM(DK13:DN13)</f>
        <v>1346</v>
      </c>
      <c r="FA13" s="235"/>
      <c r="FB13" s="235"/>
      <c r="FC13" s="235"/>
      <c r="FD13" s="235"/>
      <c r="FE13" s="235"/>
      <c r="FF13" s="235"/>
      <c r="FG13" s="235"/>
      <c r="FH13" s="235"/>
      <c r="FI13" s="235"/>
      <c r="FJ13" s="235"/>
      <c r="FM13"/>
    </row>
    <row r="14" spans="1:169" s="254" customFormat="1" x14ac:dyDescent="0.2">
      <c r="B14" t="s">
        <v>1682</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v>
      </c>
      <c r="DJ14" s="243">
        <f t="shared" si="53"/>
        <v>404</v>
      </c>
      <c r="DK14" s="243">
        <f t="shared" ref="DK14" si="73">DG14</f>
        <v>345</v>
      </c>
      <c r="DL14" s="243">
        <f t="shared" ref="DL14" si="74">DH14</f>
        <v>294</v>
      </c>
      <c r="DM14" s="243">
        <f t="shared" ref="DM14" si="75">DI14</f>
        <v>281</v>
      </c>
      <c r="DN14" s="243">
        <f t="shared" ref="DN14" si="76">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58"/>
        <v>1749</v>
      </c>
      <c r="ET14" s="235">
        <f>SUM(CM14:CP14)</f>
        <v>1614</v>
      </c>
      <c r="EU14" s="235">
        <f>SUM(CQ14:CT14)</f>
        <v>1632</v>
      </c>
      <c r="EV14" s="235">
        <f t="shared" si="44"/>
        <v>1719</v>
      </c>
      <c r="EW14" s="235">
        <f>SUM(CY14:DB14)</f>
        <v>1624</v>
      </c>
      <c r="EX14" s="235">
        <f t="shared" si="51"/>
        <v>1553</v>
      </c>
      <c r="EY14" s="235">
        <f t="shared" si="26"/>
        <v>1324</v>
      </c>
      <c r="EZ14" s="235">
        <f>SUM(DK14:DN14)</f>
        <v>1324</v>
      </c>
      <c r="FA14" s="235">
        <f t="shared" ref="FA14:FJ14" si="77">+EZ14*0.9</f>
        <v>1191.6000000000001</v>
      </c>
      <c r="FB14" s="235">
        <f t="shared" si="77"/>
        <v>1072.44</v>
      </c>
      <c r="FC14" s="235">
        <f t="shared" si="77"/>
        <v>965.19600000000003</v>
      </c>
      <c r="FD14" s="235">
        <f t="shared" si="77"/>
        <v>868.67640000000006</v>
      </c>
      <c r="FE14" s="235">
        <f t="shared" si="77"/>
        <v>781.80876000000012</v>
      </c>
      <c r="FF14" s="235">
        <f t="shared" si="77"/>
        <v>703.62788400000011</v>
      </c>
      <c r="FG14" s="235">
        <f t="shared" si="77"/>
        <v>633.26509560000011</v>
      </c>
      <c r="FH14" s="235">
        <f t="shared" si="77"/>
        <v>569.93858604000013</v>
      </c>
      <c r="FI14" s="235">
        <f t="shared" si="77"/>
        <v>512.94472743600011</v>
      </c>
      <c r="FJ14" s="235">
        <f t="shared" si="77"/>
        <v>461.6502546924001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78">SUM(CQ15:CT15)</f>
        <v>0</v>
      </c>
      <c r="EV15" s="235">
        <f t="shared" ref="EV15:EV18" si="79">SUM(CU15:CX15)</f>
        <v>0</v>
      </c>
      <c r="EW15" s="235">
        <f t="shared" ref="EW15:EW18" si="80">SUM(CY15:DB15)</f>
        <v>0</v>
      </c>
      <c r="EX15" s="235">
        <f t="shared" si="51"/>
        <v>0</v>
      </c>
      <c r="EY15" s="235">
        <f t="shared" si="26"/>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1">SUM(AQ16:AT16)</f>
        <v>1357</v>
      </c>
      <c r="EI16" s="235">
        <f t="shared" ref="EI16:EI18" si="82">SUM(AU16:AX16)</f>
        <v>1158</v>
      </c>
      <c r="EJ16" s="235">
        <f t="shared" ref="EJ16:EJ18" si="83">SUM(AY16:BB16)</f>
        <v>1096</v>
      </c>
      <c r="EK16" s="235">
        <f t="shared" si="41"/>
        <v>1006</v>
      </c>
      <c r="EL16" s="235">
        <f t="shared" ref="EL16:EL38" si="84">SUM(BG16:BJ16)</f>
        <v>975</v>
      </c>
      <c r="EM16" s="235">
        <f t="shared" ref="EM16:EM18" si="85">SUM(BK16:BN16)</f>
        <v>835</v>
      </c>
      <c r="EN16" s="235">
        <f>SUM(BO16:BR16)</f>
        <v>470</v>
      </c>
      <c r="EO16" s="235"/>
      <c r="EP16" s="76"/>
      <c r="EQ16" s="76"/>
      <c r="ER16" s="76"/>
      <c r="ES16" s="76"/>
      <c r="ET16" s="76"/>
      <c r="EU16" s="235">
        <f t="shared" si="78"/>
        <v>0</v>
      </c>
      <c r="EV16" s="235">
        <f t="shared" si="79"/>
        <v>0</v>
      </c>
      <c r="EW16" s="235">
        <f t="shared" si="80"/>
        <v>0</v>
      </c>
      <c r="EX16" s="235">
        <f t="shared" si="51"/>
        <v>0</v>
      </c>
      <c r="EY16" s="235">
        <f t="shared" si="26"/>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1"/>
        <v>2453</v>
      </c>
      <c r="EI17" s="235">
        <f t="shared" si="82"/>
        <v>2731</v>
      </c>
      <c r="EJ17" s="235">
        <f t="shared" si="83"/>
        <v>1151</v>
      </c>
      <c r="EK17" s="235">
        <f t="shared" si="41"/>
        <v>538</v>
      </c>
      <c r="EL17" s="235">
        <f t="shared" si="84"/>
        <v>488</v>
      </c>
      <c r="EM17" s="235"/>
      <c r="EN17" s="235"/>
      <c r="EO17" s="235"/>
      <c r="EU17" s="235">
        <f t="shared" si="78"/>
        <v>0</v>
      </c>
      <c r="EV17" s="235">
        <f t="shared" si="79"/>
        <v>0</v>
      </c>
      <c r="EW17" s="235">
        <f t="shared" si="80"/>
        <v>0</v>
      </c>
      <c r="EX17" s="235">
        <f t="shared" si="51"/>
        <v>0</v>
      </c>
      <c r="EY17" s="235">
        <f t="shared" si="26"/>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86">+DF18*0.9</f>
        <v>395.1</v>
      </c>
      <c r="DK18" s="243">
        <f t="shared" ref="DK18" si="87">+DG18*0.9</f>
        <v>376.2</v>
      </c>
      <c r="DL18" s="243">
        <f t="shared" ref="DL18" si="88">+DH18*0.9</f>
        <v>394.2</v>
      </c>
      <c r="DM18" s="243">
        <f t="shared" ref="DM18" si="89">+DI18*0.9</f>
        <v>404.1</v>
      </c>
      <c r="DN18" s="243">
        <f t="shared" ref="DN18" si="90">+DJ18*0.9</f>
        <v>355.59000000000003</v>
      </c>
      <c r="EI18" s="235">
        <f t="shared" si="82"/>
        <v>334</v>
      </c>
      <c r="EJ18" s="235">
        <f t="shared" si="83"/>
        <v>592</v>
      </c>
      <c r="EK18" s="235">
        <f t="shared" si="41"/>
        <v>857</v>
      </c>
      <c r="EL18" s="235">
        <f t="shared" si="84"/>
        <v>1211</v>
      </c>
      <c r="EM18" s="235">
        <f t="shared" si="85"/>
        <v>1414</v>
      </c>
      <c r="EN18" s="235">
        <f>SUM(BO18:BR18)</f>
        <v>1673</v>
      </c>
      <c r="EO18" s="235">
        <f>SUM(BS18:BV18)</f>
        <v>1831</v>
      </c>
      <c r="EP18" s="235">
        <f>EO18</f>
        <v>1831</v>
      </c>
      <c r="EQ18" s="235">
        <f>EP18*0.5</f>
        <v>915.5</v>
      </c>
      <c r="ER18" s="235"/>
      <c r="ES18" s="235">
        <f t="shared" ref="ES18:ES20" si="91">SUM(CI18:CL18)</f>
        <v>1955</v>
      </c>
      <c r="ET18" s="235">
        <f>SUM(CM18:CP18)</f>
        <v>2110</v>
      </c>
      <c r="EU18" s="235">
        <f t="shared" si="78"/>
        <v>2184</v>
      </c>
      <c r="EV18" s="235">
        <f t="shared" si="79"/>
        <v>2083</v>
      </c>
      <c r="EW18" s="235">
        <f t="shared" si="80"/>
        <v>1943</v>
      </c>
      <c r="EX18" s="235">
        <f t="shared" si="51"/>
        <v>1854</v>
      </c>
      <c r="EY18" s="235">
        <f t="shared" si="26"/>
        <v>1700.1</v>
      </c>
      <c r="EZ18" s="235">
        <f>SUM(DK18:DN18)</f>
        <v>1530.0900000000001</v>
      </c>
      <c r="FA18" s="235"/>
      <c r="FB18" s="235"/>
      <c r="FC18" s="235"/>
      <c r="FD18" s="235"/>
      <c r="FE18" s="235"/>
      <c r="FF18" s="235"/>
      <c r="FG18" s="235"/>
      <c r="FH18" s="235"/>
      <c r="FI18" s="235"/>
      <c r="FJ18" s="235"/>
      <c r="FK18" s="254"/>
    </row>
    <row r="19" spans="2:169" ht="12.75" customHeight="1" x14ac:dyDescent="0.2">
      <c r="B19" t="s">
        <v>1624</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2">+DG19*1.1</f>
        <v>355.3</v>
      </c>
      <c r="DL19" s="243">
        <f t="shared" si="92"/>
        <v>326.70000000000005</v>
      </c>
      <c r="DM19" s="243">
        <f t="shared" si="92"/>
        <v>363.00000000000006</v>
      </c>
      <c r="DN19" s="243">
        <f t="shared" si="92"/>
        <v>371.47000000000008</v>
      </c>
      <c r="EI19" s="235"/>
      <c r="EJ19" s="235"/>
      <c r="EK19" s="235"/>
      <c r="EL19" s="235"/>
      <c r="EM19" s="235"/>
      <c r="EN19" s="235"/>
      <c r="EO19" s="235">
        <f>SUM(BS19:BV19)</f>
        <v>365</v>
      </c>
      <c r="EP19" s="235">
        <f>+EO19*1.05</f>
        <v>383.25</v>
      </c>
      <c r="EQ19" s="235">
        <f t="shared" ref="EQ19" si="93">+EP19*1.05</f>
        <v>402.41250000000002</v>
      </c>
      <c r="ER19" s="235"/>
      <c r="ES19" s="235">
        <f t="shared" si="91"/>
        <v>816</v>
      </c>
      <c r="ET19" s="235">
        <f>SUM(CM19:CP19)</f>
        <v>861</v>
      </c>
      <c r="EU19" s="235">
        <f>SUM(CQ19:CT19)</f>
        <v>964</v>
      </c>
      <c r="EV19" s="235">
        <f t="shared" ref="EV19:EV24" si="94">SUM(CU19:CX19)</f>
        <v>994</v>
      </c>
      <c r="EW19" s="235">
        <f>SUM(CY19:DB19)</f>
        <v>1008</v>
      </c>
      <c r="EX19" s="235">
        <f t="shared" si="51"/>
        <v>1150</v>
      </c>
      <c r="EY19" s="235">
        <f t="shared" si="26"/>
        <v>1287.7</v>
      </c>
      <c r="EZ19" s="235">
        <f>SUM(DK19:DN19)</f>
        <v>1416.47</v>
      </c>
      <c r="FA19" s="235">
        <f t="shared" ref="FA19:FF19" si="95">+EZ19*0.5</f>
        <v>708.23500000000001</v>
      </c>
      <c r="FB19" s="235">
        <f t="shared" si="95"/>
        <v>354.11750000000001</v>
      </c>
      <c r="FC19" s="235">
        <f t="shared" si="95"/>
        <v>177.05875</v>
      </c>
      <c r="FD19" s="235">
        <f t="shared" si="95"/>
        <v>88.529375000000002</v>
      </c>
      <c r="FE19" s="235">
        <f t="shared" si="95"/>
        <v>44.264687500000001</v>
      </c>
      <c r="FF19" s="235">
        <f t="shared" si="95"/>
        <v>22.13234375</v>
      </c>
      <c r="FG19" s="235">
        <f t="shared" ref="FG19" si="96">+FF19*0.5</f>
        <v>11.066171875</v>
      </c>
      <c r="FH19" s="235">
        <f t="shared" ref="FH19" si="97">+FG19*0.5</f>
        <v>5.5330859375000001</v>
      </c>
      <c r="FI19" s="235">
        <f t="shared" ref="FI19" si="98">+FH19*0.5</f>
        <v>2.7665429687500001</v>
      </c>
      <c r="FJ19" s="235">
        <f t="shared" ref="FJ19" si="99">+FI19*0.5</f>
        <v>1.383271484375</v>
      </c>
      <c r="FK19" s="254"/>
    </row>
    <row r="20" spans="2:169" x14ac:dyDescent="0.2">
      <c r="B20" t="s">
        <v>1680</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1"/>
        <v>0</v>
      </c>
      <c r="ET20" s="235">
        <f>SUM(CM20:CP20)</f>
        <v>0</v>
      </c>
      <c r="EU20" s="235">
        <f>SUM(CQ20:CT20)</f>
        <v>0</v>
      </c>
      <c r="EV20" s="235">
        <f t="shared" si="94"/>
        <v>2385</v>
      </c>
      <c r="EW20" s="235">
        <f t="shared" ref="EW20:EW24" si="100">SUM(CY20:DB20)</f>
        <v>2179</v>
      </c>
      <c r="EX20" s="235">
        <f t="shared" si="51"/>
        <v>1117</v>
      </c>
      <c r="EY20" s="235">
        <f t="shared" si="26"/>
        <v>198</v>
      </c>
      <c r="EZ20" s="235">
        <f>SUM(DK20:DN20)</f>
        <v>0</v>
      </c>
      <c r="FA20" s="235"/>
      <c r="FB20" s="235"/>
      <c r="FC20" s="235"/>
      <c r="FD20" s="235"/>
      <c r="FE20" s="235"/>
      <c r="FF20" s="235"/>
      <c r="FG20" s="235"/>
      <c r="FH20" s="235"/>
      <c r="FI20" s="235"/>
      <c r="FJ20" s="235"/>
      <c r="FK20" s="254"/>
    </row>
    <row r="21" spans="2:169" s="254" customFormat="1" x14ac:dyDescent="0.2">
      <c r="B21" t="s">
        <v>153</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1">SUM(AY21:BB21)</f>
        <v>1550</v>
      </c>
      <c r="EK21" s="235">
        <f>SUM(BC21:BF21)</f>
        <v>1357</v>
      </c>
      <c r="EL21" s="235">
        <f>SUM(BG21:BJ21)</f>
        <v>623</v>
      </c>
      <c r="EM21" s="235">
        <f>SUM(BK21:BN21)</f>
        <v>75</v>
      </c>
      <c r="EN21" s="76"/>
      <c r="EO21" s="76"/>
      <c r="EP21" s="76"/>
      <c r="EQ21" s="76"/>
      <c r="ER21" s="76"/>
      <c r="ES21" s="76"/>
      <c r="ET21" s="76"/>
      <c r="EU21" s="235">
        <f t="shared" ref="EU21:EU24" si="102">SUM(CQ21:CT21)</f>
        <v>0</v>
      </c>
      <c r="EV21" s="235">
        <f t="shared" si="94"/>
        <v>0</v>
      </c>
      <c r="EW21" s="235">
        <f t="shared" si="100"/>
        <v>0</v>
      </c>
      <c r="EX21" s="235">
        <f t="shared" si="51"/>
        <v>0</v>
      </c>
      <c r="EY21" s="235"/>
      <c r="EZ21" s="235"/>
      <c r="FM21"/>
    </row>
    <row r="22" spans="2:169" s="254" customFormat="1" x14ac:dyDescent="0.2">
      <c r="B22" t="s">
        <v>216</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3">EO22*1.1</f>
        <v>0</v>
      </c>
      <c r="EQ22" s="235">
        <f>+EP22*0.1</f>
        <v>0</v>
      </c>
      <c r="ER22" s="235">
        <f>+EQ22*0.1</f>
        <v>0</v>
      </c>
      <c r="ES22" s="235">
        <f t="shared" ref="ES22:ET22" si="104">+ER22*0.1</f>
        <v>0</v>
      </c>
      <c r="ET22" s="235">
        <f t="shared" si="104"/>
        <v>0</v>
      </c>
      <c r="EU22" s="235">
        <f t="shared" si="102"/>
        <v>0</v>
      </c>
      <c r="EV22" s="235">
        <f t="shared" si="94"/>
        <v>0</v>
      </c>
      <c r="EW22" s="235">
        <f t="shared" si="100"/>
        <v>0</v>
      </c>
      <c r="EX22" s="235">
        <f t="shared" si="51"/>
        <v>0</v>
      </c>
      <c r="EY22" s="235"/>
      <c r="EZ22" s="235"/>
      <c r="FA22" s="235"/>
      <c r="FB22" s="235"/>
      <c r="FC22" s="235"/>
      <c r="FD22" s="235"/>
      <c r="FE22" s="235"/>
      <c r="FF22" s="235"/>
      <c r="FG22" s="235"/>
      <c r="FH22" s="235"/>
      <c r="FI22" s="235"/>
      <c r="FJ22" s="235"/>
      <c r="FM22" t="s">
        <v>1318</v>
      </c>
    </row>
    <row r="23" spans="2:169" s="254" customFormat="1" x14ac:dyDescent="0.2">
      <c r="B23" t="s">
        <v>1622</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2"/>
        <v>0</v>
      </c>
      <c r="EV23" s="235">
        <f t="shared" si="94"/>
        <v>0</v>
      </c>
      <c r="EW23" s="235">
        <f t="shared" si="100"/>
        <v>0</v>
      </c>
      <c r="EX23" s="235">
        <f t="shared" si="51"/>
        <v>0</v>
      </c>
      <c r="EY23" s="235"/>
      <c r="EZ23" s="235"/>
      <c r="FA23" s="235"/>
      <c r="FB23" s="235"/>
      <c r="FC23" s="235"/>
      <c r="FD23" s="235"/>
      <c r="FE23" s="235"/>
      <c r="FF23" s="235"/>
      <c r="FG23" s="235"/>
      <c r="FH23" s="235"/>
      <c r="FI23" s="235"/>
      <c r="FJ23" s="235"/>
      <c r="FM23"/>
    </row>
    <row r="24" spans="2:169" s="254" customFormat="1" x14ac:dyDescent="0.2">
      <c r="B24" t="s">
        <v>1483</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632</v>
      </c>
      <c r="EG24" s="76" t="s">
        <v>631</v>
      </c>
      <c r="EH24" s="76" t="s">
        <v>74</v>
      </c>
      <c r="EI24" s="76" t="s">
        <v>74</v>
      </c>
      <c r="EJ24" s="235" t="s">
        <v>74</v>
      </c>
      <c r="EK24" s="235"/>
      <c r="EL24" s="235">
        <f>SUM(BG24:BJ24)</f>
        <v>0</v>
      </c>
      <c r="EM24" s="235">
        <f>SUM(BK24:BN24)</f>
        <v>443</v>
      </c>
      <c r="EN24" s="235">
        <f>SUM(BO24:BR24)</f>
        <v>517</v>
      </c>
      <c r="EO24" s="235">
        <f>SUM(BS24:BV24)</f>
        <v>183</v>
      </c>
      <c r="EP24" s="235">
        <f>+EO24*0.1</f>
        <v>18.3</v>
      </c>
      <c r="EQ24" s="235">
        <f t="shared" ref="EQ24:ET24" si="105">+EP24*0.1</f>
        <v>1.83</v>
      </c>
      <c r="ER24" s="235">
        <f t="shared" si="105"/>
        <v>0.18300000000000002</v>
      </c>
      <c r="ES24" s="235">
        <f t="shared" si="105"/>
        <v>1.8300000000000004E-2</v>
      </c>
      <c r="ET24" s="235">
        <f t="shared" si="105"/>
        <v>1.8300000000000005E-3</v>
      </c>
      <c r="EU24" s="235">
        <f t="shared" si="102"/>
        <v>0</v>
      </c>
      <c r="EV24" s="235">
        <f t="shared" si="94"/>
        <v>0</v>
      </c>
      <c r="EW24" s="235">
        <f t="shared" si="100"/>
        <v>0</v>
      </c>
      <c r="EX24" s="235">
        <f t="shared" si="51"/>
        <v>0</v>
      </c>
      <c r="EY24" s="235"/>
      <c r="EZ24" s="235"/>
      <c r="FA24" s="235"/>
      <c r="FB24" s="235"/>
      <c r="FC24" s="235"/>
      <c r="FD24" s="235"/>
      <c r="FE24" s="235"/>
      <c r="FF24" s="235"/>
      <c r="FG24" s="235"/>
      <c r="FH24" s="235"/>
      <c r="FI24" s="235"/>
      <c r="FJ24" s="235"/>
      <c r="FM24"/>
    </row>
    <row r="25" spans="2:169" x14ac:dyDescent="0.2">
      <c r="B25" t="s">
        <v>1681</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v>55</v>
      </c>
      <c r="DJ25" s="243">
        <f t="shared" ref="DJ25" si="106">DI25</f>
        <v>55</v>
      </c>
      <c r="DK25" s="243">
        <f t="shared" ref="DK25" si="107">DJ25</f>
        <v>55</v>
      </c>
      <c r="DL25" s="243">
        <f t="shared" ref="DL25" si="108">DK25</f>
        <v>55</v>
      </c>
      <c r="DM25" s="243">
        <f t="shared" ref="DM25" si="109">DL25</f>
        <v>55</v>
      </c>
      <c r="DN25" s="243">
        <f t="shared" ref="DN25" si="110">DM25</f>
        <v>55</v>
      </c>
      <c r="EI25" s="235"/>
      <c r="EJ25" s="235"/>
      <c r="EK25" s="235"/>
      <c r="EL25" s="235"/>
      <c r="EM25" s="235"/>
      <c r="EN25" s="235"/>
      <c r="EO25" s="235"/>
      <c r="EP25" s="235"/>
      <c r="EQ25" s="235"/>
      <c r="ER25" s="235"/>
      <c r="ES25" s="235">
        <f t="shared" ref="ES25:ES29" si="111">SUM(CI25:CL25)</f>
        <v>533</v>
      </c>
      <c r="ET25" s="235">
        <f>SUM(CM25:CP25)</f>
        <v>441</v>
      </c>
      <c r="EU25" s="235">
        <f>SUM(CQ25:CT25)</f>
        <v>427</v>
      </c>
      <c r="EV25" s="235">
        <f t="shared" ref="EV25:EV29" si="112">SUM(CU25:CX25)</f>
        <v>380</v>
      </c>
      <c r="EW25" s="235">
        <f>SUM(CY25:DB25)</f>
        <v>318</v>
      </c>
      <c r="EX25" s="235">
        <f t="shared" si="51"/>
        <v>297</v>
      </c>
      <c r="EY25" s="235">
        <f>SUM(DD25:DG25)</f>
        <v>268</v>
      </c>
      <c r="EZ25" s="235">
        <f>SUM(DK25:DN25)</f>
        <v>220</v>
      </c>
      <c r="FA25" s="235">
        <f t="shared" ref="FA25:FE25" si="113">+EZ25</f>
        <v>220</v>
      </c>
      <c r="FB25" s="235">
        <f t="shared" si="113"/>
        <v>220</v>
      </c>
      <c r="FC25" s="235">
        <f t="shared" si="113"/>
        <v>220</v>
      </c>
      <c r="FD25" s="235">
        <f t="shared" si="113"/>
        <v>220</v>
      </c>
      <c r="FE25" s="235">
        <f t="shared" si="113"/>
        <v>220</v>
      </c>
      <c r="FF25" s="235">
        <f t="shared" ref="FF25" si="114">+FE25</f>
        <v>220</v>
      </c>
      <c r="FG25" s="235">
        <f t="shared" ref="FG25" si="115">+FF25</f>
        <v>220</v>
      </c>
      <c r="FH25" s="235">
        <f t="shared" ref="FH25" si="116">+FG25</f>
        <v>220</v>
      </c>
      <c r="FI25" s="235">
        <f t="shared" ref="FI25" si="117">+FH25</f>
        <v>220</v>
      </c>
      <c r="FJ25" s="235">
        <f t="shared" ref="FJ25" si="118">+FI25</f>
        <v>220</v>
      </c>
      <c r="FK25" s="254"/>
    </row>
    <row r="26" spans="2:169" ht="12.75" customHeight="1" x14ac:dyDescent="0.2">
      <c r="B26" t="s">
        <v>1561</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v>753</v>
      </c>
      <c r="DJ26" s="243">
        <f t="shared" ref="DJ26" si="119">DF26*0.8</f>
        <v>630.40000000000009</v>
      </c>
      <c r="DK26" s="243">
        <f t="shared" ref="DK26" si="120">DG26*0.8</f>
        <v>627.20000000000005</v>
      </c>
      <c r="DL26" s="243">
        <f t="shared" ref="DL26" si="121">DH26*0.8</f>
        <v>616</v>
      </c>
      <c r="DM26" s="243">
        <f t="shared" ref="DM26" si="122">DI26*0.8</f>
        <v>602.4</v>
      </c>
      <c r="DN26" s="243">
        <f t="shared" ref="DN26" si="123">DJ26*0.8</f>
        <v>504.32000000000011</v>
      </c>
      <c r="EI26" s="235"/>
      <c r="EJ26" s="235"/>
      <c r="EK26" s="235"/>
      <c r="EL26" s="235"/>
      <c r="EM26" s="235"/>
      <c r="EN26" s="235"/>
      <c r="EO26" s="235"/>
      <c r="EP26" s="235"/>
      <c r="EQ26" s="235"/>
      <c r="ER26" s="235"/>
      <c r="ES26" s="235">
        <f t="shared" si="111"/>
        <v>2615</v>
      </c>
      <c r="ET26" s="235">
        <f>SUM(CM26:CP26)</f>
        <v>3411</v>
      </c>
      <c r="EU26" s="235">
        <f>SUM(CQ26:CT26)</f>
        <v>4128</v>
      </c>
      <c r="EV26" s="235">
        <f t="shared" si="112"/>
        <v>4369</v>
      </c>
      <c r="EW26" s="235">
        <f>SUM(CY26:DB26)</f>
        <v>3785</v>
      </c>
      <c r="EX26" s="235">
        <f t="shared" si="51"/>
        <v>3264</v>
      </c>
      <c r="EY26" s="235">
        <f t="shared" si="26"/>
        <v>2937.4</v>
      </c>
      <c r="EZ26" s="235">
        <f>SUM(DK26:DN26)</f>
        <v>2349.92</v>
      </c>
      <c r="FA26" s="235">
        <f t="shared" ref="FA26:FE26" si="124">+EZ26*0.95</f>
        <v>2232.424</v>
      </c>
      <c r="FB26" s="235">
        <f t="shared" si="124"/>
        <v>2120.8027999999999</v>
      </c>
      <c r="FC26" s="235">
        <f t="shared" si="124"/>
        <v>2014.7626599999999</v>
      </c>
      <c r="FD26" s="235">
        <f t="shared" si="124"/>
        <v>1914.0245269999998</v>
      </c>
      <c r="FE26" s="235">
        <f t="shared" si="124"/>
        <v>1818.3233006499997</v>
      </c>
      <c r="FF26" s="235">
        <f t="shared" ref="FF26" si="125">+FE26*0.95</f>
        <v>1727.4071356174998</v>
      </c>
      <c r="FG26" s="235">
        <f t="shared" ref="FG26" si="126">+FF26*0.95</f>
        <v>1641.0367788366248</v>
      </c>
      <c r="FH26" s="235">
        <f t="shared" ref="FH26" si="127">+FG26*0.95</f>
        <v>1558.9849398947933</v>
      </c>
      <c r="FI26" s="235">
        <f t="shared" ref="FI26" si="128">+FH26*0.95</f>
        <v>1481.0356929000536</v>
      </c>
      <c r="FJ26" s="235">
        <f t="shared" ref="FJ26" si="129">+FI26*0.95</f>
        <v>1406.9839082550509</v>
      </c>
      <c r="FK26" s="254"/>
    </row>
    <row r="27" spans="2:169" ht="12.75" customHeight="1" x14ac:dyDescent="0.2">
      <c r="B27" t="s">
        <v>1675</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v>3016</v>
      </c>
      <c r="DJ27" s="243">
        <f t="shared" ref="DJ27" si="130">DF27*1.15</f>
        <v>2932.5</v>
      </c>
      <c r="DK27" s="243">
        <f t="shared" ref="DK27" si="131">DG27*1.15</f>
        <v>3095.7999999999997</v>
      </c>
      <c r="DL27" s="243">
        <f t="shared" ref="DL27" si="132">DH27*1.15</f>
        <v>3309.7</v>
      </c>
      <c r="DM27" s="243">
        <f t="shared" ref="DM27" si="133">DI27*1.15</f>
        <v>3468.3999999999996</v>
      </c>
      <c r="DN27" s="243">
        <f t="shared" ref="DN27" si="134">DJ27*1.15</f>
        <v>3372.3749999999995</v>
      </c>
      <c r="EI27" s="235"/>
      <c r="EJ27" s="235"/>
      <c r="EK27" s="235"/>
      <c r="EL27" s="235"/>
      <c r="EM27" s="235"/>
      <c r="EN27" s="235"/>
      <c r="EO27" s="235"/>
      <c r="EP27" s="235"/>
      <c r="EQ27" s="235"/>
      <c r="ER27" s="235"/>
      <c r="ES27" s="235">
        <f t="shared" si="111"/>
        <v>2025</v>
      </c>
      <c r="ET27" s="235">
        <f>SUM(CM27:CP27)</f>
        <v>2998</v>
      </c>
      <c r="EU27" s="235">
        <f>SUM(CQ27:CT27)</f>
        <v>4190</v>
      </c>
      <c r="EV27" s="235">
        <f t="shared" si="112"/>
        <v>6023</v>
      </c>
      <c r="EW27" s="235">
        <f>SUM(CY27:DB27)</f>
        <v>7977</v>
      </c>
      <c r="EX27" s="235">
        <f t="shared" si="51"/>
        <v>9744</v>
      </c>
      <c r="EY27" s="235">
        <f t="shared" si="26"/>
        <v>11518.5</v>
      </c>
      <c r="EZ27" s="235">
        <f>SUM(DK27:DN27)</f>
        <v>13246.275</v>
      </c>
      <c r="FA27" s="235">
        <f>+EZ27*1.02</f>
        <v>13511.200499999999</v>
      </c>
      <c r="FB27" s="235">
        <f t="shared" ref="FB27:FE27" si="135">+FA27*1.02</f>
        <v>13781.424509999999</v>
      </c>
      <c r="FC27" s="235">
        <f t="shared" si="135"/>
        <v>14057.0530002</v>
      </c>
      <c r="FD27" s="235">
        <f t="shared" si="135"/>
        <v>14338.194060203999</v>
      </c>
      <c r="FE27" s="235">
        <f t="shared" si="135"/>
        <v>14624.95794140808</v>
      </c>
      <c r="FF27" s="235">
        <f t="shared" ref="FF27" si="136">+FE27*1.02</f>
        <v>14917.457100236243</v>
      </c>
      <c r="FG27" s="235">
        <f t="shared" ref="FG27" si="137">+FF27*1.02</f>
        <v>15215.806242240968</v>
      </c>
      <c r="FH27" s="235">
        <f t="shared" ref="FH27" si="138">+FG27*1.02</f>
        <v>15520.122367085787</v>
      </c>
      <c r="FI27" s="235">
        <f t="shared" ref="FI27" si="139">+FH27*1.02</f>
        <v>15830.524814427503</v>
      </c>
      <c r="FJ27" s="235">
        <f t="shared" ref="FJ27" si="140">+FI27*1.02</f>
        <v>16147.135310716054</v>
      </c>
      <c r="FK27" s="254"/>
    </row>
    <row r="28" spans="2:169" ht="12.75" customHeight="1" x14ac:dyDescent="0.2">
      <c r="B28" t="s">
        <v>1898</v>
      </c>
      <c r="C28" s="339"/>
      <c r="D28" s="339"/>
      <c r="E28" s="339"/>
      <c r="F28" s="339"/>
      <c r="G28" s="339"/>
      <c r="H28" s="339"/>
      <c r="I28" s="339"/>
      <c r="J28" s="339"/>
      <c r="K28" s="339"/>
      <c r="L28" s="339"/>
      <c r="M28" s="339"/>
      <c r="N28" s="339"/>
      <c r="O28" s="339"/>
      <c r="P28" s="339"/>
      <c r="Q28" s="339"/>
      <c r="R28" s="339"/>
      <c r="S28" s="339"/>
      <c r="T28" s="339"/>
      <c r="U28" s="339"/>
      <c r="V28" s="339"/>
      <c r="W28" s="342"/>
      <c r="X28" s="342"/>
      <c r="Y28" s="342"/>
      <c r="Z28" s="342"/>
      <c r="AA28" s="342"/>
      <c r="AB28" s="342"/>
      <c r="AC28" s="342"/>
      <c r="AD28" s="342"/>
      <c r="AE28" s="343"/>
      <c r="AF28" s="340"/>
      <c r="AG28" s="340"/>
      <c r="AH28" s="340"/>
      <c r="AI28" s="340"/>
      <c r="AJ28" s="340"/>
      <c r="AK28" s="340"/>
      <c r="AL28" s="340"/>
      <c r="AM28" s="340"/>
      <c r="AN28" s="340"/>
      <c r="AO28" s="340"/>
      <c r="AP28" s="340"/>
      <c r="AQ28" s="340"/>
      <c r="AR28" s="340"/>
      <c r="AS28" s="340"/>
      <c r="AT28" s="340"/>
      <c r="AU28" s="340"/>
      <c r="AV28" s="340"/>
      <c r="AW28" s="340"/>
      <c r="AX28" s="340"/>
      <c r="AY28" s="340"/>
      <c r="AZ28" s="340"/>
      <c r="BA28" s="340"/>
      <c r="BB28" s="340"/>
      <c r="BC28" s="340"/>
      <c r="BD28" s="340"/>
      <c r="BE28" s="340"/>
      <c r="BF28" s="340"/>
      <c r="BG28" s="340"/>
      <c r="BH28" s="340"/>
      <c r="BI28" s="339"/>
      <c r="BJ28" s="339"/>
      <c r="BK28" s="339"/>
      <c r="BL28" s="339"/>
      <c r="BM28" s="339"/>
      <c r="BN28" s="339"/>
      <c r="BO28" s="340"/>
      <c r="BP28" s="340"/>
      <c r="BQ28" s="340"/>
      <c r="BR28" s="340"/>
      <c r="BS28" s="340"/>
      <c r="BT28" s="340"/>
      <c r="BU28" s="340"/>
      <c r="BV28" s="340"/>
      <c r="BW28" s="340"/>
      <c r="BX28" s="340"/>
      <c r="BY28" s="340"/>
      <c r="BZ28" s="340"/>
      <c r="CA28" s="340"/>
      <c r="CB28" s="340"/>
      <c r="CC28" s="340"/>
      <c r="CD28" s="340"/>
      <c r="CE28" s="340"/>
      <c r="CF28" s="340"/>
      <c r="CG28" s="340"/>
      <c r="CH28" s="340"/>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v>286</v>
      </c>
      <c r="DJ28" s="243">
        <f>DI28+10</f>
        <v>296</v>
      </c>
      <c r="DK28" s="243">
        <f t="shared" ref="DK28:DN28" si="141">DJ28+10</f>
        <v>306</v>
      </c>
      <c r="DL28" s="243">
        <f t="shared" si="141"/>
        <v>316</v>
      </c>
      <c r="DM28" s="243">
        <f t="shared" si="141"/>
        <v>326</v>
      </c>
      <c r="DN28" s="243">
        <f t="shared" si="141"/>
        <v>336</v>
      </c>
      <c r="EI28" s="235"/>
      <c r="EJ28" s="235"/>
      <c r="EK28" s="235"/>
      <c r="EL28" s="235"/>
      <c r="EM28" s="235"/>
      <c r="EN28" s="235"/>
      <c r="EO28" s="235"/>
      <c r="EP28" s="235"/>
      <c r="EQ28" s="235"/>
      <c r="ER28" s="235"/>
      <c r="ES28" s="235">
        <f t="shared" si="111"/>
        <v>0</v>
      </c>
      <c r="ET28" s="235">
        <f>SUM(CM28:CP28)</f>
        <v>0</v>
      </c>
      <c r="EU28" s="235">
        <f>SUM(CQ28:CT28)</f>
        <v>0</v>
      </c>
      <c r="EV28" s="235">
        <f t="shared" si="112"/>
        <v>0</v>
      </c>
      <c r="EW28" s="235">
        <f>SUM(CY28:DB28)</f>
        <v>133</v>
      </c>
      <c r="EX28" s="235">
        <f t="shared" si="51"/>
        <v>500</v>
      </c>
      <c r="EY28" s="235">
        <f t="shared" si="26"/>
        <v>925</v>
      </c>
      <c r="EZ28" s="235">
        <f>SUM(DK28:DN28)</f>
        <v>1284</v>
      </c>
      <c r="FA28" s="235">
        <f>+EZ28*1.05</f>
        <v>1348.2</v>
      </c>
      <c r="FB28" s="235">
        <f>+FA28*1.05</f>
        <v>1415.6100000000001</v>
      </c>
      <c r="FC28" s="235">
        <f t="shared" ref="FC28:FJ28" si="142">+FB28*1.05</f>
        <v>1486.3905000000002</v>
      </c>
      <c r="FD28" s="235">
        <f t="shared" si="142"/>
        <v>1560.7100250000003</v>
      </c>
      <c r="FE28" s="235">
        <f t="shared" si="142"/>
        <v>1638.7455262500005</v>
      </c>
      <c r="FF28" s="235">
        <f t="shared" si="142"/>
        <v>1720.6828025625005</v>
      </c>
      <c r="FG28" s="235">
        <f t="shared" si="142"/>
        <v>1806.7169426906255</v>
      </c>
      <c r="FH28" s="235">
        <f t="shared" si="142"/>
        <v>1897.0527898251569</v>
      </c>
      <c r="FI28" s="235">
        <f t="shared" si="142"/>
        <v>1991.9054293164147</v>
      </c>
      <c r="FJ28" s="235">
        <f t="shared" si="142"/>
        <v>2091.5007007822355</v>
      </c>
      <c r="FK28" s="254"/>
    </row>
    <row r="29" spans="2:169" s="254" customFormat="1" ht="12.75" customHeight="1" x14ac:dyDescent="0.2">
      <c r="B29" t="s">
        <v>1480</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v>150</v>
      </c>
      <c r="DJ29" s="243">
        <f t="shared" ref="DJ29" si="143">DI29*0.9</f>
        <v>135</v>
      </c>
      <c r="DK29" s="243">
        <f t="shared" ref="DK29" si="144">DJ29*0.9</f>
        <v>121.5</v>
      </c>
      <c r="DL29" s="243">
        <f t="shared" ref="DL29" si="145">DK29*0.9</f>
        <v>109.35000000000001</v>
      </c>
      <c r="DM29" s="243">
        <f t="shared" ref="DM29" si="146">DL29*0.9</f>
        <v>98.415000000000006</v>
      </c>
      <c r="DN29" s="243">
        <f t="shared" ref="DN29" si="147">DM29*0.9</f>
        <v>88.57350000000001</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48">SUM(BG29:BJ29)</f>
        <v>100</v>
      </c>
      <c r="EM29" s="235">
        <f t="shared" ref="EM29" si="149">SUM(BK29:BN29)</f>
        <v>961</v>
      </c>
      <c r="EN29" s="235">
        <f>SUM(BO29:BR29)</f>
        <v>1698</v>
      </c>
      <c r="EO29" s="235">
        <f>+EN29*1.2</f>
        <v>2037.6</v>
      </c>
      <c r="EP29" s="235">
        <f>+EO29*1.05</f>
        <v>2139.48</v>
      </c>
      <c r="EQ29" s="235">
        <f>+EP29*1.05</f>
        <v>2246.4540000000002</v>
      </c>
      <c r="ER29" s="235"/>
      <c r="ES29" s="235">
        <f t="shared" si="111"/>
        <v>3498</v>
      </c>
      <c r="ET29" s="235">
        <f>SUM(CM29:CP29)</f>
        <v>2795</v>
      </c>
      <c r="EU29" s="235">
        <f>SUM(CQ29:CT29)</f>
        <v>2470</v>
      </c>
      <c r="EV29" s="235">
        <f t="shared" si="112"/>
        <v>2297</v>
      </c>
      <c r="EW29" s="235">
        <f>SUM(CY29:DB29)</f>
        <v>1770</v>
      </c>
      <c r="EX29" s="235">
        <f t="shared" si="51"/>
        <v>887</v>
      </c>
      <c r="EY29" s="235">
        <f t="shared" si="26"/>
        <v>631</v>
      </c>
      <c r="EZ29" s="235">
        <f>SUM(DK29:DN29)</f>
        <v>417.83850000000007</v>
      </c>
      <c r="FA29" s="235">
        <f t="shared" ref="FA29:FE29" si="150">+EZ29*0.5</f>
        <v>208.91925000000003</v>
      </c>
      <c r="FB29" s="235">
        <f t="shared" si="150"/>
        <v>104.45962500000002</v>
      </c>
      <c r="FC29" s="235">
        <f t="shared" si="150"/>
        <v>52.229812500000008</v>
      </c>
      <c r="FD29" s="235">
        <f t="shared" si="150"/>
        <v>26.114906250000004</v>
      </c>
      <c r="FE29" s="235">
        <f t="shared" si="150"/>
        <v>13.057453125000002</v>
      </c>
      <c r="FF29" s="235">
        <f t="shared" ref="FF29" si="151">+FE29*0.5</f>
        <v>6.5287265625000011</v>
      </c>
      <c r="FG29" s="235">
        <f t="shared" ref="FG29" si="152">+FF29*0.5</f>
        <v>3.2643632812500005</v>
      </c>
      <c r="FH29" s="235">
        <f t="shared" ref="FH29" si="153">+FG29*0.5</f>
        <v>1.6321816406250003</v>
      </c>
      <c r="FI29" s="235">
        <f t="shared" ref="FI29" si="154">+FH29*0.5</f>
        <v>0.81609082031250013</v>
      </c>
      <c r="FJ29" s="235">
        <f t="shared" ref="FJ29" si="155">+FI29*0.5</f>
        <v>0.40804541015625007</v>
      </c>
      <c r="FM29"/>
    </row>
    <row r="30" spans="2:169" s="254" customFormat="1" ht="12.75" customHeight="1" x14ac:dyDescent="0.2">
      <c r="B30" t="s">
        <v>1963</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c r="CJ30" s="243"/>
      <c r="CK30" s="243"/>
      <c r="CL30" s="243"/>
      <c r="CM30" s="243"/>
      <c r="CN30" s="243"/>
      <c r="CO30" s="243"/>
      <c r="CP30" s="243"/>
      <c r="CQ30" s="243"/>
      <c r="CR30" s="243"/>
      <c r="CS30" s="243"/>
      <c r="CT30" s="243"/>
      <c r="CU30" s="243"/>
      <c r="CV30" s="243"/>
      <c r="CW30" s="243"/>
      <c r="CX30" s="243"/>
      <c r="CY30" s="243"/>
      <c r="CZ30" s="243"/>
      <c r="DA30" s="243"/>
      <c r="DB30" s="243"/>
      <c r="DC30" s="243"/>
      <c r="DD30" s="243"/>
      <c r="DE30" s="243"/>
      <c r="DF30" s="243"/>
      <c r="DG30" s="243"/>
      <c r="DH30" s="243"/>
      <c r="DI30" s="243"/>
      <c r="DJ30" s="243"/>
      <c r="DK30" s="243"/>
      <c r="DL30" s="243"/>
      <c r="DM30" s="243"/>
      <c r="DN30" s="243"/>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c r="ET30" s="235"/>
      <c r="EU30" s="235"/>
      <c r="EV30" s="235"/>
      <c r="EW30" s="235"/>
      <c r="EX30" s="235"/>
      <c r="EY30" s="235"/>
      <c r="EZ30" s="235">
        <v>400</v>
      </c>
      <c r="FA30" s="235">
        <v>600</v>
      </c>
      <c r="FB30" s="235">
        <v>800</v>
      </c>
      <c r="FC30" s="235">
        <v>1000</v>
      </c>
      <c r="FD30" s="235">
        <f>+FC30*1.05</f>
        <v>1050</v>
      </c>
      <c r="FE30" s="235">
        <f t="shared" ref="FE30:FJ30" si="156">+FD30*1.05</f>
        <v>1102.5</v>
      </c>
      <c r="FF30" s="235">
        <f t="shared" si="156"/>
        <v>1157.625</v>
      </c>
      <c r="FG30" s="235">
        <f t="shared" si="156"/>
        <v>1215.5062500000001</v>
      </c>
      <c r="FH30" s="235">
        <f t="shared" si="156"/>
        <v>1276.2815625000003</v>
      </c>
      <c r="FI30" s="235">
        <f t="shared" si="156"/>
        <v>1340.0956406250004</v>
      </c>
      <c r="FJ30" s="235">
        <f t="shared" si="156"/>
        <v>1407.1004226562504</v>
      </c>
      <c r="FM30"/>
    </row>
    <row r="31" spans="2:169" s="254" customFormat="1" ht="12.75" customHeight="1" x14ac:dyDescent="0.2">
      <c r="B31" t="s">
        <v>1683</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v>104</v>
      </c>
      <c r="BU31" s="243">
        <v>99</v>
      </c>
      <c r="BV31" s="243">
        <v>107</v>
      </c>
      <c r="BW31" s="243">
        <v>97</v>
      </c>
      <c r="BX31" s="243">
        <v>100</v>
      </c>
      <c r="BY31" s="243">
        <v>109</v>
      </c>
      <c r="BZ31" s="243">
        <v>116</v>
      </c>
      <c r="CA31" s="243">
        <v>130</v>
      </c>
      <c r="CB31" s="243">
        <v>128</v>
      </c>
      <c r="CC31" s="243">
        <v>282</v>
      </c>
      <c r="CD31" s="243">
        <v>123</v>
      </c>
      <c r="CE31" s="243">
        <v>127</v>
      </c>
      <c r="CF31" s="243">
        <v>130</v>
      </c>
      <c r="CG31" s="243">
        <v>127</v>
      </c>
      <c r="CH31" s="243">
        <v>120</v>
      </c>
      <c r="CI31" s="243">
        <v>134</v>
      </c>
      <c r="CJ31" s="243">
        <v>136</v>
      </c>
      <c r="CK31" s="243">
        <v>156</v>
      </c>
      <c r="CL31" s="243">
        <v>164</v>
      </c>
      <c r="CM31" s="243">
        <v>163</v>
      </c>
      <c r="CN31" s="243">
        <v>170</v>
      </c>
      <c r="CO31" s="243">
        <v>186</v>
      </c>
      <c r="CP31" s="243">
        <v>220</v>
      </c>
      <c r="CQ31" s="243">
        <v>212</v>
      </c>
      <c r="CR31" s="243">
        <v>204</v>
      </c>
      <c r="CS31" s="243">
        <v>203</v>
      </c>
      <c r="CT31" s="243">
        <v>202</v>
      </c>
      <c r="CU31" s="243">
        <v>182</v>
      </c>
      <c r="CV31" s="243">
        <v>120</v>
      </c>
      <c r="CW31" s="243">
        <v>126</v>
      </c>
      <c r="CX31" s="243">
        <v>140</v>
      </c>
      <c r="CY31" s="243">
        <v>118</v>
      </c>
      <c r="CZ31" s="243">
        <v>130</v>
      </c>
      <c r="DA31" s="243">
        <v>155</v>
      </c>
      <c r="DB31" s="243">
        <v>168</v>
      </c>
      <c r="DC31" s="243">
        <v>162</v>
      </c>
      <c r="DD31" s="243">
        <v>214</v>
      </c>
      <c r="DE31" s="243">
        <f>229-DE33</f>
        <v>117</v>
      </c>
      <c r="DF31" s="243">
        <f>274-DF33</f>
        <v>148</v>
      </c>
      <c r="DG31" s="243">
        <v>178</v>
      </c>
      <c r="DH31" s="243">
        <v>221</v>
      </c>
      <c r="DI31" s="243">
        <v>250</v>
      </c>
      <c r="DJ31" s="243">
        <f t="shared" ref="DJ31" si="157">+DI31</f>
        <v>250</v>
      </c>
      <c r="DK31" s="243">
        <f t="shared" ref="DK31" si="158">+DJ31</f>
        <v>250</v>
      </c>
      <c r="DL31" s="243">
        <f t="shared" ref="DL31" si="159">+DK31</f>
        <v>250</v>
      </c>
      <c r="DM31" s="243">
        <f t="shared" ref="DM31" si="160">+DL31</f>
        <v>250</v>
      </c>
      <c r="DN31" s="243">
        <f t="shared" ref="DN31" si="161">+DM31</f>
        <v>250</v>
      </c>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c r="ES31" s="235">
        <f t="shared" ref="ES31:ES48" si="162">SUM(CI31:CL31)</f>
        <v>590</v>
      </c>
      <c r="ET31" s="235">
        <f t="shared" ref="ET31:ET48" si="163">SUM(CM31:CP31)</f>
        <v>739</v>
      </c>
      <c r="EU31" s="235">
        <f t="shared" ref="EU31:EU48" si="164">SUM(CQ31:CT31)</f>
        <v>821</v>
      </c>
      <c r="EV31" s="235">
        <f t="shared" ref="EV31:EV48" si="165">SUM(CU31:CX31)</f>
        <v>568</v>
      </c>
      <c r="EW31" s="235">
        <f t="shared" ref="EW31:EW48" si="166">SUM(CY31:DB31)</f>
        <v>571</v>
      </c>
      <c r="EX31" s="235">
        <f t="shared" si="51"/>
        <v>641</v>
      </c>
      <c r="EY31" s="235">
        <f>SUM(DG31:DJ31)</f>
        <v>899</v>
      </c>
      <c r="EZ31" s="235">
        <f t="shared" ref="EZ31:EZ37" si="167">SUM(DK31:DN31)</f>
        <v>1000</v>
      </c>
      <c r="FA31" s="235">
        <f t="shared" ref="FA31:FE31" si="168">+EZ31*0.9</f>
        <v>900</v>
      </c>
      <c r="FB31" s="235">
        <f t="shared" si="168"/>
        <v>810</v>
      </c>
      <c r="FC31" s="235">
        <f t="shared" si="168"/>
        <v>729</v>
      </c>
      <c r="FD31" s="235">
        <f t="shared" si="168"/>
        <v>656.1</v>
      </c>
      <c r="FE31" s="235">
        <f t="shared" si="168"/>
        <v>590.49</v>
      </c>
      <c r="FF31" s="235">
        <f t="shared" ref="FF31" si="169">+FE31*0.9</f>
        <v>531.44100000000003</v>
      </c>
      <c r="FG31" s="235">
        <f t="shared" ref="FG31" si="170">+FF31*0.9</f>
        <v>478.29690000000005</v>
      </c>
      <c r="FH31" s="235">
        <f t="shared" ref="FH31" si="171">+FG31*0.9</f>
        <v>430.46721000000008</v>
      </c>
      <c r="FI31" s="235">
        <f t="shared" ref="FI31" si="172">+FH31*0.9</f>
        <v>387.42048900000009</v>
      </c>
      <c r="FJ31" s="235">
        <f t="shared" ref="FJ31" si="173">+FI31*0.9</f>
        <v>348.6784401000001</v>
      </c>
      <c r="FM31"/>
    </row>
    <row r="32" spans="2:169" ht="12.75" customHeight="1" x14ac:dyDescent="0.2">
      <c r="B32" t="s">
        <v>1676</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v>143</v>
      </c>
      <c r="CR32" s="243">
        <v>170</v>
      </c>
      <c r="CS32" s="243">
        <v>206</v>
      </c>
      <c r="CT32" s="243">
        <v>241</v>
      </c>
      <c r="CU32" s="243">
        <v>261</v>
      </c>
      <c r="CV32" s="243">
        <v>302</v>
      </c>
      <c r="CW32" s="243">
        <v>344</v>
      </c>
      <c r="CX32" s="243">
        <v>384</v>
      </c>
      <c r="CY32" s="243">
        <v>400</v>
      </c>
      <c r="CZ32" s="243">
        <v>450</v>
      </c>
      <c r="DA32" s="243">
        <v>490</v>
      </c>
      <c r="DB32" s="243">
        <v>541</v>
      </c>
      <c r="DC32" s="243">
        <v>542</v>
      </c>
      <c r="DD32" s="243">
        <v>567</v>
      </c>
      <c r="DE32" s="243">
        <v>631</v>
      </c>
      <c r="DF32" s="243">
        <v>647</v>
      </c>
      <c r="DG32" s="243">
        <v>689</v>
      </c>
      <c r="DH32" s="243">
        <v>736</v>
      </c>
      <c r="DI32" s="243">
        <v>790</v>
      </c>
      <c r="DJ32" s="243">
        <f>+DF32*1.15</f>
        <v>744.05</v>
      </c>
      <c r="DK32" s="243">
        <f t="shared" ref="DK32:DN32" si="174">+DG32*1.15</f>
        <v>792.34999999999991</v>
      </c>
      <c r="DL32" s="243">
        <f t="shared" si="174"/>
        <v>846.4</v>
      </c>
      <c r="DM32" s="243">
        <f t="shared" si="174"/>
        <v>908.49999999999989</v>
      </c>
      <c r="DN32" s="243">
        <f t="shared" si="174"/>
        <v>855.65749999999991</v>
      </c>
      <c r="EI32" s="235"/>
      <c r="EJ32" s="235"/>
      <c r="EK32" s="235"/>
      <c r="EL32" s="235"/>
      <c r="EM32" s="235"/>
      <c r="EN32" s="235"/>
      <c r="EO32" s="235"/>
      <c r="EP32" s="235"/>
      <c r="EQ32" s="235"/>
      <c r="ER32" s="235"/>
      <c r="ES32" s="235">
        <f t="shared" si="162"/>
        <v>0</v>
      </c>
      <c r="ET32" s="235">
        <f t="shared" si="163"/>
        <v>0</v>
      </c>
      <c r="EU32" s="235">
        <f t="shared" si="164"/>
        <v>760</v>
      </c>
      <c r="EV32" s="235">
        <f t="shared" si="165"/>
        <v>1291</v>
      </c>
      <c r="EW32" s="235">
        <f t="shared" si="166"/>
        <v>1881</v>
      </c>
      <c r="EX32" s="235">
        <f t="shared" si="51"/>
        <v>2387</v>
      </c>
      <c r="EY32" s="235">
        <f t="shared" si="26"/>
        <v>2959.05</v>
      </c>
      <c r="EZ32" s="235">
        <f t="shared" si="167"/>
        <v>3402.9074999999998</v>
      </c>
      <c r="FA32" s="235">
        <f>+EZ32*1.05</f>
        <v>3573.0528749999999</v>
      </c>
      <c r="FB32" s="235">
        <f t="shared" ref="FB32:FE32" si="175">+FA32*1.05</f>
        <v>3751.70551875</v>
      </c>
      <c r="FC32" s="235">
        <f t="shared" si="175"/>
        <v>3939.2907946875002</v>
      </c>
      <c r="FD32" s="235">
        <f t="shared" si="175"/>
        <v>4136.255334421875</v>
      </c>
      <c r="FE32" s="235">
        <f t="shared" si="175"/>
        <v>4343.0681011429688</v>
      </c>
      <c r="FF32" s="235">
        <f t="shared" ref="FF32" si="176">+FE32*1.05</f>
        <v>4560.2215062001178</v>
      </c>
      <c r="FG32" s="235">
        <f t="shared" ref="FG32" si="177">+FF32*1.05</f>
        <v>4788.232581510124</v>
      </c>
      <c r="FH32" s="235">
        <f t="shared" ref="FH32" si="178">+FG32*1.05</f>
        <v>5027.6442105856304</v>
      </c>
      <c r="FI32" s="235">
        <f t="shared" ref="FI32" si="179">+FH32*1.05</f>
        <v>5279.0264211149124</v>
      </c>
      <c r="FJ32" s="235">
        <f t="shared" ref="FJ32" si="180">+FI32*1.05</f>
        <v>5542.9777421706585</v>
      </c>
      <c r="FK32" s="254"/>
    </row>
    <row r="33" spans="2:169" ht="12.75" customHeight="1" x14ac:dyDescent="0.2">
      <c r="B33" t="s">
        <v>1944</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c r="CR33" s="243"/>
      <c r="CS33" s="243"/>
      <c r="CT33" s="243"/>
      <c r="CU33" s="243"/>
      <c r="CV33" s="243"/>
      <c r="CW33" s="243"/>
      <c r="CX33" s="243"/>
      <c r="CY33" s="243"/>
      <c r="CZ33" s="243"/>
      <c r="DA33" s="243"/>
      <c r="DB33" s="243"/>
      <c r="DC33" s="237" t="s">
        <v>1945</v>
      </c>
      <c r="DD33" s="243">
        <v>94</v>
      </c>
      <c r="DE33" s="243">
        <v>112</v>
      </c>
      <c r="DF33" s="243">
        <v>126</v>
      </c>
      <c r="DG33" s="243">
        <v>133</v>
      </c>
      <c r="DH33" s="243">
        <v>135</v>
      </c>
      <c r="DI33" s="243">
        <v>135</v>
      </c>
      <c r="DJ33" s="243">
        <f>+DI33+25</f>
        <v>160</v>
      </c>
      <c r="DK33" s="243">
        <f t="shared" ref="DK33:DN33" si="181">+DJ33+25</f>
        <v>185</v>
      </c>
      <c r="DL33" s="243">
        <f t="shared" si="181"/>
        <v>210</v>
      </c>
      <c r="DM33" s="243">
        <f t="shared" si="181"/>
        <v>235</v>
      </c>
      <c r="DN33" s="243">
        <f t="shared" si="181"/>
        <v>260</v>
      </c>
      <c r="EI33" s="235"/>
      <c r="EJ33" s="235"/>
      <c r="EK33" s="235"/>
      <c r="EL33" s="235"/>
      <c r="EM33" s="235"/>
      <c r="EN33" s="235"/>
      <c r="EO33" s="235"/>
      <c r="EP33" s="235"/>
      <c r="EQ33" s="235"/>
      <c r="ER33" s="235"/>
      <c r="ES33" s="235"/>
      <c r="ET33" s="235"/>
      <c r="EU33" s="235"/>
      <c r="EV33" s="235"/>
      <c r="EW33" s="235"/>
      <c r="EX33" s="235"/>
      <c r="EY33" s="235">
        <f t="shared" si="26"/>
        <v>563</v>
      </c>
      <c r="EZ33" s="235">
        <f t="shared" si="167"/>
        <v>890</v>
      </c>
      <c r="FA33" s="235"/>
      <c r="FB33" s="235"/>
      <c r="FC33" s="235"/>
      <c r="FD33" s="235"/>
      <c r="FE33" s="235"/>
      <c r="FF33" s="235"/>
      <c r="FG33" s="235"/>
      <c r="FH33" s="235"/>
      <c r="FI33" s="235"/>
      <c r="FJ33" s="235"/>
      <c r="FK33" s="254"/>
    </row>
    <row r="34" spans="2:169" s="254" customFormat="1" x14ac:dyDescent="0.2">
      <c r="B34" t="s">
        <v>323</v>
      </c>
      <c r="C34" s="235">
        <f>112+159</f>
        <v>271</v>
      </c>
      <c r="D34" s="235">
        <f>131+169</f>
        <v>300</v>
      </c>
      <c r="E34" s="235">
        <f>126+160</f>
        <v>286</v>
      </c>
      <c r="F34" s="235">
        <f>135+168</f>
        <v>303</v>
      </c>
      <c r="G34" s="235">
        <f>152+167</f>
        <v>319</v>
      </c>
      <c r="H34" s="235">
        <f>161+186</f>
        <v>347</v>
      </c>
      <c r="I34" s="235">
        <f>205+188</f>
        <v>393</v>
      </c>
      <c r="J34" s="235">
        <f>235+205</f>
        <v>440</v>
      </c>
      <c r="K34" s="235">
        <f>255+207</f>
        <v>462</v>
      </c>
      <c r="L34" s="235">
        <f>311+221</f>
        <v>532</v>
      </c>
      <c r="M34" s="235">
        <f>315+214</f>
        <v>529</v>
      </c>
      <c r="N34" s="235">
        <f>359+212</f>
        <v>571</v>
      </c>
      <c r="O34" s="235">
        <f>387+215</f>
        <v>602</v>
      </c>
      <c r="P34" s="235">
        <f>411+230</f>
        <v>641</v>
      </c>
      <c r="Q34" s="235">
        <f>458+233</f>
        <v>691</v>
      </c>
      <c r="R34" s="235">
        <f>554+221</f>
        <v>775</v>
      </c>
      <c r="S34" s="235">
        <f>514+254</f>
        <v>768</v>
      </c>
      <c r="T34" s="235">
        <f>554+276</f>
        <v>830</v>
      </c>
      <c r="U34" s="235">
        <f>742+286</f>
        <v>1028</v>
      </c>
      <c r="V34" s="235">
        <f>525+278</f>
        <v>803</v>
      </c>
      <c r="W34" s="235">
        <f>691+300</f>
        <v>991</v>
      </c>
      <c r="X34" s="235">
        <f>764+322</f>
        <v>1086</v>
      </c>
      <c r="Y34" s="235">
        <f>776+320</f>
        <v>1096</v>
      </c>
      <c r="Z34" s="235">
        <f>803+293</f>
        <v>1096</v>
      </c>
      <c r="AA34" s="235">
        <f>723+274</f>
        <v>997</v>
      </c>
      <c r="AB34" s="235">
        <f>707+308</f>
        <v>1015</v>
      </c>
      <c r="AC34" s="235">
        <f>703+302</f>
        <v>1005</v>
      </c>
      <c r="AD34" s="235">
        <f>671+296</f>
        <v>967</v>
      </c>
      <c r="AE34" s="243">
        <f>688+289</f>
        <v>977</v>
      </c>
      <c r="AF34" s="243">
        <f>582+292</f>
        <v>874</v>
      </c>
      <c r="AG34" s="243">
        <f>613+274</f>
        <v>887</v>
      </c>
      <c r="AH34" s="243">
        <f>578+272</f>
        <v>850</v>
      </c>
      <c r="AI34" s="243">
        <f>565+271</f>
        <v>836</v>
      </c>
      <c r="AJ34" s="243">
        <f>566+280</f>
        <v>846</v>
      </c>
      <c r="AK34" s="243">
        <f>575+269</f>
        <v>844</v>
      </c>
      <c r="AL34" s="243">
        <f>540+258</f>
        <v>798</v>
      </c>
      <c r="AM34" s="243">
        <f>527+259</f>
        <v>786</v>
      </c>
      <c r="AN34" s="243">
        <f>524+284</f>
        <v>808</v>
      </c>
      <c r="AO34" s="243">
        <v>798</v>
      </c>
      <c r="AP34" s="243">
        <v>788</v>
      </c>
      <c r="AQ34" s="243">
        <v>817</v>
      </c>
      <c r="AR34" s="243">
        <v>758</v>
      </c>
      <c r="AS34" s="243">
        <v>682</v>
      </c>
      <c r="AT34" s="243">
        <v>628</v>
      </c>
      <c r="AU34" s="243">
        <v>629</v>
      </c>
      <c r="AV34" s="243">
        <v>652</v>
      </c>
      <c r="AW34" s="243">
        <v>619</v>
      </c>
      <c r="AX34" s="243">
        <v>560</v>
      </c>
      <c r="AY34" s="243">
        <v>550</v>
      </c>
      <c r="AZ34" s="243">
        <v>577</v>
      </c>
      <c r="BA34" s="243">
        <v>542</v>
      </c>
      <c r="BB34" s="243">
        <v>576</v>
      </c>
      <c r="BC34" s="243">
        <v>523</v>
      </c>
      <c r="BD34" s="243">
        <v>526</v>
      </c>
      <c r="BE34" s="243">
        <v>406</v>
      </c>
      <c r="BF34" s="243">
        <v>479</v>
      </c>
      <c r="BG34" s="243">
        <v>397</v>
      </c>
      <c r="BH34" s="243">
        <v>475</v>
      </c>
      <c r="BI34" s="243">
        <v>383</v>
      </c>
      <c r="BJ34" s="243">
        <v>368</v>
      </c>
      <c r="BK34" s="243">
        <v>376</v>
      </c>
      <c r="BL34" s="243">
        <v>401</v>
      </c>
      <c r="BM34" s="243">
        <v>359</v>
      </c>
      <c r="BN34" s="243">
        <v>326</v>
      </c>
      <c r="BO34" s="243">
        <v>378</v>
      </c>
      <c r="BP34" s="243">
        <v>335</v>
      </c>
      <c r="BQ34" s="243">
        <v>344</v>
      </c>
      <c r="BR34" s="243">
        <v>307</v>
      </c>
      <c r="BS34" s="243">
        <v>310</v>
      </c>
      <c r="BT34" s="243">
        <v>319</v>
      </c>
      <c r="BU34" s="243">
        <v>307</v>
      </c>
      <c r="BV34" s="243">
        <v>302</v>
      </c>
      <c r="BW34" s="243">
        <v>269</v>
      </c>
      <c r="BX34" s="243">
        <v>276</v>
      </c>
      <c r="BY34" s="243">
        <v>263</v>
      </c>
      <c r="BZ34" s="243">
        <v>260</v>
      </c>
      <c r="CA34" s="243">
        <v>274</v>
      </c>
      <c r="CB34" s="243">
        <v>322</v>
      </c>
      <c r="CC34" s="243">
        <v>250</v>
      </c>
      <c r="CD34" s="243">
        <v>259</v>
      </c>
      <c r="CE34" s="243">
        <v>247</v>
      </c>
      <c r="CF34" s="243">
        <v>255</v>
      </c>
      <c r="CG34" s="243">
        <v>238</v>
      </c>
      <c r="CH34" s="243">
        <v>232</v>
      </c>
      <c r="CI34" s="243">
        <v>276</v>
      </c>
      <c r="CJ34" s="243">
        <v>236</v>
      </c>
      <c r="CK34" s="243">
        <v>255</v>
      </c>
      <c r="CL34" s="243">
        <v>221</v>
      </c>
      <c r="CM34" s="243">
        <v>226</v>
      </c>
      <c r="CN34" s="243">
        <v>183</v>
      </c>
      <c r="CO34" s="243">
        <v>198</v>
      </c>
      <c r="CP34" s="243">
        <v>183</v>
      </c>
      <c r="CQ34" s="243">
        <v>155</v>
      </c>
      <c r="CR34" s="243">
        <v>136</v>
      </c>
      <c r="CS34" s="243">
        <v>132</v>
      </c>
      <c r="CT34" s="243">
        <v>129</v>
      </c>
      <c r="CU34" s="243">
        <v>127</v>
      </c>
      <c r="CV34" s="243">
        <v>127</v>
      </c>
      <c r="CW34" s="243">
        <v>112</v>
      </c>
      <c r="CX34" s="243">
        <v>113</v>
      </c>
      <c r="CY34" s="243"/>
      <c r="CZ34" s="243"/>
      <c r="DA34" s="243"/>
      <c r="DB34" s="243"/>
      <c r="DC34" s="243"/>
      <c r="DD34" s="243"/>
      <c r="DE34" s="243"/>
      <c r="DF34" s="243"/>
      <c r="DG34" s="243"/>
      <c r="DH34" s="243"/>
      <c r="DI34" s="243"/>
      <c r="DJ34" s="243"/>
      <c r="DK34" s="243"/>
      <c r="DL34" s="243"/>
      <c r="DM34" s="243"/>
      <c r="DN34" s="243"/>
      <c r="DP34" s="271"/>
      <c r="DQ34" s="271"/>
      <c r="DR34" s="271"/>
      <c r="DS34" s="271"/>
      <c r="DT34" s="271"/>
      <c r="DU34" s="271"/>
      <c r="DV34" s="235">
        <f>271+575</f>
        <v>846</v>
      </c>
      <c r="DW34" s="235">
        <f>385+631</f>
        <v>1016</v>
      </c>
      <c r="DX34" s="235">
        <f>SUM(C34:F34)</f>
        <v>1160</v>
      </c>
      <c r="DY34" s="235">
        <f>SUM(G34:J34)</f>
        <v>1499</v>
      </c>
      <c r="DZ34" s="235">
        <f>SUM(K34:N34)</f>
        <v>2094</v>
      </c>
      <c r="EA34" s="235">
        <f>SUM(O34:R34)</f>
        <v>2709</v>
      </c>
      <c r="EB34" s="235">
        <f>SUM(S34:V34)</f>
        <v>3429</v>
      </c>
      <c r="EC34" s="235">
        <f>SUM(W34:Z34)</f>
        <v>4269</v>
      </c>
      <c r="ED34" s="235">
        <f>SUM(AA34:AD34)</f>
        <v>3984</v>
      </c>
      <c r="EE34" s="235">
        <f>SUM(AE34:AH34)</f>
        <v>3588</v>
      </c>
      <c r="EF34" s="235">
        <f>SUM(AI34:AL34)</f>
        <v>3324</v>
      </c>
      <c r="EG34" s="235">
        <f>SUM(AM34:AP34)</f>
        <v>3180</v>
      </c>
      <c r="EH34" s="235">
        <f>SUM(AQ34:AT34)</f>
        <v>2885</v>
      </c>
      <c r="EI34" s="235">
        <f>SUM(AU34:AX34)</f>
        <v>2460</v>
      </c>
      <c r="EJ34" s="235">
        <f>SUM(AY34:BB34)</f>
        <v>2245</v>
      </c>
      <c r="EK34" s="235">
        <f>SUM(BC34:BF34)</f>
        <v>1934</v>
      </c>
      <c r="EL34" s="235">
        <f>SUM(BG34:BJ34)</f>
        <v>1623</v>
      </c>
      <c r="EM34" s="235">
        <f>SUM(BK34:BN34)</f>
        <v>1462</v>
      </c>
      <c r="EN34" s="235">
        <f>SUM(BO34:BR34)</f>
        <v>1364</v>
      </c>
      <c r="EO34" s="235">
        <f>SUM(BS34:BV34)</f>
        <v>1238</v>
      </c>
      <c r="EP34" s="235">
        <f>EO34*0.9</f>
        <v>1114.2</v>
      </c>
      <c r="EQ34" s="235">
        <f>EP34*0.9</f>
        <v>1002.7800000000001</v>
      </c>
      <c r="ER34" s="235"/>
      <c r="ES34" s="235">
        <f t="shared" si="162"/>
        <v>988</v>
      </c>
      <c r="ET34" s="235">
        <f t="shared" si="163"/>
        <v>790</v>
      </c>
      <c r="EU34" s="235">
        <f t="shared" si="164"/>
        <v>552</v>
      </c>
      <c r="EV34" s="235">
        <f t="shared" si="165"/>
        <v>479</v>
      </c>
      <c r="EW34" s="235">
        <f t="shared" si="166"/>
        <v>0</v>
      </c>
      <c r="EX34" s="235"/>
      <c r="EY34" s="235">
        <f t="shared" si="26"/>
        <v>0</v>
      </c>
      <c r="EZ34" s="235">
        <f t="shared" si="167"/>
        <v>0</v>
      </c>
      <c r="FA34" s="235"/>
      <c r="FB34" s="235"/>
      <c r="FC34" s="235"/>
      <c r="FD34" s="235"/>
      <c r="FE34" s="235"/>
      <c r="FF34" s="235"/>
      <c r="FG34" s="235"/>
      <c r="FH34" s="235"/>
      <c r="FI34" s="235"/>
      <c r="FJ34" s="235"/>
      <c r="FM34"/>
    </row>
    <row r="35" spans="2:169" s="254" customFormat="1" x14ac:dyDescent="0.2">
      <c r="B35" t="s">
        <v>193</v>
      </c>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243"/>
      <c r="AJ35" s="243"/>
      <c r="AK35" s="243"/>
      <c r="AL35" s="243"/>
      <c r="AM35" s="243"/>
      <c r="AN35" s="243"/>
      <c r="AO35" s="243"/>
      <c r="AP35" s="243"/>
      <c r="AQ35" s="243">
        <v>113</v>
      </c>
      <c r="AR35" s="243">
        <v>126</v>
      </c>
      <c r="AS35" s="243">
        <v>130</v>
      </c>
      <c r="AT35" s="243">
        <v>165</v>
      </c>
      <c r="AU35" s="243">
        <v>184</v>
      </c>
      <c r="AV35" s="243">
        <v>205</v>
      </c>
      <c r="AW35" s="243">
        <v>190</v>
      </c>
      <c r="AX35" s="243">
        <v>208</v>
      </c>
      <c r="AY35" s="243">
        <v>192</v>
      </c>
      <c r="AZ35" s="243">
        <v>229</v>
      </c>
      <c r="BA35" s="243">
        <v>231</v>
      </c>
      <c r="BB35" s="243">
        <v>281</v>
      </c>
      <c r="BC35" s="243">
        <v>261</v>
      </c>
      <c r="BD35" s="243">
        <v>286</v>
      </c>
      <c r="BE35" s="243">
        <v>246</v>
      </c>
      <c r="BF35" s="243">
        <v>287</v>
      </c>
      <c r="BG35" s="243">
        <v>280</v>
      </c>
      <c r="BH35" s="243">
        <v>347</v>
      </c>
      <c r="BI35" s="243">
        <v>295</v>
      </c>
      <c r="BJ35" s="243">
        <v>352</v>
      </c>
      <c r="BK35" s="243">
        <v>353</v>
      </c>
      <c r="BL35" s="243">
        <v>318</v>
      </c>
      <c r="BM35" s="243">
        <v>327</v>
      </c>
      <c r="BN35" s="243">
        <v>502</v>
      </c>
      <c r="BO35" s="243">
        <v>353</v>
      </c>
      <c r="BP35" s="243">
        <v>379</v>
      </c>
      <c r="BQ35" s="243">
        <v>404</v>
      </c>
      <c r="BR35" s="243">
        <v>524</v>
      </c>
      <c r="BS35" s="243">
        <v>408</v>
      </c>
      <c r="BT35" s="243">
        <v>403</v>
      </c>
      <c r="BU35" s="243">
        <v>389</v>
      </c>
      <c r="BV35" s="243">
        <v>418</v>
      </c>
      <c r="BW35" s="243">
        <v>339</v>
      </c>
      <c r="BX35" s="243">
        <v>344</v>
      </c>
      <c r="BY35" s="243">
        <v>329</v>
      </c>
      <c r="BZ35" s="243">
        <v>321</v>
      </c>
      <c r="CA35" s="243">
        <v>304</v>
      </c>
      <c r="CB35" s="243">
        <v>342</v>
      </c>
      <c r="CC35" s="243">
        <v>304</v>
      </c>
      <c r="CD35" s="243">
        <v>274</v>
      </c>
      <c r="CE35" s="243">
        <v>280</v>
      </c>
      <c r="CF35" s="243">
        <v>290</v>
      </c>
      <c r="CG35" s="243">
        <v>273</v>
      </c>
      <c r="CH35" s="243">
        <v>271</v>
      </c>
      <c r="CI35" s="243">
        <v>313</v>
      </c>
      <c r="CJ35" s="243">
        <v>280</v>
      </c>
      <c r="CK35" s="243">
        <v>271</v>
      </c>
      <c r="CL35" s="243">
        <v>252</v>
      </c>
      <c r="CM35" s="243">
        <v>263</v>
      </c>
      <c r="CN35" s="243">
        <v>224</v>
      </c>
      <c r="CO35" s="243">
        <v>149</v>
      </c>
      <c r="CP35" s="243">
        <v>115</v>
      </c>
      <c r="CQ35" s="243"/>
      <c r="CR35" s="243"/>
      <c r="CS35" s="243"/>
      <c r="CT35" s="243"/>
      <c r="CU35" s="243"/>
      <c r="CV35" s="243"/>
      <c r="CW35" s="243"/>
      <c r="CX35" s="243"/>
      <c r="CY35" s="243"/>
      <c r="CZ35" s="243"/>
      <c r="DA35" s="243"/>
      <c r="DB35" s="243"/>
      <c r="DC35" s="243"/>
      <c r="DD35" s="243"/>
      <c r="DE35" s="243"/>
      <c r="DF35" s="243"/>
      <c r="DG35" s="243"/>
      <c r="DH35" s="243"/>
      <c r="DI35" s="243"/>
      <c r="DJ35" s="243"/>
      <c r="DK35" s="243"/>
      <c r="DL35" s="243"/>
      <c r="DM35" s="243"/>
      <c r="DN35" s="243"/>
      <c r="DP35" s="235"/>
      <c r="DQ35" s="235"/>
      <c r="DR35" s="235"/>
      <c r="DS35" s="235"/>
      <c r="DT35" s="235"/>
      <c r="DU35" s="235"/>
      <c r="DV35" s="235"/>
      <c r="DW35" s="235"/>
      <c r="DX35" s="235"/>
      <c r="DY35" s="235"/>
      <c r="DZ35" s="235"/>
      <c r="EA35" s="235"/>
      <c r="EB35" s="235"/>
      <c r="EC35" s="235"/>
      <c r="ED35" s="235"/>
      <c r="EE35" s="235" t="s">
        <v>325</v>
      </c>
      <c r="EF35" s="235" t="s">
        <v>326</v>
      </c>
      <c r="EG35" s="235"/>
      <c r="EH35" s="235">
        <f>SUM(AQ35:AT35)</f>
        <v>534</v>
      </c>
      <c r="EI35" s="235">
        <f>SUM(AU35:AX35)</f>
        <v>787</v>
      </c>
      <c r="EJ35" s="235">
        <f>SUM(AY35:BB35)</f>
        <v>933</v>
      </c>
      <c r="EK35" s="235">
        <f>SUM(BC35:BF35)</f>
        <v>1080</v>
      </c>
      <c r="EL35" s="235">
        <f>SUM(BG35:BJ35)</f>
        <v>1274</v>
      </c>
      <c r="EM35" s="235">
        <f>SUM(BK35:BN35)</f>
        <v>1500</v>
      </c>
      <c r="EN35" s="235">
        <f>SUM(BO35:BR35)</f>
        <v>1660</v>
      </c>
      <c r="EO35" s="235">
        <f>SUM(BS35:BV35)</f>
        <v>1618</v>
      </c>
      <c r="EP35" s="235">
        <f>EO35</f>
        <v>1618</v>
      </c>
      <c r="EQ35" s="235">
        <f>EP35*0.5</f>
        <v>809</v>
      </c>
      <c r="ER35" s="235"/>
      <c r="ES35" s="235">
        <f t="shared" si="162"/>
        <v>1116</v>
      </c>
      <c r="ET35" s="235">
        <f t="shared" si="163"/>
        <v>751</v>
      </c>
      <c r="EU35" s="235">
        <f t="shared" si="164"/>
        <v>0</v>
      </c>
      <c r="EV35" s="235">
        <f t="shared" si="165"/>
        <v>0</v>
      </c>
      <c r="EW35" s="235">
        <f t="shared" si="166"/>
        <v>0</v>
      </c>
      <c r="EX35" s="235"/>
      <c r="EY35" s="235">
        <f t="shared" si="26"/>
        <v>0</v>
      </c>
      <c r="EZ35" s="235">
        <f t="shared" si="167"/>
        <v>0</v>
      </c>
      <c r="FA35" s="235"/>
      <c r="FB35" s="235"/>
      <c r="FC35" s="235"/>
      <c r="FD35" s="235"/>
      <c r="FE35" s="235"/>
      <c r="FF35" s="235"/>
      <c r="FG35" s="235"/>
      <c r="FH35" s="235"/>
      <c r="FI35" s="235"/>
      <c r="FJ35" s="235"/>
      <c r="FM35"/>
    </row>
    <row r="36" spans="2:169" ht="12.75" customHeight="1" x14ac:dyDescent="0.2">
      <c r="B36" t="s">
        <v>1677</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45</v>
      </c>
      <c r="CG36" s="243">
        <v>259</v>
      </c>
      <c r="CH36" s="243">
        <v>269</v>
      </c>
      <c r="CI36" s="243">
        <v>271</v>
      </c>
      <c r="CJ36" s="243">
        <v>311</v>
      </c>
      <c r="CK36" s="243">
        <v>310</v>
      </c>
      <c r="CL36" s="243">
        <v>323</v>
      </c>
      <c r="CM36" s="243">
        <v>306</v>
      </c>
      <c r="CN36" s="243">
        <v>348</v>
      </c>
      <c r="CO36" s="243">
        <v>347</v>
      </c>
      <c r="CP36" s="243">
        <v>326</v>
      </c>
      <c r="CQ36" s="243">
        <v>389</v>
      </c>
      <c r="CR36" s="243">
        <v>406</v>
      </c>
      <c r="CS36" s="243">
        <v>392</v>
      </c>
      <c r="CT36" s="243">
        <v>452</v>
      </c>
      <c r="CU36" s="243">
        <v>450</v>
      </c>
      <c r="CV36" s="243">
        <v>463</v>
      </c>
      <c r="CW36" s="243">
        <v>458</v>
      </c>
      <c r="CX36" s="243">
        <v>448</v>
      </c>
      <c r="CY36" s="243">
        <v>443</v>
      </c>
      <c r="CZ36" s="243">
        <v>438</v>
      </c>
      <c r="DA36" s="243">
        <v>441</v>
      </c>
      <c r="DB36" s="243">
        <v>461</v>
      </c>
      <c r="DC36" s="243">
        <v>440</v>
      </c>
      <c r="DD36" s="243">
        <v>507</v>
      </c>
      <c r="DE36" s="243">
        <v>490</v>
      </c>
      <c r="DF36" s="243">
        <v>536</v>
      </c>
      <c r="DG36" s="243">
        <v>524</v>
      </c>
      <c r="DH36" s="243">
        <v>544</v>
      </c>
      <c r="DI36" s="243">
        <v>571</v>
      </c>
      <c r="DJ36" s="243">
        <f t="shared" ref="DJ36:DJ37" si="182">+DF36*1.05</f>
        <v>562.80000000000007</v>
      </c>
      <c r="DK36" s="243">
        <f t="shared" ref="DK36:DK37" si="183">+DG36*1.05</f>
        <v>550.20000000000005</v>
      </c>
      <c r="DL36" s="243">
        <f t="shared" ref="DL36:DL37" si="184">+DH36*1.05</f>
        <v>571.20000000000005</v>
      </c>
      <c r="DM36" s="243">
        <f t="shared" ref="DM36:DM37" si="185">+DI36*1.05</f>
        <v>599.55000000000007</v>
      </c>
      <c r="DN36" s="243">
        <f t="shared" ref="DN36:DN37" si="186">+DJ36*1.05</f>
        <v>590.94000000000005</v>
      </c>
      <c r="EI36" s="235"/>
      <c r="EJ36" s="235"/>
      <c r="EK36" s="235"/>
      <c r="EL36" s="235"/>
      <c r="EM36" s="235"/>
      <c r="EN36" s="235"/>
      <c r="EO36" s="235"/>
      <c r="EP36" s="235"/>
      <c r="EQ36" s="235"/>
      <c r="ER36" s="235"/>
      <c r="ES36" s="235">
        <f t="shared" si="162"/>
        <v>1215</v>
      </c>
      <c r="ET36" s="235">
        <f t="shared" si="163"/>
        <v>1327</v>
      </c>
      <c r="EU36" s="235">
        <f t="shared" si="164"/>
        <v>1639</v>
      </c>
      <c r="EV36" s="235">
        <f t="shared" si="165"/>
        <v>1819</v>
      </c>
      <c r="EW36" s="235">
        <f t="shared" si="166"/>
        <v>1783</v>
      </c>
      <c r="EX36" s="235">
        <f t="shared" ref="EX36:EX43" si="187">SUM(DC36:DF36)</f>
        <v>1973</v>
      </c>
      <c r="EY36" s="235">
        <f t="shared" si="26"/>
        <v>2201.8000000000002</v>
      </c>
      <c r="EZ36" s="235">
        <f t="shared" si="167"/>
        <v>2311.8900000000003</v>
      </c>
      <c r="FA36" s="235">
        <f t="shared" ref="FA36:FE36" si="188">+EZ36*0.99</f>
        <v>2288.7711000000004</v>
      </c>
      <c r="FB36" s="235">
        <f t="shared" si="188"/>
        <v>2265.8833890000005</v>
      </c>
      <c r="FC36" s="235">
        <f t="shared" si="188"/>
        <v>2243.2245551100004</v>
      </c>
      <c r="FD36" s="235">
        <f t="shared" si="188"/>
        <v>2220.7923095589003</v>
      </c>
      <c r="FE36" s="235">
        <f t="shared" si="188"/>
        <v>2198.5843864633111</v>
      </c>
      <c r="FF36" s="235">
        <f t="shared" ref="FF36" si="189">+FE36*0.99</f>
        <v>2176.5985425986778</v>
      </c>
      <c r="FG36" s="235">
        <f t="shared" ref="FG36" si="190">+FF36*0.99</f>
        <v>2154.8325571726909</v>
      </c>
      <c r="FH36" s="235">
        <f t="shared" ref="FH36" si="191">+FG36*0.99</f>
        <v>2133.2842316009642</v>
      </c>
      <c r="FI36" s="235">
        <f t="shared" ref="FI36" si="192">+FH36*0.99</f>
        <v>2111.9513892849545</v>
      </c>
      <c r="FJ36" s="235">
        <f t="shared" ref="FJ36" si="193">+FI36*0.99</f>
        <v>2090.8318753921048</v>
      </c>
      <c r="FK36" s="254"/>
    </row>
    <row r="37" spans="2:169" x14ac:dyDescent="0.2">
      <c r="B37" t="s">
        <v>1678</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9</v>
      </c>
      <c r="CG37" s="243">
        <v>124</v>
      </c>
      <c r="CH37" s="243">
        <v>130</v>
      </c>
      <c r="CI37" s="243">
        <v>140</v>
      </c>
      <c r="CJ37" s="243">
        <v>171</v>
      </c>
      <c r="CK37" s="243">
        <v>171</v>
      </c>
      <c r="CL37" s="243">
        <v>181</v>
      </c>
      <c r="CM37" s="243">
        <v>198</v>
      </c>
      <c r="CN37" s="243">
        <v>203</v>
      </c>
      <c r="CO37" s="243">
        <v>210</v>
      </c>
      <c r="CP37" s="243">
        <v>208</v>
      </c>
      <c r="CQ37" s="243">
        <v>250</v>
      </c>
      <c r="CR37" s="243">
        <v>282</v>
      </c>
      <c r="CS37" s="243">
        <v>260</v>
      </c>
      <c r="CT37" s="243">
        <v>301</v>
      </c>
      <c r="CU37" s="243">
        <v>305</v>
      </c>
      <c r="CV37" s="243">
        <v>313</v>
      </c>
      <c r="CW37" s="243">
        <v>309</v>
      </c>
      <c r="CX37" s="243">
        <v>310</v>
      </c>
      <c r="CY37" s="243">
        <v>325</v>
      </c>
      <c r="CZ37" s="243">
        <v>328</v>
      </c>
      <c r="DA37" s="243">
        <v>333</v>
      </c>
      <c r="DB37" s="243">
        <v>336</v>
      </c>
      <c r="DC37" s="243">
        <v>362</v>
      </c>
      <c r="DD37" s="243">
        <v>399</v>
      </c>
      <c r="DE37" s="243">
        <v>402</v>
      </c>
      <c r="DF37" s="243">
        <v>419</v>
      </c>
      <c r="DG37" s="243">
        <v>468</v>
      </c>
      <c r="DH37" s="243">
        <v>426</v>
      </c>
      <c r="DI37" s="243">
        <v>458</v>
      </c>
      <c r="DJ37" s="243">
        <f t="shared" si="182"/>
        <v>439.95000000000005</v>
      </c>
      <c r="DK37" s="243">
        <f t="shared" si="183"/>
        <v>491.40000000000003</v>
      </c>
      <c r="DL37" s="243">
        <f t="shared" si="184"/>
        <v>447.3</v>
      </c>
      <c r="DM37" s="243">
        <f t="shared" si="185"/>
        <v>480.90000000000003</v>
      </c>
      <c r="DN37" s="243">
        <f t="shared" si="186"/>
        <v>461.94750000000005</v>
      </c>
      <c r="EI37" s="235"/>
      <c r="EJ37" s="235"/>
      <c r="EK37" s="235"/>
      <c r="EL37" s="235"/>
      <c r="EM37" s="235"/>
      <c r="EN37" s="235"/>
      <c r="EO37" s="235"/>
      <c r="EP37" s="235"/>
      <c r="EQ37" s="235"/>
      <c r="ER37" s="235"/>
      <c r="ES37" s="235">
        <f t="shared" si="162"/>
        <v>663</v>
      </c>
      <c r="ET37" s="235">
        <f t="shared" si="163"/>
        <v>819</v>
      </c>
      <c r="EU37" s="235">
        <f t="shared" si="164"/>
        <v>1093</v>
      </c>
      <c r="EV37" s="235">
        <f t="shared" si="165"/>
        <v>1237</v>
      </c>
      <c r="EW37" s="235">
        <f t="shared" si="166"/>
        <v>1322</v>
      </c>
      <c r="EX37" s="235">
        <f t="shared" si="187"/>
        <v>1582</v>
      </c>
      <c r="EY37" s="235">
        <f t="shared" si="26"/>
        <v>1791.95</v>
      </c>
      <c r="EZ37" s="235">
        <f t="shared" si="167"/>
        <v>1881.5475000000001</v>
      </c>
      <c r="FA37" s="235">
        <f t="shared" ref="FA37:FB37" si="194">+EZ37*1.02</f>
        <v>1919.1784500000001</v>
      </c>
      <c r="FB37" s="235">
        <f t="shared" si="194"/>
        <v>1957.5620190000002</v>
      </c>
      <c r="FC37" s="235">
        <f>+FB37*0.95</f>
        <v>1859.6839180500001</v>
      </c>
      <c r="FD37" s="235">
        <f t="shared" ref="FD37:FE37" si="195">+FC37*0.95</f>
        <v>1766.6997221475001</v>
      </c>
      <c r="FE37" s="235">
        <f t="shared" si="195"/>
        <v>1678.3647360401251</v>
      </c>
      <c r="FF37" s="235">
        <f t="shared" ref="FF37" si="196">+FE37*0.95</f>
        <v>1594.4464992381188</v>
      </c>
      <c r="FG37" s="235">
        <f t="shared" ref="FG37" si="197">+FF37*0.95</f>
        <v>1514.7241742762128</v>
      </c>
      <c r="FH37" s="235">
        <f t="shared" ref="FH37" si="198">+FG37*0.95</f>
        <v>1438.987965562402</v>
      </c>
      <c r="FI37" s="235">
        <f t="shared" ref="FI37" si="199">+FH37*0.95</f>
        <v>1367.0385672842817</v>
      </c>
      <c r="FJ37" s="235">
        <f t="shared" ref="FJ37" si="200">+FI37*0.95</f>
        <v>1298.6866389200675</v>
      </c>
      <c r="FK37" s="254"/>
    </row>
    <row r="38" spans="2:169" x14ac:dyDescent="0.2">
      <c r="B38" t="s">
        <v>203</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v>67</v>
      </c>
      <c r="BG38" s="243">
        <v>139</v>
      </c>
      <c r="BH38" s="243">
        <v>138</v>
      </c>
      <c r="BI38" s="243">
        <v>86</v>
      </c>
      <c r="BJ38" s="243">
        <v>39</v>
      </c>
      <c r="BK38" s="243">
        <v>24</v>
      </c>
      <c r="BL38" s="243">
        <v>13</v>
      </c>
      <c r="BM38" s="243">
        <v>16</v>
      </c>
      <c r="BN38" s="243">
        <v>30</v>
      </c>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EI38" s="235"/>
      <c r="EJ38" s="235"/>
      <c r="EK38" s="235"/>
      <c r="EL38" s="235">
        <f t="shared" si="84"/>
        <v>402</v>
      </c>
      <c r="EM38" s="235">
        <f>SUM(BK38:BN38)</f>
        <v>83</v>
      </c>
      <c r="EN38" s="235"/>
      <c r="EO38" s="235"/>
      <c r="EP38" s="235"/>
      <c r="EQ38" s="235"/>
      <c r="ER38" s="235"/>
      <c r="ES38" s="235">
        <f t="shared" si="162"/>
        <v>0</v>
      </c>
      <c r="ET38" s="235">
        <f t="shared" si="163"/>
        <v>0</v>
      </c>
      <c r="EU38" s="235">
        <f t="shared" si="164"/>
        <v>0</v>
      </c>
      <c r="EV38" s="235">
        <f t="shared" si="165"/>
        <v>0</v>
      </c>
      <c r="EW38" s="235">
        <f t="shared" si="166"/>
        <v>0</v>
      </c>
      <c r="EX38" s="235">
        <f t="shared" si="187"/>
        <v>0</v>
      </c>
      <c r="EY38" s="235">
        <f t="shared" si="26"/>
        <v>0</v>
      </c>
      <c r="FK38" s="254"/>
    </row>
    <row r="39" spans="2:169" s="254" customFormat="1" x14ac:dyDescent="0.2">
      <c r="B39" t="s">
        <v>327</v>
      </c>
      <c r="C39" s="76">
        <v>71</v>
      </c>
      <c r="D39" s="76">
        <v>80</v>
      </c>
      <c r="E39" s="76">
        <v>93</v>
      </c>
      <c r="F39" s="76">
        <v>84</v>
      </c>
      <c r="G39" s="76">
        <v>91</v>
      </c>
      <c r="H39" s="76">
        <v>104</v>
      </c>
      <c r="I39" s="76">
        <v>82</v>
      </c>
      <c r="J39" s="76">
        <v>99</v>
      </c>
      <c r="K39" s="76">
        <v>113</v>
      </c>
      <c r="L39" s="76">
        <f>143+1</f>
        <v>144</v>
      </c>
      <c r="M39" s="76">
        <f>121+1</f>
        <v>122</v>
      </c>
      <c r="N39" s="76">
        <f>74+1</f>
        <v>75</v>
      </c>
      <c r="O39" s="76">
        <f>146+1</f>
        <v>147</v>
      </c>
      <c r="P39" s="76">
        <f>159+1</f>
        <v>160</v>
      </c>
      <c r="Q39" s="76">
        <f>126+1</f>
        <v>127</v>
      </c>
      <c r="R39" s="76">
        <f>87+1</f>
        <v>88</v>
      </c>
      <c r="S39" s="76">
        <v>140</v>
      </c>
      <c r="T39" s="76">
        <v>172</v>
      </c>
      <c r="U39" s="76">
        <v>115</v>
      </c>
      <c r="V39" s="76">
        <v>181</v>
      </c>
      <c r="W39" s="76">
        <v>162</v>
      </c>
      <c r="X39" s="76">
        <v>156</v>
      </c>
      <c r="Y39" s="76">
        <v>62</v>
      </c>
      <c r="Z39" s="76">
        <v>62</v>
      </c>
      <c r="AA39" s="76">
        <v>59</v>
      </c>
      <c r="AB39" s="76">
        <v>78</v>
      </c>
      <c r="AC39" s="76">
        <v>70</v>
      </c>
      <c r="AD39" s="76">
        <v>87</v>
      </c>
      <c r="AE39" s="243">
        <v>79</v>
      </c>
      <c r="AF39" s="243">
        <v>91</v>
      </c>
      <c r="AG39" s="243">
        <v>91</v>
      </c>
      <c r="AH39" s="243">
        <v>95</v>
      </c>
      <c r="AI39" s="237" t="s">
        <v>413</v>
      </c>
      <c r="AJ39" s="237" t="s">
        <v>414</v>
      </c>
      <c r="AK39" s="237" t="s">
        <v>415</v>
      </c>
      <c r="AL39" s="237" t="s">
        <v>416</v>
      </c>
      <c r="AM39" s="237" t="s">
        <v>417</v>
      </c>
      <c r="AN39" s="237" t="s">
        <v>418</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120</v>
      </c>
      <c r="DW39" s="235">
        <v>250</v>
      </c>
      <c r="DX39" s="235">
        <f>SUM(C39:F39)</f>
        <v>328</v>
      </c>
      <c r="DY39" s="235">
        <f>SUM(G39:J39)</f>
        <v>376</v>
      </c>
      <c r="DZ39" s="235">
        <f>SUM(K39:N39)</f>
        <v>454</v>
      </c>
      <c r="EA39" s="235">
        <f>SUM(O39:R39)</f>
        <v>522</v>
      </c>
      <c r="EB39" s="235">
        <f>SUM(S39:V39)</f>
        <v>608</v>
      </c>
      <c r="EC39" s="235">
        <f>SUM(W39:Z39)</f>
        <v>442</v>
      </c>
      <c r="ED39" s="235">
        <f>SUM(AA39:AD39)</f>
        <v>294</v>
      </c>
      <c r="EE39" s="235">
        <v>328</v>
      </c>
      <c r="EF39" s="235">
        <v>181.4</v>
      </c>
      <c r="EG39" s="235"/>
      <c r="EH39" s="235"/>
      <c r="EI39" s="235"/>
      <c r="EJ39" s="235"/>
      <c r="EK39" s="235"/>
      <c r="EL39" s="235"/>
      <c r="EM39" s="235"/>
      <c r="EN39" s="235"/>
      <c r="EO39" s="235"/>
      <c r="EP39" s="235"/>
      <c r="EQ39" s="235"/>
      <c r="ER39" s="235"/>
      <c r="ES39" s="235">
        <f t="shared" si="162"/>
        <v>0</v>
      </c>
      <c r="ET39" s="235">
        <f t="shared" si="163"/>
        <v>0</v>
      </c>
      <c r="EU39" s="235">
        <f t="shared" si="164"/>
        <v>0</v>
      </c>
      <c r="EV39" s="235">
        <f t="shared" si="165"/>
        <v>0</v>
      </c>
      <c r="EW39" s="235">
        <f t="shared" si="166"/>
        <v>0</v>
      </c>
      <c r="EX39" s="235">
        <f t="shared" si="187"/>
        <v>0</v>
      </c>
      <c r="EY39" s="235">
        <f t="shared" si="26"/>
        <v>0</v>
      </c>
      <c r="FM39"/>
    </row>
    <row r="40" spans="2:169" s="254" customFormat="1" x14ac:dyDescent="0.2">
      <c r="B40" t="s">
        <v>210</v>
      </c>
      <c r="C40" s="76">
        <f>41+87</f>
        <v>128</v>
      </c>
      <c r="D40" s="76">
        <f>53+103</f>
        <v>156</v>
      </c>
      <c r="E40" s="76">
        <f>64+94</f>
        <v>158</v>
      </c>
      <c r="F40" s="76">
        <f>54+73</f>
        <v>127</v>
      </c>
      <c r="G40" s="76">
        <f>45+63</f>
        <v>108</v>
      </c>
      <c r="H40" s="76">
        <f>63+89</f>
        <v>152</v>
      </c>
      <c r="I40" s="76">
        <f>79+81</f>
        <v>160</v>
      </c>
      <c r="J40" s="76">
        <f>49+80</f>
        <v>129</v>
      </c>
      <c r="K40" s="76">
        <f>58+73</f>
        <v>131</v>
      </c>
      <c r="L40" s="76">
        <f>75+99</f>
        <v>174</v>
      </c>
      <c r="M40" s="76">
        <f>67+96</f>
        <v>163</v>
      </c>
      <c r="N40" s="76">
        <f>37+89</f>
        <v>126</v>
      </c>
      <c r="O40" s="76">
        <f>49+88</f>
        <v>137</v>
      </c>
      <c r="P40" s="76">
        <f>65+117</f>
        <v>182</v>
      </c>
      <c r="Q40" s="76">
        <f>54+106</f>
        <v>160</v>
      </c>
      <c r="R40" s="76">
        <f>31+95</f>
        <v>126</v>
      </c>
      <c r="S40" s="76">
        <f>43+110</f>
        <v>153</v>
      </c>
      <c r="T40" s="76">
        <f>55+105</f>
        <v>160</v>
      </c>
      <c r="U40" s="76">
        <f>34+123</f>
        <v>157</v>
      </c>
      <c r="V40" s="76">
        <f>36+97</f>
        <v>133</v>
      </c>
      <c r="W40" s="76">
        <f>38+103</f>
        <v>141</v>
      </c>
      <c r="X40" s="76">
        <f>36+123</f>
        <v>159</v>
      </c>
      <c r="Y40" s="76">
        <f>31+114</f>
        <v>145</v>
      </c>
      <c r="Z40" s="76">
        <f>28+95</f>
        <v>123</v>
      </c>
      <c r="AA40" s="76">
        <f>30+85</f>
        <v>115</v>
      </c>
      <c r="AB40" s="76">
        <f>34+126</f>
        <v>160</v>
      </c>
      <c r="AC40" s="76">
        <f>35+116</f>
        <v>151</v>
      </c>
      <c r="AD40" s="76">
        <f>31+110</f>
        <v>141</v>
      </c>
      <c r="AE40" s="243">
        <f>28+101</f>
        <v>129</v>
      </c>
      <c r="AF40" s="243">
        <f>32+138</f>
        <v>170</v>
      </c>
      <c r="AG40" s="243">
        <f>29+188</f>
        <v>217</v>
      </c>
      <c r="AH40" s="243">
        <f>28+110</f>
        <v>138</v>
      </c>
      <c r="AI40" s="243">
        <f>20+118</f>
        <v>138</v>
      </c>
      <c r="AJ40" s="243">
        <f>9+158</f>
        <v>167</v>
      </c>
      <c r="AK40" s="243">
        <f>3+101</f>
        <v>104</v>
      </c>
      <c r="AL40" s="243">
        <f>4+94</f>
        <v>98</v>
      </c>
      <c r="AM40" s="237" t="s">
        <v>982</v>
      </c>
      <c r="AN40" s="237" t="s">
        <v>983</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450</v>
      </c>
      <c r="DW40" s="235">
        <v>625</v>
      </c>
      <c r="DX40" s="235">
        <f>SUM(C40:F40)</f>
        <v>569</v>
      </c>
      <c r="DY40" s="235">
        <f>SUM(G40:J40)</f>
        <v>549</v>
      </c>
      <c r="DZ40" s="235">
        <f>SUM(K40:N40)</f>
        <v>594</v>
      </c>
      <c r="EA40" s="235">
        <f>SUM(O40:R40)</f>
        <v>605</v>
      </c>
      <c r="EB40" s="235">
        <f>SUM(S40:V40)</f>
        <v>603</v>
      </c>
      <c r="EC40" s="235">
        <f>SUM(W40:Z40)</f>
        <v>568</v>
      </c>
      <c r="ED40" s="235">
        <f>SUM(AA40:AD40)</f>
        <v>567</v>
      </c>
      <c r="EE40" s="235">
        <f>SUM(AE40:AH40)</f>
        <v>654</v>
      </c>
      <c r="EF40" s="235">
        <v>507</v>
      </c>
      <c r="EG40" s="235"/>
      <c r="EH40" s="235"/>
      <c r="EI40" s="235"/>
      <c r="EJ40" s="235"/>
      <c r="EK40" s="235"/>
      <c r="EL40" s="235"/>
      <c r="EM40" s="235"/>
      <c r="EN40" s="235"/>
      <c r="EO40" s="235"/>
      <c r="EP40" s="235"/>
      <c r="EQ40" s="235"/>
      <c r="ER40" s="235"/>
      <c r="ES40" s="235">
        <f t="shared" si="162"/>
        <v>0</v>
      </c>
      <c r="ET40" s="235">
        <f t="shared" si="163"/>
        <v>0</v>
      </c>
      <c r="EU40" s="235">
        <f t="shared" si="164"/>
        <v>0</v>
      </c>
      <c r="EV40" s="235">
        <f t="shared" si="165"/>
        <v>0</v>
      </c>
      <c r="EW40" s="235">
        <f t="shared" si="166"/>
        <v>0</v>
      </c>
      <c r="EX40" s="235">
        <f t="shared" si="187"/>
        <v>0</v>
      </c>
      <c r="EY40" s="235">
        <f t="shared" si="26"/>
        <v>0</v>
      </c>
      <c r="FM40"/>
    </row>
    <row r="41" spans="2:169" s="254" customFormat="1" x14ac:dyDescent="0.2">
      <c r="B41" t="s">
        <v>330</v>
      </c>
      <c r="C41" s="76">
        <f>144+31</f>
        <v>175</v>
      </c>
      <c r="D41" s="76">
        <f>162+32</f>
        <v>194</v>
      </c>
      <c r="E41" s="76">
        <f>118+30</f>
        <v>148</v>
      </c>
      <c r="F41" s="76">
        <f>124+29</f>
        <v>153</v>
      </c>
      <c r="G41" s="76">
        <f>179+29</f>
        <v>208</v>
      </c>
      <c r="H41" s="76">
        <f>133+31</f>
        <v>164</v>
      </c>
      <c r="I41" s="76">
        <f>174+30</f>
        <v>204</v>
      </c>
      <c r="J41" s="76">
        <f>153+31</f>
        <v>184</v>
      </c>
      <c r="K41" s="243">
        <f>202+31</f>
        <v>233</v>
      </c>
      <c r="L41" s="243">
        <f>197+31</f>
        <v>228</v>
      </c>
      <c r="M41" s="243">
        <f>216+34</f>
        <v>250</v>
      </c>
      <c r="N41" s="243">
        <f>173+30</f>
        <v>203</v>
      </c>
      <c r="O41" s="76">
        <f>222+29</f>
        <v>251</v>
      </c>
      <c r="P41" s="76">
        <f>249+29</f>
        <v>278</v>
      </c>
      <c r="Q41" s="76">
        <f>213+29</f>
        <v>242</v>
      </c>
      <c r="R41" s="76">
        <f>158+28</f>
        <v>186</v>
      </c>
      <c r="S41" s="76">
        <f>231+26</f>
        <v>257</v>
      </c>
      <c r="T41" s="76">
        <f>260+27</f>
        <v>287</v>
      </c>
      <c r="U41" s="76">
        <f>168+29</f>
        <v>197</v>
      </c>
      <c r="V41" s="76">
        <f>233+29</f>
        <v>262</v>
      </c>
      <c r="W41" s="76">
        <f>224+24</f>
        <v>248</v>
      </c>
      <c r="X41" s="76">
        <f>221+28</f>
        <v>249</v>
      </c>
      <c r="Y41" s="76">
        <f>237+30</f>
        <v>267</v>
      </c>
      <c r="Z41" s="76">
        <f>211+28</f>
        <v>239</v>
      </c>
      <c r="AA41" s="76">
        <f>239+29</f>
        <v>268</v>
      </c>
      <c r="AB41" s="76">
        <f>254+33</f>
        <v>287</v>
      </c>
      <c r="AC41" s="76">
        <f>259+33</f>
        <v>292</v>
      </c>
      <c r="AD41" s="76">
        <f>291+37</f>
        <v>328</v>
      </c>
      <c r="AE41" s="243">
        <f>263+42</f>
        <v>305</v>
      </c>
      <c r="AF41" s="243">
        <f>323+43</f>
        <v>366</v>
      </c>
      <c r="AG41" s="243">
        <f>256+49</f>
        <v>305</v>
      </c>
      <c r="AH41" s="243">
        <f>253+50</f>
        <v>303</v>
      </c>
      <c r="AI41" s="243">
        <f>245+57</f>
        <v>302</v>
      </c>
      <c r="AJ41" s="243">
        <f>245+57</f>
        <v>302</v>
      </c>
      <c r="AK41" s="243">
        <f>227+54</f>
        <v>281</v>
      </c>
      <c r="AL41" s="243">
        <f>206+51</f>
        <v>257</v>
      </c>
      <c r="AM41" s="243">
        <f>198+56</f>
        <v>254</v>
      </c>
      <c r="AN41" s="243">
        <f>188+59</f>
        <v>247</v>
      </c>
      <c r="AO41" s="243">
        <v>270</v>
      </c>
      <c r="AP41" s="243">
        <v>244</v>
      </c>
      <c r="AQ41" s="243">
        <v>237</v>
      </c>
      <c r="AR41" s="243">
        <v>240</v>
      </c>
      <c r="AS41" s="243">
        <v>233</v>
      </c>
      <c r="AT41" s="243">
        <v>215</v>
      </c>
      <c r="AU41" s="243">
        <f>AQ41*0.85</f>
        <v>201.45</v>
      </c>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570</v>
      </c>
      <c r="DW41" s="235">
        <v>545</v>
      </c>
      <c r="DX41" s="235">
        <f>SUM(C41:F41)</f>
        <v>670</v>
      </c>
      <c r="DY41" s="235">
        <f>SUM(G41:J41)</f>
        <v>760</v>
      </c>
      <c r="DZ41" s="235">
        <f>SUM(K41:N41)</f>
        <v>914</v>
      </c>
      <c r="EA41" s="235">
        <f>SUM(O41:R41)</f>
        <v>957</v>
      </c>
      <c r="EB41" s="235">
        <f>SUM(S41:V41)</f>
        <v>1003</v>
      </c>
      <c r="EC41" s="235">
        <f>SUM(W41:Z41)</f>
        <v>1003</v>
      </c>
      <c r="ED41" s="235">
        <f>SUM(AA41:AD41)</f>
        <v>1175</v>
      </c>
      <c r="EE41" s="235">
        <f>SUM(AE41:AH41)</f>
        <v>1279</v>
      </c>
      <c r="EF41" s="235">
        <v>1136</v>
      </c>
      <c r="EG41" s="235">
        <f>SUM(AM41:AP41)</f>
        <v>1015</v>
      </c>
      <c r="EH41" s="235">
        <f>SUM(AQ41:AT41)</f>
        <v>925</v>
      </c>
      <c r="EI41" s="235">
        <f>SUM(AU41:AX41)</f>
        <v>201.45</v>
      </c>
      <c r="EJ41" s="235"/>
      <c r="EK41" s="235"/>
      <c r="EL41" s="235"/>
      <c r="EM41" s="235"/>
      <c r="EN41" s="235"/>
      <c r="EO41" s="235"/>
      <c r="EP41" s="235"/>
      <c r="EQ41" s="235"/>
      <c r="ER41" s="235"/>
      <c r="ES41" s="235">
        <f t="shared" si="162"/>
        <v>0</v>
      </c>
      <c r="ET41" s="235">
        <f t="shared" si="163"/>
        <v>0</v>
      </c>
      <c r="EU41" s="235">
        <f t="shared" si="164"/>
        <v>0</v>
      </c>
      <c r="EV41" s="235">
        <f t="shared" si="165"/>
        <v>0</v>
      </c>
      <c r="EW41" s="235">
        <f t="shared" si="166"/>
        <v>0</v>
      </c>
      <c r="EX41" s="235">
        <f t="shared" si="187"/>
        <v>0</v>
      </c>
      <c r="EY41" s="235">
        <f t="shared" si="26"/>
        <v>0</v>
      </c>
    </row>
    <row r="42" spans="2:169" s="254" customFormat="1" x14ac:dyDescent="0.2">
      <c r="B42" t="s">
        <v>115</v>
      </c>
      <c r="C42" s="76"/>
      <c r="D42" s="76"/>
      <c r="E42" s="76"/>
      <c r="F42" s="76"/>
      <c r="G42" s="76"/>
      <c r="H42" s="76"/>
      <c r="I42" s="76"/>
      <c r="J42" s="76"/>
      <c r="K42" s="76"/>
      <c r="L42" s="76"/>
      <c r="M42" s="76"/>
      <c r="N42" s="76"/>
      <c r="O42" s="76"/>
      <c r="P42" s="76"/>
      <c r="Q42" s="76"/>
      <c r="R42" s="76"/>
      <c r="S42" s="76"/>
      <c r="T42" s="76"/>
      <c r="U42" s="76"/>
      <c r="V42" s="76"/>
      <c r="W42" s="76"/>
      <c r="X42" s="76"/>
      <c r="Y42" s="76"/>
      <c r="Z42" s="76"/>
      <c r="AA42" s="76">
        <v>340</v>
      </c>
      <c r="AB42" s="76">
        <v>338</v>
      </c>
      <c r="AC42" s="76">
        <v>350</v>
      </c>
      <c r="AD42" s="76">
        <v>336</v>
      </c>
      <c r="AE42" s="243">
        <v>425</v>
      </c>
      <c r="AF42" s="243">
        <v>408</v>
      </c>
      <c r="AG42" s="243">
        <v>420</v>
      </c>
      <c r="AH42" s="243">
        <v>424</v>
      </c>
      <c r="AI42" s="243"/>
      <c r="AJ42" s="243"/>
      <c r="AK42" s="243"/>
      <c r="AL42" s="243"/>
      <c r="AM42" s="243"/>
      <c r="AN42" s="243"/>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44" t="s">
        <v>120</v>
      </c>
      <c r="DQ42" s="235"/>
      <c r="DR42" s="235"/>
      <c r="DS42" s="235"/>
      <c r="DT42" s="235"/>
      <c r="DU42" s="235"/>
      <c r="DV42" s="235"/>
      <c r="DW42" s="235"/>
      <c r="DX42" s="235"/>
      <c r="DY42" s="235"/>
      <c r="DZ42" s="235"/>
      <c r="EA42" s="235">
        <v>679</v>
      </c>
      <c r="EB42" s="235">
        <v>1042</v>
      </c>
      <c r="EC42" s="235">
        <v>1114</v>
      </c>
      <c r="ED42" s="235">
        <f>SUM(AA42:AD42)</f>
        <v>1364</v>
      </c>
      <c r="EE42" s="235">
        <v>1674</v>
      </c>
      <c r="EF42" s="235"/>
      <c r="EG42" s="235"/>
      <c r="EH42" s="235"/>
      <c r="EI42" s="235"/>
      <c r="EJ42" s="235"/>
      <c r="EK42" s="235"/>
      <c r="EL42" s="235"/>
      <c r="EM42" s="235"/>
      <c r="EN42" s="235"/>
      <c r="EO42" s="235"/>
      <c r="EP42" s="76"/>
      <c r="EQ42" s="76"/>
      <c r="ER42" s="76"/>
      <c r="ES42" s="235">
        <f t="shared" si="162"/>
        <v>0</v>
      </c>
      <c r="ET42" s="235">
        <f t="shared" si="163"/>
        <v>0</v>
      </c>
      <c r="EU42" s="235">
        <f t="shared" si="164"/>
        <v>0</v>
      </c>
      <c r="EV42" s="235">
        <f t="shared" si="165"/>
        <v>0</v>
      </c>
      <c r="EW42" s="235">
        <f t="shared" si="166"/>
        <v>0</v>
      </c>
      <c r="EX42" s="235">
        <f t="shared" si="187"/>
        <v>0</v>
      </c>
      <c r="EY42" s="235">
        <f t="shared" si="26"/>
        <v>0</v>
      </c>
      <c r="FM42"/>
    </row>
    <row r="43" spans="2:169" s="254" customFormat="1" x14ac:dyDescent="0.2">
      <c r="B43" t="s">
        <v>630</v>
      </c>
      <c r="C43" s="76"/>
      <c r="D43" s="76"/>
      <c r="E43" s="76"/>
      <c r="F43" s="76"/>
      <c r="G43" s="76"/>
      <c r="H43" s="76"/>
      <c r="I43" s="76"/>
      <c r="J43" s="76"/>
      <c r="K43" s="76"/>
      <c r="L43" s="76"/>
      <c r="M43" s="76"/>
      <c r="N43" s="76"/>
      <c r="O43" s="76"/>
      <c r="P43" s="76"/>
      <c r="Q43" s="76"/>
      <c r="R43" s="76"/>
      <c r="S43" s="76">
        <v>2</v>
      </c>
      <c r="T43" s="76">
        <v>10</v>
      </c>
      <c r="U43" s="76">
        <v>14</v>
      </c>
      <c r="V43" s="236" t="s">
        <v>419</v>
      </c>
      <c r="W43" s="236" t="s">
        <v>984</v>
      </c>
      <c r="X43" s="236" t="s">
        <v>420</v>
      </c>
      <c r="Y43" s="236" t="s">
        <v>415</v>
      </c>
      <c r="Z43" s="236" t="s">
        <v>421</v>
      </c>
      <c r="AA43" s="236" t="s">
        <v>423</v>
      </c>
      <c r="AB43" s="236" t="s">
        <v>424</v>
      </c>
      <c r="AC43" s="236" t="s">
        <v>425</v>
      </c>
      <c r="AD43" s="236" t="s">
        <v>922</v>
      </c>
      <c r="AE43" s="236" t="s">
        <v>427</v>
      </c>
      <c r="AF43" s="236" t="s">
        <v>428</v>
      </c>
      <c r="AG43" s="236" t="s">
        <v>429</v>
      </c>
      <c r="AH43" s="236" t="s">
        <v>430</v>
      </c>
      <c r="AI43" s="237" t="s">
        <v>432</v>
      </c>
      <c r="AJ43" s="237" t="s">
        <v>432</v>
      </c>
      <c r="AK43" s="237" t="s">
        <v>432</v>
      </c>
      <c r="AL43" s="237" t="s">
        <v>428</v>
      </c>
      <c r="AM43" s="237" t="s">
        <v>985</v>
      </c>
      <c r="AN43" s="237" t="s">
        <v>985</v>
      </c>
      <c r="AO43" s="243"/>
      <c r="AP43" s="243"/>
      <c r="AQ43" s="243">
        <v>128</v>
      </c>
      <c r="AR43" s="243">
        <v>132</v>
      </c>
      <c r="AS43" s="243">
        <v>130</v>
      </c>
      <c r="AT43" s="243">
        <v>141</v>
      </c>
      <c r="AU43" s="243">
        <v>149</v>
      </c>
      <c r="AV43" s="243">
        <v>152</v>
      </c>
      <c r="AW43" s="243">
        <v>138</v>
      </c>
      <c r="AX43" s="243">
        <v>102</v>
      </c>
      <c r="AY43" s="243">
        <v>101</v>
      </c>
      <c r="AZ43" s="243">
        <v>107</v>
      </c>
      <c r="BA43" s="243">
        <v>97</v>
      </c>
      <c r="BB43" s="243">
        <v>110</v>
      </c>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v>25</v>
      </c>
      <c r="EC43" s="244" t="s">
        <v>422</v>
      </c>
      <c r="ED43" s="244" t="s">
        <v>426</v>
      </c>
      <c r="EE43" s="244" t="s">
        <v>431</v>
      </c>
      <c r="EF43" s="244" t="s">
        <v>433</v>
      </c>
      <c r="EG43" s="235"/>
      <c r="EH43" s="235">
        <f>SUM(AQ43:AT43)</f>
        <v>531</v>
      </c>
      <c r="EI43" s="235">
        <f>SUM(AU43:AX43)</f>
        <v>541</v>
      </c>
      <c r="EJ43" s="235">
        <f>SUM(AY43:BB43)</f>
        <v>415</v>
      </c>
      <c r="EK43" s="235"/>
      <c r="EL43" s="235"/>
      <c r="EM43" s="235"/>
      <c r="EN43" s="235"/>
      <c r="EO43" s="235"/>
      <c r="EP43" s="235"/>
      <c r="EQ43" s="235"/>
      <c r="ER43" s="235"/>
      <c r="ES43" s="235">
        <f t="shared" si="162"/>
        <v>0</v>
      </c>
      <c r="ET43" s="235">
        <f t="shared" si="163"/>
        <v>0</v>
      </c>
      <c r="EU43" s="235">
        <f t="shared" si="164"/>
        <v>0</v>
      </c>
      <c r="EV43" s="235">
        <f t="shared" si="165"/>
        <v>0</v>
      </c>
      <c r="EW43" s="235">
        <f t="shared" si="166"/>
        <v>0</v>
      </c>
      <c r="EX43" s="235">
        <f t="shared" si="187"/>
        <v>0</v>
      </c>
      <c r="EY43" s="235">
        <f t="shared" si="26"/>
        <v>0</v>
      </c>
      <c r="EZ43" s="235"/>
      <c r="FA43" s="235"/>
      <c r="FB43" s="235"/>
      <c r="FC43" s="235"/>
      <c r="FD43" s="235"/>
      <c r="FE43" s="235"/>
      <c r="FF43" s="235"/>
      <c r="FG43" s="235"/>
      <c r="FH43" s="235"/>
      <c r="FI43" s="235"/>
      <c r="FJ43" s="235"/>
    </row>
    <row r="44" spans="2:169" s="254" customFormat="1" x14ac:dyDescent="0.2">
      <c r="B44" t="s">
        <v>1772</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26</v>
      </c>
      <c r="CG44" s="243">
        <v>210</v>
      </c>
      <c r="CH44" s="243">
        <v>167</v>
      </c>
      <c r="CI44" s="243">
        <v>140</v>
      </c>
      <c r="CJ44" s="243">
        <v>143</v>
      </c>
      <c r="CK44" s="243">
        <v>139</v>
      </c>
      <c r="CL44" s="243">
        <v>124</v>
      </c>
      <c r="CM44" s="243">
        <v>117</v>
      </c>
      <c r="CN44" s="243">
        <v>103</v>
      </c>
      <c r="CO44" s="243">
        <v>65</v>
      </c>
      <c r="CP44" s="243">
        <v>56</v>
      </c>
      <c r="CQ44" s="243">
        <v>0</v>
      </c>
      <c r="CR44" s="243">
        <v>0</v>
      </c>
      <c r="CS44" s="243">
        <v>0</v>
      </c>
      <c r="CT44" s="243">
        <v>0</v>
      </c>
      <c r="CU44" s="243">
        <v>0</v>
      </c>
      <c r="CV44" s="243">
        <v>0</v>
      </c>
      <c r="CW44" s="243">
        <v>0</v>
      </c>
      <c r="CX44" s="243">
        <v>0</v>
      </c>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2"/>
        <v>546</v>
      </c>
      <c r="ET44" s="235">
        <f t="shared" si="163"/>
        <v>341</v>
      </c>
      <c r="EU44" s="235">
        <f t="shared" si="164"/>
        <v>0</v>
      </c>
      <c r="EV44" s="235">
        <f t="shared" si="165"/>
        <v>0</v>
      </c>
      <c r="EW44" s="235">
        <f t="shared" si="166"/>
        <v>0</v>
      </c>
      <c r="EX44" s="235"/>
      <c r="EY44" s="235"/>
      <c r="EZ44" s="235"/>
      <c r="FA44" s="235"/>
      <c r="FB44" s="235"/>
      <c r="FC44" s="235"/>
      <c r="FD44" s="235"/>
      <c r="FE44" s="235"/>
      <c r="FF44" s="235"/>
      <c r="FG44" s="235"/>
      <c r="FH44" s="235"/>
      <c r="FI44" s="235"/>
      <c r="FJ44" s="235"/>
    </row>
    <row r="45" spans="2:169" s="254" customFormat="1" x14ac:dyDescent="0.2">
      <c r="B45" t="s">
        <v>1684</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11</v>
      </c>
      <c r="CG45" s="243">
        <v>39</v>
      </c>
      <c r="CH45" s="243">
        <v>44</v>
      </c>
      <c r="CI45" s="243">
        <v>34</v>
      </c>
      <c r="CJ45" s="243">
        <v>40</v>
      </c>
      <c r="CK45" s="243">
        <v>36</v>
      </c>
      <c r="CL45" s="243">
        <v>39</v>
      </c>
      <c r="CM45" s="243">
        <v>35</v>
      </c>
      <c r="CN45" s="243">
        <v>37</v>
      </c>
      <c r="CO45" s="243">
        <v>31</v>
      </c>
      <c r="CP45" s="243">
        <v>32</v>
      </c>
      <c r="CQ45" s="243">
        <v>106</v>
      </c>
      <c r="CR45" s="243">
        <v>101</v>
      </c>
      <c r="CS45" s="243">
        <v>97</v>
      </c>
      <c r="CT45" s="243">
        <v>112</v>
      </c>
      <c r="CU45" s="243">
        <v>105</v>
      </c>
      <c r="CV45" s="243">
        <v>95</v>
      </c>
      <c r="CW45" s="243">
        <v>101</v>
      </c>
      <c r="CX45" s="243">
        <v>94</v>
      </c>
      <c r="CY45" s="243">
        <v>83</v>
      </c>
      <c r="CZ45" s="243">
        <v>78</v>
      </c>
      <c r="DA45" s="243">
        <v>78</v>
      </c>
      <c r="DB45" s="243">
        <v>73</v>
      </c>
      <c r="DC45" s="243">
        <v>70</v>
      </c>
      <c r="DD45" s="243">
        <v>66</v>
      </c>
      <c r="DE45" s="243">
        <v>63</v>
      </c>
      <c r="DF45" s="243">
        <v>61</v>
      </c>
      <c r="DG45" s="243">
        <v>56</v>
      </c>
      <c r="DH45" s="243">
        <v>71</v>
      </c>
      <c r="DI45" s="243">
        <v>72</v>
      </c>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c r="ES45" s="235">
        <f t="shared" si="162"/>
        <v>149</v>
      </c>
      <c r="ET45" s="235">
        <f t="shared" si="163"/>
        <v>135</v>
      </c>
      <c r="EU45" s="235">
        <f t="shared" si="164"/>
        <v>416</v>
      </c>
      <c r="EV45" s="235">
        <f t="shared" si="165"/>
        <v>395</v>
      </c>
      <c r="EW45" s="235">
        <f t="shared" si="166"/>
        <v>312</v>
      </c>
      <c r="EX45" s="235">
        <f>SUM(DC45:DF45)</f>
        <v>260</v>
      </c>
      <c r="EY45" s="235">
        <f t="shared" si="26"/>
        <v>199</v>
      </c>
      <c r="EZ45" s="235">
        <f>SUM(DK45:DN45)</f>
        <v>0</v>
      </c>
      <c r="FA45" s="235">
        <f t="shared" ref="FA45:FE45" si="201">+EZ45</f>
        <v>0</v>
      </c>
      <c r="FB45" s="235">
        <f t="shared" si="201"/>
        <v>0</v>
      </c>
      <c r="FC45" s="235">
        <f t="shared" si="201"/>
        <v>0</v>
      </c>
      <c r="FD45" s="235">
        <f t="shared" si="201"/>
        <v>0</v>
      </c>
      <c r="FE45" s="235">
        <f t="shared" si="201"/>
        <v>0</v>
      </c>
      <c r="FF45" s="235">
        <f t="shared" ref="FF45" si="202">+FE45</f>
        <v>0</v>
      </c>
      <c r="FG45" s="235">
        <f t="shared" ref="FG45" si="203">+FF45</f>
        <v>0</v>
      </c>
      <c r="FH45" s="235">
        <f t="shared" ref="FH45" si="204">+FG45</f>
        <v>0</v>
      </c>
      <c r="FI45" s="235">
        <f t="shared" ref="FI45" si="205">+FH45</f>
        <v>0</v>
      </c>
      <c r="FJ45" s="235">
        <f t="shared" ref="FJ45" si="206">+FI45</f>
        <v>0</v>
      </c>
    </row>
    <row r="46" spans="2:169" s="254" customFormat="1" ht="12.75" customHeight="1" x14ac:dyDescent="0.2">
      <c r="B46" t="s">
        <v>191</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v>27</v>
      </c>
      <c r="BL46" s="243">
        <v>49</v>
      </c>
      <c r="BM46" s="243">
        <v>68</v>
      </c>
      <c r="BN46" s="243">
        <v>95</v>
      </c>
      <c r="BO46" s="243">
        <v>158</v>
      </c>
      <c r="BP46" s="243">
        <v>189</v>
      </c>
      <c r="BQ46" s="243">
        <v>246</v>
      </c>
      <c r="BR46" s="243">
        <v>271</v>
      </c>
      <c r="BS46" s="243">
        <v>319</v>
      </c>
      <c r="BT46" s="243">
        <v>361</v>
      </c>
      <c r="BU46" s="243">
        <v>414</v>
      </c>
      <c r="BV46" s="243">
        <v>428</v>
      </c>
      <c r="BW46" s="243">
        <v>441</v>
      </c>
      <c r="BX46" s="243">
        <v>472</v>
      </c>
      <c r="BY46" s="243">
        <v>461</v>
      </c>
      <c r="BZ46" s="243">
        <v>494</v>
      </c>
      <c r="CA46" s="243">
        <v>567</v>
      </c>
      <c r="CB46" s="243">
        <v>594</v>
      </c>
      <c r="CC46" s="243">
        <v>529</v>
      </c>
      <c r="CD46" s="243">
        <v>598</v>
      </c>
      <c r="CE46" s="243">
        <v>513</v>
      </c>
      <c r="CF46" s="243">
        <v>642</v>
      </c>
      <c r="CG46" s="243">
        <v>635</v>
      </c>
      <c r="CH46" s="243">
        <v>710</v>
      </c>
      <c r="CI46" s="243">
        <v>578</v>
      </c>
      <c r="CJ46" s="243">
        <v>679</v>
      </c>
      <c r="CK46" s="243">
        <v>612</v>
      </c>
      <c r="CL46" s="243">
        <v>608</v>
      </c>
      <c r="CM46" s="243">
        <v>542</v>
      </c>
      <c r="CN46" s="243">
        <v>549</v>
      </c>
      <c r="CO46" s="243">
        <v>613</v>
      </c>
      <c r="CP46" s="243">
        <v>609</v>
      </c>
      <c r="CQ46" s="243">
        <v>527</v>
      </c>
      <c r="CR46" s="243">
        <v>559</v>
      </c>
      <c r="CS46" s="243">
        <v>630</v>
      </c>
      <c r="CT46" s="243">
        <v>629</v>
      </c>
      <c r="CU46" s="243">
        <v>589</v>
      </c>
      <c r="CV46" s="243">
        <v>569</v>
      </c>
      <c r="CW46" s="243">
        <v>636</v>
      </c>
      <c r="CX46" s="243">
        <v>644</v>
      </c>
      <c r="CY46" s="243">
        <v>508</v>
      </c>
      <c r="CZ46" s="243">
        <v>609</v>
      </c>
      <c r="DA46" s="243">
        <v>689</v>
      </c>
      <c r="DB46" s="243">
        <v>667</v>
      </c>
      <c r="DC46" s="243">
        <v>578</v>
      </c>
      <c r="DD46" s="243">
        <v>637</v>
      </c>
      <c r="DE46" s="243">
        <v>625</v>
      </c>
      <c r="DF46" s="243">
        <v>525</v>
      </c>
      <c r="DG46" s="243">
        <v>518</v>
      </c>
      <c r="DH46" s="243">
        <v>587</v>
      </c>
      <c r="DI46" s="243">
        <v>592</v>
      </c>
      <c r="DJ46" s="243">
        <v>530.25</v>
      </c>
      <c r="DK46" s="243">
        <v>530.25</v>
      </c>
      <c r="DL46" s="243">
        <v>530.25</v>
      </c>
      <c r="DM46" s="243">
        <v>530.25</v>
      </c>
      <c r="DN46" s="243">
        <v>530.25</v>
      </c>
      <c r="DP46" s="76"/>
      <c r="DQ46" s="76"/>
      <c r="DR46" s="76"/>
      <c r="DS46" s="76"/>
      <c r="DT46" s="76"/>
      <c r="DU46" s="76"/>
      <c r="DV46" s="76"/>
      <c r="DW46" s="76"/>
      <c r="DX46" s="76"/>
      <c r="DY46" s="76"/>
      <c r="DZ46" s="76"/>
      <c r="EA46" s="76"/>
      <c r="EB46" s="76"/>
      <c r="EC46" s="76"/>
      <c r="ED46" s="76"/>
      <c r="EE46" s="76"/>
      <c r="EF46" s="76"/>
      <c r="EG46" s="76"/>
      <c r="EH46" s="235"/>
      <c r="EI46" s="235"/>
      <c r="EJ46" s="235">
        <v>0</v>
      </c>
      <c r="EK46" s="235"/>
      <c r="EL46" s="235"/>
      <c r="EM46" s="235">
        <f>SUM(BK46:BN46)</f>
        <v>239</v>
      </c>
      <c r="EN46" s="235">
        <f>SUM(BO46:BR46)</f>
        <v>864</v>
      </c>
      <c r="EO46" s="235">
        <f>SUM(BS46:BV46)</f>
        <v>1522</v>
      </c>
      <c r="EP46" s="235">
        <f>EO46*1.1</f>
        <v>1674.2</v>
      </c>
      <c r="EQ46" s="235">
        <f>EP46*1.05</f>
        <v>1757.91</v>
      </c>
      <c r="ER46" s="235"/>
      <c r="ES46" s="235">
        <f t="shared" si="162"/>
        <v>2477</v>
      </c>
      <c r="ET46" s="235">
        <f t="shared" si="163"/>
        <v>2313</v>
      </c>
      <c r="EU46" s="235">
        <f t="shared" si="164"/>
        <v>2345</v>
      </c>
      <c r="EV46" s="235">
        <f t="shared" si="165"/>
        <v>2438</v>
      </c>
      <c r="EW46" s="235">
        <f t="shared" si="166"/>
        <v>2473</v>
      </c>
      <c r="EX46" s="235">
        <f>SUM(DC46:DF46)</f>
        <v>2365</v>
      </c>
      <c r="EY46" s="235">
        <f t="shared" si="26"/>
        <v>2227.25</v>
      </c>
      <c r="EZ46" s="235">
        <f>SUM(DK46:DN46)</f>
        <v>2121</v>
      </c>
      <c r="FA46" s="235">
        <f t="shared" ref="FA46:FC46" si="207">+EZ46*1.05</f>
        <v>2227.0500000000002</v>
      </c>
      <c r="FB46" s="235">
        <f t="shared" si="207"/>
        <v>2338.4025000000001</v>
      </c>
      <c r="FC46" s="235">
        <f t="shared" si="207"/>
        <v>2455.3226250000002</v>
      </c>
      <c r="FD46" s="235">
        <f>+FC46*0.5</f>
        <v>1227.6613125000001</v>
      </c>
      <c r="FE46" s="235">
        <f t="shared" ref="FE46" si="208">+FD46*0.5</f>
        <v>613.83065625000006</v>
      </c>
      <c r="FF46" s="235">
        <f t="shared" ref="FF46" si="209">+FE46*0.5</f>
        <v>306.91532812500003</v>
      </c>
      <c r="FG46" s="235">
        <f t="shared" ref="FG46" si="210">+FF46*0.5</f>
        <v>153.45766406250002</v>
      </c>
      <c r="FH46" s="235">
        <f t="shared" ref="FH46" si="211">+FG46*0.5</f>
        <v>76.728832031250008</v>
      </c>
      <c r="FI46" s="235">
        <f t="shared" ref="FI46" si="212">+FH46*0.5</f>
        <v>38.364416015625004</v>
      </c>
      <c r="FJ46" s="235">
        <f t="shared" ref="FJ46" si="213">+FI46*0.5</f>
        <v>19.182208007812502</v>
      </c>
      <c r="FM46"/>
    </row>
    <row r="47" spans="2:169" s="254" customFormat="1" ht="12.75" customHeight="1" x14ac:dyDescent="0.2">
      <c r="B47" t="s">
        <v>1551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c r="BL47" s="243"/>
      <c r="BM47" s="243"/>
      <c r="BN47" s="243"/>
      <c r="BO47" s="243"/>
      <c r="BP47" s="243"/>
      <c r="BQ47" s="243"/>
      <c r="BR47" s="243"/>
      <c r="BS47" s="243">
        <v>94</v>
      </c>
      <c r="BT47" s="243">
        <v>117</v>
      </c>
      <c r="BU47" s="243">
        <v>174</v>
      </c>
      <c r="BV47" s="243">
        <v>201</v>
      </c>
      <c r="BW47" s="243">
        <v>278</v>
      </c>
      <c r="BX47" s="243">
        <v>318</v>
      </c>
      <c r="BY47" s="243">
        <v>340</v>
      </c>
      <c r="BZ47" s="243">
        <v>372</v>
      </c>
      <c r="CA47" s="243">
        <v>325</v>
      </c>
      <c r="CB47" s="243">
        <v>383</v>
      </c>
      <c r="CC47" s="243">
        <v>328</v>
      </c>
      <c r="CD47" s="243">
        <v>371</v>
      </c>
      <c r="CE47" s="243">
        <v>284</v>
      </c>
      <c r="CF47" s="243">
        <v>295</v>
      </c>
      <c r="CG47" s="243">
        <v>265</v>
      </c>
      <c r="CH47" s="243">
        <v>267</v>
      </c>
      <c r="CI47" s="243">
        <v>248</v>
      </c>
      <c r="CJ47" s="243">
        <v>215</v>
      </c>
      <c r="CK47" s="243">
        <v>190</v>
      </c>
      <c r="CL47" s="243">
        <v>228</v>
      </c>
      <c r="CM47" s="243">
        <v>202</v>
      </c>
      <c r="CN47" s="243">
        <v>177</v>
      </c>
      <c r="CO47" s="243">
        <v>179</v>
      </c>
      <c r="CP47" s="243">
        <v>177</v>
      </c>
      <c r="CQ47" s="243">
        <v>175</v>
      </c>
      <c r="CR47" s="243">
        <v>179</v>
      </c>
      <c r="CS47" s="243">
        <v>224</v>
      </c>
      <c r="CT47" s="243">
        <v>217</v>
      </c>
      <c r="CU47" s="243">
        <v>150</v>
      </c>
      <c r="CV47" s="243">
        <v>160</v>
      </c>
      <c r="CW47" s="243">
        <v>133</v>
      </c>
      <c r="CX47" s="243">
        <v>120</v>
      </c>
      <c r="CY47" s="243">
        <v>128</v>
      </c>
      <c r="CZ47" s="243">
        <v>120</v>
      </c>
      <c r="DA47" s="243">
        <v>109</v>
      </c>
      <c r="DB47" s="243">
        <v>91</v>
      </c>
      <c r="DC47" s="243"/>
      <c r="DD47" s="243"/>
      <c r="DE47" s="243"/>
      <c r="DF47" s="243"/>
      <c r="DG47" s="243"/>
      <c r="DH47" s="243"/>
      <c r="DI47" s="243"/>
      <c r="DJ47" s="243"/>
      <c r="DK47" s="243"/>
      <c r="DL47" s="243"/>
      <c r="DM47" s="243"/>
      <c r="DN47" s="243"/>
      <c r="DP47" s="76"/>
      <c r="DQ47" s="76"/>
      <c r="DR47" s="76"/>
      <c r="DS47" s="76"/>
      <c r="DT47" s="76"/>
      <c r="DU47" s="76"/>
      <c r="DV47" s="76"/>
      <c r="DW47" s="76"/>
      <c r="DX47" s="76"/>
      <c r="DY47" s="76"/>
      <c r="DZ47" s="76"/>
      <c r="EA47" s="76"/>
      <c r="EB47" s="76"/>
      <c r="EC47" s="76"/>
      <c r="ED47" s="76"/>
      <c r="EE47" s="76"/>
      <c r="EF47" s="76"/>
      <c r="EG47" s="76"/>
      <c r="EH47" s="235"/>
      <c r="EI47" s="235"/>
      <c r="EJ47" s="235"/>
      <c r="EK47" s="235"/>
      <c r="EL47" s="235"/>
      <c r="EM47" s="235"/>
      <c r="EN47" s="235"/>
      <c r="EO47" s="235"/>
      <c r="EP47" s="235"/>
      <c r="EQ47" s="235"/>
      <c r="ER47" s="235"/>
      <c r="ES47" s="235">
        <f t="shared" si="162"/>
        <v>881</v>
      </c>
      <c r="ET47" s="235">
        <f t="shared" si="163"/>
        <v>735</v>
      </c>
      <c r="EU47" s="235">
        <f t="shared" si="164"/>
        <v>795</v>
      </c>
      <c r="EV47" s="235">
        <f t="shared" si="165"/>
        <v>563</v>
      </c>
      <c r="EW47" s="235">
        <f t="shared" si="166"/>
        <v>448</v>
      </c>
      <c r="EX47" s="235"/>
      <c r="EY47" s="235"/>
      <c r="EZ47" s="235">
        <f>SUM(DK47:DN47)</f>
        <v>0</v>
      </c>
      <c r="FA47" s="235"/>
      <c r="FB47" s="235"/>
      <c r="FC47" s="235"/>
      <c r="FD47" s="235"/>
      <c r="FE47" s="235"/>
      <c r="FF47" s="235"/>
      <c r="FG47" s="235"/>
      <c r="FH47" s="235"/>
      <c r="FI47" s="235"/>
      <c r="FJ47" s="235"/>
      <c r="FM47"/>
    </row>
    <row r="48" spans="2:169" s="254" customFormat="1" ht="12.75" customHeight="1" x14ac:dyDescent="0.2">
      <c r="B48" t="s">
        <v>1223</v>
      </c>
      <c r="C48" s="76"/>
      <c r="D48" s="76"/>
      <c r="E48" s="76"/>
      <c r="F48" s="76"/>
      <c r="G48" s="76"/>
      <c r="H48" s="76"/>
      <c r="I48" s="76"/>
      <c r="J48" s="76"/>
      <c r="K48" s="243">
        <v>700</v>
      </c>
      <c r="L48" s="243">
        <v>748</v>
      </c>
      <c r="M48" s="243">
        <v>723</v>
      </c>
      <c r="N48" s="243">
        <v>633</v>
      </c>
      <c r="O48" s="243">
        <v>742</v>
      </c>
      <c r="P48" s="243">
        <v>749</v>
      </c>
      <c r="Q48" s="243">
        <v>698</v>
      </c>
      <c r="R48" s="243">
        <v>651</v>
      </c>
      <c r="S48" s="243">
        <v>781</v>
      </c>
      <c r="T48" s="243">
        <v>847</v>
      </c>
      <c r="U48" s="243">
        <v>769</v>
      </c>
      <c r="V48" s="76">
        <v>651</v>
      </c>
      <c r="W48" s="76">
        <v>669</v>
      </c>
      <c r="X48" s="76">
        <v>632</v>
      </c>
      <c r="Y48" s="76">
        <v>615</v>
      </c>
      <c r="Z48" s="76">
        <v>699</v>
      </c>
      <c r="AA48" s="76">
        <v>731</v>
      </c>
      <c r="AB48" s="76">
        <v>789</v>
      </c>
      <c r="AC48" s="76">
        <v>745</v>
      </c>
      <c r="AD48" s="76">
        <v>836</v>
      </c>
      <c r="AE48" s="243">
        <f>5376-SUM(AE3:AE41)</f>
        <v>1116</v>
      </c>
      <c r="AF48" s="243">
        <f>5427-SUM(AF3:AF41)</f>
        <v>1072</v>
      </c>
      <c r="AG48" s="243">
        <f>5485-SUM(AG3:AG43)</f>
        <v>660</v>
      </c>
      <c r="AH48" s="243">
        <f>5840-SUM(AH3:AH43)</f>
        <v>759</v>
      </c>
      <c r="AI48" s="243">
        <f>5755-SUM(AI3:AI43)</f>
        <v>1286</v>
      </c>
      <c r="AJ48" s="243">
        <f>5628-SUM(AJ3:AJ41)</f>
        <v>1165</v>
      </c>
      <c r="AK48" s="243">
        <f>5457-SUM(AK3:AK43)</f>
        <v>1064</v>
      </c>
      <c r="AL48" s="243">
        <f>5482-SUM(AL3:AL43)</f>
        <v>1050</v>
      </c>
      <c r="AM48" s="243">
        <f>5626-SUM(AM3:AM43)</f>
        <v>1149</v>
      </c>
      <c r="AN48" s="243">
        <f>5810-SUM(AN3:AN46)</f>
        <v>1243</v>
      </c>
      <c r="AO48" s="243">
        <f>5881-SUM(AO3:AO46)</f>
        <v>1220</v>
      </c>
      <c r="AP48" s="243">
        <f>5950-SUM(AP3:AP46)</f>
        <v>1242</v>
      </c>
      <c r="AQ48" s="243">
        <f>6221-SUM(AQ3:AQ43)+AQ11</f>
        <v>1086</v>
      </c>
      <c r="AR48" s="243">
        <f>6149-SUM(AR3:AR46)+AR11</f>
        <v>1077</v>
      </c>
      <c r="AS48" s="243">
        <f>6099-SUM(AS3:AS46)+AS11</f>
        <v>1118</v>
      </c>
      <c r="AT48" s="243">
        <f>1402-AT41</f>
        <v>1187</v>
      </c>
      <c r="AU48" s="243">
        <f>6429-SUM(AU3:AU46)</f>
        <v>1067.5500000000002</v>
      </c>
      <c r="AV48" s="243">
        <f>1486-AV11-AV18</f>
        <v>1322</v>
      </c>
      <c r="AW48" s="243">
        <f>1530-AW11-AW18</f>
        <v>1362</v>
      </c>
      <c r="AX48" s="243">
        <f>1408-AX18-AX11</f>
        <v>1220</v>
      </c>
      <c r="AY48" s="243">
        <f>1444-AY18-AY11</f>
        <v>1231</v>
      </c>
      <c r="AZ48" s="243">
        <f>1557-AZ18-AZ11</f>
        <v>1318</v>
      </c>
      <c r="BA48" s="243">
        <f>1561-BA18-BA11</f>
        <v>1313</v>
      </c>
      <c r="BB48" s="243">
        <f>1726-BB11-BB18</f>
        <v>1441</v>
      </c>
      <c r="BC48" s="243">
        <f>1672-BC11</f>
        <v>1564</v>
      </c>
      <c r="BD48" s="243">
        <f>1732-BD11</f>
        <v>1630</v>
      </c>
      <c r="BE48" s="243">
        <f>1749-BE11</f>
        <v>1651</v>
      </c>
      <c r="BF48" s="243">
        <f>1767-BF11-65-67</f>
        <v>1519</v>
      </c>
      <c r="BG48" s="243">
        <f>1870-BG22-BG6-BG4-BG11-BG29</f>
        <v>1415</v>
      </c>
      <c r="BH48" s="243">
        <f>2003-BH22-BH6-BH11-BH4</f>
        <v>1553</v>
      </c>
      <c r="BI48" s="243">
        <f>5982-SUM(BI3:BI46)</f>
        <v>1438</v>
      </c>
      <c r="BJ48" s="243">
        <f>2264-BJ22-BJ6-BJ11-BJ4</f>
        <v>1730</v>
      </c>
      <c r="BK48" s="243">
        <f>6133-SUM(BK3:BK46)</f>
        <v>1557</v>
      </c>
      <c r="BL48" s="243">
        <f>1284+23+308+754-BL16-BL34+23</f>
        <v>1759</v>
      </c>
      <c r="BM48" s="243">
        <f>21+317+711+20+673</f>
        <v>1742</v>
      </c>
      <c r="BN48" s="243">
        <f>22+409+713+23+673</f>
        <v>1840</v>
      </c>
      <c r="BO48" s="243">
        <f>523+97+737+197+21</f>
        <v>1575</v>
      </c>
      <c r="BP48" s="243">
        <f>23+260+689+111+569</f>
        <v>1652</v>
      </c>
      <c r="BQ48" s="243">
        <f>18+243+653+113+576</f>
        <v>1603</v>
      </c>
      <c r="BR48" s="243">
        <f>19+281+657+94+579</f>
        <v>1630</v>
      </c>
      <c r="BS48" s="243">
        <f>234+640+102+666</f>
        <v>1642</v>
      </c>
      <c r="BT48" s="243">
        <v>581</v>
      </c>
      <c r="BU48" s="243">
        <v>527</v>
      </c>
      <c r="BV48" s="243">
        <v>551</v>
      </c>
      <c r="BW48" s="243">
        <v>574</v>
      </c>
      <c r="BX48" s="243">
        <v>586</v>
      </c>
      <c r="BY48" s="243">
        <v>522</v>
      </c>
      <c r="BZ48" s="243">
        <v>492</v>
      </c>
      <c r="CA48" s="243">
        <v>423</v>
      </c>
      <c r="CB48" s="243">
        <v>412</v>
      </c>
      <c r="CC48" s="243">
        <v>386</v>
      </c>
      <c r="CD48" s="243">
        <v>375</v>
      </c>
      <c r="CE48" s="243">
        <v>431</v>
      </c>
      <c r="CF48" s="243">
        <v>407</v>
      </c>
      <c r="CG48" s="243">
        <v>447</v>
      </c>
      <c r="CH48" s="243">
        <v>413</v>
      </c>
      <c r="CI48" s="243">
        <v>415</v>
      </c>
      <c r="CJ48" s="243">
        <v>388</v>
      </c>
      <c r="CK48" s="243">
        <v>334</v>
      </c>
      <c r="CL48" s="243">
        <v>333</v>
      </c>
      <c r="CM48" s="243">
        <v>374</v>
      </c>
      <c r="CN48" s="243">
        <v>368</v>
      </c>
      <c r="CO48" s="243">
        <v>325</v>
      </c>
      <c r="CP48" s="243">
        <v>286</v>
      </c>
      <c r="CQ48" s="243">
        <v>302</v>
      </c>
      <c r="CR48" s="243">
        <v>312</v>
      </c>
      <c r="CS48" s="243">
        <v>294</v>
      </c>
      <c r="CT48" s="243">
        <v>278</v>
      </c>
      <c r="CU48" s="243">
        <f>305-CU34</f>
        <v>178</v>
      </c>
      <c r="CV48" s="243">
        <v>293</v>
      </c>
      <c r="CW48" s="243">
        <v>251</v>
      </c>
      <c r="CX48" s="243">
        <v>198</v>
      </c>
      <c r="CY48" s="243">
        <v>274</v>
      </c>
      <c r="CZ48" s="243">
        <v>243</v>
      </c>
      <c r="DA48" s="243">
        <v>236</v>
      </c>
      <c r="DB48" s="243">
        <v>213</v>
      </c>
      <c r="DC48" s="243">
        <v>349</v>
      </c>
      <c r="DD48" s="243">
        <v>313</v>
      </c>
      <c r="DE48" s="243">
        <v>332</v>
      </c>
      <c r="DF48" s="243">
        <v>312</v>
      </c>
      <c r="DG48" s="243">
        <v>311</v>
      </c>
      <c r="DH48" s="243">
        <v>305</v>
      </c>
      <c r="DI48" s="243">
        <v>292</v>
      </c>
      <c r="DJ48" s="243">
        <f t="shared" ref="DJ48" si="214">+DF48</f>
        <v>312</v>
      </c>
      <c r="DK48" s="243">
        <f t="shared" ref="DK48" si="215">+DG48</f>
        <v>311</v>
      </c>
      <c r="DL48" s="243">
        <f t="shared" ref="DL48" si="216">+DH48</f>
        <v>305</v>
      </c>
      <c r="DM48" s="243">
        <f t="shared" ref="DM48" si="217">+DI48</f>
        <v>292</v>
      </c>
      <c r="DN48" s="243">
        <f t="shared" ref="DN48" si="218">+DJ48</f>
        <v>312</v>
      </c>
      <c r="DP48" s="274" t="s">
        <v>120</v>
      </c>
      <c r="DQ48" s="271"/>
      <c r="DR48" s="271"/>
      <c r="DS48" s="271"/>
      <c r="DT48" s="271"/>
      <c r="DU48" s="271"/>
      <c r="DV48" s="235">
        <v>1857</v>
      </c>
      <c r="DW48" s="235">
        <v>2307</v>
      </c>
      <c r="DX48" s="235">
        <v>2025</v>
      </c>
      <c r="DY48" s="235">
        <v>1976</v>
      </c>
      <c r="DZ48" s="235">
        <v>1656</v>
      </c>
      <c r="EA48" s="235">
        <f>SUM(X48:AA48)</f>
        <v>2677</v>
      </c>
      <c r="EB48" s="235">
        <f>SUM(Y48:AB48)</f>
        <v>2834</v>
      </c>
      <c r="EC48" s="235">
        <f>SUM(Z48:AC48)</f>
        <v>2964</v>
      </c>
      <c r="ED48" s="235">
        <f>SUM(AA48:AD48)</f>
        <v>3101</v>
      </c>
      <c r="EE48" s="235">
        <f>22128-SUM(EE8:EE41)</f>
        <v>6625</v>
      </c>
      <c r="EF48" s="235">
        <f>22322-SUM(EF8:EF41)</f>
        <v>6921.6</v>
      </c>
      <c r="EG48" s="235">
        <f t="shared" ref="EG48:EG62" si="219">SUM(AM48:AP48)</f>
        <v>4854</v>
      </c>
      <c r="EH48" s="235">
        <f t="shared" ref="EH48:EH62" si="220">SUM(AQ48:AT48)</f>
        <v>4468</v>
      </c>
      <c r="EI48" s="235">
        <f t="shared" ref="EI48:EI60" si="221">SUM(AU48:AX48)</f>
        <v>4971.55</v>
      </c>
      <c r="EJ48" s="235">
        <f t="shared" ref="EJ48:EJ60" si="222">SUM(AY48:BB48)</f>
        <v>5303</v>
      </c>
      <c r="EK48" s="235">
        <f t="shared" ref="EK48:EK60" si="223">SUM(BC48:BF48)</f>
        <v>6364</v>
      </c>
      <c r="EL48" s="235">
        <f>SUM(BG48:BJ48)</f>
        <v>6136</v>
      </c>
      <c r="EM48" s="235">
        <f t="shared" ref="EM48:EM62" si="224">SUM(BK48:BN48)</f>
        <v>6898</v>
      </c>
      <c r="EN48" s="235">
        <f>SUM(BO48:BR48)</f>
        <v>6460</v>
      </c>
      <c r="EO48" s="235">
        <f>EN48*0.95</f>
        <v>6137</v>
      </c>
      <c r="EP48" s="235">
        <f>EO48</f>
        <v>6137</v>
      </c>
      <c r="EQ48" s="235">
        <f>EP48</f>
        <v>6137</v>
      </c>
      <c r="ER48" s="235"/>
      <c r="ES48" s="235">
        <f t="shared" si="162"/>
        <v>1470</v>
      </c>
      <c r="ET48" s="235">
        <f t="shared" si="163"/>
        <v>1353</v>
      </c>
      <c r="EU48" s="235">
        <f t="shared" si="164"/>
        <v>1186</v>
      </c>
      <c r="EV48" s="235">
        <f t="shared" si="165"/>
        <v>920</v>
      </c>
      <c r="EW48" s="235">
        <f t="shared" si="166"/>
        <v>966</v>
      </c>
      <c r="EX48" s="235">
        <f>SUM(DC48:DF48)</f>
        <v>1306</v>
      </c>
      <c r="EY48" s="235">
        <f t="shared" si="26"/>
        <v>1220</v>
      </c>
      <c r="EZ48" s="235">
        <f>SUM(DK48:DN48)</f>
        <v>1220</v>
      </c>
      <c r="FA48" s="235">
        <f t="shared" ref="FA48" si="225">EZ48</f>
        <v>1220</v>
      </c>
      <c r="FB48" s="235">
        <f t="shared" ref="FB48" si="226">FA48</f>
        <v>1220</v>
      </c>
      <c r="FC48" s="235">
        <f t="shared" ref="FC48" si="227">FB48</f>
        <v>1220</v>
      </c>
      <c r="FD48" s="235">
        <f t="shared" ref="FD48" si="228">FC48</f>
        <v>1220</v>
      </c>
      <c r="FE48" s="235">
        <f t="shared" ref="FE48" si="229">FD48</f>
        <v>1220</v>
      </c>
      <c r="FF48" s="235">
        <f t="shared" ref="FF48" si="230">FE48</f>
        <v>1220</v>
      </c>
      <c r="FG48" s="235">
        <f t="shared" ref="FG48" si="231">FF48</f>
        <v>1220</v>
      </c>
      <c r="FH48" s="235">
        <f t="shared" ref="FH48" si="232">FG48</f>
        <v>1220</v>
      </c>
      <c r="FI48" s="235">
        <f t="shared" ref="FI48" si="233">FH48</f>
        <v>1220</v>
      </c>
      <c r="FJ48" s="235">
        <f t="shared" ref="FJ48" si="234">FI48</f>
        <v>1220</v>
      </c>
    </row>
    <row r="49" spans="1:172" s="254" customFormat="1" ht="12.75" customHeight="1" x14ac:dyDescent="0.2">
      <c r="B49" t="s">
        <v>1946</v>
      </c>
      <c r="C49" s="243">
        <f>G49/0.67</f>
        <v>362.68656716417911</v>
      </c>
      <c r="D49" s="243">
        <f>H49/0.61</f>
        <v>380.32786885245901</v>
      </c>
      <c r="E49" s="243">
        <f>I49/0.65</f>
        <v>316.92307692307691</v>
      </c>
      <c r="F49" s="243">
        <f>143+125</f>
        <v>268</v>
      </c>
      <c r="G49" s="76">
        <f>124+119</f>
        <v>243</v>
      </c>
      <c r="H49" s="76">
        <f>119+113</f>
        <v>232</v>
      </c>
      <c r="I49" s="76">
        <f>102+104</f>
        <v>206</v>
      </c>
      <c r="J49" s="76">
        <f>104+122</f>
        <v>226</v>
      </c>
      <c r="K49" s="243">
        <v>223</v>
      </c>
      <c r="L49" s="243">
        <v>242</v>
      </c>
      <c r="M49" s="243">
        <v>229</v>
      </c>
      <c r="N49" s="243">
        <v>241</v>
      </c>
      <c r="O49" s="243">
        <f>111+137</f>
        <v>248</v>
      </c>
      <c r="P49" s="243">
        <f>117+131</f>
        <v>248</v>
      </c>
      <c r="Q49" s="243">
        <f>149.4+121.4</f>
        <v>270.8</v>
      </c>
      <c r="R49" s="243">
        <f>165+124</f>
        <v>289</v>
      </c>
      <c r="S49" s="243">
        <f>167+143</f>
        <v>310</v>
      </c>
      <c r="T49" s="243">
        <v>341</v>
      </c>
      <c r="U49" s="243">
        <v>326</v>
      </c>
      <c r="V49" s="76">
        <v>366</v>
      </c>
      <c r="W49" s="76">
        <v>369</v>
      </c>
      <c r="X49" s="76">
        <v>409</v>
      </c>
      <c r="Y49" s="76">
        <v>415</v>
      </c>
      <c r="Z49" s="76">
        <v>449</v>
      </c>
      <c r="AA49" s="76">
        <v>420</v>
      </c>
      <c r="AB49" s="76">
        <v>599</v>
      </c>
      <c r="AC49" s="76">
        <v>791</v>
      </c>
      <c r="AD49" s="76">
        <v>896</v>
      </c>
      <c r="AE49" s="243">
        <v>877</v>
      </c>
      <c r="AF49" s="243">
        <v>664</v>
      </c>
      <c r="AG49" s="243">
        <v>756</v>
      </c>
      <c r="AH49" s="243">
        <v>915</v>
      </c>
      <c r="AI49" s="243">
        <v>969</v>
      </c>
      <c r="AJ49" s="243">
        <v>1014</v>
      </c>
      <c r="AK49" s="243">
        <v>994</v>
      </c>
      <c r="AL49" s="243">
        <v>1005</v>
      </c>
      <c r="AM49" s="243">
        <v>1075</v>
      </c>
      <c r="AN49" s="243">
        <v>1068</v>
      </c>
      <c r="AO49" s="243">
        <v>983</v>
      </c>
      <c r="AP49" s="243">
        <v>961</v>
      </c>
      <c r="AQ49" s="243">
        <v>928</v>
      </c>
      <c r="AR49" s="243">
        <v>852</v>
      </c>
      <c r="AS49" s="243">
        <v>777</v>
      </c>
      <c r="AT49" s="243">
        <v>868</v>
      </c>
      <c r="AU49" s="243">
        <v>835</v>
      </c>
      <c r="AV49" s="243">
        <v>852</v>
      </c>
      <c r="AW49" s="243">
        <v>726</v>
      </c>
      <c r="AX49" s="243">
        <v>722</v>
      </c>
      <c r="AY49" s="243">
        <v>668</v>
      </c>
      <c r="AZ49" s="243">
        <v>674</v>
      </c>
      <c r="BA49" s="243">
        <v>640</v>
      </c>
      <c r="BB49" s="243">
        <v>697</v>
      </c>
      <c r="BC49" s="243">
        <v>672</v>
      </c>
      <c r="BD49" s="243">
        <v>655</v>
      </c>
      <c r="BE49" s="243">
        <v>596</v>
      </c>
      <c r="BF49" s="243">
        <v>629</v>
      </c>
      <c r="BG49" s="243">
        <v>635</v>
      </c>
      <c r="BH49" s="243">
        <v>587</v>
      </c>
      <c r="BI49" s="243">
        <v>526</v>
      </c>
      <c r="BJ49" s="243">
        <v>540</v>
      </c>
      <c r="BK49" s="243">
        <v>482</v>
      </c>
      <c r="BL49" s="243">
        <v>504</v>
      </c>
      <c r="BM49" s="243">
        <v>493</v>
      </c>
      <c r="BN49" s="243">
        <v>506</v>
      </c>
      <c r="BO49" s="243">
        <v>513</v>
      </c>
      <c r="BP49" s="243">
        <v>529</v>
      </c>
      <c r="BQ49" s="243">
        <v>501</v>
      </c>
      <c r="BR49" s="243">
        <v>534</v>
      </c>
      <c r="BS49" s="243">
        <v>541</v>
      </c>
      <c r="BT49" s="243">
        <v>567</v>
      </c>
      <c r="BU49" s="243">
        <v>542</v>
      </c>
      <c r="BV49" s="243">
        <v>558</v>
      </c>
      <c r="BW49" s="243">
        <v>529</v>
      </c>
      <c r="BX49" s="243">
        <v>544</v>
      </c>
      <c r="BY49" s="243">
        <v>524</v>
      </c>
      <c r="BZ49" s="243">
        <v>439</v>
      </c>
      <c r="CA49" s="243">
        <v>443</v>
      </c>
      <c r="CB49" s="243">
        <v>470</v>
      </c>
      <c r="CC49" s="243">
        <v>451</v>
      </c>
      <c r="CD49" s="243">
        <v>485</v>
      </c>
      <c r="CE49" s="243">
        <v>499</v>
      </c>
      <c r="CF49" s="243">
        <v>523</v>
      </c>
      <c r="CG49" s="243">
        <v>553</v>
      </c>
      <c r="CH49" s="243">
        <v>568</v>
      </c>
      <c r="CI49" s="243">
        <v>640</v>
      </c>
      <c r="CJ49" s="243">
        <v>667</v>
      </c>
      <c r="CK49" s="243">
        <v>653</v>
      </c>
      <c r="CL49" s="243">
        <v>686</v>
      </c>
      <c r="CM49" s="243">
        <v>732</v>
      </c>
      <c r="CN49" s="243">
        <v>750</v>
      </c>
      <c r="CO49" s="243">
        <v>741</v>
      </c>
      <c r="CP49" s="243">
        <v>774</v>
      </c>
      <c r="CQ49" s="243">
        <v>727</v>
      </c>
      <c r="CR49" s="243">
        <v>590</v>
      </c>
      <c r="CS49" s="243">
        <v>836</v>
      </c>
      <c r="CT49" s="243">
        <v>893</v>
      </c>
      <c r="CU49" s="243">
        <v>949</v>
      </c>
      <c r="CV49" s="243">
        <v>1046</v>
      </c>
      <c r="CW49" s="243">
        <v>957</v>
      </c>
      <c r="CX49" s="243">
        <v>1019</v>
      </c>
      <c r="CY49" s="243">
        <v>1092</v>
      </c>
      <c r="CZ49" s="243">
        <v>1049</v>
      </c>
      <c r="DA49" s="243">
        <v>1060</v>
      </c>
      <c r="DB49" s="243">
        <v>994</v>
      </c>
      <c r="DC49" s="243">
        <v>1092</v>
      </c>
      <c r="DD49" s="243">
        <f>1196+331+93</f>
        <v>1620</v>
      </c>
      <c r="DE49" s="243">
        <v>1161</v>
      </c>
      <c r="DF49" s="243">
        <v>1239</v>
      </c>
      <c r="DG49" s="243">
        <v>1344</v>
      </c>
      <c r="DH49" s="243">
        <v>1323</v>
      </c>
      <c r="DI49" s="243">
        <v>1279</v>
      </c>
      <c r="DJ49" s="243">
        <f t="shared" ref="DJ49:DJ52" si="235">+DF49*1.03</f>
        <v>1276.17</v>
      </c>
      <c r="DK49" s="243">
        <f t="shared" ref="DK49:DK52" si="236">+DG49*1.03</f>
        <v>1384.32</v>
      </c>
      <c r="DL49" s="243">
        <f t="shared" ref="DL49:DL52" si="237">+DH49*1.03</f>
        <v>1362.69</v>
      </c>
      <c r="DM49" s="243">
        <f t="shared" ref="DM49:DM52" si="238">+DI49*1.03</f>
        <v>1317.3700000000001</v>
      </c>
      <c r="DN49" s="243">
        <f t="shared" ref="DN49:DN52" si="239">+DJ49*1.03</f>
        <v>1314.4551000000001</v>
      </c>
      <c r="DP49" s="271"/>
      <c r="DQ49" s="271"/>
      <c r="DR49" s="271"/>
      <c r="DS49" s="271"/>
      <c r="DT49" s="271"/>
      <c r="DU49" s="271"/>
      <c r="DV49" s="271"/>
      <c r="DW49" s="235">
        <f>+DX49/0.98</f>
        <v>1362.2448979591836</v>
      </c>
      <c r="DX49" s="235">
        <v>1335</v>
      </c>
      <c r="DY49" s="235">
        <f>SUM(G49:J49)</f>
        <v>907</v>
      </c>
      <c r="DZ49" s="235">
        <v>942</v>
      </c>
      <c r="EA49" s="235">
        <f t="shared" ref="EA49:EA61" si="240">SUM(O49:R49)</f>
        <v>1055.8</v>
      </c>
      <c r="EB49" s="235">
        <f t="shared" ref="EB49:EB61" si="241">SUM(S49:V49)</f>
        <v>1343</v>
      </c>
      <c r="EC49" s="235">
        <f t="shared" ref="EC49:EC61" si="242">SUM(W49:Z49)</f>
        <v>1642</v>
      </c>
      <c r="ED49" s="235">
        <f t="shared" ref="ED49:ED62" si="243">SUM(AA49:AD49)</f>
        <v>2706</v>
      </c>
      <c r="EE49" s="235">
        <f t="shared" ref="EE49:EE62" si="244">SUM(AE49:AH49)</f>
        <v>3212</v>
      </c>
      <c r="EF49" s="235">
        <f t="shared" ref="EF49:EF62" si="245">SUM(AI49:AL49)</f>
        <v>3982</v>
      </c>
      <c r="EG49" s="235">
        <f t="shared" si="219"/>
        <v>4087</v>
      </c>
      <c r="EH49" s="235">
        <f t="shared" si="220"/>
        <v>3425</v>
      </c>
      <c r="EI49" s="235">
        <f t="shared" si="221"/>
        <v>3135</v>
      </c>
      <c r="EJ49" s="235">
        <f t="shared" si="222"/>
        <v>2679</v>
      </c>
      <c r="EK49" s="235">
        <f t="shared" si="223"/>
        <v>2552</v>
      </c>
      <c r="EL49" s="235">
        <f t="shared" ref="EL49:EL62" si="246">SUM(BG49:BJ49)</f>
        <v>2288</v>
      </c>
      <c r="EM49" s="235">
        <f t="shared" si="224"/>
        <v>1985</v>
      </c>
      <c r="EN49" s="235">
        <f t="shared" ref="EN49:EN60" si="247">SUM(BO49:BR49)</f>
        <v>2077</v>
      </c>
      <c r="EO49" s="235">
        <f>EN49*1.02</f>
        <v>2118.54</v>
      </c>
      <c r="EP49" s="235">
        <f t="shared" ref="EP49:EQ49" si="248">EO49*1.02</f>
        <v>2160.9108000000001</v>
      </c>
      <c r="EQ49" s="235">
        <f t="shared" si="248"/>
        <v>2204.1290160000003</v>
      </c>
      <c r="ER49" s="235"/>
      <c r="ES49" s="235">
        <f t="shared" ref="ES49:ES53" si="249">SUM(CI49:CL49)</f>
        <v>2646</v>
      </c>
      <c r="ET49" s="235">
        <f t="shared" ref="ET49:ET53" si="250">SUM(CM49:CP49)</f>
        <v>2997</v>
      </c>
      <c r="EU49" s="235">
        <f t="shared" ref="EU49:EU53" si="251">SUM(CQ49:CT49)</f>
        <v>3046</v>
      </c>
      <c r="EV49" s="235">
        <f t="shared" ref="EV49:EV53" si="252">SUM(CU49:CX49)</f>
        <v>3971</v>
      </c>
      <c r="EW49" s="235">
        <f t="shared" ref="EW49:EW53" si="253">SUM(CY49:DB49)</f>
        <v>4195</v>
      </c>
      <c r="EX49" s="235">
        <f t="shared" ref="EX49:EY49" si="254">EW49*1.02</f>
        <v>4278.8999999999996</v>
      </c>
      <c r="EY49" s="235">
        <f t="shared" si="254"/>
        <v>4364.4780000000001</v>
      </c>
      <c r="EZ49" s="235">
        <f>SUM(DK49:DN49)</f>
        <v>5378.8351000000002</v>
      </c>
      <c r="FA49" s="235">
        <f t="shared" ref="FA49" si="255">EZ49*1.02</f>
        <v>5486.4118020000005</v>
      </c>
      <c r="FB49" s="235">
        <f t="shared" ref="FB49" si="256">FA49*1.02</f>
        <v>5596.1400380400009</v>
      </c>
      <c r="FC49" s="235">
        <f t="shared" ref="FC49" si="257">FB49*1.02</f>
        <v>5708.0628388008008</v>
      </c>
      <c r="FD49" s="235">
        <f t="shared" ref="FD49" si="258">FC49*1.02</f>
        <v>5822.2240955768166</v>
      </c>
      <c r="FE49" s="235">
        <f t="shared" ref="FE49" si="259">FD49*1.02</f>
        <v>5938.6685774883526</v>
      </c>
      <c r="FF49" s="235">
        <f t="shared" ref="FF49" si="260">FE49*1.02</f>
        <v>6057.4419490381197</v>
      </c>
      <c r="FG49" s="235">
        <f t="shared" ref="FG49" si="261">FF49*1.02</f>
        <v>6178.5907880188824</v>
      </c>
      <c r="FH49" s="235">
        <f t="shared" ref="FH49" si="262">FG49*1.02</f>
        <v>6302.1626037792603</v>
      </c>
      <c r="FI49" s="235">
        <f t="shared" ref="FI49" si="263">FH49*1.02</f>
        <v>6428.205855854846</v>
      </c>
      <c r="FJ49" s="235">
        <f t="shared" ref="FJ49" si="264">FI49*1.02</f>
        <v>6556.7699729719434</v>
      </c>
      <c r="FM49"/>
    </row>
    <row r="50" spans="1:172" s="254" customFormat="1" ht="12.75" customHeight="1" x14ac:dyDescent="0.2">
      <c r="B50" t="s">
        <v>1947</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31</v>
      </c>
      <c r="DC50" s="243">
        <v>324</v>
      </c>
      <c r="DD50" s="243"/>
      <c r="DE50" s="243">
        <v>311</v>
      </c>
      <c r="DF50" s="243">
        <v>340</v>
      </c>
      <c r="DG50" s="243">
        <v>371</v>
      </c>
      <c r="DH50" s="243">
        <v>379</v>
      </c>
      <c r="DI50" s="243">
        <v>362</v>
      </c>
      <c r="DJ50" s="243">
        <f t="shared" si="235"/>
        <v>350.2</v>
      </c>
      <c r="DK50" s="243">
        <f t="shared" si="236"/>
        <v>382.13</v>
      </c>
      <c r="DL50" s="243">
        <f t="shared" si="237"/>
        <v>390.37</v>
      </c>
      <c r="DM50" s="243">
        <f t="shared" si="238"/>
        <v>372.86</v>
      </c>
      <c r="DN50" s="243">
        <f t="shared" si="239"/>
        <v>360.70600000000002</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x14ac:dyDescent="0.2">
      <c r="B51" t="s">
        <v>1961</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c r="DC51" s="243"/>
      <c r="DD51" s="243"/>
      <c r="DE51" s="243"/>
      <c r="DF51" s="243"/>
      <c r="DG51" s="243"/>
      <c r="DH51" s="243"/>
      <c r="DI51" s="243">
        <v>229</v>
      </c>
      <c r="DJ51" s="243"/>
      <c r="DK51" s="243"/>
      <c r="DL51" s="243"/>
      <c r="DM51" s="243"/>
      <c r="DN51" s="243"/>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235"/>
      <c r="FA51" s="235"/>
      <c r="FB51" s="235"/>
      <c r="FC51" s="235"/>
      <c r="FD51" s="235"/>
      <c r="FE51" s="235"/>
      <c r="FF51" s="235"/>
      <c r="FG51" s="235"/>
      <c r="FH51" s="235"/>
      <c r="FI51" s="235"/>
      <c r="FJ51" s="235"/>
      <c r="FM51"/>
    </row>
    <row r="52" spans="1:172" s="254" customFormat="1" ht="12.75" customHeight="1" x14ac:dyDescent="0.2">
      <c r="B52" t="s">
        <v>1948</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73</v>
      </c>
      <c r="DC52" s="243">
        <v>87</v>
      </c>
      <c r="DD52" s="243"/>
      <c r="DE52" s="243">
        <v>87</v>
      </c>
      <c r="DF52" s="243">
        <v>89</v>
      </c>
      <c r="DG52" s="243">
        <v>92</v>
      </c>
      <c r="DH52" s="243">
        <f>77+93</f>
        <v>170</v>
      </c>
      <c r="DI52" s="243">
        <v>96</v>
      </c>
      <c r="DJ52" s="243">
        <f t="shared" si="235"/>
        <v>91.67</v>
      </c>
      <c r="DK52" s="243">
        <f t="shared" si="236"/>
        <v>94.76</v>
      </c>
      <c r="DL52" s="243">
        <f t="shared" si="237"/>
        <v>175.1</v>
      </c>
      <c r="DM52" s="243">
        <f t="shared" si="238"/>
        <v>98.88</v>
      </c>
      <c r="DN52" s="243">
        <f t="shared" si="239"/>
        <v>94.420100000000005</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x14ac:dyDescent="0.2">
      <c r="B53" t="s">
        <v>1532</v>
      </c>
      <c r="C53" s="76"/>
      <c r="D53" s="76"/>
      <c r="E53" s="76"/>
      <c r="F53" s="76"/>
      <c r="G53" s="76"/>
      <c r="H53" s="76"/>
      <c r="I53" s="76"/>
      <c r="J53" s="76"/>
      <c r="K53" s="243">
        <v>428</v>
      </c>
      <c r="L53" s="243">
        <v>420</v>
      </c>
      <c r="M53" s="243">
        <v>420</v>
      </c>
      <c r="N53" s="243">
        <v>434</v>
      </c>
      <c r="O53" s="243">
        <v>471</v>
      </c>
      <c r="P53" s="243">
        <v>456</v>
      </c>
      <c r="Q53" s="243">
        <v>429</v>
      </c>
      <c r="R53" s="243">
        <v>460</v>
      </c>
      <c r="S53" s="243">
        <v>511</v>
      </c>
      <c r="T53" s="243">
        <v>508</v>
      </c>
      <c r="U53" s="243">
        <v>495</v>
      </c>
      <c r="V53" s="76">
        <v>540</v>
      </c>
      <c r="W53" s="76">
        <v>617</v>
      </c>
      <c r="X53" s="76">
        <v>633</v>
      </c>
      <c r="Y53" s="76">
        <v>615</v>
      </c>
      <c r="Z53" s="76">
        <v>672</v>
      </c>
      <c r="AA53" s="76">
        <v>739</v>
      </c>
      <c r="AB53" s="76">
        <v>748</v>
      </c>
      <c r="AC53" s="76">
        <v>718</v>
      </c>
      <c r="AD53" s="76">
        <v>802</v>
      </c>
      <c r="AE53" s="243">
        <v>839</v>
      </c>
      <c r="AF53" s="243">
        <v>839</v>
      </c>
      <c r="AG53" s="243">
        <v>790</v>
      </c>
      <c r="AH53" s="243">
        <v>952</v>
      </c>
      <c r="AI53" s="243">
        <v>993</v>
      </c>
      <c r="AJ53" s="243">
        <v>980</v>
      </c>
      <c r="AK53" s="243">
        <v>897</v>
      </c>
      <c r="AL53" s="243">
        <v>977</v>
      </c>
      <c r="AM53" s="243">
        <v>1039</v>
      </c>
      <c r="AN53" s="243">
        <v>1035</v>
      </c>
      <c r="AO53" s="243">
        <v>971</v>
      </c>
      <c r="AP53" s="243">
        <v>1060</v>
      </c>
      <c r="AQ53" s="243">
        <v>1157</v>
      </c>
      <c r="AR53" s="243">
        <v>1135</v>
      </c>
      <c r="AS53" s="243">
        <v>1086</v>
      </c>
      <c r="AT53" s="243">
        <v>1209</v>
      </c>
      <c r="AU53" s="243">
        <v>1253</v>
      </c>
      <c r="AV53" s="243">
        <v>1289</v>
      </c>
      <c r="AW53" s="243">
        <v>1195</v>
      </c>
      <c r="AX53" s="243">
        <v>1252</v>
      </c>
      <c r="AY53" s="243">
        <v>1292</v>
      </c>
      <c r="AZ53" s="243">
        <v>1323</v>
      </c>
      <c r="BA53" s="243">
        <v>1284</v>
      </c>
      <c r="BB53" s="243">
        <v>1473</v>
      </c>
      <c r="BC53" s="243">
        <v>1454</v>
      </c>
      <c r="BD53" s="243">
        <v>1375</v>
      </c>
      <c r="BE53" s="243">
        <v>1309</v>
      </c>
      <c r="BF53" s="243">
        <v>1447</v>
      </c>
      <c r="BG53" s="243">
        <v>1503</v>
      </c>
      <c r="BH53" s="243">
        <v>1469</v>
      </c>
      <c r="BI53" s="243">
        <v>1384</v>
      </c>
      <c r="BJ53" s="243">
        <v>1453</v>
      </c>
      <c r="BK53" s="243">
        <v>1493</v>
      </c>
      <c r="BL53" s="243">
        <v>1628</v>
      </c>
      <c r="BM53" s="243">
        <v>2290</v>
      </c>
      <c r="BN53" s="243">
        <v>2388</v>
      </c>
      <c r="BO53" s="243">
        <v>2385</v>
      </c>
      <c r="BP53" s="243">
        <v>2385</v>
      </c>
      <c r="BQ53" s="243">
        <v>2283</v>
      </c>
      <c r="BR53" s="243">
        <v>2456</v>
      </c>
      <c r="BS53" s="243">
        <v>2421</v>
      </c>
      <c r="BT53" s="243">
        <v>2469</v>
      </c>
      <c r="BU53" s="243">
        <v>2344</v>
      </c>
      <c r="BV53" s="243">
        <v>2441</v>
      </c>
      <c r="BW53" s="243">
        <v>2328</v>
      </c>
      <c r="BX53" s="243">
        <v>2330</v>
      </c>
      <c r="BY53" s="243">
        <v>2181</v>
      </c>
      <c r="BZ53" s="243">
        <v>2423</v>
      </c>
      <c r="CA53" s="243">
        <v>2341</v>
      </c>
      <c r="CB53" s="243">
        <v>2355</v>
      </c>
      <c r="CC53" s="243">
        <v>2251</v>
      </c>
      <c r="CD53" s="243">
        <v>2387</v>
      </c>
      <c r="CE53" s="243">
        <v>2325</v>
      </c>
      <c r="CF53" s="243">
        <v>2343</v>
      </c>
      <c r="CG53" s="243">
        <v>2204</v>
      </c>
      <c r="CH53" s="243">
        <v>2339</v>
      </c>
      <c r="CI53" s="243">
        <v>2250</v>
      </c>
      <c r="CJ53" s="243">
        <v>2262</v>
      </c>
      <c r="CK53" s="243">
        <v>2111</v>
      </c>
      <c r="CL53" s="243">
        <v>2262</v>
      </c>
      <c r="CM53" s="243">
        <v>2204</v>
      </c>
      <c r="CN53" s="243">
        <v>2224</v>
      </c>
      <c r="CO53" s="243">
        <v>2138</v>
      </c>
      <c r="CP53" s="243">
        <v>2273</v>
      </c>
      <c r="CQ53" s="243">
        <v>2038</v>
      </c>
      <c r="CR53" s="243">
        <v>1451</v>
      </c>
      <c r="CS53" s="243">
        <v>2083</v>
      </c>
      <c r="CT53" s="243">
        <v>2191</v>
      </c>
      <c r="CU53" s="243">
        <v>2113</v>
      </c>
      <c r="CV53" s="243">
        <v>2227</v>
      </c>
      <c r="CW53" s="243">
        <v>2093</v>
      </c>
      <c r="CX53" s="243">
        <v>2155</v>
      </c>
      <c r="CY53" s="243">
        <v>2188</v>
      </c>
      <c r="CZ53" s="243">
        <v>2157</v>
      </c>
      <c r="DA53" s="243">
        <v>2095</v>
      </c>
      <c r="DB53" s="243">
        <v>2148</v>
      </c>
      <c r="DC53" s="243">
        <v>2245</v>
      </c>
      <c r="DD53" s="243">
        <f>397+363+739+766</f>
        <v>2265</v>
      </c>
      <c r="DE53" s="243">
        <v>2164</v>
      </c>
      <c r="DF53" s="243">
        <v>2268</v>
      </c>
      <c r="DG53" s="243">
        <v>2340</v>
      </c>
      <c r="DH53" s="243">
        <v>2312</v>
      </c>
      <c r="DI53" s="243">
        <v>2191</v>
      </c>
      <c r="DJ53" s="243">
        <f t="shared" ref="DJ53:DN53" si="265">+DF53*1.05</f>
        <v>2381.4</v>
      </c>
      <c r="DK53" s="243">
        <f t="shared" si="265"/>
        <v>2457</v>
      </c>
      <c r="DL53" s="243">
        <f t="shared" si="265"/>
        <v>2427.6</v>
      </c>
      <c r="DM53" s="243">
        <f t="shared" si="265"/>
        <v>2300.5500000000002</v>
      </c>
      <c r="DN53" s="243">
        <f t="shared" si="265"/>
        <v>2500.4700000000003</v>
      </c>
      <c r="DP53" s="271"/>
      <c r="DQ53" s="271"/>
      <c r="DR53" s="271"/>
      <c r="DS53" s="271"/>
      <c r="DT53" s="271"/>
      <c r="DU53" s="271"/>
      <c r="DV53" s="271"/>
      <c r="DW53" s="271"/>
      <c r="DX53" s="271"/>
      <c r="DY53" s="235">
        <v>795</v>
      </c>
      <c r="DZ53" s="235">
        <v>1751</v>
      </c>
      <c r="EA53" s="235">
        <f t="shared" si="240"/>
        <v>1816</v>
      </c>
      <c r="EB53" s="235">
        <f t="shared" si="241"/>
        <v>2054</v>
      </c>
      <c r="EC53" s="235">
        <f t="shared" si="242"/>
        <v>2537</v>
      </c>
      <c r="ED53" s="235">
        <f t="shared" si="243"/>
        <v>3007</v>
      </c>
      <c r="EE53" s="235">
        <f t="shared" si="244"/>
        <v>3420</v>
      </c>
      <c r="EF53" s="235">
        <f t="shared" si="245"/>
        <v>3847</v>
      </c>
      <c r="EG53" s="235">
        <f t="shared" si="219"/>
        <v>4105</v>
      </c>
      <c r="EH53" s="235">
        <f t="shared" si="220"/>
        <v>4587</v>
      </c>
      <c r="EI53" s="235">
        <f t="shared" si="221"/>
        <v>4989</v>
      </c>
      <c r="EJ53" s="235">
        <f t="shared" si="222"/>
        <v>5372</v>
      </c>
      <c r="EK53" s="235">
        <f t="shared" si="223"/>
        <v>5585</v>
      </c>
      <c r="EL53" s="235">
        <f t="shared" si="246"/>
        <v>5809</v>
      </c>
      <c r="EM53" s="235">
        <f t="shared" si="224"/>
        <v>7799</v>
      </c>
      <c r="EN53" s="235">
        <f t="shared" si="247"/>
        <v>9509</v>
      </c>
      <c r="EO53" s="235">
        <f t="shared" ref="EO53:EQ53" si="266">EN53*1.03</f>
        <v>9794.27</v>
      </c>
      <c r="EP53" s="235">
        <f t="shared" si="266"/>
        <v>10088.098100000001</v>
      </c>
      <c r="EQ53" s="235">
        <f t="shared" si="266"/>
        <v>10390.741043000002</v>
      </c>
      <c r="ER53" s="235"/>
      <c r="ES53" s="235">
        <f t="shared" si="249"/>
        <v>8885</v>
      </c>
      <c r="ET53" s="235">
        <f t="shared" si="250"/>
        <v>8839</v>
      </c>
      <c r="EU53" s="235">
        <f t="shared" si="251"/>
        <v>7763</v>
      </c>
      <c r="EV53" s="235">
        <f t="shared" si="252"/>
        <v>8588</v>
      </c>
      <c r="EW53" s="235">
        <f t="shared" si="253"/>
        <v>8588</v>
      </c>
      <c r="EX53" s="235">
        <f t="shared" ref="EX53" si="267">EW53*1.03</f>
        <v>8845.64</v>
      </c>
      <c r="EY53" s="235">
        <f t="shared" ref="EY53" si="268">EX53*1.03</f>
        <v>9111.0092000000004</v>
      </c>
      <c r="EZ53" s="235">
        <f t="shared" ref="EZ53" si="269">EY53*1.03</f>
        <v>9384.339476000001</v>
      </c>
      <c r="FA53" s="235">
        <f t="shared" ref="FA53" si="270">EZ53*1.03</f>
        <v>9665.869660280001</v>
      </c>
      <c r="FB53" s="235">
        <f t="shared" ref="FB53" si="271">FA53*1.03</f>
        <v>9955.8457500884015</v>
      </c>
      <c r="FC53" s="235">
        <f t="shared" ref="FC53" si="272">FB53*1.03</f>
        <v>10254.521122591053</v>
      </c>
      <c r="FD53" s="235">
        <f t="shared" ref="FD53" si="273">FC53*1.03</f>
        <v>10562.156756268785</v>
      </c>
      <c r="FE53" s="235">
        <f t="shared" ref="FE53" si="274">FD53*1.03</f>
        <v>10879.02145895685</v>
      </c>
      <c r="FF53" s="235">
        <f t="shared" ref="FF53" si="275">FE53*1.03</f>
        <v>11205.392102725555</v>
      </c>
      <c r="FG53" s="235">
        <f t="shared" ref="FG53" si="276">FF53*1.03</f>
        <v>11541.553865807322</v>
      </c>
      <c r="FH53" s="235">
        <f t="shared" ref="FH53" si="277">FG53*1.03</f>
        <v>11887.800481781542</v>
      </c>
      <c r="FI53" s="235">
        <f t="shared" ref="FI53" si="278">FH53*1.03</f>
        <v>12244.434496234988</v>
      </c>
      <c r="FJ53" s="235">
        <f t="shared" ref="FJ53" si="279">FI53*1.03</f>
        <v>12611.767531122037</v>
      </c>
      <c r="FM53"/>
    </row>
    <row r="54" spans="1:172" s="254" customFormat="1" ht="12.75" customHeight="1" x14ac:dyDescent="0.2">
      <c r="B54" t="s">
        <v>229</v>
      </c>
      <c r="C54" s="243">
        <f>G54/1.04</f>
        <v>381.73076923076923</v>
      </c>
      <c r="D54" s="243">
        <f>H54/1.03</f>
        <v>383.49514563106794</v>
      </c>
      <c r="E54" s="243">
        <f>I54/1.04</f>
        <v>374.03846153846155</v>
      </c>
      <c r="F54" s="243">
        <f>147+231</f>
        <v>378</v>
      </c>
      <c r="G54" s="243">
        <f>156+241</f>
        <v>397</v>
      </c>
      <c r="H54" s="243">
        <f>158+237</f>
        <v>395</v>
      </c>
      <c r="I54" s="243">
        <f>164+225</f>
        <v>389</v>
      </c>
      <c r="J54" s="243">
        <f>172+254</f>
        <v>426</v>
      </c>
      <c r="K54" s="243">
        <v>480</v>
      </c>
      <c r="L54" s="243">
        <v>475</v>
      </c>
      <c r="M54" s="243">
        <v>467</v>
      </c>
      <c r="N54" s="243">
        <v>495</v>
      </c>
      <c r="O54" s="243">
        <v>482</v>
      </c>
      <c r="P54" s="243">
        <v>509</v>
      </c>
      <c r="Q54" s="243">
        <v>482</v>
      </c>
      <c r="R54" s="243">
        <v>503</v>
      </c>
      <c r="S54" s="243">
        <v>519</v>
      </c>
      <c r="T54" s="243">
        <v>530</v>
      </c>
      <c r="U54" s="243">
        <v>532</v>
      </c>
      <c r="V54" s="76">
        <v>618</v>
      </c>
      <c r="W54" s="76">
        <v>564</v>
      </c>
      <c r="X54" s="76">
        <v>606</v>
      </c>
      <c r="Y54" s="76">
        <v>596</v>
      </c>
      <c r="Z54" s="76">
        <v>620</v>
      </c>
      <c r="AA54" s="76">
        <v>629</v>
      </c>
      <c r="AB54" s="76">
        <v>673</v>
      </c>
      <c r="AC54" s="76">
        <v>640</v>
      </c>
      <c r="AD54" s="76">
        <v>697</v>
      </c>
      <c r="AE54" s="243">
        <v>681</v>
      </c>
      <c r="AF54" s="243">
        <v>716</v>
      </c>
      <c r="AG54" s="243">
        <v>687</v>
      </c>
      <c r="AH54" s="243">
        <v>753</v>
      </c>
      <c r="AI54" s="243">
        <v>787</v>
      </c>
      <c r="AJ54" s="243">
        <v>798</v>
      </c>
      <c r="AK54" s="243">
        <v>745</v>
      </c>
      <c r="AL54" s="243">
        <v>769</v>
      </c>
      <c r="AM54" s="243">
        <v>774</v>
      </c>
      <c r="AN54" s="243">
        <v>816</v>
      </c>
      <c r="AO54" s="243">
        <v>796</v>
      </c>
      <c r="AP54" s="243">
        <v>827</v>
      </c>
      <c r="AQ54" s="243">
        <v>870</v>
      </c>
      <c r="AR54" s="243">
        <v>901</v>
      </c>
      <c r="AS54" s="243">
        <v>877</v>
      </c>
      <c r="AT54" s="243">
        <v>944</v>
      </c>
      <c r="AU54" s="243">
        <v>945</v>
      </c>
      <c r="AV54" s="243">
        <v>1020</v>
      </c>
      <c r="AW54" s="243">
        <v>957</v>
      </c>
      <c r="AX54" s="243">
        <v>918</v>
      </c>
      <c r="AY54" s="243">
        <v>953</v>
      </c>
      <c r="AZ54" s="243">
        <v>1041</v>
      </c>
      <c r="BA54" s="243">
        <v>1019</v>
      </c>
      <c r="BB54" s="243">
        <v>1109</v>
      </c>
      <c r="BC54" s="243">
        <v>1147</v>
      </c>
      <c r="BD54" s="243">
        <v>1132</v>
      </c>
      <c r="BE54" s="243">
        <v>1072</v>
      </c>
      <c r="BF54" s="243">
        <v>1152</v>
      </c>
      <c r="BG54" s="243">
        <v>1193</v>
      </c>
      <c r="BH54" s="243">
        <v>1257</v>
      </c>
      <c r="BI54" s="243">
        <v>1187</v>
      </c>
      <c r="BJ54" s="243">
        <v>1233</v>
      </c>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K54" s="243"/>
      <c r="DL54" s="243"/>
      <c r="DM54" s="243"/>
      <c r="DN54" s="243"/>
      <c r="DP54" s="271"/>
      <c r="DQ54" s="271"/>
      <c r="DR54" s="271"/>
      <c r="DS54" s="271"/>
      <c r="DT54" s="271"/>
      <c r="DU54" s="271"/>
      <c r="DV54" s="271"/>
      <c r="DW54" s="235">
        <f>DX54*1</f>
        <v>1525</v>
      </c>
      <c r="DX54" s="235">
        <f>586+939</f>
        <v>1525</v>
      </c>
      <c r="DY54" s="235">
        <f>SUM(G54:J54)</f>
        <v>1607</v>
      </c>
      <c r="DZ54" s="235">
        <f>1828+108</f>
        <v>1936</v>
      </c>
      <c r="EA54" s="235">
        <f t="shared" si="240"/>
        <v>1976</v>
      </c>
      <c r="EB54" s="235">
        <f t="shared" si="241"/>
        <v>2199</v>
      </c>
      <c r="EC54" s="235">
        <f t="shared" si="242"/>
        <v>2386</v>
      </c>
      <c r="ED54" s="235">
        <f t="shared" si="243"/>
        <v>2639</v>
      </c>
      <c r="EE54" s="235">
        <f t="shared" si="244"/>
        <v>2837</v>
      </c>
      <c r="EF54" s="235">
        <f t="shared" si="245"/>
        <v>3099</v>
      </c>
      <c r="EG54" s="235">
        <f t="shared" si="219"/>
        <v>3213</v>
      </c>
      <c r="EH54" s="235">
        <f t="shared" si="220"/>
        <v>3592</v>
      </c>
      <c r="EI54" s="235">
        <f t="shared" si="221"/>
        <v>3840</v>
      </c>
      <c r="EJ54" s="235">
        <f t="shared" si="222"/>
        <v>4122</v>
      </c>
      <c r="EK54" s="235">
        <f t="shared" si="223"/>
        <v>4503</v>
      </c>
      <c r="EL54" s="235">
        <f t="shared" si="246"/>
        <v>4870</v>
      </c>
      <c r="EM54" s="235"/>
      <c r="EN54" s="235"/>
      <c r="EO54" s="235"/>
      <c r="EP54" s="235"/>
      <c r="EQ54" s="235"/>
      <c r="ER54" s="235"/>
      <c r="ES54" s="235"/>
      <c r="ET54" s="235"/>
      <c r="EU54" s="235"/>
      <c r="EV54" s="235"/>
      <c r="EW54" s="235"/>
      <c r="EX54" s="235"/>
      <c r="EY54" s="235"/>
      <c r="EZ54" s="235"/>
      <c r="FA54" s="235"/>
      <c r="FB54" s="235"/>
      <c r="FC54" s="235"/>
      <c r="FD54" s="235"/>
      <c r="FE54" s="235"/>
      <c r="FF54" s="235"/>
      <c r="FG54" s="235"/>
      <c r="FH54" s="235"/>
      <c r="FI54" s="235"/>
      <c r="FJ54" s="235"/>
      <c r="FM54"/>
    </row>
    <row r="55" spans="1:172" s="254" customFormat="1" ht="12.75" customHeight="1" x14ac:dyDescent="0.2">
      <c r="B55" t="s">
        <v>333</v>
      </c>
      <c r="C55" s="243">
        <f>G55/1.16</f>
        <v>244.82758620689657</v>
      </c>
      <c r="D55" s="243">
        <f>H55/1.17</f>
        <v>247.86324786324789</v>
      </c>
      <c r="E55" s="243">
        <f>I55/1.17</f>
        <v>252.13675213675216</v>
      </c>
      <c r="F55" s="243">
        <f>164+100</f>
        <v>264</v>
      </c>
      <c r="G55" s="243">
        <f>171+113</f>
        <v>284</v>
      </c>
      <c r="H55" s="243">
        <f>178+112</f>
        <v>290</v>
      </c>
      <c r="I55" s="243">
        <f>193+102</f>
        <v>295</v>
      </c>
      <c r="J55" s="243">
        <f>196+127</f>
        <v>323</v>
      </c>
      <c r="K55" s="243">
        <v>427</v>
      </c>
      <c r="L55" s="243">
        <v>431</v>
      </c>
      <c r="M55" s="243">
        <v>431</v>
      </c>
      <c r="N55" s="243">
        <v>450</v>
      </c>
      <c r="O55" s="243">
        <v>448</v>
      </c>
      <c r="P55" s="243">
        <v>463</v>
      </c>
      <c r="Q55" s="243">
        <v>447</v>
      </c>
      <c r="R55" s="243">
        <v>482</v>
      </c>
      <c r="S55" s="243">
        <v>475</v>
      </c>
      <c r="T55" s="243">
        <v>499</v>
      </c>
      <c r="U55" s="243">
        <v>503</v>
      </c>
      <c r="V55" s="76">
        <v>523</v>
      </c>
      <c r="W55" s="76">
        <v>521</v>
      </c>
      <c r="X55" s="76">
        <v>575</v>
      </c>
      <c r="Y55" s="76">
        <v>571</v>
      </c>
      <c r="Z55" s="76">
        <v>625</v>
      </c>
      <c r="AA55" s="76">
        <v>623</v>
      </c>
      <c r="AB55" s="76">
        <v>649</v>
      </c>
      <c r="AC55" s="76">
        <v>622</v>
      </c>
      <c r="AD55" s="76">
        <v>693</v>
      </c>
      <c r="AE55" s="243">
        <v>665</v>
      </c>
      <c r="AF55" s="243">
        <v>710</v>
      </c>
      <c r="AG55" s="243">
        <v>672</v>
      </c>
      <c r="AH55" s="243">
        <v>802</v>
      </c>
      <c r="AI55" s="243">
        <v>767</v>
      </c>
      <c r="AJ55" s="243">
        <v>785</v>
      </c>
      <c r="AK55" s="243">
        <v>723</v>
      </c>
      <c r="AL55" s="243">
        <v>823</v>
      </c>
      <c r="AM55" s="243">
        <v>794</v>
      </c>
      <c r="AN55" s="243">
        <v>857</v>
      </c>
      <c r="AO55" s="243">
        <v>826</v>
      </c>
      <c r="AP55" s="243">
        <v>900</v>
      </c>
      <c r="AQ55" s="243">
        <v>891</v>
      </c>
      <c r="AR55" s="243">
        <v>957</v>
      </c>
      <c r="AS55" s="243">
        <v>922</v>
      </c>
      <c r="AT55" s="243">
        <v>1064</v>
      </c>
      <c r="AU55" s="243">
        <v>1003</v>
      </c>
      <c r="AV55" s="243">
        <v>1124</v>
      </c>
      <c r="AW55" s="243">
        <v>1042</v>
      </c>
      <c r="AX55" s="243">
        <v>1117</v>
      </c>
      <c r="AY55" s="243">
        <v>1015</v>
      </c>
      <c r="AZ55" s="243">
        <v>1115</v>
      </c>
      <c r="BA55" s="243">
        <v>1106</v>
      </c>
      <c r="BB55" s="243">
        <v>1256</v>
      </c>
      <c r="BC55" s="243">
        <v>1168</v>
      </c>
      <c r="BD55" s="243">
        <v>1196</v>
      </c>
      <c r="BE55" s="243">
        <v>1137</v>
      </c>
      <c r="BF55" s="243">
        <v>1257</v>
      </c>
      <c r="BG55" s="243">
        <v>1221</v>
      </c>
      <c r="BH55" s="243">
        <v>1295</v>
      </c>
      <c r="BI55" s="243">
        <v>1231</v>
      </c>
      <c r="BJ55" s="243">
        <v>1333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+DX55/1.16</f>
        <v>869.67895362663512</v>
      </c>
      <c r="DX55" s="235">
        <f>SUM(C55:F55)</f>
        <v>1008.8275862068966</v>
      </c>
      <c r="DY55" s="235">
        <f>SUM(G55:J55)</f>
        <v>1192</v>
      </c>
      <c r="DZ55" s="235">
        <f>SUM(K55:N55)</f>
        <v>1739</v>
      </c>
      <c r="EA55" s="235">
        <f t="shared" si="240"/>
        <v>1840</v>
      </c>
      <c r="EB55" s="235">
        <f t="shared" si="241"/>
        <v>2000</v>
      </c>
      <c r="EC55" s="235">
        <f t="shared" si="242"/>
        <v>2292</v>
      </c>
      <c r="ED55" s="235">
        <f t="shared" si="243"/>
        <v>2587</v>
      </c>
      <c r="EE55" s="235">
        <f t="shared" si="244"/>
        <v>2849</v>
      </c>
      <c r="EF55" s="235">
        <f t="shared" si="245"/>
        <v>3098</v>
      </c>
      <c r="EG55" s="235">
        <f t="shared" si="219"/>
        <v>3377</v>
      </c>
      <c r="EH55" s="235">
        <f t="shared" si="220"/>
        <v>3834</v>
      </c>
      <c r="EI55" s="235">
        <f t="shared" si="221"/>
        <v>4286</v>
      </c>
      <c r="EJ55" s="235">
        <f t="shared" si="222"/>
        <v>4492</v>
      </c>
      <c r="EK55" s="235">
        <f t="shared" si="223"/>
        <v>4758</v>
      </c>
      <c r="EL55" s="235">
        <f t="shared" si="246"/>
        <v>5080</v>
      </c>
      <c r="EM55" s="235"/>
      <c r="EN55" s="235"/>
      <c r="EO55" s="235"/>
      <c r="EP55" s="235"/>
      <c r="EQ55" s="235"/>
      <c r="ER55" s="235"/>
      <c r="ES55" s="235"/>
      <c r="ET55" s="235"/>
      <c r="EU55" s="235"/>
      <c r="EV55" s="235"/>
      <c r="EW55" s="235"/>
      <c r="EX55" s="235"/>
      <c r="EY55" s="235"/>
      <c r="EZ55" s="235"/>
      <c r="FA55" s="235"/>
      <c r="FB55" s="235"/>
      <c r="FC55" s="235"/>
      <c r="FD55" s="235"/>
      <c r="FE55" s="235"/>
      <c r="FF55" s="235"/>
      <c r="FG55" s="235"/>
      <c r="FH55" s="235"/>
      <c r="FI55" s="235"/>
      <c r="FJ55" s="235"/>
      <c r="FM55"/>
    </row>
    <row r="56" spans="1:172" s="254" customFormat="1" ht="12.75" customHeight="1" x14ac:dyDescent="0.2">
      <c r="B56" t="s">
        <v>1625</v>
      </c>
      <c r="C56" s="243"/>
      <c r="D56" s="243"/>
      <c r="E56" s="243"/>
      <c r="F56" s="243"/>
      <c r="G56" s="243"/>
      <c r="H56" s="243"/>
      <c r="I56" s="243"/>
      <c r="J56" s="243"/>
      <c r="K56" s="243"/>
      <c r="L56" s="243"/>
      <c r="M56" s="243"/>
      <c r="N56" s="243"/>
      <c r="O56" s="243"/>
      <c r="P56" s="243"/>
      <c r="Q56" s="243"/>
      <c r="R56" s="243"/>
      <c r="S56" s="243"/>
      <c r="T56" s="243"/>
      <c r="U56" s="243"/>
      <c r="V56" s="76"/>
      <c r="W56" s="76"/>
      <c r="X56" s="76"/>
      <c r="Y56" s="76"/>
      <c r="Z56" s="76"/>
      <c r="AA56" s="76"/>
      <c r="AB56" s="76"/>
      <c r="AC56" s="76"/>
      <c r="AD56" s="76"/>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37">
        <f>577+216</f>
        <v>793</v>
      </c>
      <c r="BH56" s="243"/>
      <c r="BI56" s="243">
        <f>576+220</f>
        <v>796</v>
      </c>
      <c r="BJ56" s="243">
        <f>634+238</f>
        <v>872</v>
      </c>
      <c r="BK56" s="243">
        <f>628+244</f>
        <v>872</v>
      </c>
      <c r="BL56" s="243">
        <f>646+230</f>
        <v>876</v>
      </c>
      <c r="BM56" s="243">
        <f>597+232</f>
        <v>829</v>
      </c>
      <c r="BN56" s="243">
        <f>655+246</f>
        <v>901</v>
      </c>
      <c r="BO56" s="243">
        <f>627+212</f>
        <v>839</v>
      </c>
      <c r="BP56" s="243">
        <f>656+234</f>
        <v>890</v>
      </c>
      <c r="BQ56" s="243">
        <f>626+220</f>
        <v>846</v>
      </c>
      <c r="BR56" s="243">
        <f>683+246</f>
        <v>929</v>
      </c>
      <c r="BS56" s="243">
        <v>874</v>
      </c>
      <c r="BT56" s="243">
        <v>905</v>
      </c>
      <c r="BU56" s="243">
        <v>858</v>
      </c>
      <c r="BV56" s="243">
        <f>849+374</f>
        <v>1223</v>
      </c>
      <c r="BW56" s="243">
        <f>770+353</f>
        <v>1123</v>
      </c>
      <c r="BX56" s="243">
        <v>879</v>
      </c>
      <c r="BY56" s="243">
        <f>795+342</f>
        <v>1137</v>
      </c>
      <c r="BZ56" s="243">
        <f>870+396</f>
        <v>1266</v>
      </c>
      <c r="CA56" s="243">
        <f>816+342</f>
        <v>1158</v>
      </c>
      <c r="CB56" s="243">
        <f>909+361</f>
        <v>1270</v>
      </c>
      <c r="CC56" s="243">
        <f>884+337</f>
        <v>1221</v>
      </c>
      <c r="CD56" s="243">
        <f>908+377</f>
        <v>1285</v>
      </c>
      <c r="CE56" s="243">
        <f>877+320</f>
        <v>1197</v>
      </c>
      <c r="CF56" s="243">
        <f>933+337</f>
        <v>1270</v>
      </c>
      <c r="CG56" s="243">
        <f>923+318</f>
        <v>1241</v>
      </c>
      <c r="CH56" s="243">
        <f>1023+365</f>
        <v>1388</v>
      </c>
      <c r="CI56" s="243">
        <f>966+330</f>
        <v>1296</v>
      </c>
      <c r="CJ56" s="243">
        <f>1005+341</f>
        <v>1346</v>
      </c>
      <c r="CK56" s="243">
        <f>976+320</f>
        <v>1296</v>
      </c>
      <c r="CL56" s="243">
        <f>1055+351</f>
        <v>1406</v>
      </c>
      <c r="CM56" s="243">
        <f>980+325</f>
        <v>1305</v>
      </c>
      <c r="CN56" s="243">
        <f>1029+206</f>
        <v>1235</v>
      </c>
      <c r="CO56" s="243">
        <f>1010+200</f>
        <v>1210</v>
      </c>
      <c r="CP56" s="243">
        <f>1076+195</f>
        <v>1271</v>
      </c>
      <c r="CQ56" s="243">
        <v>948</v>
      </c>
      <c r="CR56" s="243">
        <v>775</v>
      </c>
      <c r="CS56" s="243">
        <v>1000</v>
      </c>
      <c r="CT56" s="243">
        <v>1116</v>
      </c>
      <c r="CU56" s="243">
        <v>1118</v>
      </c>
      <c r="CV56" s="243">
        <v>1168</v>
      </c>
      <c r="CW56" s="243">
        <v>1144</v>
      </c>
      <c r="CX56" s="243">
        <v>1192</v>
      </c>
      <c r="CY56" s="243">
        <v>1146</v>
      </c>
      <c r="CZ56" s="243">
        <v>1156</v>
      </c>
      <c r="DA56" s="243">
        <v>1158</v>
      </c>
      <c r="DB56" s="243">
        <v>1109</v>
      </c>
      <c r="DC56" s="243">
        <v>1118</v>
      </c>
      <c r="DD56" s="243">
        <v>1222</v>
      </c>
      <c r="DE56" s="243">
        <v>1164</v>
      </c>
      <c r="DF56" s="243">
        <v>1167</v>
      </c>
      <c r="DG56" s="243">
        <v>1087</v>
      </c>
      <c r="DH56" s="243">
        <v>1141</v>
      </c>
      <c r="DI56" s="243">
        <v>1109</v>
      </c>
      <c r="DJ56" s="243">
        <f t="shared" ref="DJ56:DJ57" si="280">+DF56*1.01</f>
        <v>1178.67</v>
      </c>
      <c r="DK56" s="243">
        <f t="shared" ref="DK56:DK57" si="281">+DG56*1.01</f>
        <v>1097.8700000000001</v>
      </c>
      <c r="DL56" s="243">
        <f t="shared" ref="DL56:DL57" si="282">+DH56*1.01</f>
        <v>1152.4100000000001</v>
      </c>
      <c r="DM56" s="243">
        <f t="shared" ref="DM56:DM57" si="283">+DI56*1.01</f>
        <v>1120.0899999999999</v>
      </c>
      <c r="DN56" s="243">
        <f t="shared" ref="DN56:DN57" si="284">+DJ56*1.01</f>
        <v>1190.4567000000002</v>
      </c>
      <c r="DP56" s="271"/>
      <c r="DQ56" s="271"/>
      <c r="DR56" s="271"/>
      <c r="DS56" s="271"/>
      <c r="DT56" s="271"/>
      <c r="DU56" s="271"/>
      <c r="DV56" s="271"/>
      <c r="DW56" s="235"/>
      <c r="DX56" s="235"/>
      <c r="DY56" s="235"/>
      <c r="DZ56" s="235"/>
      <c r="EA56" s="235"/>
      <c r="EB56" s="235"/>
      <c r="EC56" s="235"/>
      <c r="ED56" s="235"/>
      <c r="EE56" s="235"/>
      <c r="EF56" s="235"/>
      <c r="EG56" s="235"/>
      <c r="EH56" s="235"/>
      <c r="EI56" s="235"/>
      <c r="EJ56" s="235"/>
      <c r="EK56" s="235"/>
      <c r="EL56" s="235"/>
      <c r="EM56" s="235">
        <f t="shared" si="224"/>
        <v>3478</v>
      </c>
      <c r="EN56" s="235">
        <f t="shared" si="247"/>
        <v>3504</v>
      </c>
      <c r="EO56" s="235">
        <f t="shared" ref="EO56:EQ56" si="285">+EN56*1.01</f>
        <v>3539.04</v>
      </c>
      <c r="EP56" s="235">
        <f t="shared" si="285"/>
        <v>3574.4304000000002</v>
      </c>
      <c r="EQ56" s="235">
        <f t="shared" si="285"/>
        <v>3610.174704</v>
      </c>
      <c r="ER56" s="235"/>
      <c r="ES56" s="235">
        <f t="shared" ref="ES56:ES60" si="286">SUM(CI56:CL56)</f>
        <v>5344</v>
      </c>
      <c r="ET56" s="235">
        <f t="shared" ref="ET56:ET60" si="287">SUM(CM56:CP56)</f>
        <v>5021</v>
      </c>
      <c r="EU56" s="235">
        <f t="shared" ref="EU56:EU60" si="288">SUM(CQ56:CT56)</f>
        <v>3839</v>
      </c>
      <c r="EV56" s="235">
        <f t="shared" ref="EV56:EV60" si="289">SUM(CU56:CX56)</f>
        <v>4622</v>
      </c>
      <c r="EW56" s="235">
        <f t="shared" ref="EW56:EW57" si="290">SUM(CY56:DB56)</f>
        <v>4569</v>
      </c>
      <c r="EX56" s="235">
        <f t="shared" ref="EX56:EX57" si="291">+EW56*1.01</f>
        <v>4614.6899999999996</v>
      </c>
      <c r="EY56" s="235">
        <f t="shared" ref="EY56:EY57" si="292">+EX56*1.01</f>
        <v>4660.8368999999993</v>
      </c>
      <c r="EZ56" s="235">
        <f t="shared" ref="EZ56:EZ57" si="293">+EY56*1.01</f>
        <v>4707.4452689999989</v>
      </c>
      <c r="FA56" s="235">
        <f t="shared" ref="FA56:FA57" si="294">+EZ56*1.01</f>
        <v>4754.5197216899987</v>
      </c>
      <c r="FB56" s="235">
        <f t="shared" ref="FB56:FB57" si="295">+FA56*1.01</f>
        <v>4802.064918906899</v>
      </c>
      <c r="FC56" s="235">
        <f t="shared" ref="FC56:FC57" si="296">+FB56*1.01</f>
        <v>4850.0855680959685</v>
      </c>
      <c r="FD56" s="235">
        <f t="shared" ref="FD56:FD57" si="297">+FC56*1.01</f>
        <v>4898.5864237769283</v>
      </c>
      <c r="FE56" s="235">
        <f t="shared" ref="FE56:FE57" si="298">+FD56*1.01</f>
        <v>4947.5722880146977</v>
      </c>
      <c r="FF56" s="235">
        <f t="shared" ref="FF56:FF57" si="299">+FE56*1.01</f>
        <v>4997.048010894845</v>
      </c>
      <c r="FG56" s="235">
        <f t="shared" ref="FG56:FG57" si="300">+FF56*1.01</f>
        <v>5047.0184910037933</v>
      </c>
      <c r="FH56" s="235">
        <f t="shared" ref="FH56:FH57" si="301">+FG56*1.01</f>
        <v>5097.4886759138317</v>
      </c>
      <c r="FI56" s="235">
        <f t="shared" ref="FI56:FI57" si="302">+FH56*1.01</f>
        <v>5148.4635626729696</v>
      </c>
      <c r="FJ56" s="235">
        <f t="shared" ref="FJ56:FJ57" si="303">+FI56*1.01</f>
        <v>5199.9481982996995</v>
      </c>
      <c r="FM56"/>
    </row>
    <row r="57" spans="1:172" s="254" customFormat="1" ht="12.75" customHeight="1" x14ac:dyDescent="0.2">
      <c r="B57" t="s">
        <v>1533</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t="s">
        <v>1539</v>
      </c>
      <c r="BH57" s="243"/>
      <c r="BI57" s="243">
        <v>1622</v>
      </c>
      <c r="BJ57" s="243">
        <v>1694</v>
      </c>
      <c r="BK57" s="243">
        <v>1625</v>
      </c>
      <c r="BL57" s="243">
        <v>1640</v>
      </c>
      <c r="BM57" s="243">
        <v>1551</v>
      </c>
      <c r="BN57" s="243">
        <v>1667</v>
      </c>
      <c r="BO57" s="243">
        <v>1508</v>
      </c>
      <c r="BP57" s="243">
        <v>1588</v>
      </c>
      <c r="BQ57" s="243">
        <v>1534</v>
      </c>
      <c r="BR57" s="243">
        <v>1639</v>
      </c>
      <c r="BS57" s="243">
        <v>1508</v>
      </c>
      <c r="BT57" s="243">
        <v>1575</v>
      </c>
      <c r="BU57" s="243">
        <v>1521</v>
      </c>
      <c r="BV57" s="243">
        <v>1253</v>
      </c>
      <c r="BW57" s="243">
        <v>1133</v>
      </c>
      <c r="BX57" s="243">
        <v>1449</v>
      </c>
      <c r="BY57" s="243">
        <v>1083</v>
      </c>
      <c r="BZ57" s="243">
        <v>1147</v>
      </c>
      <c r="CA57" s="243">
        <v>1070</v>
      </c>
      <c r="CB57" s="243">
        <v>1127</v>
      </c>
      <c r="CC57" s="243">
        <v>1063</v>
      </c>
      <c r="CD57" s="243">
        <v>1102</v>
      </c>
      <c r="CE57" s="243">
        <v>1074</v>
      </c>
      <c r="CF57" s="243">
        <v>1114</v>
      </c>
      <c r="CG57" s="243">
        <v>1105</v>
      </c>
      <c r="CH57" s="243">
        <v>1170</v>
      </c>
      <c r="CI57" s="243">
        <v>1127</v>
      </c>
      <c r="CJ57" s="243">
        <v>1169</v>
      </c>
      <c r="CK57" s="243">
        <v>1080</v>
      </c>
      <c r="CL57" s="243">
        <v>1181</v>
      </c>
      <c r="CM57" s="243">
        <v>1089</v>
      </c>
      <c r="CN57" s="243">
        <v>1119</v>
      </c>
      <c r="CO57" s="243">
        <v>1101</v>
      </c>
      <c r="CP57" s="243">
        <v>1171</v>
      </c>
      <c r="CQ57" s="243">
        <v>1153</v>
      </c>
      <c r="CR57" s="243">
        <v>775</v>
      </c>
      <c r="CS57" s="243">
        <v>1152</v>
      </c>
      <c r="CT57" s="243">
        <v>1312</v>
      </c>
      <c r="CU57" s="243">
        <v>1254</v>
      </c>
      <c r="CV57" s="243">
        <v>1354</v>
      </c>
      <c r="CW57" s="243">
        <v>1261</v>
      </c>
      <c r="CX57" s="243">
        <v>1321</v>
      </c>
      <c r="CY57" s="243">
        <v>1288</v>
      </c>
      <c r="CZ57" s="243">
        <v>1294</v>
      </c>
      <c r="DA57" s="243">
        <v>1264</v>
      </c>
      <c r="DB57" s="243">
        <v>1275</v>
      </c>
      <c r="DC57" s="243">
        <v>1316</v>
      </c>
      <c r="DD57" s="243">
        <v>1372</v>
      </c>
      <c r="DE57" s="243">
        <v>1314</v>
      </c>
      <c r="DF57" s="243">
        <v>1364</v>
      </c>
      <c r="DG57" s="243">
        <v>1330</v>
      </c>
      <c r="DH57" s="243">
        <v>1346</v>
      </c>
      <c r="DI57" s="243">
        <v>1325</v>
      </c>
      <c r="DJ57" s="243">
        <f t="shared" si="280"/>
        <v>1377.64</v>
      </c>
      <c r="DK57" s="243">
        <f t="shared" si="281"/>
        <v>1343.3</v>
      </c>
      <c r="DL57" s="243">
        <f t="shared" si="282"/>
        <v>1359.46</v>
      </c>
      <c r="DM57" s="243">
        <f t="shared" si="283"/>
        <v>1338.25</v>
      </c>
      <c r="DN57" s="243">
        <f t="shared" si="284"/>
        <v>1391.4164000000001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24"/>
        <v>6483</v>
      </c>
      <c r="EN57" s="235">
        <f t="shared" si="247"/>
        <v>6269</v>
      </c>
      <c r="EO57" s="235">
        <f t="shared" ref="EO57:EQ57" si="304">+EN57*1.01</f>
        <v>6331.6900000000005</v>
      </c>
      <c r="EP57" s="235">
        <f t="shared" si="304"/>
        <v>6395.0069000000003</v>
      </c>
      <c r="EQ57" s="235">
        <f t="shared" si="304"/>
        <v>6458.9569690000008</v>
      </c>
      <c r="ER57" s="235"/>
      <c r="ES57" s="235">
        <f t="shared" si="286"/>
        <v>4557</v>
      </c>
      <c r="ET57" s="235">
        <f t="shared" si="287"/>
        <v>4480</v>
      </c>
      <c r="EU57" s="235">
        <f t="shared" si="288"/>
        <v>4392</v>
      </c>
      <c r="EV57" s="235">
        <f t="shared" si="289"/>
        <v>5190</v>
      </c>
      <c r="EW57" s="235">
        <f t="shared" si="290"/>
        <v>5121</v>
      </c>
      <c r="EX57" s="235">
        <f t="shared" si="291"/>
        <v>5172.21</v>
      </c>
      <c r="EY57" s="235">
        <f t="shared" si="292"/>
        <v>5223.9321</v>
      </c>
      <c r="EZ57" s="235">
        <f t="shared" si="293"/>
        <v>5276.171421</v>
      </c>
      <c r="FA57" s="235">
        <f t="shared" si="294"/>
        <v>5328.9331352099998</v>
      </c>
      <c r="FB57" s="235">
        <f t="shared" si="295"/>
        <v>5382.2224665620997</v>
      </c>
      <c r="FC57" s="235">
        <f t="shared" si="296"/>
        <v>5436.0446912277212</v>
      </c>
      <c r="FD57" s="235">
        <f t="shared" si="297"/>
        <v>5490.4051381399986</v>
      </c>
      <c r="FE57" s="235">
        <f t="shared" si="298"/>
        <v>5545.3091895213984</v>
      </c>
      <c r="FF57" s="235">
        <f t="shared" si="299"/>
        <v>5600.7622814166125</v>
      </c>
      <c r="FG57" s="235">
        <f t="shared" si="300"/>
        <v>5656.7699042307786</v>
      </c>
      <c r="FH57" s="235">
        <f t="shared" si="301"/>
        <v>5713.3376032730866</v>
      </c>
      <c r="FI57" s="235">
        <f t="shared" si="302"/>
        <v>5770.4709793058173</v>
      </c>
      <c r="FJ57" s="235">
        <f t="shared" si="303"/>
        <v>5828.1756890988754</v>
      </c>
      <c r="FM57"/>
    </row>
    <row r="58" spans="1:172" s="254" customFormat="1" ht="12.75" customHeight="1" x14ac:dyDescent="0.2">
      <c r="B58" t="s">
        <v>1117</v>
      </c>
      <c r="C58" s="243">
        <f>G58/1.1</f>
        <v>210.90909090909088</v>
      </c>
      <c r="D58" s="243">
        <f>H58/0.95</f>
        <v>229.47368421052633</v>
      </c>
      <c r="E58" s="243">
        <f>I58/1.08</f>
        <v>241.66666666666666</v>
      </c>
      <c r="F58" s="243">
        <f>177+74</f>
        <v>251</v>
      </c>
      <c r="G58" s="243">
        <f>166+66</f>
        <v>232</v>
      </c>
      <c r="H58" s="243">
        <f>146+72</f>
        <v>218</v>
      </c>
      <c r="I58" s="243">
        <f>198+63</f>
        <v>261</v>
      </c>
      <c r="J58" s="243">
        <f>195+92</f>
        <v>287</v>
      </c>
      <c r="K58" s="243">
        <f>184+76</f>
        <v>260</v>
      </c>
      <c r="L58" s="243">
        <f>168+78</f>
        <v>246</v>
      </c>
      <c r="M58" s="243">
        <f>192+71</f>
        <v>263</v>
      </c>
      <c r="N58" s="243">
        <f>177+97</f>
        <v>274</v>
      </c>
      <c r="O58" s="243">
        <v>233</v>
      </c>
      <c r="P58" s="243">
        <v>252</v>
      </c>
      <c r="Q58" s="243">
        <v>254</v>
      </c>
      <c r="R58" s="243">
        <v>249</v>
      </c>
      <c r="S58" s="243">
        <v>263</v>
      </c>
      <c r="T58" s="243">
        <v>266</v>
      </c>
      <c r="U58" s="243">
        <v>293</v>
      </c>
      <c r="V58" s="76">
        <v>285</v>
      </c>
      <c r="W58" s="76">
        <v>318</v>
      </c>
      <c r="X58" s="76">
        <v>353</v>
      </c>
      <c r="Y58" s="76">
        <v>324</v>
      </c>
      <c r="Z58" s="76">
        <v>347</v>
      </c>
      <c r="AA58" s="76">
        <v>348</v>
      </c>
      <c r="AB58" s="76">
        <v>330</v>
      </c>
      <c r="AC58" s="76">
        <v>362</v>
      </c>
      <c r="AD58" s="76">
        <v>387</v>
      </c>
      <c r="AE58" s="243">
        <v>400</v>
      </c>
      <c r="AF58" s="243">
        <v>420</v>
      </c>
      <c r="AG58" s="243">
        <v>420</v>
      </c>
      <c r="AH58" s="243">
        <v>461</v>
      </c>
      <c r="AI58" s="243">
        <v>501</v>
      </c>
      <c r="AJ58" s="243">
        <v>474</v>
      </c>
      <c r="AK58" s="243">
        <v>462</v>
      </c>
      <c r="AL58" s="243">
        <v>473</v>
      </c>
      <c r="AM58" s="243">
        <v>504</v>
      </c>
      <c r="AN58" s="243">
        <v>522</v>
      </c>
      <c r="AO58" s="243">
        <v>505</v>
      </c>
      <c r="AP58" s="243">
        <v>542</v>
      </c>
      <c r="AQ58" s="243">
        <v>549</v>
      </c>
      <c r="AR58" s="243">
        <v>596</v>
      </c>
      <c r="AS58" s="243">
        <v>585</v>
      </c>
      <c r="AT58" s="243">
        <v>643</v>
      </c>
      <c r="AU58" s="243">
        <v>615</v>
      </c>
      <c r="AV58" s="243">
        <v>674</v>
      </c>
      <c r="AW58" s="243">
        <v>667</v>
      </c>
      <c r="AX58" s="243">
        <v>579</v>
      </c>
      <c r="AY58" s="243">
        <v>541</v>
      </c>
      <c r="AZ58" s="243">
        <v>610</v>
      </c>
      <c r="BA58" s="243">
        <v>634</v>
      </c>
      <c r="BB58" s="243">
        <v>655</v>
      </c>
      <c r="BC58" s="243">
        <v>597</v>
      </c>
      <c r="BD58" s="243">
        <v>616</v>
      </c>
      <c r="BE58" s="243">
        <v>613</v>
      </c>
      <c r="BF58" s="243">
        <v>644</v>
      </c>
      <c r="BG58" s="243">
        <v>637</v>
      </c>
      <c r="BH58" s="243">
        <v>681</v>
      </c>
      <c r="BI58" s="243">
        <v>664</v>
      </c>
      <c r="BJ58" s="243">
        <v>670</v>
      </c>
      <c r="BK58" s="243">
        <v>670</v>
      </c>
      <c r="BL58" s="243">
        <v>673</v>
      </c>
      <c r="BM58" s="243">
        <v>629</v>
      </c>
      <c r="BN58" s="243">
        <v>644</v>
      </c>
      <c r="BO58" s="243">
        <v>600</v>
      </c>
      <c r="BP58" s="243">
        <v>589</v>
      </c>
      <c r="BQ58" s="243">
        <v>557</v>
      </c>
      <c r="BR58" s="243">
        <v>563</v>
      </c>
      <c r="BS58" s="243">
        <v>512</v>
      </c>
      <c r="BT58" s="243">
        <v>558</v>
      </c>
      <c r="BU58" s="243">
        <v>558</v>
      </c>
      <c r="BV58" s="243">
        <v>514</v>
      </c>
      <c r="BW58" s="243">
        <v>484</v>
      </c>
      <c r="BX58" s="243">
        <v>494</v>
      </c>
      <c r="BY58" s="243">
        <v>470</v>
      </c>
      <c r="BZ58" s="243">
        <v>480</v>
      </c>
      <c r="CA58" s="243">
        <v>429</v>
      </c>
      <c r="CB58" s="243">
        <v>471</v>
      </c>
      <c r="CC58" s="243">
        <v>427</v>
      </c>
      <c r="CD58" s="243">
        <v>462</v>
      </c>
      <c r="CE58" s="243">
        <v>399</v>
      </c>
      <c r="CF58" s="243">
        <v>421</v>
      </c>
      <c r="CG58" s="243">
        <v>405</v>
      </c>
      <c r="CH58" s="243">
        <v>390</v>
      </c>
      <c r="CI58" s="243">
        <v>339</v>
      </c>
      <c r="CJ58" s="243">
        <v>355</v>
      </c>
      <c r="CK58" s="243">
        <v>315</v>
      </c>
      <c r="CL58" s="243"/>
      <c r="CM58" s="243"/>
      <c r="CN58" s="243"/>
      <c r="CO58" s="243"/>
      <c r="CP58" s="243"/>
      <c r="CQ58" s="243"/>
      <c r="CR58" s="243"/>
      <c r="CS58" s="243"/>
      <c r="CT58" s="243"/>
      <c r="CU58" s="243"/>
      <c r="CV58" s="243"/>
      <c r="CW58" s="243"/>
      <c r="CX58" s="243"/>
      <c r="CY58" s="243"/>
      <c r="CZ58" s="243"/>
      <c r="DA58" s="243"/>
      <c r="DB58" s="243"/>
      <c r="DC58" s="243"/>
      <c r="DD58" s="243"/>
      <c r="DE58" s="243"/>
      <c r="DF58" s="243"/>
      <c r="DG58" s="243"/>
      <c r="DH58" s="243"/>
      <c r="DI58" s="243"/>
      <c r="DJ58" s="243"/>
      <c r="DK58" s="243"/>
      <c r="DL58" s="243"/>
      <c r="DM58" s="243"/>
      <c r="DN58" s="243"/>
      <c r="DP58" s="271"/>
      <c r="DQ58" s="271"/>
      <c r="DR58" s="271"/>
      <c r="DS58" s="271"/>
      <c r="DT58" s="271"/>
      <c r="DU58" s="271"/>
      <c r="DV58" s="271"/>
      <c r="DW58" s="235">
        <f>+DX58/1.15</f>
        <v>811.34734068372518</v>
      </c>
      <c r="DX58" s="235">
        <f>SUM(C58:F58)</f>
        <v>933.04944178628386</v>
      </c>
      <c r="DY58" s="235">
        <f>SUM(G58:J58)</f>
        <v>998</v>
      </c>
      <c r="DZ58" s="235">
        <f>SUM(K58:N58)</f>
        <v>1043</v>
      </c>
      <c r="EA58" s="235">
        <f t="shared" si="240"/>
        <v>988</v>
      </c>
      <c r="EB58" s="235">
        <f t="shared" si="241"/>
        <v>1107</v>
      </c>
      <c r="EC58" s="235">
        <f t="shared" si="242"/>
        <v>1342</v>
      </c>
      <c r="ED58" s="235">
        <f t="shared" si="243"/>
        <v>1427</v>
      </c>
      <c r="EE58" s="235">
        <f t="shared" si="244"/>
        <v>1701</v>
      </c>
      <c r="EF58" s="235">
        <f t="shared" si="245"/>
        <v>1910</v>
      </c>
      <c r="EG58" s="235">
        <f t="shared" si="219"/>
        <v>2073</v>
      </c>
      <c r="EH58" s="235">
        <f t="shared" si="220"/>
        <v>2373</v>
      </c>
      <c r="EI58" s="235">
        <f t="shared" si="221"/>
        <v>2535</v>
      </c>
      <c r="EJ58" s="235">
        <f t="shared" si="222"/>
        <v>2440</v>
      </c>
      <c r="EK58" s="235">
        <f t="shared" si="223"/>
        <v>2470</v>
      </c>
      <c r="EL58" s="235">
        <f t="shared" si="246"/>
        <v>2652</v>
      </c>
      <c r="EM58" s="235">
        <f t="shared" si="224"/>
        <v>2616</v>
      </c>
      <c r="EN58" s="235">
        <f t="shared" si="247"/>
        <v>2309</v>
      </c>
      <c r="EO58" s="235">
        <f>+EN58*0.995</f>
        <v>2297.4549999999999</v>
      </c>
      <c r="EP58" s="235">
        <f t="shared" ref="EP58:EQ58" si="305">+EO58*0.995</f>
        <v>2285.967725</v>
      </c>
      <c r="EQ58" s="235">
        <f t="shared" si="305"/>
        <v>2274.5378863749997</v>
      </c>
      <c r="ER58" s="235"/>
      <c r="ES58" s="235">
        <f t="shared" si="286"/>
        <v>1009</v>
      </c>
      <c r="ET58" s="235"/>
      <c r="EU58" s="235"/>
      <c r="EV58" s="235"/>
      <c r="EW58" s="235"/>
      <c r="EX58" s="235"/>
      <c r="EY58" s="235"/>
      <c r="EZ58" s="235"/>
      <c r="FA58" s="235"/>
      <c r="FB58" s="235"/>
      <c r="FC58" s="235"/>
      <c r="FD58" s="235"/>
      <c r="FE58" s="235"/>
      <c r="FF58" s="235"/>
      <c r="FG58" s="235"/>
      <c r="FH58" s="235"/>
      <c r="FI58" s="235"/>
      <c r="FJ58" s="235"/>
      <c r="FM58"/>
    </row>
    <row r="59" spans="1:172" s="254" customFormat="1" ht="12.75" customHeight="1" x14ac:dyDescent="0.2">
      <c r="B59" t="s">
        <v>1123</v>
      </c>
      <c r="C59" s="243">
        <f>G59/0.94</f>
        <v>255.31914893617022</v>
      </c>
      <c r="D59" s="243">
        <f>H59/0.92</f>
        <v>259.78260869565219</v>
      </c>
      <c r="E59" s="243">
        <f>I59/0.94</f>
        <v>238.29787234042556</v>
      </c>
      <c r="F59" s="243">
        <f>141+141</f>
        <v>282</v>
      </c>
      <c r="G59" s="243">
        <f>120+120</f>
        <v>240</v>
      </c>
      <c r="H59" s="243">
        <f>116+123</f>
        <v>239</v>
      </c>
      <c r="I59" s="243">
        <f>109+115</f>
        <v>224</v>
      </c>
      <c r="J59" s="243">
        <f>141+144</f>
        <v>285</v>
      </c>
      <c r="K59" s="243">
        <f>114+120</f>
        <v>234</v>
      </c>
      <c r="L59" s="243">
        <f>121+118</f>
        <v>239</v>
      </c>
      <c r="M59" s="243">
        <f>108+118</f>
        <v>226</v>
      </c>
      <c r="N59" s="243">
        <f>114+127</f>
        <v>241</v>
      </c>
      <c r="O59" s="243">
        <v>249</v>
      </c>
      <c r="P59" s="243">
        <v>250</v>
      </c>
      <c r="Q59" s="243">
        <v>238</v>
      </c>
      <c r="R59" s="243">
        <v>241</v>
      </c>
      <c r="S59" s="243">
        <v>263</v>
      </c>
      <c r="T59" s="243">
        <v>254</v>
      </c>
      <c r="U59" s="243">
        <v>254</v>
      </c>
      <c r="V59" s="76">
        <v>252</v>
      </c>
      <c r="W59" s="76">
        <v>269</v>
      </c>
      <c r="X59" s="76">
        <v>269</v>
      </c>
      <c r="Y59" s="76">
        <v>274</v>
      </c>
      <c r="Z59" s="76">
        <v>282</v>
      </c>
      <c r="AA59" s="76">
        <v>286</v>
      </c>
      <c r="AB59" s="76">
        <v>294</v>
      </c>
      <c r="AC59" s="76">
        <v>287</v>
      </c>
      <c r="AD59" s="76">
        <v>309</v>
      </c>
      <c r="AE59" s="243">
        <v>303</v>
      </c>
      <c r="AF59" s="243">
        <v>317</v>
      </c>
      <c r="AG59" s="243">
        <v>309</v>
      </c>
      <c r="AH59" s="243">
        <v>344</v>
      </c>
      <c r="AI59" s="243">
        <v>355</v>
      </c>
      <c r="AJ59" s="243">
        <v>366</v>
      </c>
      <c r="AK59" s="243">
        <v>343</v>
      </c>
      <c r="AL59" s="243">
        <v>344</v>
      </c>
      <c r="AM59" s="243">
        <v>370</v>
      </c>
      <c r="AN59" s="243">
        <v>368</v>
      </c>
      <c r="AO59" s="243">
        <v>360</v>
      </c>
      <c r="AP59" s="243">
        <v>390</v>
      </c>
      <c r="AQ59" s="243">
        <v>393</v>
      </c>
      <c r="AR59" s="243">
        <v>406</v>
      </c>
      <c r="AS59" s="243">
        <v>404</v>
      </c>
      <c r="AT59" s="243">
        <v>456</v>
      </c>
      <c r="AU59" s="243">
        <v>443</v>
      </c>
      <c r="AV59" s="243">
        <v>476</v>
      </c>
      <c r="AW59" s="243">
        <v>470</v>
      </c>
      <c r="AX59" s="243">
        <v>452</v>
      </c>
      <c r="AY59" s="243">
        <v>467</v>
      </c>
      <c r="AZ59" s="243">
        <v>494</v>
      </c>
      <c r="BA59" s="243">
        <v>501</v>
      </c>
      <c r="BB59" s="243">
        <v>501</v>
      </c>
      <c r="BC59" s="243">
        <v>525</v>
      </c>
      <c r="BD59" s="243">
        <v>494</v>
      </c>
      <c r="BE59" s="243">
        <v>498</v>
      </c>
      <c r="BF59" s="243">
        <v>536</v>
      </c>
      <c r="BG59" s="243">
        <v>521</v>
      </c>
      <c r="BH59" s="243">
        <v>550</v>
      </c>
      <c r="BI59" s="243">
        <v>539</v>
      </c>
      <c r="BJ59" s="243">
        <v>554</v>
      </c>
      <c r="BK59" s="243">
        <v>512</v>
      </c>
      <c r="BL59" s="243">
        <v>514</v>
      </c>
      <c r="BM59" s="243">
        <v>513</v>
      </c>
      <c r="BN59" s="243">
        <v>530</v>
      </c>
      <c r="BO59" s="243">
        <v>477</v>
      </c>
      <c r="BP59" s="243">
        <v>483</v>
      </c>
      <c r="BQ59" s="243">
        <v>459</v>
      </c>
      <c r="BR59" s="243">
        <v>466</v>
      </c>
      <c r="BS59" s="243">
        <v>443</v>
      </c>
      <c r="BT59" s="243">
        <v>461</v>
      </c>
      <c r="BU59" s="243">
        <v>44</v>
      </c>
      <c r="BV59" s="243">
        <v>14</v>
      </c>
      <c r="BW59" s="243">
        <v>30</v>
      </c>
      <c r="BX59" s="243">
        <v>16</v>
      </c>
      <c r="BY59" s="243">
        <v>16</v>
      </c>
      <c r="BZ59" s="243">
        <v>24</v>
      </c>
      <c r="CA59" s="243">
        <v>28</v>
      </c>
      <c r="CB59" s="243">
        <v>31</v>
      </c>
      <c r="CC59" s="243">
        <v>7</v>
      </c>
      <c r="CD59" s="243"/>
      <c r="CE59" s="243">
        <v>1</v>
      </c>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+DX59/0.96</f>
        <v>1083.3333333333335</v>
      </c>
      <c r="DX59" s="235">
        <v>1040</v>
      </c>
      <c r="DY59" s="235">
        <f>SUM(G59:J59)</f>
        <v>988</v>
      </c>
      <c r="DZ59" s="235">
        <f>SUM(K59:N59)</f>
        <v>940</v>
      </c>
      <c r="EA59" s="235">
        <f t="shared" si="240"/>
        <v>978</v>
      </c>
      <c r="EB59" s="235">
        <f t="shared" si="241"/>
        <v>1023</v>
      </c>
      <c r="EC59" s="235">
        <f t="shared" si="242"/>
        <v>1094</v>
      </c>
      <c r="ED59" s="235">
        <f t="shared" si="243"/>
        <v>1176</v>
      </c>
      <c r="EE59" s="235">
        <f t="shared" si="244"/>
        <v>1273</v>
      </c>
      <c r="EF59" s="235">
        <f t="shared" si="245"/>
        <v>1408</v>
      </c>
      <c r="EG59" s="235">
        <f t="shared" si="219"/>
        <v>1488</v>
      </c>
      <c r="EH59" s="235">
        <f t="shared" si="220"/>
        <v>1659</v>
      </c>
      <c r="EI59" s="235">
        <f t="shared" si="221"/>
        <v>1841</v>
      </c>
      <c r="EJ59" s="235">
        <f t="shared" si="222"/>
        <v>1963</v>
      </c>
      <c r="EK59" s="235">
        <f t="shared" si="223"/>
        <v>2053</v>
      </c>
      <c r="EL59" s="235">
        <f t="shared" si="246"/>
        <v>2164</v>
      </c>
      <c r="EM59" s="235">
        <f t="shared" si="224"/>
        <v>2069</v>
      </c>
      <c r="EN59" s="235">
        <f t="shared" si="247"/>
        <v>1885</v>
      </c>
      <c r="EO59" s="235">
        <f>+EN59*0.995</f>
        <v>1875.575</v>
      </c>
      <c r="EP59" s="235">
        <f t="shared" ref="EP59:EQ59" si="306">+EO59*0.995</f>
        <v>1866.1971250000001</v>
      </c>
      <c r="EQ59" s="235">
        <f t="shared" si="306"/>
        <v>1856.8661393750001</v>
      </c>
      <c r="ER59" s="235"/>
      <c r="ES59" s="235">
        <f t="shared" si="286"/>
        <v>0</v>
      </c>
      <c r="ET59" s="235"/>
      <c r="EU59" s="235"/>
      <c r="EV59" s="235"/>
      <c r="EW59" s="235"/>
      <c r="EX59" s="235"/>
      <c r="EY59" s="235"/>
      <c r="EZ59" s="235"/>
      <c r="FA59" s="235"/>
      <c r="FB59" s="235"/>
      <c r="FC59" s="235"/>
      <c r="FD59" s="235"/>
      <c r="FE59" s="235"/>
      <c r="FF59" s="235"/>
      <c r="FG59" s="235"/>
      <c r="FH59" s="235"/>
      <c r="FI59" s="235"/>
      <c r="FJ59" s="235"/>
      <c r="FM59"/>
    </row>
    <row r="60" spans="1:172" ht="12.75" customHeight="1" x14ac:dyDescent="0.2">
      <c r="B60" t="s">
        <v>334</v>
      </c>
      <c r="C60" s="243">
        <f>G60/1.03</f>
        <v>200.97087378640776</v>
      </c>
      <c r="D60" s="243">
        <f>H60/1</f>
        <v>210</v>
      </c>
      <c r="E60" s="243">
        <f>H60/0.95</f>
        <v>221.05263157894737</v>
      </c>
      <c r="F60" s="243">
        <f>99+107</f>
        <v>206</v>
      </c>
      <c r="G60" s="243">
        <f>100+107</f>
        <v>207</v>
      </c>
      <c r="H60" s="243">
        <f>94+116</f>
        <v>210</v>
      </c>
      <c r="I60" s="243">
        <f>95+122</f>
        <v>217</v>
      </c>
      <c r="J60" s="243">
        <f>92+128</f>
        <v>220</v>
      </c>
      <c r="K60" s="243">
        <v>221</v>
      </c>
      <c r="L60" s="243">
        <v>234</v>
      </c>
      <c r="M60" s="243">
        <v>249</v>
      </c>
      <c r="N60" s="243">
        <v>233</v>
      </c>
      <c r="O60" s="243">
        <v>242</v>
      </c>
      <c r="P60" s="243">
        <v>255</v>
      </c>
      <c r="Q60" s="243">
        <v>274</v>
      </c>
      <c r="R60" s="243">
        <v>260</v>
      </c>
      <c r="S60" s="243">
        <v>264</v>
      </c>
      <c r="T60" s="243">
        <v>265</v>
      </c>
      <c r="U60" s="243">
        <v>282</v>
      </c>
      <c r="V60" s="76">
        <v>252</v>
      </c>
      <c r="W60" s="76">
        <v>270</v>
      </c>
      <c r="X60" s="76">
        <v>288</v>
      </c>
      <c r="Y60" s="76">
        <v>312</v>
      </c>
      <c r="Z60" s="76">
        <v>298</v>
      </c>
      <c r="AA60" s="76">
        <v>300</v>
      </c>
      <c r="AB60" s="76">
        <v>317</v>
      </c>
      <c r="AC60" s="76">
        <v>342</v>
      </c>
      <c r="AD60" s="76">
        <v>339</v>
      </c>
      <c r="AE60" s="243">
        <v>354</v>
      </c>
      <c r="AF60" s="243">
        <v>377</v>
      </c>
      <c r="AG60" s="243">
        <v>392</v>
      </c>
      <c r="AH60" s="243">
        <v>407</v>
      </c>
      <c r="AI60" s="243">
        <v>407</v>
      </c>
      <c r="AJ60" s="243">
        <v>426</v>
      </c>
      <c r="AK60" s="243">
        <v>443</v>
      </c>
      <c r="AL60" s="243">
        <v>418</v>
      </c>
      <c r="AM60" s="243">
        <v>441</v>
      </c>
      <c r="AN60" s="243">
        <v>474</v>
      </c>
      <c r="AO60" s="243">
        <v>493</v>
      </c>
      <c r="AP60" s="243">
        <v>471</v>
      </c>
      <c r="AQ60" s="243">
        <v>513</v>
      </c>
      <c r="AR60" s="243">
        <v>553</v>
      </c>
      <c r="AS60" s="243">
        <v>577</v>
      </c>
      <c r="AT60" s="243">
        <v>566</v>
      </c>
      <c r="AU60" s="243">
        <v>607</v>
      </c>
      <c r="AV60" s="243">
        <v>639</v>
      </c>
      <c r="AW60" s="243">
        <v>652</v>
      </c>
      <c r="AX60" s="243">
        <v>602</v>
      </c>
      <c r="AY60" s="243">
        <v>599</v>
      </c>
      <c r="AZ60" s="243">
        <v>630</v>
      </c>
      <c r="BA60" s="243">
        <v>659</v>
      </c>
      <c r="BB60" s="243">
        <v>618</v>
      </c>
      <c r="BC60" s="243">
        <v>664</v>
      </c>
      <c r="BD60" s="243">
        <v>662</v>
      </c>
      <c r="BE60" s="243">
        <v>695</v>
      </c>
      <c r="BF60" s="243">
        <v>659</v>
      </c>
      <c r="BG60" s="243">
        <v>722</v>
      </c>
      <c r="BH60" s="243">
        <v>732</v>
      </c>
      <c r="BI60" s="243">
        <v>752</v>
      </c>
      <c r="BJ60" s="243">
        <v>710</v>
      </c>
      <c r="BK60" s="243">
        <v>757</v>
      </c>
      <c r="BL60" s="243">
        <v>730</v>
      </c>
      <c r="BM60" s="243">
        <v>764</v>
      </c>
      <c r="BN60" s="243">
        <v>745</v>
      </c>
      <c r="BO60" s="243">
        <v>740</v>
      </c>
      <c r="BP60" s="243">
        <v>730</v>
      </c>
      <c r="BQ60" s="243">
        <v>748</v>
      </c>
      <c r="BR60" s="243">
        <v>719</v>
      </c>
      <c r="BS60" s="243">
        <v>761</v>
      </c>
      <c r="BT60" s="243">
        <v>707</v>
      </c>
      <c r="BU60" s="243">
        <v>704</v>
      </c>
      <c r="BV60" s="243">
        <v>646</v>
      </c>
      <c r="BW60" s="243">
        <v>631</v>
      </c>
      <c r="BX60" s="243">
        <v>646</v>
      </c>
      <c r="BY60" s="243">
        <v>683</v>
      </c>
      <c r="BZ60" s="243">
        <v>648</v>
      </c>
      <c r="CA60" s="243">
        <v>640</v>
      </c>
      <c r="CB60" s="243">
        <v>685</v>
      </c>
      <c r="CC60" s="243">
        <v>739</v>
      </c>
      <c r="CD60" s="243">
        <v>721</v>
      </c>
      <c r="CE60" s="243">
        <v>798</v>
      </c>
      <c r="CF60" s="243">
        <v>1055</v>
      </c>
      <c r="CG60" s="243">
        <v>1091</v>
      </c>
      <c r="CH60" s="243">
        <f>800+319</f>
        <v>1119</v>
      </c>
      <c r="CI60" s="243">
        <v>1115</v>
      </c>
      <c r="CJ60" s="243">
        <v>1173</v>
      </c>
      <c r="CK60" s="243">
        <v>1132</v>
      </c>
      <c r="CL60" s="243">
        <v>1133</v>
      </c>
      <c r="CM60" s="243">
        <v>1129</v>
      </c>
      <c r="CN60" s="243">
        <v>1161</v>
      </c>
      <c r="CO60" s="243">
        <v>1193</v>
      </c>
      <c r="CP60" s="243">
        <v>1141</v>
      </c>
      <c r="CQ60" s="243">
        <v>1067</v>
      </c>
      <c r="CR60" s="243">
        <v>695</v>
      </c>
      <c r="CS60" s="243">
        <v>1081</v>
      </c>
      <c r="CT60" s="243">
        <v>1076</v>
      </c>
      <c r="CU60" s="243">
        <v>1145</v>
      </c>
      <c r="CV60" s="243">
        <v>1183</v>
      </c>
      <c r="CW60" s="243">
        <v>1189</v>
      </c>
      <c r="CX60" s="243">
        <v>1171</v>
      </c>
      <c r="CY60" s="243">
        <v>1257</v>
      </c>
      <c r="CZ60" s="243">
        <v>1241</v>
      </c>
      <c r="DA60" s="243">
        <v>1206</v>
      </c>
      <c r="DB60" s="243">
        <v>1145</v>
      </c>
      <c r="DC60" s="243">
        <v>1300</v>
      </c>
      <c r="DD60" s="243">
        <v>1308</v>
      </c>
      <c r="DE60" s="243">
        <v>1256</v>
      </c>
      <c r="DF60" s="243">
        <v>1208</v>
      </c>
      <c r="DG60" s="243">
        <v>1258</v>
      </c>
      <c r="DH60" s="243">
        <v>1285</v>
      </c>
      <c r="DI60" s="243">
        <v>1300</v>
      </c>
      <c r="DJ60" s="243">
        <f t="shared" ref="DJ60" si="307">+DF60*1.01</f>
        <v>1220.08</v>
      </c>
      <c r="DK60" s="243">
        <f t="shared" ref="DK60" si="308">+DG60*1.01</f>
        <v>1270.58</v>
      </c>
      <c r="DL60" s="243">
        <f t="shared" ref="DL60" si="309">+DH60*1.01</f>
        <v>1297.8499999999999</v>
      </c>
      <c r="DM60" s="243">
        <f t="shared" ref="DM60" si="310">+DI60*1.01</f>
        <v>1313</v>
      </c>
      <c r="DN60" s="243">
        <f t="shared" ref="DN60" si="311">+DJ60*1.01</f>
        <v>1232.2808</v>
      </c>
      <c r="DP60" s="271"/>
      <c r="DQ60" s="271"/>
      <c r="DR60" s="271"/>
      <c r="DS60" s="271"/>
      <c r="DT60" s="271"/>
      <c r="DU60" s="271"/>
      <c r="DV60" s="271"/>
      <c r="DW60" s="235">
        <f>+DX60/1.17</f>
        <v>723.07692307692309</v>
      </c>
      <c r="DX60" s="235">
        <f>427+419</f>
        <v>846</v>
      </c>
      <c r="DY60" s="235">
        <f>SUM(G60:J60)</f>
        <v>854</v>
      </c>
      <c r="DZ60" s="235">
        <v>953</v>
      </c>
      <c r="EA60" s="235">
        <f t="shared" si="240"/>
        <v>1031</v>
      </c>
      <c r="EB60" s="235">
        <f t="shared" si="241"/>
        <v>1063</v>
      </c>
      <c r="EC60" s="235">
        <f t="shared" si="242"/>
        <v>1168</v>
      </c>
      <c r="ED60" s="235">
        <f t="shared" si="243"/>
        <v>1298</v>
      </c>
      <c r="EE60" s="235">
        <f t="shared" si="244"/>
        <v>1530</v>
      </c>
      <c r="EF60" s="235">
        <f t="shared" si="245"/>
        <v>1694</v>
      </c>
      <c r="EG60" s="235">
        <f t="shared" si="219"/>
        <v>1879</v>
      </c>
      <c r="EH60" s="235">
        <f t="shared" si="220"/>
        <v>2209</v>
      </c>
      <c r="EI60" s="235">
        <f t="shared" si="221"/>
        <v>2500</v>
      </c>
      <c r="EJ60" s="235">
        <f t="shared" si="222"/>
        <v>2506</v>
      </c>
      <c r="EK60" s="235">
        <f t="shared" si="223"/>
        <v>2680</v>
      </c>
      <c r="EL60" s="235">
        <f>SUM(BG60:BJ60)</f>
        <v>2916</v>
      </c>
      <c r="EM60" s="235">
        <f>SUM(BK60:BN60)</f>
        <v>2996</v>
      </c>
      <c r="EN60" s="235">
        <f t="shared" si="247"/>
        <v>2937</v>
      </c>
      <c r="EO60" s="235">
        <f>+EN60*0.995</f>
        <v>2922.3150000000001</v>
      </c>
      <c r="EP60" s="235">
        <f t="shared" ref="EP60:EY60" si="312">+EO60*0.995</f>
        <v>2907.7034250000002</v>
      </c>
      <c r="EQ60" s="235">
        <f t="shared" si="312"/>
        <v>2893.1649078750002</v>
      </c>
      <c r="ER60" s="235"/>
      <c r="ES60" s="235">
        <f t="shared" si="286"/>
        <v>4553</v>
      </c>
      <c r="ET60" s="235">
        <f t="shared" si="287"/>
        <v>4624</v>
      </c>
      <c r="EU60" s="235">
        <f t="shared" si="288"/>
        <v>3919</v>
      </c>
      <c r="EV60" s="235">
        <f t="shared" si="289"/>
        <v>4688</v>
      </c>
      <c r="EW60" s="235">
        <f>SUM(CY60:DB60)</f>
        <v>4849</v>
      </c>
      <c r="EX60" s="235">
        <f t="shared" si="312"/>
        <v>4824.7550000000001</v>
      </c>
      <c r="EY60" s="235">
        <f t="shared" si="312"/>
        <v>4800.6312250000001</v>
      </c>
      <c r="EZ60" s="235">
        <f t="shared" ref="EZ60" si="313">+EY60*0.995</f>
        <v>4776.6280688750003</v>
      </c>
      <c r="FA60" s="235">
        <f t="shared" ref="FA60" si="314">+EZ60*0.995</f>
        <v>4752.7449285306257</v>
      </c>
      <c r="FB60" s="235">
        <f t="shared" ref="FB60" si="315">+FA60*0.995</f>
        <v>4728.9812038879727</v>
      </c>
      <c r="FC60" s="235">
        <f t="shared" ref="FC60" si="316">+FB60*0.995</f>
        <v>4705.3362978685327</v>
      </c>
      <c r="FD60" s="235">
        <f t="shared" ref="FD60" si="317">+FC60*0.995</f>
        <v>4681.8096163791897</v>
      </c>
      <c r="FE60" s="235">
        <f t="shared" ref="FE60" si="318">+FD60*0.995</f>
        <v>4658.4005682972938</v>
      </c>
      <c r="FF60" s="235">
        <f t="shared" ref="FF60" si="319">+FE60*0.995</f>
        <v>4635.1085654558074</v>
      </c>
      <c r="FG60" s="235">
        <f t="shared" ref="FG60" si="320">+FF60*0.995</f>
        <v>4611.9330226285283</v>
      </c>
      <c r="FH60" s="235">
        <f t="shared" ref="FH60" si="321">+FG60*0.995</f>
        <v>4588.8733575153856</v>
      </c>
      <c r="FI60" s="235">
        <f t="shared" ref="FI60" si="322">+FH60*0.995</f>
        <v>4565.9289907278089</v>
      </c>
      <c r="FJ60" s="235">
        <f t="shared" ref="FJ60" si="323">+FI60*0.995</f>
        <v>4543.0993457741697</v>
      </c>
      <c r="FP60" s="3"/>
    </row>
    <row r="61" spans="1:172" ht="12.75" customHeight="1" x14ac:dyDescent="0.2">
      <c r="B61" t="s">
        <v>335</v>
      </c>
      <c r="C61" s="243"/>
      <c r="D61" s="243"/>
      <c r="E61" s="243"/>
      <c r="F61" s="243"/>
      <c r="G61" s="243"/>
      <c r="H61" s="243"/>
      <c r="I61" s="243"/>
      <c r="J61" s="243"/>
      <c r="K61" s="243">
        <v>161</v>
      </c>
      <c r="L61" s="243">
        <v>168</v>
      </c>
      <c r="M61" s="243">
        <v>161</v>
      </c>
      <c r="N61" s="243">
        <v>214</v>
      </c>
      <c r="O61" s="243">
        <v>153</v>
      </c>
      <c r="P61" s="243">
        <v>146</v>
      </c>
      <c r="Q61" s="243">
        <v>154</v>
      </c>
      <c r="R61" s="243">
        <v>144</v>
      </c>
      <c r="S61" s="243">
        <v>141</v>
      </c>
      <c r="T61" s="243">
        <v>131</v>
      </c>
      <c r="U61" s="243">
        <v>99</v>
      </c>
      <c r="V61" s="76">
        <v>18</v>
      </c>
      <c r="W61" s="76">
        <v>30</v>
      </c>
      <c r="X61" s="76">
        <v>33</v>
      </c>
      <c r="Y61" s="76">
        <v>35</v>
      </c>
      <c r="Z61" s="76">
        <v>26</v>
      </c>
      <c r="AA61" s="76">
        <v>19</v>
      </c>
      <c r="AB61" s="76">
        <v>19</v>
      </c>
      <c r="AC61" s="76">
        <v>17</v>
      </c>
      <c r="AD61" s="76">
        <v>18</v>
      </c>
      <c r="AE61" s="243">
        <f>4136-SUM(AE49:AE60)</f>
        <v>17</v>
      </c>
      <c r="AF61" s="243">
        <f>4057-SUM(AF49:AF60)</f>
        <v>14</v>
      </c>
      <c r="AG61" s="243">
        <f>4044-SUM(AG49:AG60)</f>
        <v>18</v>
      </c>
      <c r="AH61" s="243">
        <f>4650-SUM(AH49:AH60)</f>
        <v>16</v>
      </c>
      <c r="AI61" s="243">
        <f>4797-SUM(AI49:AI60)</f>
        <v>18</v>
      </c>
      <c r="AJ61" s="243">
        <f>4856-SUM(AJ49:AJ60)</f>
        <v>13</v>
      </c>
      <c r="AK61" s="243">
        <f>4622-SUM(AK49:AK60)</f>
        <v>15</v>
      </c>
      <c r="AL61" s="243">
        <f>4821-SUM(AL49:AL60)</f>
        <v>12</v>
      </c>
      <c r="AM61" s="243">
        <f>5011-SUM(AM49:AM60)</f>
        <v>14</v>
      </c>
      <c r="AN61" s="243">
        <f>5155-SUM(AN49:AN60)</f>
        <v>15</v>
      </c>
      <c r="AO61" s="243">
        <f>4950-SUM(AO49:AO60)</f>
        <v>16</v>
      </c>
      <c r="AP61" s="243">
        <f>5167-SUM(AP49:AP60)</f>
        <v>16</v>
      </c>
      <c r="AQ61" s="243">
        <f>5320-SUM(AQ49:AQ60)</f>
        <v>19</v>
      </c>
      <c r="AR61" s="243">
        <f>5418-SUM(AR49:AR60)</f>
        <v>18</v>
      </c>
      <c r="AS61" s="243">
        <f>5248-SUM(AS49:AS60)</f>
        <v>20</v>
      </c>
      <c r="AT61" s="243"/>
      <c r="AU61" s="243"/>
      <c r="AV61" s="243"/>
      <c r="AW61" s="243"/>
      <c r="AX61" s="243"/>
      <c r="AY61" s="243"/>
      <c r="AZ61" s="243"/>
      <c r="BA61" s="243"/>
      <c r="BB61" s="243"/>
      <c r="BC61" s="243"/>
      <c r="BD61" s="243"/>
      <c r="BE61" s="243"/>
      <c r="BF61" s="243"/>
      <c r="BG61" s="243"/>
      <c r="BH61" s="243"/>
      <c r="BI61" s="243"/>
      <c r="BJ61" s="243"/>
      <c r="BK61" s="243"/>
      <c r="BL61" s="243"/>
      <c r="BM61" s="243"/>
      <c r="BN61" s="243"/>
      <c r="BO61" s="243"/>
      <c r="BP61" s="243"/>
      <c r="BQ61" s="243"/>
      <c r="BR61" s="243"/>
      <c r="BS61" s="243"/>
      <c r="BT61" s="243"/>
      <c r="BU61" s="243"/>
      <c r="BV61" s="243"/>
      <c r="BW61" s="243"/>
      <c r="BX61" s="243"/>
      <c r="BY61" s="243"/>
      <c r="BZ61" s="243"/>
      <c r="CA61" s="243"/>
      <c r="CB61" s="243"/>
      <c r="CC61" s="243"/>
      <c r="CD61" s="243"/>
      <c r="CE61" s="243"/>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71"/>
      <c r="DX61" s="271"/>
      <c r="DY61" s="235">
        <f>1011+77</f>
        <v>1088</v>
      </c>
      <c r="DZ61" s="235">
        <v>1071</v>
      </c>
      <c r="EA61" s="235">
        <f t="shared" si="240"/>
        <v>597</v>
      </c>
      <c r="EB61" s="235">
        <f t="shared" si="241"/>
        <v>389</v>
      </c>
      <c r="EC61" s="235">
        <f t="shared" si="242"/>
        <v>124</v>
      </c>
      <c r="ED61" s="235">
        <f t="shared" si="243"/>
        <v>73</v>
      </c>
      <c r="EE61" s="235">
        <f t="shared" si="244"/>
        <v>65</v>
      </c>
      <c r="EF61" s="235">
        <f t="shared" si="245"/>
        <v>58</v>
      </c>
      <c r="EG61" s="235">
        <f t="shared" si="219"/>
        <v>61</v>
      </c>
      <c r="EH61" s="235">
        <f t="shared" si="220"/>
        <v>57</v>
      </c>
      <c r="EI61" s="235"/>
      <c r="EJ61" s="235"/>
      <c r="EK61" s="235"/>
      <c r="EL61" s="235"/>
      <c r="EM61" s="235"/>
      <c r="EN61" s="235"/>
      <c r="EO61" s="235"/>
      <c r="EP61" s="235"/>
      <c r="EQ61" s="235"/>
      <c r="ER61" s="235"/>
      <c r="ES61" s="235"/>
      <c r="ET61" s="235"/>
      <c r="EU61" s="235"/>
      <c r="EV61" s="235"/>
      <c r="EW61" s="235"/>
      <c r="EX61" s="235"/>
      <c r="EY61" s="235"/>
      <c r="EZ61" s="235"/>
      <c r="FA61" s="235"/>
      <c r="FB61" s="235"/>
      <c r="FC61" s="235"/>
      <c r="FD61" s="235"/>
      <c r="FE61" s="235"/>
      <c r="FF61" s="235"/>
      <c r="FG61" s="235"/>
      <c r="FH61" s="235"/>
      <c r="FI61" s="235"/>
      <c r="FJ61" s="235"/>
    </row>
    <row r="62" spans="1:172" s="275" customFormat="1" ht="12.75" customHeight="1" x14ac:dyDescent="0.2">
      <c r="A62"/>
      <c r="B62" t="s">
        <v>231</v>
      </c>
      <c r="C62" s="243"/>
      <c r="D62" s="243"/>
      <c r="E62" s="243"/>
      <c r="F62" s="243"/>
      <c r="G62" s="243"/>
      <c r="H62" s="243"/>
      <c r="I62" s="243"/>
      <c r="J62" s="243"/>
      <c r="K62" s="243">
        <v>1728</v>
      </c>
      <c r="L62" s="243">
        <v>1687</v>
      </c>
      <c r="M62" s="243">
        <v>1704</v>
      </c>
      <c r="N62" s="243">
        <v>1744</v>
      </c>
      <c r="O62" s="243">
        <v>1752</v>
      </c>
      <c r="P62" s="243">
        <v>1707</v>
      </c>
      <c r="Q62" s="243">
        <v>1722</v>
      </c>
      <c r="R62" s="243">
        <v>1723</v>
      </c>
      <c r="S62" s="243">
        <v>1785</v>
      </c>
      <c r="T62" s="243">
        <v>1684</v>
      </c>
      <c r="U62" s="243">
        <v>1777</v>
      </c>
      <c r="V62" s="243">
        <v>1551</v>
      </c>
      <c r="W62" s="243">
        <v>1604</v>
      </c>
      <c r="X62" s="243">
        <v>1648</v>
      </c>
      <c r="Y62" s="243">
        <v>1661</v>
      </c>
      <c r="Z62" s="243">
        <v>1652</v>
      </c>
      <c r="AA62" s="243">
        <v>1791</v>
      </c>
      <c r="AB62" s="243">
        <v>1819</v>
      </c>
      <c r="AC62" s="243">
        <v>1841</v>
      </c>
      <c r="AD62" s="243">
        <v>1979</v>
      </c>
      <c r="AE62" s="243">
        <v>2047</v>
      </c>
      <c r="AF62" s="243">
        <v>2000</v>
      </c>
      <c r="AG62" s="243">
        <v>2024</v>
      </c>
      <c r="AH62" s="243">
        <v>2262</v>
      </c>
      <c r="AI62" s="243">
        <v>2280</v>
      </c>
      <c r="AJ62" s="243">
        <v>2278</v>
      </c>
      <c r="AK62" s="243">
        <v>2231</v>
      </c>
      <c r="AL62" s="243">
        <v>2307</v>
      </c>
      <c r="AM62" s="243">
        <v>2355</v>
      </c>
      <c r="AN62" s="243">
        <v>2398</v>
      </c>
      <c r="AO62" s="243">
        <v>2456</v>
      </c>
      <c r="AP62" s="243">
        <v>2565</v>
      </c>
      <c r="AQ62" s="243">
        <v>3496</v>
      </c>
      <c r="AR62" s="243">
        <v>3564</v>
      </c>
      <c r="AS62" s="243">
        <v>3623</v>
      </c>
      <c r="AT62" s="243">
        <v>3810</v>
      </c>
      <c r="AU62" s="243">
        <v>4064</v>
      </c>
      <c r="AV62" s="243">
        <v>4036</v>
      </c>
      <c r="AW62" s="243">
        <v>4099</v>
      </c>
      <c r="AX62" s="243">
        <v>3855</v>
      </c>
      <c r="AY62" s="243">
        <v>3711</v>
      </c>
      <c r="AZ62" s="243">
        <v>3854</v>
      </c>
      <c r="BA62" s="243">
        <v>3989</v>
      </c>
      <c r="BB62" s="243">
        <v>4249</v>
      </c>
      <c r="BC62" s="243">
        <v>3766</v>
      </c>
      <c r="BD62" s="243">
        <v>3647</v>
      </c>
      <c r="BE62" s="243">
        <v>3567</v>
      </c>
      <c r="BF62" s="243">
        <v>3610</v>
      </c>
      <c r="BG62" s="243">
        <v>3682</v>
      </c>
      <c r="BH62" s="243">
        <v>3793</v>
      </c>
      <c r="BI62" s="243">
        <v>3740</v>
      </c>
      <c r="BJ62" s="243">
        <v>3668</v>
      </c>
      <c r="BK62" s="243">
        <v>3595</v>
      </c>
      <c r="BL62" s="243">
        <v>3619</v>
      </c>
      <c r="BM62" s="243">
        <v>3581</v>
      </c>
      <c r="BN62" s="243">
        <v>3652</v>
      </c>
      <c r="BO62" s="243">
        <v>3675</v>
      </c>
      <c r="BP62" s="243">
        <v>3658</v>
      </c>
      <c r="BQ62" s="243">
        <v>3611</v>
      </c>
      <c r="BR62" s="243">
        <v>3753</v>
      </c>
      <c r="BS62" s="243">
        <v>3557</v>
      </c>
      <c r="BT62" s="243">
        <v>3744</v>
      </c>
      <c r="BU62" s="243">
        <v>3589</v>
      </c>
      <c r="BV62" s="243">
        <v>3606</v>
      </c>
      <c r="BW62" s="243">
        <v>3390</v>
      </c>
      <c r="BX62" s="243">
        <v>3483</v>
      </c>
      <c r="BY62" s="243">
        <v>3314</v>
      </c>
      <c r="BZ62" s="243">
        <v>3320</v>
      </c>
      <c r="CA62" s="243">
        <v>3195</v>
      </c>
      <c r="CB62" s="243">
        <v>3419</v>
      </c>
      <c r="CC62" s="243">
        <v>3261</v>
      </c>
      <c r="CD62" s="243">
        <v>3432</v>
      </c>
      <c r="CE62" s="243">
        <v>3228</v>
      </c>
      <c r="CF62" s="243">
        <v>3478</v>
      </c>
      <c r="CG62" s="243">
        <v>3356</v>
      </c>
      <c r="CH62" s="243">
        <v>3540</v>
      </c>
      <c r="CI62" s="243">
        <v>3398</v>
      </c>
      <c r="CJ62" s="243">
        <v>3504</v>
      </c>
      <c r="CK62" s="243">
        <v>3415</v>
      </c>
      <c r="CL62" s="243">
        <v>3536</v>
      </c>
      <c r="CM62" s="243">
        <v>3318</v>
      </c>
      <c r="CN62" s="243">
        <v>3544</v>
      </c>
      <c r="CO62" s="243">
        <v>3469</v>
      </c>
      <c r="CP62" s="243">
        <v>3567</v>
      </c>
      <c r="CQ62" s="243">
        <v>3625</v>
      </c>
      <c r="CR62" s="243">
        <v>3296</v>
      </c>
      <c r="CS62" s="243">
        <v>3514</v>
      </c>
      <c r="CT62" s="243">
        <v>3618</v>
      </c>
      <c r="CU62" s="243">
        <v>3641</v>
      </c>
      <c r="CV62" s="243">
        <v>3854</v>
      </c>
      <c r="CW62" s="243">
        <v>3700</v>
      </c>
      <c r="CX62" s="243">
        <v>3728</v>
      </c>
      <c r="CY62" s="243">
        <v>3586</v>
      </c>
      <c r="CZ62" s="243">
        <v>3805</v>
      </c>
      <c r="DA62" s="243">
        <v>3795</v>
      </c>
      <c r="DB62" s="243">
        <v>3767</v>
      </c>
      <c r="DC62" s="237" t="s">
        <v>1949</v>
      </c>
      <c r="DD62" s="243">
        <v>4011</v>
      </c>
      <c r="DE62" s="243"/>
      <c r="DF62" s="243"/>
      <c r="DG62" s="243"/>
      <c r="DH62" s="243"/>
      <c r="DI62" s="243"/>
      <c r="DJ62" s="243"/>
      <c r="DK62" s="243"/>
      <c r="DL62" s="243"/>
      <c r="DM62" s="243"/>
      <c r="DN62" s="243"/>
      <c r="DP62" s="276"/>
      <c r="DQ62" s="276"/>
      <c r="DR62" s="276"/>
      <c r="DS62" s="243">
        <v>4780</v>
      </c>
      <c r="DT62" s="243">
        <v>4824</v>
      </c>
      <c r="DU62" s="243">
        <v>5251</v>
      </c>
      <c r="DV62" s="243">
        <v>5831</v>
      </c>
      <c r="DW62" s="243">
        <v>6364</v>
      </c>
      <c r="DX62" s="243">
        <v>6498</v>
      </c>
      <c r="DY62" s="243">
        <v>6526</v>
      </c>
      <c r="DZ62" s="243">
        <v>6864</v>
      </c>
      <c r="EA62" s="243">
        <v>6904</v>
      </c>
      <c r="EB62" s="243">
        <v>6962</v>
      </c>
      <c r="EC62" s="243">
        <v>6563.9</v>
      </c>
      <c r="ED62" s="235">
        <f t="shared" si="243"/>
        <v>7430</v>
      </c>
      <c r="EE62" s="235">
        <f t="shared" si="244"/>
        <v>8333</v>
      </c>
      <c r="EF62" s="235">
        <f t="shared" si="245"/>
        <v>9096</v>
      </c>
      <c r="EG62" s="235">
        <f t="shared" si="219"/>
        <v>9774</v>
      </c>
      <c r="EH62" s="235">
        <f t="shared" si="220"/>
        <v>14493</v>
      </c>
      <c r="EI62" s="235">
        <f>SUM(AU62:AX62)</f>
        <v>16054</v>
      </c>
      <c r="EJ62" s="235">
        <f>SUM(AY62:BB62)</f>
        <v>15803</v>
      </c>
      <c r="EK62" s="243">
        <f>SUM(BC62:BF62)</f>
        <v>14590</v>
      </c>
      <c r="EL62" s="235">
        <f t="shared" si="246"/>
        <v>14883</v>
      </c>
      <c r="EM62" s="235">
        <f t="shared" si="224"/>
        <v>14447</v>
      </c>
      <c r="EN62" s="235">
        <f>SUM(BO62:BR62)</f>
        <v>14697</v>
      </c>
      <c r="EO62" s="243">
        <f t="shared" ref="EO62:EQ62" si="324">EN62*1.02</f>
        <v>14990.94</v>
      </c>
      <c r="EP62" s="243">
        <f t="shared" si="324"/>
        <v>15290.758800000001</v>
      </c>
      <c r="EQ62" s="243">
        <f t="shared" si="324"/>
        <v>15596.573976000001</v>
      </c>
      <c r="ER62" s="243"/>
      <c r="ES62" s="235">
        <f t="shared" ref="ES62:ES67" si="325">SUM(CI62:CL62)</f>
        <v>13853</v>
      </c>
      <c r="ET62" s="235">
        <f t="shared" ref="ET62:ET70" si="326">SUM(CM62:CP62)</f>
        <v>13898</v>
      </c>
      <c r="EU62" s="235">
        <f t="shared" ref="EU62:EU67" si="327">SUM(CQ62:CT62)</f>
        <v>14053</v>
      </c>
      <c r="EV62" s="235">
        <f>SUM(CU62:CX62)</f>
        <v>14923</v>
      </c>
      <c r="EW62" s="235">
        <f>SUM(CY62:DB62)</f>
        <v>14953</v>
      </c>
      <c r="EX62" s="243">
        <f t="shared" ref="EX62" si="328">EW62*1.02</f>
        <v>15252.06</v>
      </c>
      <c r="EY62" s="243">
        <f t="shared" ref="EY62" si="329">EX62*1.02</f>
        <v>15557.101199999999</v>
      </c>
      <c r="EZ62" s="243"/>
      <c r="FA62" s="243"/>
      <c r="FB62" s="243"/>
      <c r="FC62" s="243"/>
      <c r="FD62" s="243"/>
      <c r="FE62" s="243"/>
      <c r="FF62" s="243"/>
      <c r="FG62" s="243"/>
      <c r="FH62" s="243"/>
      <c r="FI62" s="243"/>
      <c r="FJ62" s="243"/>
      <c r="FO62" s="277"/>
      <c r="FP62" s="277"/>
    </row>
    <row r="63" spans="1:172" s="279" customFormat="1" ht="12.75" customHeight="1" x14ac:dyDescent="0.2">
      <c r="A63" s="1"/>
      <c r="B63" s="1" t="s">
        <v>1363</v>
      </c>
      <c r="C63" s="239">
        <v>5715</v>
      </c>
      <c r="D63" s="239">
        <v>5698</v>
      </c>
      <c r="E63" s="239">
        <v>5586</v>
      </c>
      <c r="F63" s="239">
        <v>5630</v>
      </c>
      <c r="G63" s="239">
        <v>5783</v>
      </c>
      <c r="H63" s="239">
        <v>5783</v>
      </c>
      <c r="I63" s="239">
        <v>5724</v>
      </c>
      <c r="J63" s="239">
        <v>6367</v>
      </c>
      <c r="K63" s="239">
        <v>6638</v>
      </c>
      <c r="L63" s="239">
        <v>6854</v>
      </c>
      <c r="M63" s="239">
        <v>6749</v>
      </c>
      <c r="N63" s="239">
        <v>6877</v>
      </c>
      <c r="O63" s="239">
        <v>7319</v>
      </c>
      <c r="P63" s="239">
        <v>7508</v>
      </c>
      <c r="Q63" s="239">
        <v>7204</v>
      </c>
      <c r="R63" s="239">
        <v>7108</v>
      </c>
      <c r="S63" s="239">
        <v>7791</v>
      </c>
      <c r="T63" s="239">
        <v>8342</v>
      </c>
      <c r="U63" s="239">
        <v>8238</v>
      </c>
      <c r="V63" s="239">
        <v>8403</v>
      </c>
      <c r="W63" s="239">
        <v>8743</v>
      </c>
      <c r="X63" s="239">
        <v>9073</v>
      </c>
      <c r="Y63" s="239">
        <v>9079</v>
      </c>
      <c r="Z63" s="239">
        <v>9403</v>
      </c>
      <c r="AA63" s="239">
        <f t="shared" ref="AA63:BH63" si="330">SUM(AA3:AA62)</f>
        <v>9822</v>
      </c>
      <c r="AB63" s="239">
        <f t="shared" si="330"/>
        <v>10332</v>
      </c>
      <c r="AC63" s="239">
        <f t="shared" si="330"/>
        <v>10454</v>
      </c>
      <c r="AD63" s="239">
        <f t="shared" si="330"/>
        <v>11389</v>
      </c>
      <c r="AE63" s="239">
        <f t="shared" si="330"/>
        <v>11984</v>
      </c>
      <c r="AF63" s="239">
        <f t="shared" si="330"/>
        <v>11892</v>
      </c>
      <c r="AG63" s="239">
        <f t="shared" si="330"/>
        <v>11553</v>
      </c>
      <c r="AH63" s="239">
        <f t="shared" si="330"/>
        <v>12752</v>
      </c>
      <c r="AI63" s="239">
        <f t="shared" si="330"/>
        <v>12832</v>
      </c>
      <c r="AJ63" s="239">
        <f t="shared" si="330"/>
        <v>12762</v>
      </c>
      <c r="AK63" s="239">
        <f t="shared" si="330"/>
        <v>12310</v>
      </c>
      <c r="AL63" s="278">
        <f t="shared" si="330"/>
        <v>12610</v>
      </c>
      <c r="AM63" s="278">
        <f t="shared" si="330"/>
        <v>12992</v>
      </c>
      <c r="AN63" s="278">
        <f t="shared" si="330"/>
        <v>13363</v>
      </c>
      <c r="AO63" s="278">
        <f t="shared" si="330"/>
        <v>13287</v>
      </c>
      <c r="AP63" s="278">
        <f t="shared" si="330"/>
        <v>13682</v>
      </c>
      <c r="AQ63" s="278">
        <f t="shared" si="330"/>
        <v>15087</v>
      </c>
      <c r="AR63" s="278">
        <f t="shared" si="330"/>
        <v>15142</v>
      </c>
      <c r="AS63" s="278">
        <f t="shared" si="330"/>
        <v>15007</v>
      </c>
      <c r="AT63" s="278">
        <f t="shared" si="330"/>
        <v>15957</v>
      </c>
      <c r="AU63" s="278">
        <f t="shared" si="330"/>
        <v>16194</v>
      </c>
      <c r="AV63" s="278">
        <f t="shared" si="330"/>
        <v>16450</v>
      </c>
      <c r="AW63" s="278">
        <f t="shared" si="330"/>
        <v>15921</v>
      </c>
      <c r="AX63" s="278">
        <f t="shared" si="330"/>
        <v>15182</v>
      </c>
      <c r="AY63" s="278">
        <f t="shared" si="330"/>
        <v>15026</v>
      </c>
      <c r="AZ63" s="278">
        <f t="shared" si="330"/>
        <v>15239</v>
      </c>
      <c r="BA63" s="278">
        <f t="shared" si="330"/>
        <v>15081</v>
      </c>
      <c r="BB63" s="278">
        <f t="shared" si="330"/>
        <v>16551</v>
      </c>
      <c r="BC63" s="278">
        <f t="shared" si="330"/>
        <v>15631</v>
      </c>
      <c r="BD63" s="278">
        <f t="shared" si="330"/>
        <v>15389</v>
      </c>
      <c r="BE63" s="278">
        <f t="shared" si="330"/>
        <v>14982</v>
      </c>
      <c r="BF63" s="278">
        <f t="shared" si="330"/>
        <v>15644</v>
      </c>
      <c r="BG63" s="278">
        <f t="shared" si="330"/>
        <v>16966</v>
      </c>
      <c r="BH63" s="278">
        <f t="shared" si="330"/>
        <v>16597</v>
      </c>
      <c r="BI63" s="278">
        <f>SUM(BI3:BI53,BI56:BI62)</f>
        <v>16005</v>
      </c>
      <c r="BJ63" s="278">
        <f t="shared" ref="BJ63:CH63" si="331">SUM(BJ3:BJ62)</f>
        <v>18821</v>
      </c>
      <c r="BK63" s="278">
        <f t="shared" si="331"/>
        <v>16139</v>
      </c>
      <c r="BL63" s="278">
        <f t="shared" si="331"/>
        <v>16626</v>
      </c>
      <c r="BM63" s="278">
        <f t="shared" si="331"/>
        <v>17191</v>
      </c>
      <c r="BN63" s="278">
        <f t="shared" si="331"/>
        <v>17791</v>
      </c>
      <c r="BO63" s="278">
        <f t="shared" si="331"/>
        <v>17548</v>
      </c>
      <c r="BP63" s="278">
        <f t="shared" si="331"/>
        <v>17933</v>
      </c>
      <c r="BQ63" s="278">
        <f t="shared" si="331"/>
        <v>17639</v>
      </c>
      <c r="BR63" s="278">
        <f t="shared" si="331"/>
        <v>18451</v>
      </c>
      <c r="BS63" s="278">
        <f t="shared" si="331"/>
        <v>18219</v>
      </c>
      <c r="BT63" s="278">
        <f t="shared" si="331"/>
        <v>19495</v>
      </c>
      <c r="BU63" s="278">
        <f t="shared" si="331"/>
        <v>18467</v>
      </c>
      <c r="BV63" s="278">
        <f t="shared" si="331"/>
        <v>18254</v>
      </c>
      <c r="BW63" s="278">
        <f t="shared" si="331"/>
        <v>17374</v>
      </c>
      <c r="BX63" s="278">
        <f>SUM(BX3:BX62)</f>
        <v>17787</v>
      </c>
      <c r="BY63" s="278">
        <f>SUM(BY3:BY62)</f>
        <v>17102</v>
      </c>
      <c r="BZ63" s="278">
        <f>SUM(BZ3:BZ62)</f>
        <v>17811</v>
      </c>
      <c r="CA63" s="278">
        <f>SUM(CA3:CA62)</f>
        <v>17482</v>
      </c>
      <c r="CB63" s="278">
        <f t="shared" si="331"/>
        <v>18482</v>
      </c>
      <c r="CC63" s="278">
        <f t="shared" si="331"/>
        <v>17820</v>
      </c>
      <c r="CD63" s="278">
        <f t="shared" si="331"/>
        <v>18106</v>
      </c>
      <c r="CE63" s="278">
        <f t="shared" si="331"/>
        <v>17766</v>
      </c>
      <c r="CF63" s="278">
        <f t="shared" si="331"/>
        <v>18839</v>
      </c>
      <c r="CG63" s="278">
        <f t="shared" si="331"/>
        <v>19650</v>
      </c>
      <c r="CH63" s="278">
        <f t="shared" si="331"/>
        <v>20195</v>
      </c>
      <c r="CI63" s="278">
        <f t="shared" ref="CI63:DA63" si="332">SUM(CI3:CI62)</f>
        <v>20009</v>
      </c>
      <c r="CJ63" s="278">
        <f t="shared" si="332"/>
        <v>20830</v>
      </c>
      <c r="CK63" s="278">
        <f t="shared" si="332"/>
        <v>20348</v>
      </c>
      <c r="CL63" s="278">
        <f t="shared" si="332"/>
        <v>20394</v>
      </c>
      <c r="CM63" s="278">
        <f t="shared" si="332"/>
        <v>20021</v>
      </c>
      <c r="CN63" s="278">
        <f t="shared" si="332"/>
        <v>20564</v>
      </c>
      <c r="CO63" s="278">
        <f t="shared" si="332"/>
        <v>20728</v>
      </c>
      <c r="CP63" s="278">
        <f t="shared" si="332"/>
        <v>20744</v>
      </c>
      <c r="CQ63" s="278">
        <f t="shared" si="332"/>
        <v>20690</v>
      </c>
      <c r="CR63" s="278">
        <f t="shared" si="332"/>
        <v>18338</v>
      </c>
      <c r="CS63" s="278">
        <f t="shared" si="332"/>
        <v>21082</v>
      </c>
      <c r="CT63" s="278">
        <f t="shared" si="332"/>
        <v>22476</v>
      </c>
      <c r="CU63" s="278">
        <f t="shared" si="332"/>
        <v>22321</v>
      </c>
      <c r="CV63" s="278">
        <f t="shared" si="332"/>
        <v>23441</v>
      </c>
      <c r="CW63" s="278">
        <f t="shared" si="332"/>
        <v>23335</v>
      </c>
      <c r="CX63" s="278">
        <f t="shared" si="332"/>
        <v>24878</v>
      </c>
      <c r="CY63" s="278">
        <f t="shared" si="332"/>
        <v>23524</v>
      </c>
      <c r="CZ63" s="278">
        <f t="shared" si="332"/>
        <v>24129</v>
      </c>
      <c r="DA63" s="278">
        <f t="shared" si="332"/>
        <v>23947</v>
      </c>
      <c r="DB63" s="278">
        <f>SUM(DB3:DB62)+2</f>
        <v>23879</v>
      </c>
      <c r="DC63" s="278">
        <f t="shared" ref="DC63:DH63" si="333">SUM(DC3:DC62)</f>
        <v>20894</v>
      </c>
      <c r="DD63" s="278">
        <f t="shared" si="333"/>
        <v>25624</v>
      </c>
      <c r="DE63" s="278">
        <f t="shared" si="333"/>
        <v>21349</v>
      </c>
      <c r="DF63" s="278">
        <f t="shared" si="333"/>
        <v>21396</v>
      </c>
      <c r="DG63" s="278">
        <f t="shared" si="333"/>
        <v>21382</v>
      </c>
      <c r="DH63" s="278">
        <f t="shared" si="333"/>
        <v>22453</v>
      </c>
      <c r="DI63" s="278">
        <f t="shared" ref="DI63:DN63" si="334">SUM(DI3:DI62)</f>
        <v>22466</v>
      </c>
      <c r="DJ63" s="278">
        <f t="shared" si="334"/>
        <v>22117.64</v>
      </c>
      <c r="DK63" s="278">
        <f t="shared" si="334"/>
        <v>21653.07</v>
      </c>
      <c r="DL63" s="278">
        <f t="shared" si="334"/>
        <v>22008.32</v>
      </c>
      <c r="DM63" s="278">
        <f t="shared" si="334"/>
        <v>22011.705000000002</v>
      </c>
      <c r="DN63" s="278">
        <f t="shared" si="334"/>
        <v>21829.134700000002</v>
      </c>
      <c r="DP63" s="239">
        <v>9757</v>
      </c>
      <c r="DQ63" s="239">
        <v>11232</v>
      </c>
      <c r="DR63" s="239">
        <v>12447</v>
      </c>
      <c r="DS63" s="239">
        <v>13753</v>
      </c>
      <c r="DT63" s="239">
        <v>14138</v>
      </c>
      <c r="DU63" s="239">
        <v>15734</v>
      </c>
      <c r="DV63" s="239">
        <v>18842</v>
      </c>
      <c r="DW63" s="239">
        <v>21620</v>
      </c>
      <c r="DX63" s="239">
        <v>22629</v>
      </c>
      <c r="DY63" s="239">
        <v>23657</v>
      </c>
      <c r="DZ63" s="239">
        <v>27471</v>
      </c>
      <c r="EA63" s="239">
        <v>29139</v>
      </c>
      <c r="EB63" s="239">
        <v>33004</v>
      </c>
      <c r="EC63" s="239">
        <f>SUM(EC3:EC62)</f>
        <v>36911.9</v>
      </c>
      <c r="ED63" s="239">
        <f>SUM(ED3:ED62)</f>
        <v>42365.4</v>
      </c>
      <c r="EE63" s="239">
        <f>SUM(EE9:EE62)+EE3</f>
        <v>48117</v>
      </c>
      <c r="EF63" s="239">
        <f>SUM(EF9:EF62)+EF3</f>
        <v>49498</v>
      </c>
      <c r="EG63" s="239">
        <f>SUM(EG3:EG62)</f>
        <v>53324</v>
      </c>
      <c r="EH63" s="239">
        <f>SUM(EH9:EH62)+EH3</f>
        <v>61095</v>
      </c>
      <c r="EI63" s="239">
        <f t="shared" ref="EI63:FE63" si="335">SUM(EI3:EI62)</f>
        <v>63747</v>
      </c>
      <c r="EJ63" s="239">
        <f t="shared" si="335"/>
        <v>61897</v>
      </c>
      <c r="EK63" s="239">
        <f t="shared" si="335"/>
        <v>61455</v>
      </c>
      <c r="EL63" s="239">
        <f t="shared" si="335"/>
        <v>65030</v>
      </c>
      <c r="EM63" s="239">
        <f t="shared" si="335"/>
        <v>67747</v>
      </c>
      <c r="EN63" s="239">
        <f t="shared" si="335"/>
        <v>71312</v>
      </c>
      <c r="EO63" s="239">
        <f t="shared" si="335"/>
        <v>75247.425000000003</v>
      </c>
      <c r="EP63" s="239">
        <f t="shared" si="335"/>
        <v>76071.903275000004</v>
      </c>
      <c r="EQ63" s="239">
        <f t="shared" si="335"/>
        <v>70454.942341625007</v>
      </c>
      <c r="ER63" s="239">
        <f t="shared" si="335"/>
        <v>0.18300000000000002</v>
      </c>
      <c r="ES63" s="239">
        <f t="shared" si="335"/>
        <v>81581.018299999996</v>
      </c>
      <c r="ET63" s="239">
        <f t="shared" si="335"/>
        <v>82057.001829999994</v>
      </c>
      <c r="EU63" s="239">
        <f t="shared" si="335"/>
        <v>82586</v>
      </c>
      <c r="EV63" s="239">
        <f t="shared" si="335"/>
        <v>94199</v>
      </c>
      <c r="EW63" s="239">
        <f t="shared" si="335"/>
        <v>95373</v>
      </c>
      <c r="EX63" s="239">
        <f t="shared" si="335"/>
        <v>97507.255000000019</v>
      </c>
      <c r="EY63" s="239">
        <f t="shared" si="335"/>
        <v>100635.79862500001</v>
      </c>
      <c r="EZ63" s="239">
        <f t="shared" si="335"/>
        <v>85285.003934875</v>
      </c>
      <c r="FA63" s="239">
        <f t="shared" si="335"/>
        <v>78557.929302710618</v>
      </c>
      <c r="FB63" s="239">
        <f t="shared" si="335"/>
        <v>78494.915348235387</v>
      </c>
      <c r="FC63" s="239">
        <f t="shared" si="335"/>
        <v>80174.041590881592</v>
      </c>
      <c r="FD63" s="239">
        <f t="shared" si="335"/>
        <v>79411.638525269504</v>
      </c>
      <c r="FE63" s="239">
        <f t="shared" si="335"/>
        <v>79550.229480496433</v>
      </c>
      <c r="FF63" s="239">
        <f t="shared" ref="FF63" si="336">SUM(FF3:FF62)</f>
        <v>80220.445177262256</v>
      </c>
      <c r="FG63" s="239">
        <f t="shared" ref="FG63" si="337">SUM(FG3:FG62)</f>
        <v>81230.936193152418</v>
      </c>
      <c r="FH63" s="239">
        <f t="shared" ref="FH63" si="338">SUM(FH3:FH62)</f>
        <v>82480.931799085796</v>
      </c>
      <c r="FI63" s="239">
        <f t="shared" ref="FI63" si="339">SUM(FI3:FI62)</f>
        <v>83916.230513991177</v>
      </c>
      <c r="FJ63" s="239">
        <f t="shared" ref="FJ63" si="340">SUM(FJ3:FJ62)</f>
        <v>85506.96427804917</v>
      </c>
      <c r="FO63" s="280"/>
    </row>
    <row r="64" spans="1:172" s="275" customFormat="1" ht="12.75" customHeight="1" x14ac:dyDescent="0.2">
      <c r="A64"/>
      <c r="B64" t="s">
        <v>336</v>
      </c>
      <c r="C64" s="235">
        <v>1772</v>
      </c>
      <c r="D64" s="235">
        <v>1749</v>
      </c>
      <c r="E64" s="235">
        <v>1750</v>
      </c>
      <c r="F64" s="235">
        <v>1881</v>
      </c>
      <c r="G64" s="235">
        <v>1777</v>
      </c>
      <c r="H64" s="235">
        <v>1803</v>
      </c>
      <c r="I64" s="235">
        <v>1758</v>
      </c>
      <c r="J64" s="235">
        <v>2098</v>
      </c>
      <c r="K64" s="235">
        <v>2038</v>
      </c>
      <c r="L64" s="235">
        <v>2086</v>
      </c>
      <c r="M64" s="235">
        <v>2030</v>
      </c>
      <c r="N64" s="235">
        <v>2181</v>
      </c>
      <c r="O64" s="235">
        <v>2241</v>
      </c>
      <c r="P64" s="235">
        <v>2256</v>
      </c>
      <c r="Q64" s="235">
        <v>2179</v>
      </c>
      <c r="R64" s="235">
        <v>2185</v>
      </c>
      <c r="S64" s="235">
        <v>2279</v>
      </c>
      <c r="T64" s="235">
        <v>2362</v>
      </c>
      <c r="U64" s="235">
        <v>2385</v>
      </c>
      <c r="V64" s="235">
        <v>2489</v>
      </c>
      <c r="W64" s="235">
        <v>2457</v>
      </c>
      <c r="X64" s="235">
        <v>2582</v>
      </c>
      <c r="Y64" s="235">
        <v>2611</v>
      </c>
      <c r="Z64" s="235">
        <v>2797</v>
      </c>
      <c r="AA64" s="235">
        <v>2722</v>
      </c>
      <c r="AB64" s="235">
        <v>2966</v>
      </c>
      <c r="AC64" s="235">
        <v>2980</v>
      </c>
      <c r="AD64" s="235">
        <v>3508</v>
      </c>
      <c r="AE64" s="235">
        <v>3367</v>
      </c>
      <c r="AF64" s="243">
        <v>3162</v>
      </c>
      <c r="AG64" s="243">
        <v>3187</v>
      </c>
      <c r="AH64" s="243">
        <v>3706</v>
      </c>
      <c r="AI64" s="243">
        <v>3496</v>
      </c>
      <c r="AJ64" s="243">
        <v>3522</v>
      </c>
      <c r="AK64" s="243">
        <v>3354</v>
      </c>
      <c r="AL64" s="243">
        <v>3638</v>
      </c>
      <c r="AM64" s="243">
        <v>3612</v>
      </c>
      <c r="AN64" s="243">
        <v>3788</v>
      </c>
      <c r="AO64" s="243">
        <v>3650</v>
      </c>
      <c r="AP64" s="243">
        <v>4007</v>
      </c>
      <c r="AQ64" s="243">
        <v>4385</v>
      </c>
      <c r="AR64" s="243">
        <v>4358</v>
      </c>
      <c r="AS64" s="243">
        <v>4274</v>
      </c>
      <c r="AT64" s="243">
        <v>4734</v>
      </c>
      <c r="AU64" s="243">
        <v>4614</v>
      </c>
      <c r="AV64" s="243">
        <v>4751</v>
      </c>
      <c r="AW64" s="243">
        <v>4774</v>
      </c>
      <c r="AX64" s="243">
        <v>4372</v>
      </c>
      <c r="AY64" s="243">
        <v>4251</v>
      </c>
      <c r="AZ64" s="243">
        <v>4450</v>
      </c>
      <c r="BA64" s="243">
        <v>4434</v>
      </c>
      <c r="BB64" s="243">
        <f>5312-113</f>
        <v>5199</v>
      </c>
      <c r="BC64" s="243">
        <v>4528</v>
      </c>
      <c r="BD64" s="243">
        <v>4630</v>
      </c>
      <c r="BE64" s="243">
        <v>4594</v>
      </c>
      <c r="BF64" s="243">
        <v>5040</v>
      </c>
      <c r="BG64" s="243">
        <v>4778</v>
      </c>
      <c r="BH64" s="243">
        <v>5172</v>
      </c>
      <c r="BI64" s="243">
        <v>5072</v>
      </c>
      <c r="BJ64" s="243">
        <v>5338</v>
      </c>
      <c r="BK64" s="243">
        <v>4915</v>
      </c>
      <c r="BL64" s="243">
        <v>5143</v>
      </c>
      <c r="BM64" s="243">
        <v>5597</v>
      </c>
      <c r="BN64" s="243">
        <v>6003</v>
      </c>
      <c r="BO64" s="243">
        <v>5554</v>
      </c>
      <c r="BP64" s="243">
        <v>5489</v>
      </c>
      <c r="BQ64" s="243">
        <v>5344</v>
      </c>
      <c r="BR64" s="243">
        <v>5955</v>
      </c>
      <c r="BS64" s="243">
        <v>5455</v>
      </c>
      <c r="BT64" s="243">
        <v>6039</v>
      </c>
      <c r="BU64" s="243">
        <v>5399</v>
      </c>
      <c r="BV64" s="243">
        <v>5853</v>
      </c>
      <c r="BW64" s="243">
        <v>5282</v>
      </c>
      <c r="BX64" s="243">
        <v>5357</v>
      </c>
      <c r="BY64" s="243">
        <v>5224</v>
      </c>
      <c r="BZ64" s="243">
        <v>5673</v>
      </c>
      <c r="CA64" s="243">
        <v>5329</v>
      </c>
      <c r="CB64" s="243">
        <v>5336</v>
      </c>
      <c r="CC64" s="243">
        <v>5486</v>
      </c>
      <c r="CD64" s="243">
        <v>5534</v>
      </c>
      <c r="CE64" s="243">
        <v>5386</v>
      </c>
      <c r="CF64" s="243">
        <v>5823</v>
      </c>
      <c r="CG64" s="243">
        <v>6902</v>
      </c>
      <c r="CH64" s="243">
        <v>5959</v>
      </c>
      <c r="CI64" s="243">
        <v>6614</v>
      </c>
      <c r="CJ64" s="243">
        <v>6927</v>
      </c>
      <c r="CK64" s="243">
        <v>6589</v>
      </c>
      <c r="CL64" s="243">
        <v>6961</v>
      </c>
      <c r="CM64" s="243">
        <v>6615</v>
      </c>
      <c r="CN64" s="243">
        <v>6940</v>
      </c>
      <c r="CO64" s="243">
        <v>6867</v>
      </c>
      <c r="CP64" s="243">
        <v>7134</v>
      </c>
      <c r="CQ64" s="243">
        <v>7062</v>
      </c>
      <c r="CR64" s="243">
        <v>6579</v>
      </c>
      <c r="CS64" s="243">
        <v>6972</v>
      </c>
      <c r="CT64" s="243">
        <v>7814</v>
      </c>
      <c r="CU64" s="243">
        <v>7063</v>
      </c>
      <c r="CV64" s="243">
        <v>6345</v>
      </c>
      <c r="CW64" s="243">
        <v>7250</v>
      </c>
      <c r="CX64" s="243">
        <v>7955</v>
      </c>
      <c r="CY64" s="243">
        <v>7598</v>
      </c>
      <c r="CZ64" s="243">
        <v>6600</v>
      </c>
      <c r="DA64" s="243">
        <v>7807</v>
      </c>
      <c r="DB64" s="243">
        <v>6472</v>
      </c>
      <c r="DC64" s="243">
        <v>6687</v>
      </c>
      <c r="DD64" s="243">
        <v>8212</v>
      </c>
      <c r="DE64" s="243">
        <v>6606</v>
      </c>
      <c r="DF64" s="243">
        <v>5530</v>
      </c>
      <c r="DG64" s="243">
        <v>5404</v>
      </c>
      <c r="DH64" s="243">
        <v>6869</v>
      </c>
      <c r="DI64" s="243">
        <f t="shared" ref="DI64:DN64" si="341">+DI63*0.25</f>
        <v>5616.5</v>
      </c>
      <c r="DJ64" s="243">
        <f t="shared" si="341"/>
        <v>5529.41</v>
      </c>
      <c r="DK64" s="243">
        <f t="shared" si="341"/>
        <v>5413.2674999999999</v>
      </c>
      <c r="DL64" s="243">
        <f t="shared" si="341"/>
        <v>5502.08</v>
      </c>
      <c r="DM64" s="243">
        <f t="shared" si="341"/>
        <v>5502.9262500000004</v>
      </c>
      <c r="DN64" s="243">
        <f t="shared" si="341"/>
        <v>5457.2836750000006</v>
      </c>
      <c r="DP64" s="235">
        <v>3480</v>
      </c>
      <c r="DQ64" s="235">
        <v>3937</v>
      </c>
      <c r="DR64" s="235">
        <v>4204</v>
      </c>
      <c r="DS64" s="235">
        <v>4678</v>
      </c>
      <c r="DT64" s="235">
        <v>4791</v>
      </c>
      <c r="DU64" s="235">
        <v>5299</v>
      </c>
      <c r="DV64" s="235">
        <v>6235</v>
      </c>
      <c r="DW64" s="235">
        <v>7018</v>
      </c>
      <c r="DX64" s="235">
        <v>7152</v>
      </c>
      <c r="DY64" s="235">
        <f>7496-60</f>
        <v>7436</v>
      </c>
      <c r="DZ64" s="235">
        <v>8442</v>
      </c>
      <c r="EA64" s="235">
        <v>8861</v>
      </c>
      <c r="EB64" s="235">
        <v>9536</v>
      </c>
      <c r="EC64" s="235">
        <v>10447</v>
      </c>
      <c r="ED64" s="235">
        <v>12176</v>
      </c>
      <c r="EE64" s="235">
        <v>13422</v>
      </c>
      <c r="EF64" s="235">
        <v>13954</v>
      </c>
      <c r="EG64" s="235">
        <f>SUM(AM64:AP64)</f>
        <v>15057</v>
      </c>
      <c r="EH64" s="235">
        <f>SUM(AQ64:AT64)</f>
        <v>17751</v>
      </c>
      <c r="EI64" s="235">
        <f>SUM(AU64:AX64)</f>
        <v>18511</v>
      </c>
      <c r="EJ64" s="235">
        <f>EJ63-EJ65</f>
        <v>18334</v>
      </c>
      <c r="EK64" s="235">
        <f>SUM(BC64:BF64)</f>
        <v>18792</v>
      </c>
      <c r="EL64" s="235">
        <f>EL63-EL65</f>
        <v>17001</v>
      </c>
      <c r="EM64" s="235">
        <f>SUM(BK64:BN64)</f>
        <v>21658</v>
      </c>
      <c r="EN64" s="235">
        <f>SUM(BO64:BR64)</f>
        <v>22342</v>
      </c>
      <c r="EO64" s="235">
        <f t="shared" ref="EO64:EQ64" si="342">EO63-EO65</f>
        <v>23326.701750000007</v>
      </c>
      <c r="EP64" s="235">
        <f t="shared" si="342"/>
        <v>23582.290015250008</v>
      </c>
      <c r="EQ64" s="235">
        <f t="shared" si="342"/>
        <v>21841.032125903759</v>
      </c>
      <c r="ER64" s="235">
        <f>+ER63-ER65</f>
        <v>5.673000000000003E-2</v>
      </c>
      <c r="ES64" s="235">
        <f t="shared" si="325"/>
        <v>27091</v>
      </c>
      <c r="ET64" s="235">
        <f t="shared" si="326"/>
        <v>27556</v>
      </c>
      <c r="EU64" s="235">
        <f t="shared" si="327"/>
        <v>28427</v>
      </c>
      <c r="EV64" s="235">
        <f t="shared" ref="EV64:EV67" si="343">SUM(CU64:CX64)</f>
        <v>28613</v>
      </c>
      <c r="EW64" s="235">
        <f>SUM(CY64:DB64)</f>
        <v>28477</v>
      </c>
      <c r="EX64" s="235">
        <f t="shared" ref="EX64:EY64" si="344">+EX63-EX65</f>
        <v>30227.249050000013</v>
      </c>
      <c r="EY64" s="235">
        <f t="shared" si="344"/>
        <v>31197.097573750012</v>
      </c>
      <c r="EZ64" s="235">
        <f>+EZ63-EZ65</f>
        <v>26438.351219811251</v>
      </c>
      <c r="FA64" s="235">
        <f t="shared" ref="FA64:FE64" si="345">+FA63-FA65</f>
        <v>24352.958083840298</v>
      </c>
      <c r="FB64" s="235">
        <f t="shared" si="345"/>
        <v>24333.423757952973</v>
      </c>
      <c r="FC64" s="235">
        <f t="shared" si="345"/>
        <v>24853.9528931733</v>
      </c>
      <c r="FD64" s="235">
        <f t="shared" si="345"/>
        <v>24617.607942833551</v>
      </c>
      <c r="FE64" s="235">
        <f t="shared" si="345"/>
        <v>24660.571138953899</v>
      </c>
      <c r="FF64" s="235">
        <f t="shared" ref="FF64:FJ64" si="346">+FF63-FF65</f>
        <v>24868.338004951307</v>
      </c>
      <c r="FG64" s="235">
        <f t="shared" si="346"/>
        <v>25181.590219877253</v>
      </c>
      <c r="FH64" s="235">
        <f t="shared" si="346"/>
        <v>25569.088857716604</v>
      </c>
      <c r="FI64" s="235">
        <f t="shared" si="346"/>
        <v>26014.031459337268</v>
      </c>
      <c r="FJ64" s="235">
        <f t="shared" si="346"/>
        <v>26507.158926195247</v>
      </c>
    </row>
    <row r="65" spans="1:270" s="275" customFormat="1" ht="12.75" customHeight="1" x14ac:dyDescent="0.2">
      <c r="A65"/>
      <c r="B65" t="s">
        <v>337</v>
      </c>
      <c r="C65" s="235">
        <f t="shared" ref="C65:AW65" si="347">C63-C64</f>
        <v>3943</v>
      </c>
      <c r="D65" s="235">
        <f t="shared" si="347"/>
        <v>3949</v>
      </c>
      <c r="E65" s="235">
        <f t="shared" si="347"/>
        <v>3836</v>
      </c>
      <c r="F65" s="235">
        <f t="shared" si="347"/>
        <v>3749</v>
      </c>
      <c r="G65" s="235">
        <f t="shared" si="347"/>
        <v>4006</v>
      </c>
      <c r="H65" s="235">
        <f t="shared" si="347"/>
        <v>3980</v>
      </c>
      <c r="I65" s="235">
        <f t="shared" si="347"/>
        <v>3966</v>
      </c>
      <c r="J65" s="235">
        <f t="shared" si="347"/>
        <v>4269</v>
      </c>
      <c r="K65" s="235">
        <f t="shared" si="347"/>
        <v>4600</v>
      </c>
      <c r="L65" s="235">
        <f t="shared" si="347"/>
        <v>4768</v>
      </c>
      <c r="M65" s="235">
        <f t="shared" si="347"/>
        <v>4719</v>
      </c>
      <c r="N65" s="235">
        <f t="shared" si="347"/>
        <v>4696</v>
      </c>
      <c r="O65" s="235">
        <f t="shared" si="347"/>
        <v>5078</v>
      </c>
      <c r="P65" s="235">
        <f t="shared" si="347"/>
        <v>5252</v>
      </c>
      <c r="Q65" s="235">
        <f t="shared" si="347"/>
        <v>5025</v>
      </c>
      <c r="R65" s="235">
        <f t="shared" si="347"/>
        <v>4923</v>
      </c>
      <c r="S65" s="235">
        <f t="shared" si="347"/>
        <v>5512</v>
      </c>
      <c r="T65" s="235">
        <f t="shared" si="347"/>
        <v>5980</v>
      </c>
      <c r="U65" s="235">
        <f t="shared" si="347"/>
        <v>5853</v>
      </c>
      <c r="V65" s="235">
        <f t="shared" si="347"/>
        <v>5914</v>
      </c>
      <c r="W65" s="235">
        <f t="shared" si="347"/>
        <v>6286</v>
      </c>
      <c r="X65" s="235">
        <f t="shared" si="347"/>
        <v>6491</v>
      </c>
      <c r="Y65" s="235">
        <f t="shared" si="347"/>
        <v>6468</v>
      </c>
      <c r="Z65" s="235">
        <f t="shared" si="347"/>
        <v>6606</v>
      </c>
      <c r="AA65" s="235">
        <f t="shared" si="347"/>
        <v>7100</v>
      </c>
      <c r="AB65" s="235">
        <f t="shared" si="347"/>
        <v>7366</v>
      </c>
      <c r="AC65" s="235">
        <f t="shared" si="347"/>
        <v>7474</v>
      </c>
      <c r="AD65" s="235">
        <f t="shared" si="347"/>
        <v>7881</v>
      </c>
      <c r="AE65" s="243">
        <f t="shared" si="347"/>
        <v>8617</v>
      </c>
      <c r="AF65" s="243">
        <f t="shared" si="347"/>
        <v>8730</v>
      </c>
      <c r="AG65" s="243">
        <f t="shared" si="347"/>
        <v>8366</v>
      </c>
      <c r="AH65" s="243">
        <f t="shared" si="347"/>
        <v>9046</v>
      </c>
      <c r="AI65" s="243">
        <f t="shared" si="347"/>
        <v>9336</v>
      </c>
      <c r="AJ65" s="243">
        <f t="shared" si="347"/>
        <v>9240</v>
      </c>
      <c r="AK65" s="243">
        <f t="shared" si="347"/>
        <v>8956</v>
      </c>
      <c r="AL65" s="243">
        <f t="shared" si="347"/>
        <v>8972</v>
      </c>
      <c r="AM65" s="243">
        <f t="shared" si="347"/>
        <v>9380</v>
      </c>
      <c r="AN65" s="243">
        <f t="shared" si="347"/>
        <v>9575</v>
      </c>
      <c r="AO65" s="243">
        <f t="shared" si="347"/>
        <v>9637</v>
      </c>
      <c r="AP65" s="243">
        <f t="shared" si="347"/>
        <v>9675</v>
      </c>
      <c r="AQ65" s="243">
        <f>AQ63-AQ64</f>
        <v>10702</v>
      </c>
      <c r="AR65" s="243">
        <f>AR63-AR64</f>
        <v>10784</v>
      </c>
      <c r="AS65" s="243">
        <f>AS63-AS64</f>
        <v>10733</v>
      </c>
      <c r="AT65" s="243">
        <f>AT63-AT64</f>
        <v>11223</v>
      </c>
      <c r="AU65" s="243">
        <f t="shared" si="347"/>
        <v>11580</v>
      </c>
      <c r="AV65" s="243">
        <f t="shared" si="347"/>
        <v>11699</v>
      </c>
      <c r="AW65" s="243">
        <f t="shared" si="347"/>
        <v>11147</v>
      </c>
      <c r="AX65" s="243">
        <f t="shared" ref="AX65:BC65" si="348">AX63-AX64</f>
        <v>10810</v>
      </c>
      <c r="AY65" s="243">
        <f t="shared" si="348"/>
        <v>10775</v>
      </c>
      <c r="AZ65" s="243">
        <f t="shared" si="348"/>
        <v>10789</v>
      </c>
      <c r="BA65" s="243">
        <f t="shared" si="348"/>
        <v>10647</v>
      </c>
      <c r="BB65" s="243">
        <f t="shared" si="348"/>
        <v>11352</v>
      </c>
      <c r="BC65" s="243">
        <f t="shared" si="348"/>
        <v>11103</v>
      </c>
      <c r="BD65" s="243">
        <f>+BD63-BD64</f>
        <v>10759</v>
      </c>
      <c r="BE65" s="243">
        <f>+BE63-BE64</f>
        <v>10388</v>
      </c>
      <c r="BF65" s="243">
        <f>+BF63-BF64</f>
        <v>10604</v>
      </c>
      <c r="BG65" s="243">
        <f>+BG63-BG64</f>
        <v>12188</v>
      </c>
      <c r="BH65" s="243">
        <f>+BH63-BH64</f>
        <v>11425</v>
      </c>
      <c r="BI65" s="243">
        <f>BI63-BI64</f>
        <v>10933</v>
      </c>
      <c r="BJ65" s="243">
        <f>BJ63-BJ64</f>
        <v>13483</v>
      </c>
      <c r="BK65" s="243">
        <f>BK63-BK64</f>
        <v>11224</v>
      </c>
      <c r="BL65" s="243">
        <f>BL63-BL64</f>
        <v>11483</v>
      </c>
      <c r="BM65" s="243">
        <f>BM63-BM64</f>
        <v>11594</v>
      </c>
      <c r="BN65" s="243">
        <f t="shared" ref="BN65:BT65" si="349">+BN63-BN64</f>
        <v>11788</v>
      </c>
      <c r="BO65" s="243">
        <f t="shared" si="349"/>
        <v>11994</v>
      </c>
      <c r="BP65" s="243">
        <f t="shared" si="349"/>
        <v>12444</v>
      </c>
      <c r="BQ65" s="243">
        <f t="shared" si="349"/>
        <v>12295</v>
      </c>
      <c r="BR65" s="243">
        <f t="shared" si="349"/>
        <v>12496</v>
      </c>
      <c r="BS65" s="243">
        <f>+BS63-BS64</f>
        <v>12764</v>
      </c>
      <c r="BT65" s="243">
        <f t="shared" si="349"/>
        <v>13456</v>
      </c>
      <c r="BU65" s="243">
        <f t="shared" ref="BU65:CH65" si="350">BU63-BU64</f>
        <v>13068</v>
      </c>
      <c r="BV65" s="243">
        <f t="shared" si="350"/>
        <v>12401</v>
      </c>
      <c r="BW65" s="243">
        <f t="shared" si="350"/>
        <v>12092</v>
      </c>
      <c r="BX65" s="243">
        <f t="shared" si="350"/>
        <v>12430</v>
      </c>
      <c r="BY65" s="243">
        <f t="shared" si="350"/>
        <v>11878</v>
      </c>
      <c r="BZ65" s="243">
        <f t="shared" si="350"/>
        <v>12138</v>
      </c>
      <c r="CA65" s="243">
        <f t="shared" si="350"/>
        <v>12153</v>
      </c>
      <c r="CB65" s="243">
        <f t="shared" si="350"/>
        <v>13146</v>
      </c>
      <c r="CC65" s="243">
        <f t="shared" si="350"/>
        <v>12334</v>
      </c>
      <c r="CD65" s="243">
        <f t="shared" si="350"/>
        <v>12572</v>
      </c>
      <c r="CE65" s="243">
        <f t="shared" si="350"/>
        <v>12380</v>
      </c>
      <c r="CF65" s="243">
        <f t="shared" si="350"/>
        <v>13016</v>
      </c>
      <c r="CG65" s="243">
        <f t="shared" si="350"/>
        <v>12748</v>
      </c>
      <c r="CH65" s="243">
        <f t="shared" si="350"/>
        <v>14236</v>
      </c>
      <c r="CI65" s="243">
        <f t="shared" ref="CI65:CP65" si="351">+CI63-CI64</f>
        <v>13395</v>
      </c>
      <c r="CJ65" s="243">
        <f t="shared" si="351"/>
        <v>13903</v>
      </c>
      <c r="CK65" s="243">
        <f t="shared" si="351"/>
        <v>13759</v>
      </c>
      <c r="CL65" s="243">
        <f t="shared" si="351"/>
        <v>13433</v>
      </c>
      <c r="CM65" s="243">
        <f t="shared" si="351"/>
        <v>13406</v>
      </c>
      <c r="CN65" s="243">
        <f t="shared" si="351"/>
        <v>13624</v>
      </c>
      <c r="CO65" s="243">
        <f t="shared" si="351"/>
        <v>13861</v>
      </c>
      <c r="CP65" s="243">
        <f t="shared" si="351"/>
        <v>13610</v>
      </c>
      <c r="CQ65" s="243">
        <f t="shared" ref="CQ65" si="352">+CQ63-CQ64</f>
        <v>13628</v>
      </c>
      <c r="CR65" s="243">
        <f t="shared" ref="CR65:CV65" si="353">+CR63-CR64</f>
        <v>11759</v>
      </c>
      <c r="CS65" s="243">
        <f t="shared" si="353"/>
        <v>14110</v>
      </c>
      <c r="CT65" s="243">
        <f t="shared" si="353"/>
        <v>14662</v>
      </c>
      <c r="CU65" s="243">
        <f t="shared" si="353"/>
        <v>15258</v>
      </c>
      <c r="CV65" s="243">
        <f t="shared" si="353"/>
        <v>17096</v>
      </c>
      <c r="CW65" s="243">
        <f t="shared" ref="CW65:DB65" si="354">+CW63-CW64</f>
        <v>16085</v>
      </c>
      <c r="CX65" s="243">
        <f t="shared" si="354"/>
        <v>16923</v>
      </c>
      <c r="CY65" s="243">
        <f t="shared" si="354"/>
        <v>15926</v>
      </c>
      <c r="CZ65" s="243">
        <f t="shared" si="354"/>
        <v>17529</v>
      </c>
      <c r="DA65" s="243">
        <f t="shared" si="354"/>
        <v>16140</v>
      </c>
      <c r="DB65" s="243">
        <f t="shared" si="354"/>
        <v>17407</v>
      </c>
      <c r="DC65" s="243">
        <f>DC63-DC64</f>
        <v>14207</v>
      </c>
      <c r="DD65" s="243">
        <f>+DD63-DD64</f>
        <v>17412</v>
      </c>
      <c r="DE65" s="243">
        <f>+DE63-DE64</f>
        <v>14743</v>
      </c>
      <c r="DF65" s="243">
        <f>+DF63-DF64</f>
        <v>15866</v>
      </c>
      <c r="DG65" s="243">
        <f>+DG63-DG64</f>
        <v>15978</v>
      </c>
      <c r="DH65" s="243">
        <f>+DH63-DH64</f>
        <v>15584</v>
      </c>
      <c r="DI65" s="243">
        <f t="shared" ref="DI65:DN65" si="355">+DI63-DI64</f>
        <v>16849.5</v>
      </c>
      <c r="DJ65" s="243">
        <f t="shared" si="355"/>
        <v>16588.23</v>
      </c>
      <c r="DK65" s="243">
        <f t="shared" si="355"/>
        <v>16239.8025</v>
      </c>
      <c r="DL65" s="243">
        <f t="shared" si="355"/>
        <v>16506.239999999998</v>
      </c>
      <c r="DM65" s="243">
        <f t="shared" si="355"/>
        <v>16508.778750000001</v>
      </c>
      <c r="DN65" s="243">
        <f t="shared" si="355"/>
        <v>16371.851025000002</v>
      </c>
      <c r="DP65" s="235">
        <f t="shared" ref="DP65:EG65" si="356">DP63-DP64</f>
        <v>6277</v>
      </c>
      <c r="DQ65" s="235">
        <f t="shared" si="356"/>
        <v>7295</v>
      </c>
      <c r="DR65" s="235">
        <f t="shared" si="356"/>
        <v>8243</v>
      </c>
      <c r="DS65" s="235">
        <f t="shared" si="356"/>
        <v>9075</v>
      </c>
      <c r="DT65" s="235">
        <f t="shared" si="356"/>
        <v>9347</v>
      </c>
      <c r="DU65" s="235">
        <f t="shared" si="356"/>
        <v>10435</v>
      </c>
      <c r="DV65" s="235">
        <f t="shared" si="356"/>
        <v>12607</v>
      </c>
      <c r="DW65" s="235">
        <f t="shared" si="356"/>
        <v>14602</v>
      </c>
      <c r="DX65" s="235">
        <f t="shared" si="356"/>
        <v>15477</v>
      </c>
      <c r="DY65" s="235">
        <f t="shared" si="356"/>
        <v>16221</v>
      </c>
      <c r="DZ65" s="235">
        <f t="shared" si="356"/>
        <v>19029</v>
      </c>
      <c r="EA65" s="235">
        <f t="shared" si="356"/>
        <v>20278</v>
      </c>
      <c r="EB65" s="235">
        <f t="shared" si="356"/>
        <v>23468</v>
      </c>
      <c r="EC65" s="235">
        <f t="shared" si="356"/>
        <v>26464.9</v>
      </c>
      <c r="ED65" s="235">
        <f t="shared" si="356"/>
        <v>30189.4</v>
      </c>
      <c r="EE65" s="235">
        <f t="shared" si="356"/>
        <v>34695</v>
      </c>
      <c r="EF65" s="235">
        <f t="shared" si="356"/>
        <v>35544</v>
      </c>
      <c r="EG65" s="235">
        <f t="shared" si="356"/>
        <v>38267</v>
      </c>
      <c r="EH65" s="235">
        <f>EH63-EH64</f>
        <v>43344</v>
      </c>
      <c r="EI65" s="235">
        <f>EI63-EI64</f>
        <v>45236</v>
      </c>
      <c r="EJ65" s="235">
        <f>SUM(AY65:BB65)</f>
        <v>43563</v>
      </c>
      <c r="EK65" s="235">
        <f>EK63-EK64</f>
        <v>42663</v>
      </c>
      <c r="EL65" s="235">
        <f>SUM(BG65:BJ65)</f>
        <v>48029</v>
      </c>
      <c r="EM65" s="235">
        <f>EM63-EM64</f>
        <v>46089</v>
      </c>
      <c r="EN65" s="235">
        <f>EN63-EN64</f>
        <v>48970</v>
      </c>
      <c r="EO65" s="235">
        <f>+EO63*0.69</f>
        <v>51920.723249999995</v>
      </c>
      <c r="EP65" s="235">
        <f t="shared" ref="EP65:FE65" si="357">+EP63*0.69</f>
        <v>52489.613259749996</v>
      </c>
      <c r="EQ65" s="235">
        <f t="shared" si="357"/>
        <v>48613.910215721247</v>
      </c>
      <c r="ER65" s="235">
        <f t="shared" si="357"/>
        <v>0.12626999999999999</v>
      </c>
      <c r="ES65" s="235">
        <f>ES63-ES64</f>
        <v>54490.018299999996</v>
      </c>
      <c r="ET65" s="235">
        <f>ET63-ET64</f>
        <v>54501.001829999994</v>
      </c>
      <c r="EU65" s="235">
        <f>EU63-EU64</f>
        <v>54159</v>
      </c>
      <c r="EV65" s="235">
        <f>+EV63-EV64</f>
        <v>65586</v>
      </c>
      <c r="EW65" s="235">
        <f>EW63-EW64</f>
        <v>66896</v>
      </c>
      <c r="EX65" s="235">
        <f t="shared" si="357"/>
        <v>67280.005950000006</v>
      </c>
      <c r="EY65" s="235">
        <f t="shared" si="357"/>
        <v>69438.701051249998</v>
      </c>
      <c r="EZ65" s="235">
        <f t="shared" si="357"/>
        <v>58846.652715063748</v>
      </c>
      <c r="FA65" s="235">
        <f t="shared" si="357"/>
        <v>54204.97121887032</v>
      </c>
      <c r="FB65" s="235">
        <f t="shared" si="357"/>
        <v>54161.491590282414</v>
      </c>
      <c r="FC65" s="235">
        <f t="shared" si="357"/>
        <v>55320.088697708292</v>
      </c>
      <c r="FD65" s="235">
        <f t="shared" si="357"/>
        <v>54794.030582435953</v>
      </c>
      <c r="FE65" s="235">
        <f t="shared" si="357"/>
        <v>54889.658341542534</v>
      </c>
      <c r="FF65" s="235">
        <f t="shared" ref="FF65:FJ65" si="358">+FF63*0.69</f>
        <v>55352.107172310949</v>
      </c>
      <c r="FG65" s="235">
        <f t="shared" si="358"/>
        <v>56049.345973275165</v>
      </c>
      <c r="FH65" s="235">
        <f t="shared" si="358"/>
        <v>56911.842941369192</v>
      </c>
      <c r="FI65" s="235">
        <f t="shared" si="358"/>
        <v>57902.199054653909</v>
      </c>
      <c r="FJ65" s="235">
        <f t="shared" si="358"/>
        <v>58999.805351853924</v>
      </c>
    </row>
    <row r="66" spans="1:270" s="275" customFormat="1" ht="12.75" customHeight="1" x14ac:dyDescent="0.2">
      <c r="A66"/>
      <c r="B66" t="s">
        <v>1773</v>
      </c>
      <c r="C66" s="235">
        <v>2138</v>
      </c>
      <c r="D66" s="235">
        <v>2142</v>
      </c>
      <c r="E66" s="235">
        <v>2149</v>
      </c>
      <c r="F66" s="235">
        <v>2286</v>
      </c>
      <c r="G66" s="235">
        <v>2100</v>
      </c>
      <c r="H66" s="235">
        <v>2114</v>
      </c>
      <c r="I66" s="235">
        <v>2151</v>
      </c>
      <c r="J66" s="235">
        <v>2542</v>
      </c>
      <c r="K66" s="235">
        <v>2403</v>
      </c>
      <c r="L66" s="235">
        <v>2549</v>
      </c>
      <c r="M66" s="235">
        <v>2564</v>
      </c>
      <c r="N66" s="235">
        <v>2861</v>
      </c>
      <c r="O66" s="235">
        <v>2609</v>
      </c>
      <c r="P66" s="235">
        <v>2745</v>
      </c>
      <c r="Q66" s="235">
        <v>2675</v>
      </c>
      <c r="R66" s="235">
        <v>2846</v>
      </c>
      <c r="S66" s="235">
        <v>2721</v>
      </c>
      <c r="T66" s="235">
        <v>2975</v>
      </c>
      <c r="U66" s="235">
        <v>2894</v>
      </c>
      <c r="V66" s="235">
        <v>3280</v>
      </c>
      <c r="W66" s="235">
        <v>2843</v>
      </c>
      <c r="X66" s="235">
        <v>3017</v>
      </c>
      <c r="Y66" s="235">
        <v>3006</v>
      </c>
      <c r="Z66" s="235">
        <v>3350</v>
      </c>
      <c r="AA66" s="235">
        <v>3253</v>
      </c>
      <c r="AB66" s="235">
        <v>3396</v>
      </c>
      <c r="AC66" s="235">
        <v>3428</v>
      </c>
      <c r="AD66" s="235">
        <v>4054</v>
      </c>
      <c r="AE66" s="235">
        <v>3640</v>
      </c>
      <c r="AF66" s="243">
        <v>3711</v>
      </c>
      <c r="AG66" s="243">
        <v>3854</v>
      </c>
      <c r="AH66" s="243">
        <v>4655</v>
      </c>
      <c r="AI66" s="243">
        <v>4127</v>
      </c>
      <c r="AJ66" s="243">
        <v>4194</v>
      </c>
      <c r="AK66" s="243">
        <v>4161</v>
      </c>
      <c r="AL66" s="243">
        <v>4645</v>
      </c>
      <c r="AM66" s="243">
        <v>4095</v>
      </c>
      <c r="AN66" s="243">
        <v>4351</v>
      </c>
      <c r="AO66" s="243">
        <v>4291</v>
      </c>
      <c r="AP66" s="243">
        <v>4696</v>
      </c>
      <c r="AQ66" s="243">
        <v>4802</v>
      </c>
      <c r="AR66" s="243">
        <v>5029</v>
      </c>
      <c r="AS66" s="243">
        <v>4899</v>
      </c>
      <c r="AT66" s="243">
        <v>5721</v>
      </c>
      <c r="AU66" s="243">
        <v>5123</v>
      </c>
      <c r="AV66" s="243">
        <v>5507</v>
      </c>
      <c r="AW66" s="243">
        <v>5195</v>
      </c>
      <c r="AX66" s="243">
        <v>5665</v>
      </c>
      <c r="AY66" s="243">
        <v>4608</v>
      </c>
      <c r="AZ66" s="243">
        <v>4797</v>
      </c>
      <c r="BA66" s="243">
        <v>4767</v>
      </c>
      <c r="BB66" s="243">
        <v>5629</v>
      </c>
      <c r="BC66" s="243">
        <v>4779</v>
      </c>
      <c r="BD66" s="243">
        <v>4756</v>
      </c>
      <c r="BE66" s="243">
        <v>4709</v>
      </c>
      <c r="BF66" s="243">
        <v>5180</v>
      </c>
      <c r="BG66" s="243">
        <v>5056</v>
      </c>
      <c r="BH66" s="243">
        <v>5215</v>
      </c>
      <c r="BI66" s="243">
        <v>5240</v>
      </c>
      <c r="BJ66" s="243">
        <v>5458</v>
      </c>
      <c r="BK66" s="243">
        <v>5015</v>
      </c>
      <c r="BL66" s="243">
        <v>4965</v>
      </c>
      <c r="BM66" s="243">
        <v>5228</v>
      </c>
      <c r="BN66" s="243">
        <v>5661</v>
      </c>
      <c r="BO66" s="243">
        <v>5223</v>
      </c>
      <c r="BP66" s="243">
        <f>5376-375</f>
        <v>5001</v>
      </c>
      <c r="BQ66" s="243">
        <v>5314</v>
      </c>
      <c r="BR66" s="243">
        <v>5917</v>
      </c>
      <c r="BS66" s="243">
        <v>5183</v>
      </c>
      <c r="BT66" s="243">
        <v>5481</v>
      </c>
      <c r="BU66" s="243">
        <v>5468</v>
      </c>
      <c r="BV66" s="243">
        <v>5822</v>
      </c>
      <c r="BW66" s="243">
        <v>4847</v>
      </c>
      <c r="BX66" s="243">
        <v>5384</v>
      </c>
      <c r="BY66" s="243">
        <v>5081</v>
      </c>
      <c r="BZ66" s="243">
        <v>5891</v>
      </c>
      <c r="CA66" s="243">
        <v>4688</v>
      </c>
      <c r="CB66" s="243">
        <v>5176</v>
      </c>
      <c r="CC66" s="243">
        <v>4772</v>
      </c>
      <c r="CD66" s="243">
        <v>5309</v>
      </c>
      <c r="CE66" s="243">
        <v>4737</v>
      </c>
      <c r="CF66" s="243">
        <v>5262</v>
      </c>
      <c r="CG66" s="243">
        <v>5396</v>
      </c>
      <c r="CH66" s="243">
        <v>6025</v>
      </c>
      <c r="CI66" s="243">
        <v>5263</v>
      </c>
      <c r="CJ66" s="243">
        <v>5743</v>
      </c>
      <c r="CK66" s="243">
        <f>5543-1085</f>
        <v>4458</v>
      </c>
      <c r="CL66" s="243">
        <f>5991-1073</f>
        <v>4918</v>
      </c>
      <c r="CM66" s="243">
        <v>5219</v>
      </c>
      <c r="CN66" s="243">
        <v>5546</v>
      </c>
      <c r="CO66" s="243">
        <f>5374-1138</f>
        <v>4236</v>
      </c>
      <c r="CP66" s="243">
        <f>6039-1142</f>
        <v>4897</v>
      </c>
      <c r="CQ66" s="243">
        <v>5203</v>
      </c>
      <c r="CR66" s="243">
        <v>4993</v>
      </c>
      <c r="CS66" s="243">
        <v>5431</v>
      </c>
      <c r="CT66" s="243">
        <v>6457</v>
      </c>
      <c r="CU66" s="243">
        <v>5432</v>
      </c>
      <c r="CV66" s="243">
        <v>6067</v>
      </c>
      <c r="CW66" s="243">
        <v>6000</v>
      </c>
      <c r="CX66" s="243">
        <v>7154</v>
      </c>
      <c r="CY66" s="243">
        <v>5938</v>
      </c>
      <c r="CZ66" s="243">
        <v>6220</v>
      </c>
      <c r="DA66" s="243"/>
      <c r="DB66" s="243">
        <v>6460</v>
      </c>
      <c r="DC66" s="243">
        <v>4906</v>
      </c>
      <c r="DD66" s="243">
        <v>6665</v>
      </c>
      <c r="DE66" s="243">
        <v>5400</v>
      </c>
      <c r="DF66" s="243">
        <v>5802</v>
      </c>
      <c r="DG66" s="243">
        <v>5253</v>
      </c>
      <c r="DH66" s="243">
        <v>5681</v>
      </c>
      <c r="DI66" s="243"/>
      <c r="DJ66" s="243"/>
      <c r="DK66" s="243"/>
      <c r="DL66" s="243"/>
      <c r="DM66" s="243"/>
      <c r="DN66" s="243"/>
      <c r="DP66" s="235">
        <v>3897</v>
      </c>
      <c r="DQ66" s="235">
        <v>4469</v>
      </c>
      <c r="DR66" s="235">
        <v>5099</v>
      </c>
      <c r="DS66" s="235">
        <v>5671</v>
      </c>
      <c r="DT66" s="235">
        <v>5771</v>
      </c>
      <c r="DU66" s="235">
        <v>6350</v>
      </c>
      <c r="DV66" s="235">
        <v>7462</v>
      </c>
      <c r="DW66" s="235">
        <v>8394</v>
      </c>
      <c r="DX66" s="235">
        <v>8715</v>
      </c>
      <c r="DY66" s="235">
        <v>8907</v>
      </c>
      <c r="DZ66" s="235">
        <v>10503</v>
      </c>
      <c r="EA66" s="235">
        <v>10875</v>
      </c>
      <c r="EB66" s="235">
        <v>11992</v>
      </c>
      <c r="EC66" s="235">
        <v>12216</v>
      </c>
      <c r="ED66" s="235">
        <v>14131</v>
      </c>
      <c r="EE66" s="235">
        <v>15860</v>
      </c>
      <c r="EF66" s="235">
        <v>16877</v>
      </c>
      <c r="EG66" s="235">
        <f>SUM(AM66:AP66)</f>
        <v>17433</v>
      </c>
      <c r="EH66" s="235">
        <f>SUM(AQ66:AT66)</f>
        <v>20451</v>
      </c>
      <c r="EI66" s="235">
        <f>SUM(AU66:AX66)</f>
        <v>21490</v>
      </c>
      <c r="EJ66" s="235">
        <f>SUM(AY66:BB66)</f>
        <v>19801</v>
      </c>
      <c r="EK66" s="235">
        <f>SUM(BC66:BF66)</f>
        <v>19424</v>
      </c>
      <c r="EL66" s="235">
        <f>SUM(BG66:BJ66)</f>
        <v>20969</v>
      </c>
      <c r="EM66" s="235">
        <f>SUM(BK66:BN66)</f>
        <v>20869</v>
      </c>
      <c r="EN66" s="235">
        <f>SUM(BO66:BR66)</f>
        <v>21455</v>
      </c>
      <c r="EO66" s="235">
        <f>EO63*EO98</f>
        <v>24831.650250000002</v>
      </c>
      <c r="EP66" s="235"/>
      <c r="EQ66" s="235"/>
      <c r="ER66" s="235">
        <f>+EQ66</f>
        <v>0</v>
      </c>
      <c r="ES66" s="235">
        <f t="shared" si="325"/>
        <v>20382</v>
      </c>
      <c r="ET66" s="235">
        <f t="shared" si="326"/>
        <v>19898</v>
      </c>
      <c r="EU66" s="235">
        <f t="shared" si="327"/>
        <v>22084</v>
      </c>
      <c r="EV66" s="235">
        <f>SUM(CU66:CX66)</f>
        <v>24653</v>
      </c>
      <c r="EW66" s="235">
        <f>SUM(CY66:DB66)</f>
        <v>18618</v>
      </c>
      <c r="EX66" s="235">
        <f t="shared" ref="EX66:FE66" si="359">+EX63*0.26</f>
        <v>25351.886300000006</v>
      </c>
      <c r="EY66" s="235">
        <f t="shared" si="359"/>
        <v>26165.307642500004</v>
      </c>
      <c r="EZ66" s="235">
        <f t="shared" si="359"/>
        <v>22174.101023067502</v>
      </c>
      <c r="FA66" s="235">
        <f t="shared" si="359"/>
        <v>20425.06161870476</v>
      </c>
      <c r="FB66" s="235">
        <f t="shared" si="359"/>
        <v>20408.6779905412</v>
      </c>
      <c r="FC66" s="235">
        <f t="shared" si="359"/>
        <v>20845.250813629216</v>
      </c>
      <c r="FD66" s="235">
        <f t="shared" si="359"/>
        <v>20647.026016570071</v>
      </c>
      <c r="FE66" s="235">
        <f t="shared" si="359"/>
        <v>20683.059664929075</v>
      </c>
      <c r="FF66" s="235">
        <f t="shared" ref="FF66:FJ66" si="360">+FF63*0.26</f>
        <v>20857.315746088188</v>
      </c>
      <c r="FG66" s="235">
        <f t="shared" si="360"/>
        <v>21120.04341021963</v>
      </c>
      <c r="FH66" s="235">
        <f t="shared" si="360"/>
        <v>21445.042267762306</v>
      </c>
      <c r="FI66" s="235">
        <f t="shared" si="360"/>
        <v>21818.219933637705</v>
      </c>
      <c r="FJ66" s="235">
        <f t="shared" si="360"/>
        <v>22231.810712292787</v>
      </c>
    </row>
    <row r="67" spans="1:270" s="275" customFormat="1" ht="12.75" customHeight="1" x14ac:dyDescent="0.2">
      <c r="A67"/>
      <c r="B67" t="s">
        <v>1774</v>
      </c>
      <c r="C67" s="235">
        <v>478</v>
      </c>
      <c r="D67" s="235">
        <v>520</v>
      </c>
      <c r="E67" s="235">
        <v>516</v>
      </c>
      <c r="F67" s="235">
        <v>626</v>
      </c>
      <c r="G67" s="235">
        <v>494</v>
      </c>
      <c r="H67" s="235">
        <v>532</v>
      </c>
      <c r="I67" s="235">
        <v>511</v>
      </c>
      <c r="J67" s="235">
        <v>732</v>
      </c>
      <c r="K67" s="235">
        <v>536</v>
      </c>
      <c r="L67" s="235">
        <v>574</v>
      </c>
      <c r="M67" s="235">
        <v>613</v>
      </c>
      <c r="N67" s="235">
        <v>812</v>
      </c>
      <c r="O67" s="235">
        <v>637</v>
      </c>
      <c r="P67" s="235">
        <v>667</v>
      </c>
      <c r="Q67" s="235">
        <v>692</v>
      </c>
      <c r="R67" s="235">
        <v>930</v>
      </c>
      <c r="S67" s="235">
        <v>701</v>
      </c>
      <c r="T67" s="235">
        <v>829</v>
      </c>
      <c r="U67" s="235">
        <v>899</v>
      </c>
      <c r="V67" s="235">
        <v>1104</v>
      </c>
      <c r="W67" s="235">
        <v>831</v>
      </c>
      <c r="X67" s="235">
        <v>932</v>
      </c>
      <c r="Y67" s="235">
        <v>952</v>
      </c>
      <c r="Z67" s="235">
        <v>1242</v>
      </c>
      <c r="AA67" s="235">
        <v>936</v>
      </c>
      <c r="AB67" s="235">
        <v>1082</v>
      </c>
      <c r="AC67" s="235">
        <v>1177</v>
      </c>
      <c r="AD67" s="235">
        <v>1489</v>
      </c>
      <c r="AE67" s="235">
        <v>1095</v>
      </c>
      <c r="AF67" s="243">
        <v>1182</v>
      </c>
      <c r="AG67" s="243">
        <v>1198</v>
      </c>
      <c r="AH67" s="243">
        <v>1727</v>
      </c>
      <c r="AI67" s="243">
        <v>1384</v>
      </c>
      <c r="AJ67" s="243">
        <v>1487</v>
      </c>
      <c r="AK67" s="243">
        <v>1539</v>
      </c>
      <c r="AL67" s="243">
        <v>2014</v>
      </c>
      <c r="AM67" s="243">
        <v>1532</v>
      </c>
      <c r="AN67" s="243">
        <f>1828-165</f>
        <v>1663</v>
      </c>
      <c r="AO67" s="243">
        <v>1719</v>
      </c>
      <c r="AP67" s="243">
        <v>2046</v>
      </c>
      <c r="AQ67" s="243">
        <v>1652</v>
      </c>
      <c r="AR67" s="243">
        <v>1866</v>
      </c>
      <c r="AS67" s="243">
        <v>1834</v>
      </c>
      <c r="AT67" s="243">
        <f>2328</f>
        <v>2328</v>
      </c>
      <c r="AU67" s="243">
        <v>1712</v>
      </c>
      <c r="AV67" s="243">
        <v>1896</v>
      </c>
      <c r="AW67" s="243">
        <v>1861</v>
      </c>
      <c r="AX67" s="243">
        <v>2108</v>
      </c>
      <c r="AY67" s="243">
        <v>1518</v>
      </c>
      <c r="AZ67" s="243">
        <v>1638</v>
      </c>
      <c r="BA67" s="243">
        <v>1617</v>
      </c>
      <c r="BB67" s="243">
        <v>2213</v>
      </c>
      <c r="BC67" s="243">
        <v>1557</v>
      </c>
      <c r="BD67" s="243">
        <v>1648</v>
      </c>
      <c r="BE67" s="243">
        <v>1657</v>
      </c>
      <c r="BF67" s="243">
        <v>1982</v>
      </c>
      <c r="BG67" s="243">
        <v>1738</v>
      </c>
      <c r="BH67" s="243">
        <v>1882</v>
      </c>
      <c r="BI67" s="243">
        <v>1773</v>
      </c>
      <c r="BJ67" s="243">
        <v>2155</v>
      </c>
      <c r="BK67" s="243">
        <v>1645</v>
      </c>
      <c r="BL67" s="243">
        <v>1766</v>
      </c>
      <c r="BM67" s="243">
        <v>1923</v>
      </c>
      <c r="BN67" s="243">
        <v>2331</v>
      </c>
      <c r="BO67" s="243">
        <v>1784</v>
      </c>
      <c r="BP67" s="243">
        <v>1946</v>
      </c>
      <c r="BQ67" s="243">
        <v>2042</v>
      </c>
      <c r="BR67" s="243">
        <v>2411</v>
      </c>
      <c r="BS67" s="243">
        <v>1831</v>
      </c>
      <c r="BT67" s="243">
        <v>2005</v>
      </c>
      <c r="BU67" s="243">
        <v>2023</v>
      </c>
      <c r="BV67" s="243">
        <v>2635</v>
      </c>
      <c r="BW67" s="243">
        <v>1899</v>
      </c>
      <c r="BX67" s="243">
        <v>2129</v>
      </c>
      <c r="BY67" s="243">
        <v>2154</v>
      </c>
      <c r="BZ67" s="243">
        <v>2864</v>
      </c>
      <c r="CA67" s="243">
        <v>2013</v>
      </c>
      <c r="CB67" s="243">
        <v>2264</v>
      </c>
      <c r="CC67" s="243">
        <v>2178</v>
      </c>
      <c r="CD67" s="243">
        <v>2640</v>
      </c>
      <c r="CE67" s="243">
        <v>2060</v>
      </c>
      <c r="CF67" s="243">
        <v>2285</v>
      </c>
      <c r="CG67" s="243">
        <v>2574</v>
      </c>
      <c r="CH67" s="243">
        <v>3635</v>
      </c>
      <c r="CI67" s="243">
        <v>2404</v>
      </c>
      <c r="CJ67" s="243">
        <v>2639</v>
      </c>
      <c r="CK67" s="243">
        <v>2508</v>
      </c>
      <c r="CL67" s="243">
        <v>3224</v>
      </c>
      <c r="CM67" s="243">
        <v>2858</v>
      </c>
      <c r="CN67" s="243">
        <v>2666</v>
      </c>
      <c r="CO67" s="243">
        <v>2599</v>
      </c>
      <c r="CP67" s="243">
        <v>3232</v>
      </c>
      <c r="CQ67" s="243">
        <v>2580</v>
      </c>
      <c r="CR67" s="243">
        <v>2707</v>
      </c>
      <c r="CS67" s="243">
        <v>2840</v>
      </c>
      <c r="CT67" s="243">
        <v>4032</v>
      </c>
      <c r="CU67" s="243">
        <v>3178</v>
      </c>
      <c r="CV67" s="243">
        <v>3364</v>
      </c>
      <c r="CW67" s="243">
        <v>3422</v>
      </c>
      <c r="CX67" s="243">
        <v>4720</v>
      </c>
      <c r="CY67" s="243">
        <v>3462</v>
      </c>
      <c r="CZ67" s="243">
        <v>3554</v>
      </c>
      <c r="DA67" s="243">
        <v>3597</v>
      </c>
      <c r="DB67" s="243">
        <v>3681</v>
      </c>
      <c r="DC67" s="243">
        <v>3455</v>
      </c>
      <c r="DD67" s="243">
        <v>3829</v>
      </c>
      <c r="DE67" s="243">
        <v>3447</v>
      </c>
      <c r="DF67" s="243">
        <v>4425</v>
      </c>
      <c r="DG67" s="243">
        <v>3490</v>
      </c>
      <c r="DH67" s="243">
        <v>3440</v>
      </c>
      <c r="DI67" s="243"/>
      <c r="DJ67" s="243"/>
      <c r="DK67" s="243"/>
      <c r="DL67" s="243"/>
      <c r="DM67" s="243"/>
      <c r="DN67" s="243"/>
      <c r="DP67" s="235">
        <v>719</v>
      </c>
      <c r="DQ67" s="235">
        <v>834</v>
      </c>
      <c r="DR67" s="235">
        <v>980</v>
      </c>
      <c r="DS67" s="235">
        <v>1127</v>
      </c>
      <c r="DT67" s="235">
        <v>1182</v>
      </c>
      <c r="DU67" s="235">
        <v>1278</v>
      </c>
      <c r="DV67" s="235">
        <v>1634</v>
      </c>
      <c r="DW67" s="235">
        <v>1905</v>
      </c>
      <c r="DX67" s="235">
        <v>2140</v>
      </c>
      <c r="DY67" s="235">
        <v>2269</v>
      </c>
      <c r="DZ67" s="235">
        <v>2600</v>
      </c>
      <c r="EA67" s="235">
        <v>2926</v>
      </c>
      <c r="EB67" s="235">
        <v>3591</v>
      </c>
      <c r="EC67" s="235">
        <v>3957</v>
      </c>
      <c r="ED67" s="235">
        <v>4684</v>
      </c>
      <c r="EE67" s="235">
        <v>5203</v>
      </c>
      <c r="EF67" s="235">
        <v>6312</v>
      </c>
      <c r="EG67" s="235">
        <f>SUM(AM67:AP67)</f>
        <v>6960</v>
      </c>
      <c r="EH67" s="235">
        <f>SUM(AQ67:AT67)</f>
        <v>7680</v>
      </c>
      <c r="EI67" s="235">
        <f>SUM(AU67:AX67)</f>
        <v>7577</v>
      </c>
      <c r="EJ67" s="235">
        <f>SUM(AY67:BB67)</f>
        <v>6986</v>
      </c>
      <c r="EK67" s="235">
        <f>SUM(BC67:BF67)</f>
        <v>6844</v>
      </c>
      <c r="EL67" s="235">
        <f>SUM(BG67:BJ67)</f>
        <v>7548</v>
      </c>
      <c r="EM67" s="235">
        <f>SUM(BK67:BN67)</f>
        <v>7665</v>
      </c>
      <c r="EN67" s="235">
        <f>SUM(BO67:BR67)</f>
        <v>8183</v>
      </c>
      <c r="EO67" s="235">
        <v>3000</v>
      </c>
      <c r="EP67" s="235">
        <v>3000</v>
      </c>
      <c r="EQ67" s="235">
        <v>3000</v>
      </c>
      <c r="ER67" s="235"/>
      <c r="ES67" s="235">
        <f t="shared" si="325"/>
        <v>10775</v>
      </c>
      <c r="ET67" s="235">
        <f t="shared" si="326"/>
        <v>11355</v>
      </c>
      <c r="EU67" s="235">
        <f t="shared" si="327"/>
        <v>12159</v>
      </c>
      <c r="EV67" s="235">
        <f t="shared" si="343"/>
        <v>14684</v>
      </c>
      <c r="EW67" s="235">
        <f>SUM(CY67:DB67)</f>
        <v>14294</v>
      </c>
      <c r="EX67" s="235">
        <v>3000</v>
      </c>
      <c r="EY67" s="235">
        <v>3000</v>
      </c>
      <c r="EZ67" s="235">
        <v>3000</v>
      </c>
      <c r="FA67" s="235">
        <v>3000</v>
      </c>
      <c r="FB67" s="235">
        <v>3000</v>
      </c>
      <c r="FC67" s="235">
        <v>3000</v>
      </c>
      <c r="FD67" s="235">
        <v>3000</v>
      </c>
      <c r="FE67" s="235">
        <v>3000</v>
      </c>
      <c r="FF67" s="235">
        <v>3000</v>
      </c>
      <c r="FG67" s="235">
        <v>3000</v>
      </c>
      <c r="FH67" s="235">
        <v>3000</v>
      </c>
      <c r="FI67" s="235">
        <v>3000</v>
      </c>
      <c r="FJ67" s="235">
        <v>3000</v>
      </c>
    </row>
    <row r="68" spans="1:270" s="275" customFormat="1" ht="12.75" customHeight="1" x14ac:dyDescent="0.2">
      <c r="A68"/>
      <c r="B68" t="s">
        <v>521</v>
      </c>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35"/>
      <c r="AC68" s="235"/>
      <c r="AD68" s="235"/>
      <c r="AE68" s="235"/>
      <c r="AF68" s="243"/>
      <c r="AG68" s="243"/>
      <c r="AH68" s="243"/>
      <c r="AI68" s="243"/>
      <c r="AJ68" s="243"/>
      <c r="AK68" s="243"/>
      <c r="AL68" s="243"/>
      <c r="AM68" s="243"/>
      <c r="AN68" s="243"/>
      <c r="AO68" s="243"/>
      <c r="AP68" s="243"/>
      <c r="AQ68" s="243"/>
      <c r="AR68" s="243"/>
      <c r="AS68" s="243"/>
      <c r="AT68" s="243"/>
      <c r="AU68" s="243"/>
      <c r="AV68" s="243"/>
      <c r="AW68" s="243"/>
      <c r="AX68" s="243"/>
      <c r="AY68" s="243"/>
      <c r="AZ68" s="243"/>
      <c r="BA68" s="243"/>
      <c r="BB68" s="243"/>
      <c r="BC68" s="243"/>
      <c r="BD68" s="243"/>
      <c r="BE68" s="243"/>
      <c r="BF68" s="243"/>
      <c r="BG68" s="243"/>
      <c r="BH68" s="243"/>
      <c r="BI68" s="243"/>
      <c r="BJ68" s="243"/>
      <c r="BK68" s="243"/>
      <c r="BL68" s="243"/>
      <c r="BM68" s="243"/>
      <c r="BN68" s="243"/>
      <c r="BO68" s="243"/>
      <c r="BP68" s="243"/>
      <c r="BQ68" s="243"/>
      <c r="BR68" s="243"/>
      <c r="BS68" s="243">
        <f t="shared" ref="BS68" si="361">+BS66+BS67</f>
        <v>7014</v>
      </c>
      <c r="BT68" s="243">
        <f t="shared" ref="BT68" si="362">+BT66+BT67</f>
        <v>7486</v>
      </c>
      <c r="BU68" s="243">
        <f t="shared" ref="BU68" si="363">+BU66+BU67</f>
        <v>7491</v>
      </c>
      <c r="BV68" s="243">
        <f t="shared" ref="BV68" si="364">+BV66+BV67</f>
        <v>8457</v>
      </c>
      <c r="BW68" s="243">
        <f>+BW66+BW67</f>
        <v>6746</v>
      </c>
      <c r="BX68" s="243">
        <f t="shared" ref="BX68:BY68" si="365">+BX66+BX67</f>
        <v>7513</v>
      </c>
      <c r="BY68" s="243">
        <f t="shared" si="365"/>
        <v>7235</v>
      </c>
      <c r="BZ68" s="243">
        <f t="shared" ref="BZ68" si="366">+BZ66+BZ67</f>
        <v>8755</v>
      </c>
      <c r="CA68" s="243">
        <f t="shared" ref="CA68:CB68" si="367">+CA66+CA67</f>
        <v>6701</v>
      </c>
      <c r="CB68" s="243">
        <f t="shared" si="367"/>
        <v>7440</v>
      </c>
      <c r="CC68" s="243">
        <f t="shared" ref="CC68:CD68" si="368">+CC66+CC67</f>
        <v>6950</v>
      </c>
      <c r="CD68" s="243">
        <f t="shared" si="368"/>
        <v>7949</v>
      </c>
      <c r="CE68" s="243">
        <f t="shared" ref="CE68:CH68" si="369">+CE66+CE67</f>
        <v>6797</v>
      </c>
      <c r="CF68" s="243">
        <f t="shared" si="369"/>
        <v>7547</v>
      </c>
      <c r="CG68" s="243">
        <f t="shared" si="369"/>
        <v>7970</v>
      </c>
      <c r="CH68" s="243">
        <f t="shared" si="369"/>
        <v>9660</v>
      </c>
      <c r="CI68" s="243">
        <f>+CI66+CI67</f>
        <v>7667</v>
      </c>
      <c r="CJ68" s="243">
        <f>+CJ66+CJ67</f>
        <v>8382</v>
      </c>
      <c r="CK68" s="243">
        <f>+CK67+CK66</f>
        <v>6966</v>
      </c>
      <c r="CL68" s="243">
        <f>+CL67+CL66</f>
        <v>8142</v>
      </c>
      <c r="CM68" s="243">
        <f t="shared" ref="CM68" si="370">+CM67+CM66</f>
        <v>8077</v>
      </c>
      <c r="CN68" s="243">
        <f>+CN67+CN66</f>
        <v>8212</v>
      </c>
      <c r="CO68" s="243">
        <f>+CO67+CO66</f>
        <v>6835</v>
      </c>
      <c r="CP68" s="243">
        <f>+CP67+CP66</f>
        <v>8129</v>
      </c>
      <c r="CQ68" s="243">
        <f t="shared" ref="CQ68" si="371">+CQ67+CQ66</f>
        <v>7783</v>
      </c>
      <c r="CR68" s="243">
        <f t="shared" ref="CR68" si="372">+CR67+CR66</f>
        <v>7700</v>
      </c>
      <c r="CS68" s="243">
        <f t="shared" ref="CS68" si="373">+CS67+CS66</f>
        <v>8271</v>
      </c>
      <c r="CT68" s="243">
        <f t="shared" ref="CT68" si="374">+CT67+CT66</f>
        <v>10489</v>
      </c>
      <c r="CU68" s="243">
        <f t="shared" ref="CU68" si="375">+CU67+CU66</f>
        <v>8610</v>
      </c>
      <c r="CV68" s="243">
        <f t="shared" ref="CV68" si="376">+CV67+CV66</f>
        <v>9431</v>
      </c>
      <c r="CW68" s="243">
        <f t="shared" ref="CW68" si="377">+CW67+CW66</f>
        <v>9422</v>
      </c>
      <c r="CX68" s="243">
        <f t="shared" ref="CX68" si="378">+CX67+CX66</f>
        <v>11874</v>
      </c>
      <c r="CY68" s="243">
        <f>+CY67+CY66</f>
        <v>9400</v>
      </c>
      <c r="CZ68" s="243">
        <f>+CZ67+CZ66</f>
        <v>9774</v>
      </c>
      <c r="DA68" s="243">
        <f t="shared" ref="DA68:DG68" si="379">+DA67+DA66</f>
        <v>3597</v>
      </c>
      <c r="DB68" s="243">
        <f t="shared" si="379"/>
        <v>10141</v>
      </c>
      <c r="DC68" s="243">
        <f t="shared" si="379"/>
        <v>8361</v>
      </c>
      <c r="DD68" s="243">
        <f t="shared" si="379"/>
        <v>10494</v>
      </c>
      <c r="DE68" s="243">
        <f>+DE67+DE66</f>
        <v>8847</v>
      </c>
      <c r="DF68" s="243">
        <f t="shared" si="379"/>
        <v>10227</v>
      </c>
      <c r="DG68" s="243">
        <f t="shared" si="379"/>
        <v>8743</v>
      </c>
      <c r="DH68" s="243">
        <f t="shared" ref="DH68:DN68" si="380">+DH67+DH66</f>
        <v>9121</v>
      </c>
      <c r="DI68" s="243">
        <f t="shared" si="380"/>
        <v>0</v>
      </c>
      <c r="DJ68" s="243">
        <f t="shared" si="380"/>
        <v>0</v>
      </c>
      <c r="DK68" s="243">
        <f t="shared" si="380"/>
        <v>0</v>
      </c>
      <c r="DL68" s="243">
        <f t="shared" si="380"/>
        <v>0</v>
      </c>
      <c r="DM68" s="243">
        <f t="shared" si="380"/>
        <v>0</v>
      </c>
      <c r="DN68" s="243">
        <f t="shared" si="380"/>
        <v>0</v>
      </c>
      <c r="DP68" s="235"/>
      <c r="DQ68" s="235"/>
      <c r="DR68" s="235"/>
      <c r="DS68" s="235"/>
      <c r="DT68" s="235"/>
      <c r="DU68" s="235"/>
      <c r="DV68" s="235"/>
      <c r="DW68" s="235"/>
      <c r="DX68" s="235"/>
      <c r="DY68" s="235"/>
      <c r="DZ68" s="235"/>
      <c r="EA68" s="235"/>
      <c r="EB68" s="235"/>
      <c r="EC68" s="235"/>
      <c r="ED68" s="235"/>
      <c r="EE68" s="235"/>
      <c r="EF68" s="235"/>
      <c r="EG68" s="235"/>
      <c r="EH68" s="235"/>
      <c r="EI68" s="235"/>
      <c r="EJ68" s="235"/>
      <c r="EK68" s="235"/>
      <c r="EL68" s="235"/>
      <c r="EM68" s="235"/>
      <c r="EN68" s="235"/>
      <c r="EO68" s="235"/>
      <c r="EP68" s="235"/>
      <c r="EQ68" s="235"/>
      <c r="ER68" s="235"/>
      <c r="ES68" s="235">
        <f t="shared" ref="ES68:EV68" si="381">+ES67+ES66</f>
        <v>31157</v>
      </c>
      <c r="ET68" s="235">
        <f t="shared" si="381"/>
        <v>31253</v>
      </c>
      <c r="EU68" s="235">
        <f t="shared" si="381"/>
        <v>34243</v>
      </c>
      <c r="EV68" s="235">
        <f t="shared" si="381"/>
        <v>39337</v>
      </c>
      <c r="EW68" s="235">
        <f>+EW67+EW66</f>
        <v>32912</v>
      </c>
      <c r="EX68" s="235">
        <f t="shared" ref="EX68" si="382">+EX67+EX66</f>
        <v>28351.886300000006</v>
      </c>
      <c r="EY68" s="235">
        <f t="shared" ref="EY68" si="383">+EY67+EY66</f>
        <v>29165.307642500004</v>
      </c>
      <c r="EZ68" s="235">
        <f t="shared" ref="EZ68" si="384">+EZ67+EZ66</f>
        <v>25174.101023067502</v>
      </c>
      <c r="FA68" s="235">
        <f t="shared" ref="FA68" si="385">+FA67+FA66</f>
        <v>23425.06161870476</v>
      </c>
      <c r="FB68" s="235">
        <f t="shared" ref="FB68" si="386">+FB67+FB66</f>
        <v>23408.6779905412</v>
      </c>
      <c r="FC68" s="235">
        <f t="shared" ref="FC68" si="387">+FC67+FC66</f>
        <v>23845.250813629216</v>
      </c>
      <c r="FD68" s="235">
        <f t="shared" ref="FD68" si="388">+FD67+FD66</f>
        <v>23647.026016570071</v>
      </c>
      <c r="FE68" s="235">
        <f t="shared" ref="FE68:FJ68" si="389">+FE67+FE66</f>
        <v>23683.059664929075</v>
      </c>
      <c r="FF68" s="235">
        <f t="shared" si="389"/>
        <v>23857.315746088188</v>
      </c>
      <c r="FG68" s="235">
        <f t="shared" si="389"/>
        <v>24120.04341021963</v>
      </c>
      <c r="FH68" s="235">
        <f t="shared" si="389"/>
        <v>24445.042267762306</v>
      </c>
      <c r="FI68" s="235">
        <f t="shared" si="389"/>
        <v>24818.219933637705</v>
      </c>
      <c r="FJ68" s="235">
        <f t="shared" si="389"/>
        <v>25231.810712292787</v>
      </c>
    </row>
    <row r="69" spans="1:270" s="275" customFormat="1" ht="12.75" customHeight="1" x14ac:dyDescent="0.2">
      <c r="A69"/>
      <c r="B69" t="s">
        <v>340</v>
      </c>
      <c r="C69" s="235">
        <f t="shared" ref="C69:AH69" si="390">C65-C66-C67</f>
        <v>1327</v>
      </c>
      <c r="D69" s="235">
        <f t="shared" si="390"/>
        <v>1287</v>
      </c>
      <c r="E69" s="235">
        <f t="shared" si="390"/>
        <v>1171</v>
      </c>
      <c r="F69" s="235">
        <f t="shared" si="390"/>
        <v>837</v>
      </c>
      <c r="G69" s="235">
        <f t="shared" si="390"/>
        <v>1412</v>
      </c>
      <c r="H69" s="235">
        <f t="shared" si="390"/>
        <v>1334</v>
      </c>
      <c r="I69" s="235">
        <f t="shared" si="390"/>
        <v>1304</v>
      </c>
      <c r="J69" s="235">
        <f t="shared" si="390"/>
        <v>995</v>
      </c>
      <c r="K69" s="235">
        <f t="shared" si="390"/>
        <v>1661</v>
      </c>
      <c r="L69" s="235">
        <f t="shared" si="390"/>
        <v>1645</v>
      </c>
      <c r="M69" s="235">
        <f t="shared" si="390"/>
        <v>1542</v>
      </c>
      <c r="N69" s="235">
        <f t="shared" si="390"/>
        <v>1023</v>
      </c>
      <c r="O69" s="235">
        <f t="shared" si="390"/>
        <v>1832</v>
      </c>
      <c r="P69" s="235">
        <f t="shared" si="390"/>
        <v>1840</v>
      </c>
      <c r="Q69" s="235">
        <f t="shared" si="390"/>
        <v>1658</v>
      </c>
      <c r="R69" s="235">
        <f t="shared" si="390"/>
        <v>1147</v>
      </c>
      <c r="S69" s="235">
        <f t="shared" si="390"/>
        <v>2090</v>
      </c>
      <c r="T69" s="235">
        <f t="shared" si="390"/>
        <v>2176</v>
      </c>
      <c r="U69" s="235">
        <f t="shared" si="390"/>
        <v>2060</v>
      </c>
      <c r="V69" s="235">
        <f t="shared" si="390"/>
        <v>1530</v>
      </c>
      <c r="W69" s="235">
        <f t="shared" si="390"/>
        <v>2612</v>
      </c>
      <c r="X69" s="235">
        <f t="shared" si="390"/>
        <v>2542</v>
      </c>
      <c r="Y69" s="235">
        <f t="shared" si="390"/>
        <v>2510</v>
      </c>
      <c r="Z69" s="235">
        <f t="shared" si="390"/>
        <v>2014</v>
      </c>
      <c r="AA69" s="235">
        <f t="shared" si="390"/>
        <v>2911</v>
      </c>
      <c r="AB69" s="235">
        <f t="shared" si="390"/>
        <v>2888</v>
      </c>
      <c r="AC69" s="235">
        <f t="shared" si="390"/>
        <v>2869</v>
      </c>
      <c r="AD69" s="235">
        <f t="shared" si="390"/>
        <v>2338</v>
      </c>
      <c r="AE69" s="235">
        <f t="shared" si="390"/>
        <v>3882</v>
      </c>
      <c r="AF69" s="243">
        <f t="shared" si="390"/>
        <v>3837</v>
      </c>
      <c r="AG69" s="243">
        <f t="shared" si="390"/>
        <v>3314</v>
      </c>
      <c r="AH69" s="243">
        <f t="shared" si="390"/>
        <v>2664</v>
      </c>
      <c r="AI69" s="243">
        <f t="shared" ref="AI69:BA69" si="391">AI65-AI66-AI67</f>
        <v>3825</v>
      </c>
      <c r="AJ69" s="243">
        <f t="shared" si="391"/>
        <v>3559</v>
      </c>
      <c r="AK69" s="243">
        <f t="shared" si="391"/>
        <v>3256</v>
      </c>
      <c r="AL69" s="243">
        <f t="shared" si="391"/>
        <v>2313</v>
      </c>
      <c r="AM69" s="243">
        <f t="shared" si="391"/>
        <v>3753</v>
      </c>
      <c r="AN69" s="243">
        <f t="shared" si="391"/>
        <v>3561</v>
      </c>
      <c r="AO69" s="243">
        <f t="shared" si="391"/>
        <v>3627</v>
      </c>
      <c r="AP69" s="243">
        <f t="shared" si="391"/>
        <v>2933</v>
      </c>
      <c r="AQ69" s="243">
        <f>AQ65-AQ66-AQ67</f>
        <v>4248</v>
      </c>
      <c r="AR69" s="243">
        <f t="shared" si="391"/>
        <v>3889</v>
      </c>
      <c r="AS69" s="243">
        <f t="shared" si="391"/>
        <v>4000</v>
      </c>
      <c r="AT69" s="243">
        <f t="shared" si="391"/>
        <v>3174</v>
      </c>
      <c r="AU69" s="243">
        <f t="shared" si="391"/>
        <v>4745</v>
      </c>
      <c r="AV69" s="243">
        <f t="shared" si="391"/>
        <v>4296</v>
      </c>
      <c r="AW69" s="243">
        <f t="shared" si="391"/>
        <v>4091</v>
      </c>
      <c r="AX69" s="243">
        <f t="shared" si="391"/>
        <v>3037</v>
      </c>
      <c r="AY69" s="243">
        <f t="shared" si="391"/>
        <v>4649</v>
      </c>
      <c r="AZ69" s="243">
        <f t="shared" si="391"/>
        <v>4354</v>
      </c>
      <c r="BA69" s="243">
        <f t="shared" si="391"/>
        <v>4263</v>
      </c>
      <c r="BB69" s="243">
        <f t="shared" ref="BB69:BH69" si="392">BB65-BB66-BB67</f>
        <v>3510</v>
      </c>
      <c r="BC69" s="243">
        <f t="shared" si="392"/>
        <v>4767</v>
      </c>
      <c r="BD69" s="243">
        <f t="shared" si="392"/>
        <v>4355</v>
      </c>
      <c r="BE69" s="243">
        <f t="shared" si="392"/>
        <v>4022</v>
      </c>
      <c r="BF69" s="243">
        <f t="shared" si="392"/>
        <v>3442</v>
      </c>
      <c r="BG69" s="243">
        <f t="shared" si="392"/>
        <v>5394</v>
      </c>
      <c r="BH69" s="243">
        <f t="shared" si="392"/>
        <v>4328</v>
      </c>
      <c r="BI69" s="243">
        <f>BI65-BI66-BI67</f>
        <v>3920</v>
      </c>
      <c r="BJ69" s="243">
        <f t="shared" ref="BJ69:BN69" si="393">BJ65-BJ66-BJ67</f>
        <v>5870</v>
      </c>
      <c r="BK69" s="243">
        <f>BK65-BK66-BK67</f>
        <v>4564</v>
      </c>
      <c r="BL69" s="243">
        <f t="shared" si="393"/>
        <v>4752</v>
      </c>
      <c r="BM69" s="243">
        <f>BM65-BM66-BM67</f>
        <v>4443</v>
      </c>
      <c r="BN69" s="243">
        <f t="shared" si="393"/>
        <v>3796</v>
      </c>
      <c r="BO69" s="243">
        <f t="shared" ref="BO69:BQ69" si="394">BO65-BO66-BO67</f>
        <v>4987</v>
      </c>
      <c r="BP69" s="243">
        <f t="shared" si="394"/>
        <v>5497</v>
      </c>
      <c r="BQ69" s="243">
        <f t="shared" si="394"/>
        <v>4939</v>
      </c>
      <c r="BR69" s="243">
        <f>BR65-BR66-BR67</f>
        <v>4168</v>
      </c>
      <c r="BS69" s="243">
        <f>BS65-BS66-BS67</f>
        <v>5750</v>
      </c>
      <c r="BT69" s="243">
        <f t="shared" ref="BT69:BV69" si="395">BT65-BT66-BT67</f>
        <v>5970</v>
      </c>
      <c r="BU69" s="243">
        <f t="shared" ref="BU69" si="396">BU65-BU66-BU67</f>
        <v>5577</v>
      </c>
      <c r="BV69" s="243">
        <f t="shared" si="395"/>
        <v>3944</v>
      </c>
      <c r="BW69" s="243">
        <f>BW65-BW66-BW67</f>
        <v>5346</v>
      </c>
      <c r="BX69" s="243">
        <f t="shared" ref="BX69:BY69" si="397">+BX65-BX68</f>
        <v>4917</v>
      </c>
      <c r="BY69" s="243">
        <f t="shared" si="397"/>
        <v>4643</v>
      </c>
      <c r="BZ69" s="243">
        <f t="shared" ref="BZ69" si="398">+BZ65-BZ68</f>
        <v>3383</v>
      </c>
      <c r="CA69" s="243">
        <f t="shared" ref="CA69:CB69" si="399">+CA65-CA68</f>
        <v>5452</v>
      </c>
      <c r="CB69" s="243">
        <f t="shared" si="399"/>
        <v>5706</v>
      </c>
      <c r="CC69" s="243">
        <f t="shared" ref="CC69:CD69" si="400">+CC65-CC68</f>
        <v>5384</v>
      </c>
      <c r="CD69" s="243">
        <f t="shared" si="400"/>
        <v>4623</v>
      </c>
      <c r="CE69" s="243">
        <f t="shared" ref="CE69:CH69" si="401">+CE65-CE68</f>
        <v>5583</v>
      </c>
      <c r="CF69" s="243">
        <f t="shared" si="401"/>
        <v>5469</v>
      </c>
      <c r="CG69" s="243">
        <f t="shared" si="401"/>
        <v>4778</v>
      </c>
      <c r="CH69" s="243">
        <f t="shared" si="401"/>
        <v>4576</v>
      </c>
      <c r="CI69" s="243">
        <f>+CI65-CI68</f>
        <v>5728</v>
      </c>
      <c r="CJ69" s="243">
        <f>+CJ65-CJ68</f>
        <v>5521</v>
      </c>
      <c r="CK69" s="243">
        <f>+CK65-CK68</f>
        <v>6793</v>
      </c>
      <c r="CL69" s="243">
        <f>+CL65-CL68</f>
        <v>5291</v>
      </c>
      <c r="CM69" s="243">
        <f t="shared" ref="CM69" si="402">+CM65-CM68</f>
        <v>5329</v>
      </c>
      <c r="CN69" s="243">
        <f>+CN65-CN68</f>
        <v>5412</v>
      </c>
      <c r="CO69" s="243">
        <f>+CO65-CO68</f>
        <v>7026</v>
      </c>
      <c r="CP69" s="243">
        <f>+CP65-CP68</f>
        <v>5481</v>
      </c>
      <c r="CQ69" s="243">
        <f t="shared" ref="CQ69" si="403">+CQ65-CQ68</f>
        <v>5845</v>
      </c>
      <c r="CR69" s="243">
        <f t="shared" ref="CR69" si="404">+CR65-CR68</f>
        <v>4059</v>
      </c>
      <c r="CS69" s="243">
        <f t="shared" ref="CS69" si="405">+CS65-CS68</f>
        <v>5839</v>
      </c>
      <c r="CT69" s="243">
        <f t="shared" ref="CT69" si="406">+CT65-CT68</f>
        <v>4173</v>
      </c>
      <c r="CU69" s="243">
        <f t="shared" ref="CU69" si="407">+CU65-CU68</f>
        <v>6648</v>
      </c>
      <c r="CV69" s="243">
        <f t="shared" ref="CV69" si="408">+CV65-CV68</f>
        <v>7665</v>
      </c>
      <c r="CW69" s="243">
        <f t="shared" ref="CW69" si="409">+CW65-CW68</f>
        <v>6663</v>
      </c>
      <c r="CX69" s="243">
        <f t="shared" ref="CX69" si="410">+CX65-CX68</f>
        <v>5049</v>
      </c>
      <c r="CY69" s="243">
        <f>+CY65-CY68</f>
        <v>6526</v>
      </c>
      <c r="CZ69" s="243">
        <f>+CZ65-CZ68</f>
        <v>7755</v>
      </c>
      <c r="DA69" s="243">
        <f t="shared" ref="DA69:DG69" si="411">+DA65-DA68</f>
        <v>12543</v>
      </c>
      <c r="DB69" s="243">
        <f t="shared" si="411"/>
        <v>7266</v>
      </c>
      <c r="DC69" s="243">
        <f t="shared" si="411"/>
        <v>5846</v>
      </c>
      <c r="DD69" s="243">
        <f t="shared" si="411"/>
        <v>6918</v>
      </c>
      <c r="DE69" s="243">
        <f>+DE65-DE68</f>
        <v>5896</v>
      </c>
      <c r="DF69" s="243">
        <f t="shared" si="411"/>
        <v>5639</v>
      </c>
      <c r="DG69" s="243">
        <f t="shared" si="411"/>
        <v>7235</v>
      </c>
      <c r="DH69" s="243">
        <f t="shared" ref="DH69:DN69" si="412">+DH65-DH68</f>
        <v>6463</v>
      </c>
      <c r="DI69" s="243">
        <f t="shared" si="412"/>
        <v>16849.5</v>
      </c>
      <c r="DJ69" s="243">
        <f t="shared" si="412"/>
        <v>16588.23</v>
      </c>
      <c r="DK69" s="243">
        <f t="shared" si="412"/>
        <v>16239.8025</v>
      </c>
      <c r="DL69" s="243">
        <f t="shared" si="412"/>
        <v>16506.239999999998</v>
      </c>
      <c r="DM69" s="243">
        <f t="shared" si="412"/>
        <v>16508.778750000001</v>
      </c>
      <c r="DN69" s="243">
        <f t="shared" si="412"/>
        <v>16371.851025000002</v>
      </c>
      <c r="DP69" s="235">
        <f t="shared" ref="DP69:EQ69" si="413">DP65-DP66-DP67</f>
        <v>1661</v>
      </c>
      <c r="DQ69" s="235">
        <f t="shared" si="413"/>
        <v>1992</v>
      </c>
      <c r="DR69" s="235">
        <f t="shared" si="413"/>
        <v>2164</v>
      </c>
      <c r="DS69" s="235">
        <f t="shared" si="413"/>
        <v>2277</v>
      </c>
      <c r="DT69" s="235">
        <f t="shared" si="413"/>
        <v>2394</v>
      </c>
      <c r="DU69" s="235">
        <f t="shared" si="413"/>
        <v>2807</v>
      </c>
      <c r="DV69" s="235">
        <f t="shared" si="413"/>
        <v>3511</v>
      </c>
      <c r="DW69" s="235">
        <f t="shared" si="413"/>
        <v>4303</v>
      </c>
      <c r="DX69" s="235">
        <f t="shared" si="413"/>
        <v>4622</v>
      </c>
      <c r="DY69" s="235">
        <f t="shared" si="413"/>
        <v>5045</v>
      </c>
      <c r="DZ69" s="235">
        <f t="shared" si="413"/>
        <v>5926</v>
      </c>
      <c r="EA69" s="235">
        <f t="shared" si="413"/>
        <v>6477</v>
      </c>
      <c r="EB69" s="235">
        <f t="shared" si="413"/>
        <v>7885</v>
      </c>
      <c r="EC69" s="235">
        <f t="shared" si="413"/>
        <v>10291.900000000001</v>
      </c>
      <c r="ED69" s="235">
        <f t="shared" si="413"/>
        <v>11374.400000000001</v>
      </c>
      <c r="EE69" s="235">
        <f t="shared" si="413"/>
        <v>13632</v>
      </c>
      <c r="EF69" s="235">
        <f t="shared" si="413"/>
        <v>12355</v>
      </c>
      <c r="EG69" s="235">
        <f t="shared" si="413"/>
        <v>13874</v>
      </c>
      <c r="EH69" s="235">
        <f>EH65-EH66-EH67</f>
        <v>15213</v>
      </c>
      <c r="EI69" s="235">
        <f>EI65-EI66-EI67</f>
        <v>16169</v>
      </c>
      <c r="EJ69" s="235">
        <f>EJ65-EJ66-EJ67</f>
        <v>16776</v>
      </c>
      <c r="EK69" s="235">
        <f>EK65-EK66-EK67</f>
        <v>16395</v>
      </c>
      <c r="EL69" s="235">
        <f t="shared" si="413"/>
        <v>19512</v>
      </c>
      <c r="EM69" s="235">
        <f t="shared" si="413"/>
        <v>17555</v>
      </c>
      <c r="EN69" s="235">
        <f t="shared" si="413"/>
        <v>19332</v>
      </c>
      <c r="EO69" s="235">
        <f t="shared" si="413"/>
        <v>24089.072999999993</v>
      </c>
      <c r="EP69" s="235">
        <f t="shared" si="413"/>
        <v>49489.613259749996</v>
      </c>
      <c r="EQ69" s="235">
        <f t="shared" si="413"/>
        <v>45613.910215721247</v>
      </c>
      <c r="ER69" s="235">
        <f t="shared" ref="ER69:EU69" si="414">ER65-ER66-ER67</f>
        <v>0.12626999999999999</v>
      </c>
      <c r="ES69" s="235">
        <f t="shared" si="414"/>
        <v>23333.018299999996</v>
      </c>
      <c r="ET69" s="235">
        <f t="shared" si="414"/>
        <v>23248.001829999994</v>
      </c>
      <c r="EU69" s="235">
        <f t="shared" si="414"/>
        <v>19916</v>
      </c>
      <c r="EV69" s="235">
        <f>+EV65-EV68</f>
        <v>26249</v>
      </c>
      <c r="EW69" s="235">
        <f>+EW65-EW68</f>
        <v>33984</v>
      </c>
      <c r="EX69" s="235">
        <f t="shared" ref="EX69:FE69" si="415">+EX65-EX68</f>
        <v>38928.119650000001</v>
      </c>
      <c r="EY69" s="235">
        <f t="shared" si="415"/>
        <v>40273.393408749995</v>
      </c>
      <c r="EZ69" s="235">
        <f t="shared" si="415"/>
        <v>33672.551691996247</v>
      </c>
      <c r="FA69" s="235">
        <f t="shared" si="415"/>
        <v>30779.90960016556</v>
      </c>
      <c r="FB69" s="235">
        <f t="shared" si="415"/>
        <v>30752.813599741214</v>
      </c>
      <c r="FC69" s="235">
        <f t="shared" si="415"/>
        <v>31474.837884079076</v>
      </c>
      <c r="FD69" s="235">
        <f t="shared" si="415"/>
        <v>31147.004565865882</v>
      </c>
      <c r="FE69" s="235">
        <f t="shared" si="415"/>
        <v>31206.598676613459</v>
      </c>
      <c r="FF69" s="235">
        <f t="shared" ref="FF69:FJ69" si="416">+FF65-FF68</f>
        <v>31494.79142622276</v>
      </c>
      <c r="FG69" s="235">
        <f t="shared" si="416"/>
        <v>31929.302563055535</v>
      </c>
      <c r="FH69" s="235">
        <f t="shared" si="416"/>
        <v>32466.800673606886</v>
      </c>
      <c r="FI69" s="235">
        <f t="shared" si="416"/>
        <v>33083.979121016208</v>
      </c>
      <c r="FJ69" s="235">
        <f t="shared" si="416"/>
        <v>33767.994639561133</v>
      </c>
    </row>
    <row r="70" spans="1:270" s="275" customFormat="1" ht="12.75" customHeight="1" x14ac:dyDescent="0.2">
      <c r="A70"/>
      <c r="B70" t="s">
        <v>341</v>
      </c>
      <c r="C70" s="235">
        <v>36</v>
      </c>
      <c r="D70" s="235">
        <v>57</v>
      </c>
      <c r="E70" s="235">
        <v>58</v>
      </c>
      <c r="F70" s="235">
        <v>36</v>
      </c>
      <c r="G70" s="235">
        <v>61</v>
      </c>
      <c r="H70" s="235">
        <v>64</v>
      </c>
      <c r="I70" s="235">
        <v>67</v>
      </c>
      <c r="J70" s="235">
        <v>40</v>
      </c>
      <c r="K70" s="235">
        <v>52</v>
      </c>
      <c r="L70" s="235">
        <v>51</v>
      </c>
      <c r="M70" s="235">
        <v>61</v>
      </c>
      <c r="N70" s="235">
        <v>32</v>
      </c>
      <c r="O70" s="235">
        <v>77</v>
      </c>
      <c r="P70" s="235">
        <v>81</v>
      </c>
      <c r="Q70" s="235">
        <v>106</v>
      </c>
      <c r="R70" s="235">
        <v>84</v>
      </c>
      <c r="S70" s="235">
        <v>105</v>
      </c>
      <c r="T70" s="235">
        <v>120</v>
      </c>
      <c r="U70" s="235">
        <v>106</v>
      </c>
      <c r="V70" s="235">
        <v>74</v>
      </c>
      <c r="W70" s="235">
        <v>76</v>
      </c>
      <c r="X70" s="235">
        <v>189</v>
      </c>
      <c r="Y70" s="235">
        <v>51</v>
      </c>
      <c r="Z70" s="235">
        <v>12</v>
      </c>
      <c r="AA70" s="235">
        <v>38</v>
      </c>
      <c r="AB70" s="235">
        <v>43</v>
      </c>
      <c r="AC70" s="235">
        <v>63</v>
      </c>
      <c r="AD70" s="235">
        <v>-11</v>
      </c>
      <c r="AE70" s="235">
        <v>-6</v>
      </c>
      <c r="AF70" s="243">
        <v>-17</v>
      </c>
      <c r="AG70" s="243">
        <v>19</v>
      </c>
      <c r="AH70" s="243">
        <v>12</v>
      </c>
      <c r="AI70" s="243">
        <v>69</v>
      </c>
      <c r="AJ70" s="243">
        <v>94</v>
      </c>
      <c r="AK70" s="243">
        <v>101</v>
      </c>
      <c r="AL70" s="243">
        <v>169</v>
      </c>
      <c r="AM70" s="243">
        <v>181</v>
      </c>
      <c r="AN70" s="243">
        <v>196</v>
      </c>
      <c r="AO70" s="243">
        <v>194</v>
      </c>
      <c r="AP70" s="243">
        <v>195</v>
      </c>
      <c r="AQ70" s="243">
        <v>33</v>
      </c>
      <c r="AR70" s="243">
        <f>36+117</f>
        <v>153</v>
      </c>
      <c r="AS70" s="243">
        <v>54</v>
      </c>
      <c r="AT70" s="243">
        <v>35</v>
      </c>
      <c r="AU70" s="243">
        <v>-16</v>
      </c>
      <c r="AV70" s="243">
        <v>135</v>
      </c>
      <c r="AW70" s="243">
        <v>224</v>
      </c>
      <c r="AX70" s="243">
        <v>-17</v>
      </c>
      <c r="AY70" s="243">
        <v>-81</v>
      </c>
      <c r="AZ70" s="243">
        <v>-85</v>
      </c>
      <c r="BA70" s="243">
        <v>-114</v>
      </c>
      <c r="BB70" s="243">
        <v>-81</v>
      </c>
      <c r="BC70" s="243">
        <v>-81</v>
      </c>
      <c r="BD70" s="243">
        <v>-58</v>
      </c>
      <c r="BE70" s="243">
        <v>-95</v>
      </c>
      <c r="BF70" s="243">
        <v>-114</v>
      </c>
      <c r="BG70" s="243">
        <f>13-104</f>
        <v>-91</v>
      </c>
      <c r="BH70" s="243">
        <f>-111-206</f>
        <v>-317</v>
      </c>
      <c r="BI70" s="243">
        <f>308-117</f>
        <v>191</v>
      </c>
      <c r="BJ70" s="243">
        <f>-148-2858+1134+1522+412+277+14</f>
        <v>353</v>
      </c>
      <c r="BK70" s="243">
        <f>-130+611</f>
        <v>481</v>
      </c>
      <c r="BL70" s="243">
        <v>-129</v>
      </c>
      <c r="BM70" s="243">
        <f>-120+90</f>
        <v>-30</v>
      </c>
      <c r="BN70" s="243"/>
      <c r="BO70" s="243"/>
      <c r="BP70" s="243"/>
      <c r="BQ70" s="243"/>
      <c r="BR70" s="243"/>
      <c r="BS70" s="243">
        <f>-118+86</f>
        <v>-32</v>
      </c>
      <c r="BT70" s="243">
        <f>114+226-276-144</f>
        <v>-80</v>
      </c>
      <c r="BU70" s="243">
        <v>-112</v>
      </c>
      <c r="BV70" s="243">
        <v>-122</v>
      </c>
      <c r="BW70" s="243">
        <v>-119</v>
      </c>
      <c r="BX70" s="243">
        <v>-107</v>
      </c>
      <c r="BY70" s="243">
        <v>-91</v>
      </c>
      <c r="BZ70" s="243">
        <v>-107</v>
      </c>
      <c r="CA70" s="243">
        <f>-77+39</f>
        <v>-38</v>
      </c>
      <c r="CB70" s="243">
        <v>-102</v>
      </c>
      <c r="CC70" s="243">
        <f>-95+54</f>
        <v>-41</v>
      </c>
      <c r="CD70" s="243">
        <f>-84-20</f>
        <v>-104</v>
      </c>
      <c r="CE70" s="243">
        <f>-83+160</f>
        <v>77</v>
      </c>
      <c r="CF70" s="243">
        <v>-122</v>
      </c>
      <c r="CG70" s="243">
        <f>-155+236</f>
        <v>81</v>
      </c>
      <c r="CH70" s="243">
        <f>189+9</f>
        <v>198</v>
      </c>
      <c r="CI70" s="243">
        <f>-145-60</f>
        <v>-205</v>
      </c>
      <c r="CJ70" s="243">
        <v>-127</v>
      </c>
      <c r="CK70" s="243">
        <f>-68-3-184</f>
        <v>-255</v>
      </c>
      <c r="CL70" s="243">
        <f>-54-978+1288</f>
        <v>256</v>
      </c>
      <c r="CM70" s="243">
        <f>-3+22</f>
        <v>19</v>
      </c>
      <c r="CN70" s="243">
        <v>5</v>
      </c>
      <c r="CO70" s="243">
        <f>41-214</f>
        <v>-173</v>
      </c>
      <c r="CP70" s="243">
        <f>-4-16</f>
        <v>-20</v>
      </c>
      <c r="CQ70" s="243">
        <v>-42</v>
      </c>
      <c r="CR70" s="243">
        <f>-26-24</f>
        <v>-50</v>
      </c>
      <c r="CS70" s="243">
        <v>-32</v>
      </c>
      <c r="CT70" s="243">
        <v>-74</v>
      </c>
      <c r="CU70" s="243">
        <f>-48+882</f>
        <v>834</v>
      </c>
      <c r="CV70" s="243">
        <f>-28+268</f>
        <v>240</v>
      </c>
      <c r="CW70" s="243">
        <v>-7</v>
      </c>
      <c r="CX70" s="243">
        <f>-47-9</f>
        <v>-56</v>
      </c>
      <c r="CY70" s="243">
        <f>12+102</f>
        <v>114</v>
      </c>
      <c r="CZ70" s="243">
        <f>26+499</f>
        <v>525</v>
      </c>
      <c r="DA70" s="243">
        <v>0</v>
      </c>
      <c r="DB70" s="243">
        <f>248+77</f>
        <v>325</v>
      </c>
      <c r="DC70" s="243">
        <v>-14</v>
      </c>
      <c r="DD70" s="243">
        <f>23+60</f>
        <v>83</v>
      </c>
      <c r="DE70" s="243">
        <f>182-499</f>
        <v>-317</v>
      </c>
      <c r="DF70" s="243">
        <f>387+421</f>
        <v>808</v>
      </c>
      <c r="DG70" s="243">
        <f>209+432</f>
        <v>641</v>
      </c>
      <c r="DH70" s="243">
        <f>395-270-653</f>
        <v>-528</v>
      </c>
      <c r="DI70" s="243"/>
      <c r="DJ70" s="243"/>
      <c r="DK70" s="243"/>
      <c r="DL70" s="243"/>
      <c r="DM70" s="243"/>
      <c r="DN70" s="243"/>
      <c r="DP70" s="235">
        <f>-87+141+93</f>
        <v>147</v>
      </c>
      <c r="DQ70" s="235">
        <f>-98+201+162</f>
        <v>265</v>
      </c>
      <c r="DR70" s="235">
        <f>-88+129+85</f>
        <v>126</v>
      </c>
      <c r="DS70" s="235">
        <f>-93+124+39</f>
        <v>70</v>
      </c>
      <c r="DT70" s="235">
        <f>-80+126+16</f>
        <v>62</v>
      </c>
      <c r="DU70" s="235">
        <f>-60+142+44</f>
        <v>126</v>
      </c>
      <c r="DV70" s="235">
        <v>115</v>
      </c>
      <c r="DW70" s="235">
        <v>139</v>
      </c>
      <c r="DX70" s="235">
        <v>203</v>
      </c>
      <c r="DY70" s="235">
        <v>262</v>
      </c>
      <c r="DZ70" s="235">
        <v>246</v>
      </c>
      <c r="EA70" s="235">
        <v>379</v>
      </c>
      <c r="EB70" s="235">
        <v>456</v>
      </c>
      <c r="EC70" s="235">
        <v>256</v>
      </c>
      <c r="ED70" s="235">
        <v>177</v>
      </c>
      <c r="EE70" s="235">
        <v>195</v>
      </c>
      <c r="EF70" s="235">
        <v>487</v>
      </c>
      <c r="EG70" s="235">
        <v>766</v>
      </c>
      <c r="EH70" s="235">
        <f>SUM(AQ70:AT70)</f>
        <v>275</v>
      </c>
      <c r="EI70" s="235">
        <f>SUM(AU70:AX70)</f>
        <v>326</v>
      </c>
      <c r="EJ70" s="235">
        <f>EI148*0.05</f>
        <v>2.5</v>
      </c>
      <c r="EK70" s="235">
        <f>SUM(BC70:BF70)</f>
        <v>-348</v>
      </c>
      <c r="EL70" s="235">
        <f>SUM(BG70:BJ70)</f>
        <v>136</v>
      </c>
      <c r="EM70" s="235"/>
      <c r="EN70" s="235"/>
      <c r="EO70" s="235">
        <f>EN148*$FN$76</f>
        <v>0</v>
      </c>
      <c r="EP70" s="235">
        <f>EO148*$FN$76</f>
        <v>0</v>
      </c>
      <c r="EQ70" s="235">
        <f>EP148*$FN$76</f>
        <v>0</v>
      </c>
      <c r="ER70" s="235">
        <f t="shared" ref="ER70" si="417">EQ148*$FN$76</f>
        <v>0</v>
      </c>
      <c r="ES70" s="235">
        <f t="shared" ref="ES70" si="418">SUM(CI70:CL70)</f>
        <v>-331</v>
      </c>
      <c r="ET70" s="235">
        <f t="shared" si="326"/>
        <v>-169</v>
      </c>
      <c r="EU70" s="235">
        <f t="shared" ref="EU70" si="419">SUM(CQ70:CT70)</f>
        <v>-198</v>
      </c>
      <c r="EV70" s="235">
        <f t="shared" ref="EV70" si="420">SUM(CU70:CX70)</f>
        <v>1011</v>
      </c>
      <c r="EW70" s="235">
        <f>SUM(CY70:DB70)</f>
        <v>964</v>
      </c>
      <c r="EX70" s="235">
        <f t="shared" ref="EX70" si="421">EW148*$FN$76</f>
        <v>0</v>
      </c>
      <c r="EY70" s="235">
        <f t="shared" ref="EY70" si="422">EX148*$FN$76</f>
        <v>0</v>
      </c>
      <c r="EZ70" s="235">
        <f>EY148*$FN$76</f>
        <v>0</v>
      </c>
      <c r="FA70" s="235">
        <f t="shared" ref="FA70" si="423">EZ148*$FN$76</f>
        <v>0</v>
      </c>
      <c r="FB70" s="235">
        <f t="shared" ref="FB70" si="424">FA148*$FN$76</f>
        <v>0</v>
      </c>
      <c r="FC70" s="235">
        <f t="shared" ref="FC70" si="425">FB148*$FN$76</f>
        <v>0</v>
      </c>
      <c r="FD70" s="235">
        <f t="shared" ref="FD70" si="426">FC148*$FN$76</f>
        <v>0</v>
      </c>
      <c r="FE70" s="235">
        <f t="shared" ref="FE70" si="427">FD148*$FN$76</f>
        <v>0</v>
      </c>
      <c r="FF70" s="235">
        <f t="shared" ref="FF70" si="428">FE148*$FN$76</f>
        <v>0</v>
      </c>
      <c r="FG70" s="235">
        <f t="shared" ref="FG70" si="429">FF148*$FN$76</f>
        <v>0</v>
      </c>
      <c r="FH70" s="235">
        <f t="shared" ref="FH70" si="430">FG148*$FN$76</f>
        <v>0</v>
      </c>
      <c r="FI70" s="235">
        <f t="shared" ref="FI70" si="431">FH148*$FN$76</f>
        <v>0</v>
      </c>
      <c r="FJ70" s="235">
        <f t="shared" ref="FJ70" si="432">FI148*$FN$76</f>
        <v>0</v>
      </c>
    </row>
    <row r="71" spans="1:270" s="275" customFormat="1" ht="12.75" customHeight="1" x14ac:dyDescent="0.2">
      <c r="A71"/>
      <c r="B71" t="s">
        <v>342</v>
      </c>
      <c r="C71" s="235">
        <f>33+28</f>
        <v>61</v>
      </c>
      <c r="D71" s="235">
        <f>35+15</f>
        <v>50</v>
      </c>
      <c r="E71" s="235">
        <f>36-4</f>
        <v>32</v>
      </c>
      <c r="F71" s="235">
        <v>90</v>
      </c>
      <c r="G71" s="235">
        <f>28+11</f>
        <v>39</v>
      </c>
      <c r="H71" s="235">
        <f>26+1</f>
        <v>27</v>
      </c>
      <c r="I71" s="235">
        <f>26+28</f>
        <v>54</v>
      </c>
      <c r="J71" s="235">
        <v>111</v>
      </c>
      <c r="K71" s="235">
        <f>49+59</f>
        <v>108</v>
      </c>
      <c r="L71" s="235">
        <f>48+34</f>
        <v>82</v>
      </c>
      <c r="M71" s="235">
        <f>42+50</f>
        <v>92</v>
      </c>
      <c r="N71" s="235">
        <v>84</v>
      </c>
      <c r="O71" s="235">
        <f>46-29</f>
        <v>17</v>
      </c>
      <c r="P71" s="235">
        <f>38+17</f>
        <v>55</v>
      </c>
      <c r="Q71" s="235">
        <f>31-13</f>
        <v>18</v>
      </c>
      <c r="R71" s="235">
        <v>59</v>
      </c>
      <c r="S71" s="235">
        <f>19+36</f>
        <v>55</v>
      </c>
      <c r="T71" s="235">
        <f>50+117</f>
        <v>167</v>
      </c>
      <c r="U71" s="235">
        <f>39+19</f>
        <v>58</v>
      </c>
      <c r="V71" s="235">
        <v>55</v>
      </c>
      <c r="W71" s="235">
        <f>34+33</f>
        <v>67</v>
      </c>
      <c r="X71" s="235">
        <f>44-45</f>
        <v>-1</v>
      </c>
      <c r="Y71" s="235">
        <f>39+129</f>
        <v>168</v>
      </c>
      <c r="Z71" s="235">
        <v>177</v>
      </c>
      <c r="AA71" s="235">
        <f>38-37</f>
        <v>1</v>
      </c>
      <c r="AB71" s="235">
        <f>50-75</f>
        <v>-25</v>
      </c>
      <c r="AC71" s="235">
        <f>75-91</f>
        <v>-16</v>
      </c>
      <c r="AD71" s="235">
        <v>-182</v>
      </c>
      <c r="AE71" s="235">
        <v>-53</v>
      </c>
      <c r="AF71" s="243">
        <v>-23</v>
      </c>
      <c r="AG71" s="243">
        <f>41</f>
        <v>41</v>
      </c>
      <c r="AH71" s="243">
        <v>51</v>
      </c>
      <c r="AI71" s="243">
        <v>-33</v>
      </c>
      <c r="AJ71" s="243">
        <v>-88</v>
      </c>
      <c r="AK71" s="243">
        <v>-63</v>
      </c>
      <c r="AL71" s="243">
        <v>-30</v>
      </c>
      <c r="AM71" s="243">
        <v>-718</v>
      </c>
      <c r="AN71" s="243">
        <v>-98</v>
      </c>
      <c r="AO71" s="243">
        <v>45</v>
      </c>
      <c r="AP71" s="243">
        <v>100</v>
      </c>
      <c r="AQ71" s="243">
        <v>-228</v>
      </c>
      <c r="AR71" s="243">
        <v>0</v>
      </c>
      <c r="AS71" s="243">
        <f>AR71</f>
        <v>0</v>
      </c>
      <c r="AT71" s="243">
        <f>AS71</f>
        <v>0</v>
      </c>
      <c r="AU71" s="243">
        <v>-18</v>
      </c>
      <c r="AV71" s="243">
        <v>16</v>
      </c>
      <c r="AW71" s="243">
        <v>25</v>
      </c>
      <c r="AX71" s="243">
        <f>-638+379</f>
        <v>-259</v>
      </c>
      <c r="AY71" s="243">
        <v>-75</v>
      </c>
      <c r="AZ71" s="243">
        <v>6</v>
      </c>
      <c r="BA71" s="243">
        <v>-96</v>
      </c>
      <c r="BB71" s="243">
        <f>-361</f>
        <v>-361</v>
      </c>
      <c r="BC71" s="243">
        <f>-1594+1497</f>
        <v>-97</v>
      </c>
      <c r="BD71" s="243">
        <v>18</v>
      </c>
      <c r="BE71" s="243">
        <v>-292</v>
      </c>
      <c r="BF71" s="243">
        <f>1100-569-374-280</f>
        <v>-123</v>
      </c>
      <c r="BG71" s="243">
        <v>0</v>
      </c>
      <c r="BH71" s="243">
        <v>0</v>
      </c>
      <c r="BI71" s="243">
        <v>0</v>
      </c>
      <c r="BJ71" s="243">
        <v>0</v>
      </c>
      <c r="BK71" s="243">
        <v>0</v>
      </c>
      <c r="BL71" s="243">
        <v>0</v>
      </c>
      <c r="BM71" s="243">
        <v>0</v>
      </c>
      <c r="BN71" s="243">
        <f>89+319</f>
        <v>408</v>
      </c>
      <c r="BO71" s="243">
        <f>104+515</f>
        <v>619</v>
      </c>
      <c r="BP71" s="243">
        <v>69</v>
      </c>
      <c r="BQ71" s="243">
        <v>44</v>
      </c>
      <c r="BR71" s="243">
        <v>163</v>
      </c>
      <c r="BS71" s="243"/>
      <c r="BT71" s="243"/>
      <c r="BU71" s="243"/>
      <c r="BV71" s="243"/>
      <c r="BW71" s="243"/>
      <c r="BX71" s="243"/>
      <c r="BY71" s="243"/>
      <c r="BZ71" s="243"/>
      <c r="CA71" s="243"/>
      <c r="CB71" s="243"/>
      <c r="CC71" s="243"/>
      <c r="CD71" s="243"/>
      <c r="CE71" s="243"/>
      <c r="CF71" s="243"/>
      <c r="CG71" s="243"/>
      <c r="CH71" s="243"/>
      <c r="CI71" s="243"/>
      <c r="CJ71" s="243"/>
      <c r="CK71" s="243">
        <v>0</v>
      </c>
      <c r="CL71" s="243">
        <v>0</v>
      </c>
      <c r="CM71" s="243">
        <v>0</v>
      </c>
      <c r="CN71" s="243">
        <v>0</v>
      </c>
      <c r="CO71" s="243">
        <v>0</v>
      </c>
      <c r="CP71" s="243">
        <v>0</v>
      </c>
      <c r="CQ71" s="243">
        <v>0</v>
      </c>
      <c r="CR71" s="243">
        <v>0</v>
      </c>
      <c r="CS71" s="243">
        <v>0</v>
      </c>
      <c r="CT71" s="243">
        <v>0</v>
      </c>
      <c r="CU71" s="243">
        <v>0</v>
      </c>
      <c r="CV71" s="243">
        <v>0</v>
      </c>
      <c r="CW71" s="243">
        <v>0</v>
      </c>
      <c r="CX71" s="243">
        <v>0</v>
      </c>
      <c r="CY71" s="243">
        <v>0</v>
      </c>
      <c r="CZ71" s="243">
        <v>0</v>
      </c>
      <c r="DA71" s="243">
        <v>0</v>
      </c>
      <c r="DB71" s="243">
        <v>0</v>
      </c>
      <c r="DC71" s="243">
        <v>0</v>
      </c>
      <c r="DD71" s="243">
        <v>0</v>
      </c>
      <c r="DE71" s="243">
        <v>0</v>
      </c>
      <c r="DF71" s="243">
        <v>0</v>
      </c>
      <c r="DG71" s="243"/>
      <c r="DH71" s="243"/>
      <c r="DI71" s="243"/>
      <c r="DJ71" s="243"/>
      <c r="DK71" s="243"/>
      <c r="DL71" s="243"/>
      <c r="DM71" s="243"/>
      <c r="DN71" s="243"/>
      <c r="DP71" s="235"/>
      <c r="DQ71" s="235"/>
      <c r="DR71" s="235"/>
      <c r="DS71" s="235"/>
      <c r="DT71" s="235"/>
      <c r="DU71" s="235"/>
      <c r="DV71" s="235">
        <f>143+166</f>
        <v>309</v>
      </c>
      <c r="DW71" s="235">
        <f>125+284</f>
        <v>409</v>
      </c>
      <c r="DX71" s="235">
        <f>120+129</f>
        <v>249</v>
      </c>
      <c r="DY71" s="235">
        <f>110+151</f>
        <v>261</v>
      </c>
      <c r="DZ71" s="235">
        <f>197+222</f>
        <v>419</v>
      </c>
      <c r="EA71" s="235">
        <f>146+67</f>
        <v>213</v>
      </c>
      <c r="EB71" s="235">
        <f>153+185</f>
        <v>338</v>
      </c>
      <c r="EC71" s="235">
        <f>160+294</f>
        <v>454</v>
      </c>
      <c r="ED71" s="235">
        <f>207-385</f>
        <v>-178</v>
      </c>
      <c r="EE71" s="235">
        <f>187+15</f>
        <v>202</v>
      </c>
      <c r="EF71" s="235">
        <f>54-214</f>
        <v>-160</v>
      </c>
      <c r="EG71" s="235">
        <v>-671</v>
      </c>
      <c r="EH71" s="235">
        <f>SUM(AQ71:AT71)</f>
        <v>-228</v>
      </c>
      <c r="EI71" s="235">
        <f>SUM(AU71:AX71)</f>
        <v>-236</v>
      </c>
      <c r="EJ71" s="235"/>
      <c r="EK71" s="235">
        <f>SUM(BC71:BF71)</f>
        <v>-494</v>
      </c>
      <c r="EL71" s="235"/>
      <c r="EM71" s="235">
        <f>SUM(BK71:BN71)</f>
        <v>408</v>
      </c>
      <c r="EN71" s="235">
        <f>SUM(BO71:BR71)</f>
        <v>895</v>
      </c>
      <c r="EO71" s="235"/>
      <c r="EP71" s="235"/>
      <c r="EQ71" s="235"/>
      <c r="ER71" s="235"/>
      <c r="ES71" s="235"/>
      <c r="ET71" s="235"/>
      <c r="EU71" s="235"/>
      <c r="EV71" s="235"/>
    </row>
    <row r="72" spans="1:270" s="275" customFormat="1" ht="12.75" customHeight="1" x14ac:dyDescent="0.2">
      <c r="A72"/>
      <c r="B72" t="s">
        <v>725</v>
      </c>
      <c r="C72" s="235">
        <f t="shared" ref="C72:AY72" si="433">C69+C70-C71</f>
        <v>1302</v>
      </c>
      <c r="D72" s="235">
        <f t="shared" si="433"/>
        <v>1294</v>
      </c>
      <c r="E72" s="235">
        <f t="shared" si="433"/>
        <v>1197</v>
      </c>
      <c r="F72" s="235">
        <f t="shared" si="433"/>
        <v>783</v>
      </c>
      <c r="G72" s="235">
        <f t="shared" si="433"/>
        <v>1434</v>
      </c>
      <c r="H72" s="235">
        <f t="shared" si="433"/>
        <v>1371</v>
      </c>
      <c r="I72" s="235">
        <f t="shared" si="433"/>
        <v>1317</v>
      </c>
      <c r="J72" s="235">
        <f t="shared" si="433"/>
        <v>924</v>
      </c>
      <c r="K72" s="235">
        <f t="shared" si="433"/>
        <v>1605</v>
      </c>
      <c r="L72" s="235">
        <f t="shared" si="433"/>
        <v>1614</v>
      </c>
      <c r="M72" s="235">
        <f t="shared" si="433"/>
        <v>1511</v>
      </c>
      <c r="N72" s="235">
        <f t="shared" si="433"/>
        <v>971</v>
      </c>
      <c r="O72" s="235">
        <f t="shared" si="433"/>
        <v>1892</v>
      </c>
      <c r="P72" s="235">
        <f t="shared" si="433"/>
        <v>1866</v>
      </c>
      <c r="Q72" s="235">
        <f t="shared" si="433"/>
        <v>1746</v>
      </c>
      <c r="R72" s="235">
        <f t="shared" si="433"/>
        <v>1172</v>
      </c>
      <c r="S72" s="235">
        <f>S69+S70-S71</f>
        <v>2140</v>
      </c>
      <c r="T72" s="235">
        <f t="shared" si="433"/>
        <v>2129</v>
      </c>
      <c r="U72" s="235">
        <f t="shared" si="433"/>
        <v>2108</v>
      </c>
      <c r="V72" s="235">
        <f t="shared" si="433"/>
        <v>1549</v>
      </c>
      <c r="W72" s="235">
        <f t="shared" si="433"/>
        <v>2621</v>
      </c>
      <c r="X72" s="235">
        <f t="shared" si="433"/>
        <v>2732</v>
      </c>
      <c r="Y72" s="235">
        <f t="shared" si="433"/>
        <v>2393</v>
      </c>
      <c r="Z72" s="235">
        <f t="shared" si="433"/>
        <v>1849</v>
      </c>
      <c r="AA72" s="235">
        <f t="shared" si="433"/>
        <v>2948</v>
      </c>
      <c r="AB72" s="235">
        <f t="shared" si="433"/>
        <v>2956</v>
      </c>
      <c r="AC72" s="235">
        <f t="shared" si="433"/>
        <v>2948</v>
      </c>
      <c r="AD72" s="235">
        <f t="shared" si="433"/>
        <v>2509</v>
      </c>
      <c r="AE72" s="235">
        <f t="shared" si="433"/>
        <v>3929</v>
      </c>
      <c r="AF72" s="243">
        <f t="shared" si="433"/>
        <v>3843</v>
      </c>
      <c r="AG72" s="243">
        <f t="shared" si="433"/>
        <v>3292</v>
      </c>
      <c r="AH72" s="243">
        <f t="shared" si="433"/>
        <v>2625</v>
      </c>
      <c r="AI72" s="243">
        <f t="shared" si="433"/>
        <v>3927</v>
      </c>
      <c r="AJ72" s="243">
        <f t="shared" si="433"/>
        <v>3741</v>
      </c>
      <c r="AK72" s="243">
        <f t="shared" si="433"/>
        <v>3420</v>
      </c>
      <c r="AL72" s="243">
        <f t="shared" si="433"/>
        <v>2512</v>
      </c>
      <c r="AM72" s="243">
        <f t="shared" si="433"/>
        <v>4652</v>
      </c>
      <c r="AN72" s="243">
        <f t="shared" si="433"/>
        <v>3855</v>
      </c>
      <c r="AO72" s="243">
        <f t="shared" si="433"/>
        <v>3776</v>
      </c>
      <c r="AP72" s="243">
        <f t="shared" si="433"/>
        <v>3028</v>
      </c>
      <c r="AQ72" s="243">
        <f>AQ69+AQ70-AQ71</f>
        <v>4509</v>
      </c>
      <c r="AR72" s="243">
        <f t="shared" si="433"/>
        <v>4042</v>
      </c>
      <c r="AS72" s="243">
        <f t="shared" si="433"/>
        <v>4054</v>
      </c>
      <c r="AT72" s="243">
        <f t="shared" si="433"/>
        <v>3209</v>
      </c>
      <c r="AU72" s="243">
        <f t="shared" si="433"/>
        <v>4747</v>
      </c>
      <c r="AV72" s="243">
        <f t="shared" si="433"/>
        <v>4415</v>
      </c>
      <c r="AW72" s="243">
        <f t="shared" si="433"/>
        <v>4290</v>
      </c>
      <c r="AX72" s="243">
        <f t="shared" si="433"/>
        <v>3279</v>
      </c>
      <c r="AY72" s="243">
        <f t="shared" si="433"/>
        <v>4643</v>
      </c>
      <c r="AZ72" s="243">
        <f t="shared" ref="AZ72:BG72" si="434">AZ69+AZ70-AZ71</f>
        <v>4263</v>
      </c>
      <c r="BA72" s="243">
        <f t="shared" si="434"/>
        <v>4245</v>
      </c>
      <c r="BB72" s="243">
        <f t="shared" si="434"/>
        <v>3790</v>
      </c>
      <c r="BC72" s="243">
        <f t="shared" si="434"/>
        <v>4783</v>
      </c>
      <c r="BD72" s="243">
        <f t="shared" si="434"/>
        <v>4279</v>
      </c>
      <c r="BE72" s="243">
        <f t="shared" si="434"/>
        <v>4219</v>
      </c>
      <c r="BF72" s="243">
        <f t="shared" si="434"/>
        <v>3451</v>
      </c>
      <c r="BG72" s="243">
        <f t="shared" si="434"/>
        <v>5303</v>
      </c>
      <c r="BH72" s="243">
        <f>BH69+BH70-BH71</f>
        <v>4011</v>
      </c>
      <c r="BI72" s="243">
        <f>BI69+BI70-BI71</f>
        <v>4111</v>
      </c>
      <c r="BJ72" s="243">
        <f t="shared" ref="BJ72" si="435">BJ69+BJ70-BJ71</f>
        <v>6223</v>
      </c>
      <c r="BK72" s="243">
        <f t="shared" ref="BK72" si="436">BK69+BK70-BK71</f>
        <v>5045</v>
      </c>
      <c r="BL72" s="243">
        <f t="shared" ref="BL72" si="437">BL69+BL70-BL71</f>
        <v>4623</v>
      </c>
      <c r="BM72" s="243">
        <f t="shared" ref="BM72" si="438">BM69+BM70-BM71</f>
        <v>4413</v>
      </c>
      <c r="BN72" s="243">
        <f t="shared" ref="BN72:BY72" si="439">BN69+BN70-BN71</f>
        <v>3388</v>
      </c>
      <c r="BO72" s="243">
        <f t="shared" si="439"/>
        <v>4368</v>
      </c>
      <c r="BP72" s="243">
        <f t="shared" si="439"/>
        <v>5428</v>
      </c>
      <c r="BQ72" s="243">
        <f t="shared" si="439"/>
        <v>4895</v>
      </c>
      <c r="BR72" s="243">
        <f t="shared" si="439"/>
        <v>4005</v>
      </c>
      <c r="BS72" s="243">
        <f t="shared" si="439"/>
        <v>5718</v>
      </c>
      <c r="BT72" s="243">
        <f t="shared" si="439"/>
        <v>5890</v>
      </c>
      <c r="BU72" s="243">
        <f t="shared" si="439"/>
        <v>5465</v>
      </c>
      <c r="BV72" s="243">
        <f t="shared" si="439"/>
        <v>3822</v>
      </c>
      <c r="BW72" s="243">
        <f>BW69+BW70-BW71</f>
        <v>5227</v>
      </c>
      <c r="BX72" s="243">
        <f t="shared" si="439"/>
        <v>4810</v>
      </c>
      <c r="BY72" s="243">
        <f t="shared" si="439"/>
        <v>4552</v>
      </c>
      <c r="BZ72" s="243">
        <f>BZ69+BZ70-BZ71</f>
        <v>3276</v>
      </c>
      <c r="CA72" s="243">
        <f t="shared" ref="CA72:CH72" si="440">CA69+CA70+CA71</f>
        <v>5414</v>
      </c>
      <c r="CB72" s="243">
        <f t="shared" si="440"/>
        <v>5604</v>
      </c>
      <c r="CC72" s="243">
        <f t="shared" si="440"/>
        <v>5343</v>
      </c>
      <c r="CD72" s="243">
        <f t="shared" si="440"/>
        <v>4519</v>
      </c>
      <c r="CE72" s="243">
        <f t="shared" si="440"/>
        <v>5660</v>
      </c>
      <c r="CF72" s="243">
        <f t="shared" si="440"/>
        <v>5347</v>
      </c>
      <c r="CG72" s="243">
        <f t="shared" si="440"/>
        <v>4859</v>
      </c>
      <c r="CH72" s="243">
        <f t="shared" si="440"/>
        <v>4774</v>
      </c>
      <c r="CI72" s="243">
        <f>+CI69+CI70+CI71</f>
        <v>5523</v>
      </c>
      <c r="CJ72" s="243">
        <f t="shared" ref="CJ72:CP72" si="441">+CJ69+CJ70</f>
        <v>5394</v>
      </c>
      <c r="CK72" s="243">
        <f t="shared" si="441"/>
        <v>6538</v>
      </c>
      <c r="CL72" s="243">
        <f t="shared" si="441"/>
        <v>5547</v>
      </c>
      <c r="CM72" s="243">
        <f t="shared" si="441"/>
        <v>5348</v>
      </c>
      <c r="CN72" s="243">
        <f t="shared" si="441"/>
        <v>5417</v>
      </c>
      <c r="CO72" s="243">
        <f t="shared" si="441"/>
        <v>6853</v>
      </c>
      <c r="CP72" s="243">
        <f t="shared" si="441"/>
        <v>5461</v>
      </c>
      <c r="CQ72" s="243">
        <f t="shared" ref="CQ72" si="442">+CQ69+CQ70+CQ71</f>
        <v>5803</v>
      </c>
      <c r="CR72" s="243">
        <f t="shared" ref="CR72" si="443">+CR69+CR70+CR71</f>
        <v>4009</v>
      </c>
      <c r="CS72" s="243">
        <f t="shared" ref="CS72:CY72" si="444">+CS69+CS70+CS71</f>
        <v>5807</v>
      </c>
      <c r="CT72" s="243">
        <f t="shared" si="444"/>
        <v>4099</v>
      </c>
      <c r="CU72" s="243">
        <f t="shared" si="444"/>
        <v>7482</v>
      </c>
      <c r="CV72" s="243">
        <f t="shared" si="444"/>
        <v>7905</v>
      </c>
      <c r="CW72" s="243">
        <f t="shared" si="444"/>
        <v>6656</v>
      </c>
      <c r="CX72" s="243">
        <f t="shared" si="444"/>
        <v>4993</v>
      </c>
      <c r="CY72" s="243">
        <f t="shared" si="444"/>
        <v>6640</v>
      </c>
      <c r="CZ72" s="243">
        <f t="shared" ref="CZ72:DN72" si="445">+CZ69+CZ70+CZ71</f>
        <v>8280</v>
      </c>
      <c r="DA72" s="243">
        <f t="shared" si="445"/>
        <v>12543</v>
      </c>
      <c r="DB72" s="243">
        <f t="shared" si="445"/>
        <v>7591</v>
      </c>
      <c r="DC72" s="243">
        <f t="shared" si="445"/>
        <v>5832</v>
      </c>
      <c r="DD72" s="243">
        <f t="shared" si="445"/>
        <v>7001</v>
      </c>
      <c r="DE72" s="243">
        <f t="shared" si="445"/>
        <v>5579</v>
      </c>
      <c r="DF72" s="243">
        <f t="shared" si="445"/>
        <v>6447</v>
      </c>
      <c r="DG72" s="243">
        <f t="shared" si="445"/>
        <v>7876</v>
      </c>
      <c r="DH72" s="243">
        <f t="shared" si="445"/>
        <v>5935</v>
      </c>
      <c r="DI72" s="243">
        <f t="shared" si="445"/>
        <v>16849.5</v>
      </c>
      <c r="DJ72" s="243">
        <f t="shared" si="445"/>
        <v>16588.23</v>
      </c>
      <c r="DK72" s="243">
        <f t="shared" si="445"/>
        <v>16239.8025</v>
      </c>
      <c r="DL72" s="243">
        <f t="shared" si="445"/>
        <v>16506.239999999998</v>
      </c>
      <c r="DM72" s="243">
        <f t="shared" si="445"/>
        <v>16508.778750000001</v>
      </c>
      <c r="DN72" s="243">
        <f t="shared" si="445"/>
        <v>16371.851025000002</v>
      </c>
      <c r="DP72" s="235">
        <f t="shared" ref="DP72:DU72" si="446">DP69-DP70</f>
        <v>1514</v>
      </c>
      <c r="DQ72" s="235">
        <f t="shared" si="446"/>
        <v>1727</v>
      </c>
      <c r="DR72" s="235">
        <f t="shared" si="446"/>
        <v>2038</v>
      </c>
      <c r="DS72" s="235">
        <f t="shared" si="446"/>
        <v>2207</v>
      </c>
      <c r="DT72" s="235">
        <f t="shared" si="446"/>
        <v>2332</v>
      </c>
      <c r="DU72" s="235">
        <f t="shared" si="446"/>
        <v>2681</v>
      </c>
      <c r="DV72" s="235">
        <f t="shared" ref="DV72:EQ72" si="447">DV69+DV70-DV71</f>
        <v>3317</v>
      </c>
      <c r="DW72" s="235">
        <f t="shared" si="447"/>
        <v>4033</v>
      </c>
      <c r="DX72" s="235">
        <f t="shared" si="447"/>
        <v>4576</v>
      </c>
      <c r="DY72" s="235">
        <f t="shared" si="447"/>
        <v>5046</v>
      </c>
      <c r="DZ72" s="235">
        <f t="shared" si="447"/>
        <v>5753</v>
      </c>
      <c r="EA72" s="235">
        <f t="shared" si="447"/>
        <v>6643</v>
      </c>
      <c r="EB72" s="235">
        <f t="shared" si="447"/>
        <v>8003</v>
      </c>
      <c r="EC72" s="235">
        <f t="shared" si="447"/>
        <v>10093.900000000001</v>
      </c>
      <c r="ED72" s="235">
        <f t="shared" si="447"/>
        <v>11729.400000000001</v>
      </c>
      <c r="EE72" s="235">
        <f t="shared" si="447"/>
        <v>13625</v>
      </c>
      <c r="EF72" s="235">
        <f t="shared" si="447"/>
        <v>13002</v>
      </c>
      <c r="EG72" s="235">
        <f t="shared" si="447"/>
        <v>15311</v>
      </c>
      <c r="EH72" s="235">
        <f>EH69+EH70-EH71</f>
        <v>15716</v>
      </c>
      <c r="EI72" s="235">
        <f>EI69+EI70-EI71</f>
        <v>16731</v>
      </c>
      <c r="EJ72" s="235">
        <f>EJ69+EJ70-EJ71</f>
        <v>16778.5</v>
      </c>
      <c r="EK72" s="235">
        <f>EK69+EK70-EK71</f>
        <v>16541</v>
      </c>
      <c r="EL72" s="235">
        <f>EL69+EL70-EL71</f>
        <v>19648</v>
      </c>
      <c r="EM72" s="235">
        <f t="shared" si="447"/>
        <v>17147</v>
      </c>
      <c r="EN72" s="235">
        <f t="shared" si="447"/>
        <v>18437</v>
      </c>
      <c r="EO72" s="235">
        <f t="shared" si="447"/>
        <v>24089.072999999993</v>
      </c>
      <c r="EP72" s="235">
        <f t="shared" si="447"/>
        <v>49489.613259749996</v>
      </c>
      <c r="EQ72" s="235">
        <f t="shared" si="447"/>
        <v>45613.910215721247</v>
      </c>
      <c r="ER72" s="235">
        <f t="shared" ref="ER72:FE72" si="448">ER69+ER70-ER71</f>
        <v>0.12626999999999999</v>
      </c>
      <c r="ES72" s="235">
        <f t="shared" si="448"/>
        <v>23002.018299999996</v>
      </c>
      <c r="ET72" s="235">
        <f t="shared" si="448"/>
        <v>23079.001829999994</v>
      </c>
      <c r="EU72" s="235">
        <f t="shared" si="448"/>
        <v>19718</v>
      </c>
      <c r="EV72" s="235">
        <f t="shared" si="448"/>
        <v>27260</v>
      </c>
      <c r="EW72" s="235">
        <f>EW69+EW70-EW71</f>
        <v>34948</v>
      </c>
      <c r="EX72" s="235">
        <f t="shared" si="448"/>
        <v>38928.119650000001</v>
      </c>
      <c r="EY72" s="235">
        <f t="shared" si="448"/>
        <v>40273.393408749995</v>
      </c>
      <c r="EZ72" s="235">
        <f t="shared" si="448"/>
        <v>33672.551691996247</v>
      </c>
      <c r="FA72" s="235">
        <f t="shared" si="448"/>
        <v>30779.90960016556</v>
      </c>
      <c r="FB72" s="235">
        <f t="shared" si="448"/>
        <v>30752.813599741214</v>
      </c>
      <c r="FC72" s="235">
        <f t="shared" si="448"/>
        <v>31474.837884079076</v>
      </c>
      <c r="FD72" s="235">
        <f t="shared" si="448"/>
        <v>31147.004565865882</v>
      </c>
      <c r="FE72" s="235">
        <f t="shared" si="448"/>
        <v>31206.598676613459</v>
      </c>
      <c r="FF72" s="235">
        <f t="shared" ref="FF72:FJ72" si="449">FF69+FF70-FF71</f>
        <v>31494.79142622276</v>
      </c>
      <c r="FG72" s="235">
        <f t="shared" si="449"/>
        <v>31929.302563055535</v>
      </c>
      <c r="FH72" s="235">
        <f t="shared" si="449"/>
        <v>32466.800673606886</v>
      </c>
      <c r="FI72" s="235">
        <f t="shared" si="449"/>
        <v>33083.979121016208</v>
      </c>
      <c r="FJ72" s="235">
        <f t="shared" si="449"/>
        <v>33767.994639561133</v>
      </c>
    </row>
    <row r="73" spans="1:270" s="275" customFormat="1" ht="12.75" customHeight="1" x14ac:dyDescent="0.2">
      <c r="A73"/>
      <c r="B73" t="s">
        <v>726</v>
      </c>
      <c r="C73" s="235">
        <v>393</v>
      </c>
      <c r="D73" s="235">
        <v>385</v>
      </c>
      <c r="E73" s="235">
        <v>342</v>
      </c>
      <c r="F73" s="235">
        <v>153</v>
      </c>
      <c r="G73" s="235">
        <v>424</v>
      </c>
      <c r="H73" s="235">
        <v>366</v>
      </c>
      <c r="I73" s="235">
        <v>356</v>
      </c>
      <c r="J73" s="235">
        <v>231</v>
      </c>
      <c r="K73" s="235">
        <v>477</v>
      </c>
      <c r="L73" s="235">
        <v>459</v>
      </c>
      <c r="M73" s="235">
        <v>412</v>
      </c>
      <c r="N73" s="235">
        <v>217</v>
      </c>
      <c r="O73" s="235">
        <v>578</v>
      </c>
      <c r="P73" s="235">
        <v>535</v>
      </c>
      <c r="Q73" s="235">
        <v>482</v>
      </c>
      <c r="R73" s="235">
        <v>227</v>
      </c>
      <c r="S73" s="235">
        <v>640</v>
      </c>
      <c r="T73" s="235">
        <v>647</v>
      </c>
      <c r="U73" s="235">
        <v>579</v>
      </c>
      <c r="V73" s="235">
        <v>339</v>
      </c>
      <c r="W73" s="235">
        <v>787</v>
      </c>
      <c r="X73" s="235">
        <v>774</v>
      </c>
      <c r="Y73" s="235">
        <v>668</v>
      </c>
      <c r="Z73" s="235">
        <v>465</v>
      </c>
      <c r="AA73" s="235">
        <v>859</v>
      </c>
      <c r="AB73" s="235">
        <v>846</v>
      </c>
      <c r="AC73" s="235">
        <v>877</v>
      </c>
      <c r="AD73" s="235">
        <v>529</v>
      </c>
      <c r="AE73" s="235">
        <v>1011</v>
      </c>
      <c r="AF73" s="243">
        <v>977</v>
      </c>
      <c r="AG73" s="243">
        <v>933</v>
      </c>
      <c r="AH73" s="243">
        <f>1408-789</f>
        <v>619</v>
      </c>
      <c r="AI73" s="243">
        <v>1088</v>
      </c>
      <c r="AJ73" s="243">
        <v>726</v>
      </c>
      <c r="AK73" s="243">
        <v>882</v>
      </c>
      <c r="AL73" s="243">
        <v>411</v>
      </c>
      <c r="AM73" s="243">
        <v>1310</v>
      </c>
      <c r="AN73" s="243">
        <v>783</v>
      </c>
      <c r="AO73" s="243">
        <v>901</v>
      </c>
      <c r="AP73" s="243">
        <f>AP72-2385</f>
        <v>643</v>
      </c>
      <c r="AQ73" s="243">
        <v>1079</v>
      </c>
      <c r="AR73" s="243">
        <v>950</v>
      </c>
      <c r="AS73" s="243">
        <f>AS72*0.233</f>
        <v>944.58200000000011</v>
      </c>
      <c r="AT73" s="243">
        <f>AT72*0.153</f>
        <v>490.97699999999998</v>
      </c>
      <c r="AU73" s="243">
        <v>1149</v>
      </c>
      <c r="AV73" s="243">
        <v>1048</v>
      </c>
      <c r="AW73" s="243">
        <v>980</v>
      </c>
      <c r="AX73" s="243">
        <f>803-379+229</f>
        <v>653</v>
      </c>
      <c r="AY73" s="243">
        <v>1136</v>
      </c>
      <c r="AZ73" s="243">
        <v>1055</v>
      </c>
      <c r="BA73" s="243">
        <v>900</v>
      </c>
      <c r="BB73" s="243">
        <f>398+334+174</f>
        <v>906</v>
      </c>
      <c r="BC73" s="243">
        <f>1754-1497+910</f>
        <v>1167</v>
      </c>
      <c r="BD73" s="243">
        <f>771+67</f>
        <v>838</v>
      </c>
      <c r="BE73" s="243">
        <v>802</v>
      </c>
      <c r="BF73" s="243">
        <f>286+569-404+374-279+280-239</f>
        <v>587</v>
      </c>
      <c r="BG73" s="243">
        <v>1034</v>
      </c>
      <c r="BH73" s="243">
        <v>646</v>
      </c>
      <c r="BI73" s="243">
        <v>909</v>
      </c>
      <c r="BJ73" s="243">
        <f>3657-3129</f>
        <v>528</v>
      </c>
      <c r="BK73" s="243">
        <v>1135</v>
      </c>
      <c r="BL73" s="243">
        <f>4646-3644</f>
        <v>1002</v>
      </c>
      <c r="BM73" s="243">
        <v>966</v>
      </c>
      <c r="BN73" s="243">
        <v>533</v>
      </c>
      <c r="BO73" s="243">
        <v>764</v>
      </c>
      <c r="BP73" s="243">
        <v>1083</v>
      </c>
      <c r="BQ73" s="243">
        <v>912</v>
      </c>
      <c r="BR73" s="243">
        <f>+BR72*0.089</f>
        <v>356.44499999999999</v>
      </c>
      <c r="BS73" s="243">
        <v>697</v>
      </c>
      <c r="BT73" s="243">
        <v>1300</v>
      </c>
      <c r="BU73" s="243">
        <v>2061</v>
      </c>
      <c r="BV73" s="243">
        <v>182</v>
      </c>
      <c r="BW73" s="243">
        <v>1255</v>
      </c>
      <c r="BX73" s="243">
        <v>1225</v>
      </c>
      <c r="BY73" s="243">
        <v>764</v>
      </c>
      <c r="BZ73" s="243">
        <v>543</v>
      </c>
      <c r="CA73" s="243">
        <v>837</v>
      </c>
      <c r="CB73" s="243">
        <v>907</v>
      </c>
      <c r="CC73" s="243">
        <v>1009</v>
      </c>
      <c r="CD73" s="243">
        <v>510</v>
      </c>
      <c r="CE73" s="243">
        <v>1153</v>
      </c>
      <c r="CF73" s="243">
        <v>921</v>
      </c>
      <c r="CG73" s="243">
        <v>1026</v>
      </c>
      <c r="CH73" s="243">
        <v>0</v>
      </c>
      <c r="CI73" s="243">
        <v>1114</v>
      </c>
      <c r="CJ73" s="243">
        <v>1019</v>
      </c>
      <c r="CK73" s="243">
        <f>489+265</f>
        <v>754</v>
      </c>
      <c r="CL73" s="243">
        <v>200</v>
      </c>
      <c r="CM73" s="243">
        <v>673</v>
      </c>
      <c r="CN73" s="243">
        <v>1434</v>
      </c>
      <c r="CO73" s="243">
        <f>814+391</f>
        <v>1205</v>
      </c>
      <c r="CP73" s="243">
        <v>400</v>
      </c>
      <c r="CQ73" s="243">
        <v>713</v>
      </c>
      <c r="CR73" s="243">
        <v>314</v>
      </c>
      <c r="CS73" s="243">
        <v>847</v>
      </c>
      <c r="CT73" s="243">
        <v>0</v>
      </c>
      <c r="CU73" s="243">
        <v>1232</v>
      </c>
      <c r="CV73" s="243">
        <v>1151</v>
      </c>
      <c r="CW73" s="243">
        <v>182</v>
      </c>
      <c r="CX73" s="243">
        <v>100</v>
      </c>
      <c r="CY73" s="243">
        <v>713</v>
      </c>
      <c r="CZ73" s="243">
        <v>1259</v>
      </c>
      <c r="DA73" s="243">
        <v>1364</v>
      </c>
      <c r="DB73" s="243">
        <v>1200</v>
      </c>
      <c r="DC73" s="243">
        <v>796</v>
      </c>
      <c r="DD73" s="243">
        <v>1618</v>
      </c>
      <c r="DE73" s="243">
        <v>908</v>
      </c>
      <c r="DF73" s="243">
        <v>675</v>
      </c>
      <c r="DG73" s="243">
        <v>1297</v>
      </c>
      <c r="DH73" s="243">
        <v>1062</v>
      </c>
      <c r="DI73" s="243"/>
      <c r="DJ73" s="243"/>
      <c r="DK73" s="243"/>
      <c r="DL73" s="243"/>
      <c r="DM73" s="243"/>
      <c r="DN73" s="243"/>
      <c r="DP73" s="235">
        <v>432</v>
      </c>
      <c r="DQ73" s="235">
        <v>480</v>
      </c>
      <c r="DR73" s="235">
        <v>577</v>
      </c>
      <c r="DS73" s="235">
        <v>582</v>
      </c>
      <c r="DT73" s="235">
        <v>545</v>
      </c>
      <c r="DU73" s="235">
        <v>675</v>
      </c>
      <c r="DV73" s="235">
        <v>914</v>
      </c>
      <c r="DW73" s="235">
        <v>1146</v>
      </c>
      <c r="DX73" s="235">
        <v>1273</v>
      </c>
      <c r="DY73" s="235">
        <v>1210</v>
      </c>
      <c r="DZ73" s="235">
        <v>1586</v>
      </c>
      <c r="EA73" s="235">
        <v>1822</v>
      </c>
      <c r="EB73" s="235">
        <v>2230</v>
      </c>
      <c r="EC73" s="235">
        <f>+EC72*0.25</f>
        <v>2523.4750000000004</v>
      </c>
      <c r="ED73" s="235">
        <v>3111</v>
      </c>
      <c r="EE73" s="235">
        <v>4329</v>
      </c>
      <c r="EF73" s="235">
        <v>3245</v>
      </c>
      <c r="EG73" s="235">
        <f>EG72-11133</f>
        <v>4178</v>
      </c>
      <c r="EH73" s="235">
        <f>SUM(AQ73:AT73)</f>
        <v>3464.5590000000002</v>
      </c>
      <c r="EI73" s="235">
        <f>SUM(AU73:AX73)</f>
        <v>3830</v>
      </c>
      <c r="EJ73" s="235"/>
      <c r="EK73" s="235">
        <f>SUM(BC73:BF73)</f>
        <v>3394</v>
      </c>
      <c r="EL73" s="235">
        <f>SUM(BG73:BJ73)</f>
        <v>3117</v>
      </c>
      <c r="EM73" s="235">
        <f>SUM(BK73:BN73)</f>
        <v>3636</v>
      </c>
      <c r="EN73" s="235">
        <f>SUM(BO73:BR73)</f>
        <v>3115.4450000000002</v>
      </c>
      <c r="EO73" s="235">
        <f>EO72*EO102</f>
        <v>4544.2133413131096</v>
      </c>
      <c r="EP73" s="235"/>
      <c r="EQ73" s="235"/>
      <c r="ER73" s="235"/>
      <c r="ES73" s="235">
        <f t="shared" ref="ES73" si="450">SUM(CI73:CL73)</f>
        <v>3087</v>
      </c>
      <c r="ET73" s="235">
        <f t="shared" ref="ET73" si="451">SUM(CM73:CP73)</f>
        <v>3712</v>
      </c>
      <c r="EU73" s="235">
        <f t="shared" ref="EU73" si="452">SUM(CQ73:CT73)</f>
        <v>1874</v>
      </c>
      <c r="EV73" s="235">
        <f t="shared" ref="EV73" si="453">SUM(CU73:CX73)</f>
        <v>2665</v>
      </c>
      <c r="EW73" s="235">
        <f>SUM(CY73:DB73)</f>
        <v>4536</v>
      </c>
      <c r="EX73" s="235">
        <f t="shared" ref="EX73:FE73" si="454">+EX72*0.25</f>
        <v>9732.0299125000001</v>
      </c>
      <c r="EY73" s="235">
        <f t="shared" si="454"/>
        <v>10068.348352187499</v>
      </c>
      <c r="EZ73" s="235">
        <f t="shared" si="454"/>
        <v>8418.1379229990616</v>
      </c>
      <c r="FA73" s="235">
        <f t="shared" si="454"/>
        <v>7694.97740004139</v>
      </c>
      <c r="FB73" s="235">
        <f t="shared" si="454"/>
        <v>7688.2033999353034</v>
      </c>
      <c r="FC73" s="235">
        <f t="shared" si="454"/>
        <v>7868.7094710197689</v>
      </c>
      <c r="FD73" s="235">
        <f t="shared" si="454"/>
        <v>7786.7511414664705</v>
      </c>
      <c r="FE73" s="235">
        <f t="shared" si="454"/>
        <v>7801.6496691533648</v>
      </c>
      <c r="FF73" s="235">
        <f t="shared" ref="FF73:FJ73" si="455">+FF72*0.25</f>
        <v>7873.6978565556901</v>
      </c>
      <c r="FG73" s="235">
        <f t="shared" si="455"/>
        <v>7982.3256407638837</v>
      </c>
      <c r="FH73" s="235">
        <f t="shared" si="455"/>
        <v>8116.7001684017214</v>
      </c>
      <c r="FI73" s="235">
        <f t="shared" si="455"/>
        <v>8270.9947802540519</v>
      </c>
      <c r="FJ73" s="235">
        <f t="shared" si="455"/>
        <v>8441.9986598902833</v>
      </c>
    </row>
    <row r="74" spans="1:270" s="275" customFormat="1" ht="12.75" customHeight="1" x14ac:dyDescent="0.2">
      <c r="A74"/>
      <c r="B74" t="s">
        <v>343</v>
      </c>
      <c r="C74" s="235">
        <f t="shared" ref="C74:AS74" si="456">C72-C73</f>
        <v>909</v>
      </c>
      <c r="D74" s="235">
        <f t="shared" si="456"/>
        <v>909</v>
      </c>
      <c r="E74" s="235">
        <f t="shared" si="456"/>
        <v>855</v>
      </c>
      <c r="F74" s="235">
        <f t="shared" si="456"/>
        <v>630</v>
      </c>
      <c r="G74" s="235">
        <f t="shared" si="456"/>
        <v>1010</v>
      </c>
      <c r="H74" s="235">
        <f t="shared" si="456"/>
        <v>1005</v>
      </c>
      <c r="I74" s="235">
        <f t="shared" si="456"/>
        <v>961</v>
      </c>
      <c r="J74" s="235">
        <f t="shared" si="456"/>
        <v>693</v>
      </c>
      <c r="K74" s="235">
        <f t="shared" si="456"/>
        <v>1128</v>
      </c>
      <c r="L74" s="235">
        <f t="shared" si="456"/>
        <v>1155</v>
      </c>
      <c r="M74" s="235">
        <f t="shared" si="456"/>
        <v>1099</v>
      </c>
      <c r="N74" s="235">
        <f t="shared" si="456"/>
        <v>754</v>
      </c>
      <c r="O74" s="235">
        <f t="shared" si="456"/>
        <v>1314</v>
      </c>
      <c r="P74" s="235">
        <f t="shared" si="456"/>
        <v>1331</v>
      </c>
      <c r="Q74" s="235">
        <f t="shared" si="456"/>
        <v>1264</v>
      </c>
      <c r="R74" s="235">
        <f t="shared" si="456"/>
        <v>945</v>
      </c>
      <c r="S74" s="235">
        <f t="shared" si="456"/>
        <v>1500</v>
      </c>
      <c r="T74" s="235">
        <f t="shared" si="456"/>
        <v>1482</v>
      </c>
      <c r="U74" s="235">
        <f t="shared" si="456"/>
        <v>1529</v>
      </c>
      <c r="V74" s="235">
        <f t="shared" si="456"/>
        <v>1210</v>
      </c>
      <c r="W74" s="235">
        <f t="shared" si="456"/>
        <v>1834</v>
      </c>
      <c r="X74" s="235">
        <f t="shared" si="456"/>
        <v>1958</v>
      </c>
      <c r="Y74" s="235">
        <f t="shared" si="456"/>
        <v>1725</v>
      </c>
      <c r="Z74" s="235">
        <f t="shared" si="456"/>
        <v>1384</v>
      </c>
      <c r="AA74" s="235">
        <f t="shared" si="456"/>
        <v>2089</v>
      </c>
      <c r="AB74" s="235">
        <f t="shared" si="456"/>
        <v>2110</v>
      </c>
      <c r="AC74" s="235">
        <f t="shared" si="456"/>
        <v>2071</v>
      </c>
      <c r="AD74" s="235">
        <f t="shared" si="456"/>
        <v>1980</v>
      </c>
      <c r="AE74" s="235">
        <f t="shared" si="456"/>
        <v>2918</v>
      </c>
      <c r="AF74" s="243">
        <f t="shared" si="456"/>
        <v>2866</v>
      </c>
      <c r="AG74" s="243">
        <f t="shared" si="456"/>
        <v>2359</v>
      </c>
      <c r="AH74" s="243">
        <f t="shared" si="456"/>
        <v>2006</v>
      </c>
      <c r="AI74" s="243">
        <f t="shared" si="456"/>
        <v>2839</v>
      </c>
      <c r="AJ74" s="243">
        <f t="shared" si="456"/>
        <v>3015</v>
      </c>
      <c r="AK74" s="243">
        <f t="shared" si="456"/>
        <v>2538</v>
      </c>
      <c r="AL74" s="243">
        <f t="shared" si="456"/>
        <v>2101</v>
      </c>
      <c r="AM74" s="243">
        <f t="shared" si="456"/>
        <v>3342</v>
      </c>
      <c r="AN74" s="243">
        <f t="shared" si="456"/>
        <v>3072</v>
      </c>
      <c r="AO74" s="243">
        <f t="shared" si="456"/>
        <v>2875</v>
      </c>
      <c r="AP74" s="243">
        <f t="shared" si="456"/>
        <v>2385</v>
      </c>
      <c r="AQ74" s="243">
        <f>AQ72-AQ73</f>
        <v>3430</v>
      </c>
      <c r="AR74" s="243">
        <f t="shared" si="456"/>
        <v>3092</v>
      </c>
      <c r="AS74" s="243">
        <f t="shared" si="456"/>
        <v>3109.4179999999997</v>
      </c>
      <c r="AT74" s="243">
        <f>AT72-AT73+441-267</f>
        <v>2892.0230000000001</v>
      </c>
      <c r="AU74" s="243">
        <f t="shared" ref="AU74:BC74" si="457">AU72-AU73</f>
        <v>3598</v>
      </c>
      <c r="AV74" s="243">
        <f t="shared" si="457"/>
        <v>3367</v>
      </c>
      <c r="AW74" s="243">
        <f t="shared" si="457"/>
        <v>3310</v>
      </c>
      <c r="AX74" s="243">
        <f t="shared" si="457"/>
        <v>2626</v>
      </c>
      <c r="AY74" s="243">
        <f t="shared" si="457"/>
        <v>3507</v>
      </c>
      <c r="AZ74" s="243">
        <f t="shared" si="457"/>
        <v>3208</v>
      </c>
      <c r="BA74" s="243">
        <f t="shared" si="457"/>
        <v>3345</v>
      </c>
      <c r="BB74" s="243">
        <f t="shared" si="457"/>
        <v>2884</v>
      </c>
      <c r="BC74" s="243">
        <f t="shared" si="457"/>
        <v>3616</v>
      </c>
      <c r="BD74" s="243">
        <f t="shared" ref="BD74:BG74" si="458">BD72-BD73</f>
        <v>3441</v>
      </c>
      <c r="BE74" s="243">
        <f t="shared" si="458"/>
        <v>3417</v>
      </c>
      <c r="BF74" s="243">
        <f t="shared" si="458"/>
        <v>2864</v>
      </c>
      <c r="BG74" s="243">
        <f t="shared" si="458"/>
        <v>4269</v>
      </c>
      <c r="BH74" s="243">
        <f>BH72-BH73</f>
        <v>3365</v>
      </c>
      <c r="BI74" s="243">
        <f>BI72-BI73</f>
        <v>3202</v>
      </c>
      <c r="BJ74" s="243">
        <f t="shared" ref="BJ74" si="459">BJ72-BJ73</f>
        <v>5695</v>
      </c>
      <c r="BK74" s="243">
        <f t="shared" ref="BK74" si="460">BK72-BK73</f>
        <v>3910</v>
      </c>
      <c r="BL74" s="243">
        <f t="shared" ref="BL74" si="461">BL72-BL73</f>
        <v>3621</v>
      </c>
      <c r="BM74" s="243">
        <f t="shared" ref="BM74" si="462">BM72-BM73</f>
        <v>3447</v>
      </c>
      <c r="BN74" s="243">
        <f t="shared" ref="BN74:BR74" si="463">BN72-BN73</f>
        <v>2855</v>
      </c>
      <c r="BO74" s="243">
        <f t="shared" si="463"/>
        <v>3604</v>
      </c>
      <c r="BP74" s="243">
        <f t="shared" si="463"/>
        <v>4345</v>
      </c>
      <c r="BQ74" s="243">
        <f t="shared" si="463"/>
        <v>3983</v>
      </c>
      <c r="BR74" s="243">
        <f t="shared" si="463"/>
        <v>3648.5549999999998</v>
      </c>
      <c r="BS74" s="243">
        <f t="shared" ref="BS74:BV74" si="464">BS72-BS73</f>
        <v>5021</v>
      </c>
      <c r="BT74" s="243">
        <f t="shared" si="464"/>
        <v>4590</v>
      </c>
      <c r="BU74" s="243">
        <f t="shared" si="464"/>
        <v>3404</v>
      </c>
      <c r="BV74" s="243">
        <f t="shared" si="464"/>
        <v>3640</v>
      </c>
      <c r="BW74" s="243">
        <f t="shared" ref="BW74:BZ74" si="465">BW72-BW73</f>
        <v>3972</v>
      </c>
      <c r="BX74" s="243">
        <f t="shared" si="465"/>
        <v>3585</v>
      </c>
      <c r="BY74" s="243">
        <f t="shared" si="465"/>
        <v>3788</v>
      </c>
      <c r="BZ74" s="243">
        <f t="shared" si="465"/>
        <v>2733</v>
      </c>
      <c r="CA74" s="243">
        <f t="shared" ref="CA74:CH74" si="466">CA72-CA73</f>
        <v>4577</v>
      </c>
      <c r="CB74" s="243">
        <f t="shared" si="466"/>
        <v>4697</v>
      </c>
      <c r="CC74" s="243">
        <f t="shared" si="466"/>
        <v>4334</v>
      </c>
      <c r="CD74" s="243">
        <f t="shared" si="466"/>
        <v>4009</v>
      </c>
      <c r="CE74" s="243">
        <f t="shared" si="466"/>
        <v>4507</v>
      </c>
      <c r="CF74" s="243">
        <f t="shared" si="466"/>
        <v>4426</v>
      </c>
      <c r="CG74" s="243">
        <f t="shared" si="466"/>
        <v>3833</v>
      </c>
      <c r="CH74" s="243">
        <f t="shared" si="466"/>
        <v>4774</v>
      </c>
      <c r="CI74" s="243">
        <f t="shared" ref="CI74:CP74" si="467">+CI72-CI73</f>
        <v>4409</v>
      </c>
      <c r="CJ74" s="243">
        <f t="shared" si="467"/>
        <v>4375</v>
      </c>
      <c r="CK74" s="243">
        <f t="shared" si="467"/>
        <v>5784</v>
      </c>
      <c r="CL74" s="243">
        <f t="shared" si="467"/>
        <v>5347</v>
      </c>
      <c r="CM74" s="243">
        <f t="shared" si="467"/>
        <v>4675</v>
      </c>
      <c r="CN74" s="243">
        <f t="shared" si="467"/>
        <v>3983</v>
      </c>
      <c r="CO74" s="243">
        <f t="shared" si="467"/>
        <v>5648</v>
      </c>
      <c r="CP74" s="243">
        <f t="shared" si="467"/>
        <v>5061</v>
      </c>
      <c r="CQ74" s="243">
        <f t="shared" ref="CQ74" si="468">+CQ72-CQ73</f>
        <v>5090</v>
      </c>
      <c r="CR74" s="243">
        <f t="shared" ref="CR74" si="469">+CR72-CR73</f>
        <v>3695</v>
      </c>
      <c r="CS74" s="243">
        <f>+CS72-CS73</f>
        <v>4960</v>
      </c>
      <c r="CT74" s="243">
        <f>+CT72-CT73</f>
        <v>4099</v>
      </c>
      <c r="CU74" s="243">
        <f>+CU72-CU73</f>
        <v>6250</v>
      </c>
      <c r="CV74" s="243">
        <f t="shared" ref="CV74" si="470">+CV72-CV73</f>
        <v>6754</v>
      </c>
      <c r="CW74" s="243">
        <f>+CW72-CW73</f>
        <v>6474</v>
      </c>
      <c r="CX74" s="243">
        <f>+CX72-CX73</f>
        <v>4893</v>
      </c>
      <c r="CY74" s="243">
        <f>+CY72-CY73</f>
        <v>5927</v>
      </c>
      <c r="CZ74" s="243">
        <f t="shared" ref="CZ74:DG74" si="471">+CZ72-CZ73</f>
        <v>7021</v>
      </c>
      <c r="DA74" s="243">
        <f t="shared" si="471"/>
        <v>11179</v>
      </c>
      <c r="DB74" s="243">
        <f t="shared" si="471"/>
        <v>6391</v>
      </c>
      <c r="DC74" s="243">
        <f t="shared" si="471"/>
        <v>5036</v>
      </c>
      <c r="DD74" s="243">
        <f t="shared" si="471"/>
        <v>5383</v>
      </c>
      <c r="DE74" s="243">
        <f t="shared" si="471"/>
        <v>4671</v>
      </c>
      <c r="DF74" s="243">
        <f t="shared" si="471"/>
        <v>5772</v>
      </c>
      <c r="DG74" s="243">
        <f t="shared" si="471"/>
        <v>6579</v>
      </c>
      <c r="DH74" s="243">
        <f t="shared" ref="DH74:DN74" si="472">+DH72-DH73</f>
        <v>4873</v>
      </c>
      <c r="DI74" s="243">
        <f t="shared" si="472"/>
        <v>16849.5</v>
      </c>
      <c r="DJ74" s="243">
        <f t="shared" si="472"/>
        <v>16588.23</v>
      </c>
      <c r="DK74" s="243">
        <f t="shared" si="472"/>
        <v>16239.8025</v>
      </c>
      <c r="DL74" s="243">
        <f t="shared" si="472"/>
        <v>16506.239999999998</v>
      </c>
      <c r="DM74" s="243">
        <f t="shared" si="472"/>
        <v>16508.778750000001</v>
      </c>
      <c r="DN74" s="243">
        <f t="shared" si="472"/>
        <v>16371.851025000002</v>
      </c>
      <c r="DP74" s="235">
        <f t="shared" ref="DP74:EQ74" si="473">DP72-DP73</f>
        <v>1082</v>
      </c>
      <c r="DQ74" s="235">
        <f t="shared" si="473"/>
        <v>1247</v>
      </c>
      <c r="DR74" s="235">
        <f t="shared" si="473"/>
        <v>1461</v>
      </c>
      <c r="DS74" s="235">
        <f t="shared" si="473"/>
        <v>1625</v>
      </c>
      <c r="DT74" s="235">
        <f t="shared" si="473"/>
        <v>1787</v>
      </c>
      <c r="DU74" s="235">
        <f t="shared" si="473"/>
        <v>2006</v>
      </c>
      <c r="DV74" s="235">
        <f t="shared" si="473"/>
        <v>2403</v>
      </c>
      <c r="DW74" s="235">
        <f t="shared" si="473"/>
        <v>2887</v>
      </c>
      <c r="DX74" s="235">
        <f t="shared" si="473"/>
        <v>3303</v>
      </c>
      <c r="DY74" s="235">
        <f t="shared" si="473"/>
        <v>3836</v>
      </c>
      <c r="DZ74" s="235">
        <f t="shared" si="473"/>
        <v>4167</v>
      </c>
      <c r="EA74" s="235">
        <f t="shared" si="473"/>
        <v>4821</v>
      </c>
      <c r="EB74" s="235">
        <f t="shared" si="473"/>
        <v>5773</v>
      </c>
      <c r="EC74" s="235">
        <f t="shared" si="473"/>
        <v>7570.4250000000011</v>
      </c>
      <c r="ED74" s="235">
        <f t="shared" si="473"/>
        <v>8618.4000000000015</v>
      </c>
      <c r="EE74" s="235">
        <f t="shared" si="473"/>
        <v>9296</v>
      </c>
      <c r="EF74" s="235">
        <f t="shared" si="473"/>
        <v>9757</v>
      </c>
      <c r="EG74" s="235">
        <f t="shared" si="473"/>
        <v>11133</v>
      </c>
      <c r="EH74" s="235">
        <f>EH72-EH73</f>
        <v>12251.440999999999</v>
      </c>
      <c r="EI74" s="235">
        <f>EI72-EI73</f>
        <v>12901</v>
      </c>
      <c r="EJ74" s="235">
        <f>EJ72-EJ73</f>
        <v>16778.5</v>
      </c>
      <c r="EK74" s="235">
        <f t="shared" si="473"/>
        <v>13147</v>
      </c>
      <c r="EL74" s="235">
        <f>EL72-EL73</f>
        <v>16531</v>
      </c>
      <c r="EM74" s="235">
        <f>EM72-EM73</f>
        <v>13511</v>
      </c>
      <c r="EN74" s="235">
        <f>EN72-EN73</f>
        <v>15321.555</v>
      </c>
      <c r="EO74" s="235">
        <f t="shared" si="473"/>
        <v>19544.859658686884</v>
      </c>
      <c r="EP74" s="235">
        <f t="shared" si="473"/>
        <v>49489.613259749996</v>
      </c>
      <c r="EQ74" s="235">
        <f t="shared" si="473"/>
        <v>45613.910215721247</v>
      </c>
      <c r="ER74" s="235">
        <f t="shared" ref="ER74:FE74" si="474">ER72-ER73</f>
        <v>0.12626999999999999</v>
      </c>
      <c r="ES74" s="235">
        <f t="shared" si="474"/>
        <v>19915.018299999996</v>
      </c>
      <c r="ET74" s="235">
        <f t="shared" si="474"/>
        <v>19367.001829999994</v>
      </c>
      <c r="EU74" s="235">
        <f t="shared" si="474"/>
        <v>17844</v>
      </c>
      <c r="EV74" s="235">
        <f t="shared" si="474"/>
        <v>24595</v>
      </c>
      <c r="EW74" s="235">
        <f>EW72-EW73</f>
        <v>30412</v>
      </c>
      <c r="EX74" s="235">
        <f t="shared" si="474"/>
        <v>29196.089737499999</v>
      </c>
      <c r="EY74" s="235">
        <f t="shared" si="474"/>
        <v>30205.045056562496</v>
      </c>
      <c r="EZ74" s="235">
        <f t="shared" si="474"/>
        <v>25254.413768997183</v>
      </c>
      <c r="FA74" s="235">
        <f t="shared" si="474"/>
        <v>23084.932200124171</v>
      </c>
      <c r="FB74" s="235">
        <f t="shared" si="474"/>
        <v>23064.610199805909</v>
      </c>
      <c r="FC74" s="235">
        <f t="shared" si="474"/>
        <v>23606.128413059305</v>
      </c>
      <c r="FD74" s="235">
        <f t="shared" si="474"/>
        <v>23360.253424399412</v>
      </c>
      <c r="FE74" s="235">
        <f t="shared" si="474"/>
        <v>23404.949007460094</v>
      </c>
      <c r="FF74" s="235">
        <f t="shared" ref="FF74:FJ74" si="475">FF72-FF73</f>
        <v>23621.093569667071</v>
      </c>
      <c r="FG74" s="235">
        <f t="shared" si="475"/>
        <v>23946.976922291651</v>
      </c>
      <c r="FH74" s="235">
        <f t="shared" si="475"/>
        <v>24350.100505205162</v>
      </c>
      <c r="FI74" s="235">
        <f t="shared" si="475"/>
        <v>24812.984340762156</v>
      </c>
      <c r="FJ74" s="235">
        <f t="shared" si="475"/>
        <v>25325.99597967085</v>
      </c>
      <c r="FK74" s="235">
        <f>+FJ74*(1+$FN$77)</f>
        <v>25452.625959569203</v>
      </c>
      <c r="FL74" s="235">
        <f t="shared" ref="FL74:HW74" si="476">+FK74*(1+$FN$77)</f>
        <v>25579.889089367047</v>
      </c>
      <c r="FM74" s="235">
        <f t="shared" si="476"/>
        <v>25707.788534813881</v>
      </c>
      <c r="FN74" s="235">
        <f t="shared" si="476"/>
        <v>25836.327477487946</v>
      </c>
      <c r="FO74" s="235">
        <f t="shared" si="476"/>
        <v>25965.509114875382</v>
      </c>
      <c r="FP74" s="235">
        <f t="shared" si="476"/>
        <v>26095.336660449757</v>
      </c>
      <c r="FQ74" s="235">
        <f t="shared" si="476"/>
        <v>26225.813343752005</v>
      </c>
      <c r="FR74" s="235">
        <f t="shared" si="476"/>
        <v>26356.942410470761</v>
      </c>
      <c r="FS74" s="235">
        <f t="shared" si="476"/>
        <v>26488.727122523112</v>
      </c>
      <c r="FT74" s="235">
        <f t="shared" si="476"/>
        <v>26621.170758135726</v>
      </c>
      <c r="FU74" s="235">
        <f t="shared" si="476"/>
        <v>26754.276611926402</v>
      </c>
      <c r="FV74" s="235">
        <f t="shared" si="476"/>
        <v>26888.047994986031</v>
      </c>
      <c r="FW74" s="235">
        <f t="shared" si="476"/>
        <v>27022.488234960958</v>
      </c>
      <c r="FX74" s="235">
        <f t="shared" si="476"/>
        <v>27157.60067613576</v>
      </c>
      <c r="FY74" s="235">
        <f t="shared" si="476"/>
        <v>27293.388679516436</v>
      </c>
      <c r="FZ74" s="235">
        <f t="shared" si="476"/>
        <v>27429.855622914016</v>
      </c>
      <c r="GA74" s="235">
        <f t="shared" si="476"/>
        <v>27567.004901028584</v>
      </c>
      <c r="GB74" s="235">
        <f t="shared" si="476"/>
        <v>27704.839925533724</v>
      </c>
      <c r="GC74" s="235">
        <f t="shared" si="476"/>
        <v>27843.364125161392</v>
      </c>
      <c r="GD74" s="235">
        <f t="shared" si="476"/>
        <v>27982.580945787195</v>
      </c>
      <c r="GE74" s="235">
        <f t="shared" si="476"/>
        <v>28122.493850516126</v>
      </c>
      <c r="GF74" s="235">
        <f t="shared" si="476"/>
        <v>28263.106319768704</v>
      </c>
      <c r="GG74" s="235">
        <f t="shared" si="476"/>
        <v>28404.421851367544</v>
      </c>
      <c r="GH74" s="235">
        <f t="shared" si="476"/>
        <v>28546.44396062438</v>
      </c>
      <c r="GI74" s="235">
        <f t="shared" si="476"/>
        <v>28689.176180427497</v>
      </c>
      <c r="GJ74" s="235">
        <f t="shared" si="476"/>
        <v>28832.622061329632</v>
      </c>
      <c r="GK74" s="235">
        <f t="shared" si="476"/>
        <v>28976.785171636278</v>
      </c>
      <c r="GL74" s="235">
        <f t="shared" si="476"/>
        <v>29121.669097494458</v>
      </c>
      <c r="GM74" s="235">
        <f t="shared" si="476"/>
        <v>29267.277442981926</v>
      </c>
      <c r="GN74" s="235">
        <f t="shared" si="476"/>
        <v>29413.613830196831</v>
      </c>
      <c r="GO74" s="235">
        <f t="shared" si="476"/>
        <v>29560.681899347812</v>
      </c>
      <c r="GP74" s="235">
        <f t="shared" si="476"/>
        <v>29708.485308844549</v>
      </c>
      <c r="GQ74" s="235">
        <f t="shared" si="476"/>
        <v>29857.027735388769</v>
      </c>
      <c r="GR74" s="235">
        <f t="shared" si="476"/>
        <v>30006.312874065708</v>
      </c>
      <c r="GS74" s="235">
        <f t="shared" si="476"/>
        <v>30156.344438436034</v>
      </c>
      <c r="GT74" s="235">
        <f t="shared" si="476"/>
        <v>30307.12616062821</v>
      </c>
      <c r="GU74" s="235">
        <f t="shared" si="476"/>
        <v>30458.661791431347</v>
      </c>
      <c r="GV74" s="235">
        <f t="shared" si="476"/>
        <v>30610.955100388499</v>
      </c>
      <c r="GW74" s="235">
        <f t="shared" si="476"/>
        <v>30764.009875890439</v>
      </c>
      <c r="GX74" s="235">
        <f t="shared" si="476"/>
        <v>30917.829925269889</v>
      </c>
      <c r="GY74" s="235">
        <f t="shared" si="476"/>
        <v>31072.419074896236</v>
      </c>
      <c r="GZ74" s="235">
        <f t="shared" si="476"/>
        <v>31227.781170270715</v>
      </c>
      <c r="HA74" s="235">
        <f t="shared" si="476"/>
        <v>31383.920076122064</v>
      </c>
      <c r="HB74" s="235">
        <f t="shared" si="476"/>
        <v>31540.83967650267</v>
      </c>
      <c r="HC74" s="235">
        <f t="shared" si="476"/>
        <v>31698.543874885181</v>
      </c>
      <c r="HD74" s="235">
        <f t="shared" si="476"/>
        <v>31857.036594259604</v>
      </c>
      <c r="HE74" s="235">
        <f t="shared" si="476"/>
        <v>32016.3217772309</v>
      </c>
      <c r="HF74" s="235">
        <f t="shared" si="476"/>
        <v>32176.40338611705</v>
      </c>
      <c r="HG74" s="235">
        <f t="shared" si="476"/>
        <v>32337.285403047634</v>
      </c>
      <c r="HH74" s="235">
        <f t="shared" si="476"/>
        <v>32498.97183006287</v>
      </c>
      <c r="HI74" s="235">
        <f t="shared" si="476"/>
        <v>32661.466689213183</v>
      </c>
      <c r="HJ74" s="235">
        <f t="shared" si="476"/>
        <v>32824.774022659243</v>
      </c>
      <c r="HK74" s="235">
        <f t="shared" si="476"/>
        <v>32988.897892772533</v>
      </c>
      <c r="HL74" s="235">
        <f t="shared" si="476"/>
        <v>33153.842382236391</v>
      </c>
      <c r="HM74" s="235">
        <f t="shared" si="476"/>
        <v>33319.611594147573</v>
      </c>
      <c r="HN74" s="235">
        <f t="shared" si="476"/>
        <v>33486.209652118305</v>
      </c>
      <c r="HO74" s="235">
        <f t="shared" si="476"/>
        <v>33653.640700378892</v>
      </c>
      <c r="HP74" s="235">
        <f t="shared" si="476"/>
        <v>33821.90890388078</v>
      </c>
      <c r="HQ74" s="235">
        <f t="shared" si="476"/>
        <v>33991.01844840018</v>
      </c>
      <c r="HR74" s="235">
        <f t="shared" si="476"/>
        <v>34160.973540642175</v>
      </c>
      <c r="HS74" s="235">
        <f t="shared" si="476"/>
        <v>34331.778408345381</v>
      </c>
      <c r="HT74" s="235">
        <f t="shared" si="476"/>
        <v>34503.437300387101</v>
      </c>
      <c r="HU74" s="235">
        <f t="shared" si="476"/>
        <v>34675.95448688903</v>
      </c>
      <c r="HV74" s="235">
        <f t="shared" si="476"/>
        <v>34849.33425932347</v>
      </c>
      <c r="HW74" s="235">
        <f t="shared" si="476"/>
        <v>35023.580930620083</v>
      </c>
      <c r="HX74" s="235">
        <f t="shared" ref="HX74:JJ74" si="477">+HW74*(1+$FN$77)</f>
        <v>35198.698835273179</v>
      </c>
      <c r="HY74" s="235">
        <f t="shared" si="477"/>
        <v>35374.692329449543</v>
      </c>
      <c r="HZ74" s="235">
        <f t="shared" si="477"/>
        <v>35551.565791096786</v>
      </c>
      <c r="IA74" s="235">
        <f t="shared" si="477"/>
        <v>35729.323620052266</v>
      </c>
      <c r="IB74" s="235">
        <f t="shared" si="477"/>
        <v>35907.97023815252</v>
      </c>
      <c r="IC74" s="235">
        <f t="shared" si="477"/>
        <v>36087.510089343275</v>
      </c>
      <c r="ID74" s="235">
        <f t="shared" si="477"/>
        <v>36267.947639789985</v>
      </c>
      <c r="IE74" s="235">
        <f t="shared" si="477"/>
        <v>36449.287377988934</v>
      </c>
      <c r="IF74" s="235">
        <f t="shared" si="477"/>
        <v>36631.533814878872</v>
      </c>
      <c r="IG74" s="235">
        <f t="shared" si="477"/>
        <v>36814.691483953262</v>
      </c>
      <c r="IH74" s="235">
        <f t="shared" si="477"/>
        <v>36998.764941373025</v>
      </c>
      <c r="II74" s="235">
        <f t="shared" si="477"/>
        <v>37183.758766079889</v>
      </c>
      <c r="IJ74" s="235">
        <f t="shared" si="477"/>
        <v>37369.677559910284</v>
      </c>
      <c r="IK74" s="235">
        <f t="shared" si="477"/>
        <v>37556.52594770983</v>
      </c>
      <c r="IL74" s="235">
        <f t="shared" si="477"/>
        <v>37744.308577448377</v>
      </c>
      <c r="IM74" s="235">
        <f t="shared" si="477"/>
        <v>37933.030120335614</v>
      </c>
      <c r="IN74" s="235">
        <f t="shared" si="477"/>
        <v>38122.695270937285</v>
      </c>
      <c r="IO74" s="235">
        <f t="shared" si="477"/>
        <v>38313.308747291965</v>
      </c>
      <c r="IP74" s="235">
        <f t="shared" si="477"/>
        <v>38504.875291028424</v>
      </c>
      <c r="IQ74" s="235">
        <f t="shared" si="477"/>
        <v>38697.399667483565</v>
      </c>
      <c r="IR74" s="235">
        <f t="shared" si="477"/>
        <v>38890.886665820981</v>
      </c>
      <c r="IS74" s="235">
        <f t="shared" si="477"/>
        <v>39085.341099150079</v>
      </c>
      <c r="IT74" s="235">
        <f t="shared" si="477"/>
        <v>39280.767804645824</v>
      </c>
      <c r="IU74" s="235">
        <f t="shared" si="477"/>
        <v>39477.171643669048</v>
      </c>
      <c r="IV74" s="235">
        <f t="shared" si="477"/>
        <v>39674.557501887386</v>
      </c>
      <c r="IW74" s="235">
        <f t="shared" si="477"/>
        <v>39872.93028939682</v>
      </c>
      <c r="IX74" s="235">
        <f t="shared" si="477"/>
        <v>40072.2949408438</v>
      </c>
      <c r="IY74" s="235">
        <f t="shared" si="477"/>
        <v>40272.656415548016</v>
      </c>
      <c r="IZ74" s="235">
        <f t="shared" si="477"/>
        <v>40474.01969762575</v>
      </c>
      <c r="JA74" s="235">
        <f t="shared" si="477"/>
        <v>40676.389796113872</v>
      </c>
      <c r="JB74" s="235">
        <f t="shared" si="477"/>
        <v>40879.77174509444</v>
      </c>
      <c r="JC74" s="235">
        <f t="shared" si="477"/>
        <v>41084.170603819904</v>
      </c>
      <c r="JD74" s="235">
        <f t="shared" si="477"/>
        <v>41289.591456839</v>
      </c>
      <c r="JE74" s="235">
        <f t="shared" si="477"/>
        <v>41496.039414123188</v>
      </c>
      <c r="JF74" s="235">
        <f t="shared" si="477"/>
        <v>41703.519611193798</v>
      </c>
      <c r="JG74" s="235">
        <f t="shared" si="477"/>
        <v>41912.037209249764</v>
      </c>
      <c r="JH74" s="235">
        <f t="shared" si="477"/>
        <v>42121.597395296005</v>
      </c>
      <c r="JI74" s="235">
        <f t="shared" si="477"/>
        <v>42332.205382272477</v>
      </c>
      <c r="JJ74" s="235">
        <f t="shared" si="477"/>
        <v>42543.866409183836</v>
      </c>
    </row>
    <row r="75" spans="1:270" s="281" customFormat="1" ht="12.75" customHeight="1" x14ac:dyDescent="0.2">
      <c r="B75" s="1" t="s">
        <v>344</v>
      </c>
      <c r="C75" s="282">
        <f t="shared" ref="C75:AY75" si="478">C74/C76</f>
        <v>0.34093466356612412</v>
      </c>
      <c r="D75" s="282">
        <f t="shared" si="478"/>
        <v>0.34108818011257036</v>
      </c>
      <c r="E75" s="282">
        <f t="shared" si="478"/>
        <v>0.32020073402741372</v>
      </c>
      <c r="F75" s="282">
        <f t="shared" si="478"/>
        <v>0.23470680277177558</v>
      </c>
      <c r="G75" s="282">
        <f t="shared" si="478"/>
        <v>0.36735287699134356</v>
      </c>
      <c r="H75" s="282">
        <f t="shared" si="478"/>
        <v>0.36694902877172481</v>
      </c>
      <c r="I75" s="282">
        <f t="shared" si="478"/>
        <v>0.34996358339402767</v>
      </c>
      <c r="J75" s="282">
        <f t="shared" si="478"/>
        <v>0.25262467191601051</v>
      </c>
      <c r="K75" s="282">
        <f t="shared" si="478"/>
        <v>0.41065967671472253</v>
      </c>
      <c r="L75" s="282">
        <f t="shared" si="478"/>
        <v>0.42006109979633405</v>
      </c>
      <c r="M75" s="282">
        <f t="shared" si="478"/>
        <v>0.40004368083867214</v>
      </c>
      <c r="N75" s="282">
        <f t="shared" si="478"/>
        <v>0.26558647411060232</v>
      </c>
      <c r="O75" s="282">
        <f t="shared" si="478"/>
        <v>0.46562721474131824</v>
      </c>
      <c r="P75" s="282">
        <f t="shared" si="478"/>
        <v>0.47078381437464634</v>
      </c>
      <c r="Q75" s="282">
        <f t="shared" si="478"/>
        <v>0.44661154688714583</v>
      </c>
      <c r="R75" s="282">
        <f t="shared" si="478"/>
        <v>0.33286368439591407</v>
      </c>
      <c r="S75" s="282">
        <f t="shared" si="478"/>
        <v>0.53014773450201458</v>
      </c>
      <c r="T75" s="282">
        <f t="shared" si="478"/>
        <v>0.47645073139366662</v>
      </c>
      <c r="U75" s="282">
        <f t="shared" si="478"/>
        <v>0.49149763733967661</v>
      </c>
      <c r="V75" s="282">
        <f t="shared" si="478"/>
        <v>0.38767140843265413</v>
      </c>
      <c r="W75" s="282">
        <f t="shared" si="478"/>
        <v>0.58868845092123001</v>
      </c>
      <c r="X75" s="282">
        <f t="shared" si="478"/>
        <v>0.63793047274622872</v>
      </c>
      <c r="Y75" s="282">
        <f t="shared" si="478"/>
        <v>0.56992764396867879</v>
      </c>
      <c r="Z75" s="282">
        <f t="shared" si="478"/>
        <v>0.45771736614082087</v>
      </c>
      <c r="AA75" s="282">
        <f t="shared" si="478"/>
        <v>0.6920655954944509</v>
      </c>
      <c r="AB75" s="282">
        <f t="shared" si="478"/>
        <v>0.69902269339075696</v>
      </c>
      <c r="AC75" s="282">
        <f t="shared" si="478"/>
        <v>0.68842868065020102</v>
      </c>
      <c r="AD75" s="282">
        <f t="shared" si="478"/>
        <v>0.65881413455779592</v>
      </c>
      <c r="AE75" s="282">
        <f t="shared" si="478"/>
        <v>0.97117752779072097</v>
      </c>
      <c r="AF75" s="282">
        <f t="shared" si="478"/>
        <v>0.95364855422087635</v>
      </c>
      <c r="AG75" s="282">
        <f t="shared" si="478"/>
        <v>0.78398138916583582</v>
      </c>
      <c r="AH75" s="282">
        <f t="shared" si="478"/>
        <v>0.66567114650738346</v>
      </c>
      <c r="AI75" s="282">
        <f t="shared" si="478"/>
        <v>0.93891589774117812</v>
      </c>
      <c r="AJ75" s="282">
        <f t="shared" si="478"/>
        <v>0.99679307038714593</v>
      </c>
      <c r="AK75" s="282">
        <f t="shared" si="478"/>
        <v>0.84425520590779057</v>
      </c>
      <c r="AL75" s="282">
        <f t="shared" si="478"/>
        <v>0.69719595155135228</v>
      </c>
      <c r="AM75" s="282">
        <f t="shared" si="478"/>
        <v>1.1167173455408161</v>
      </c>
      <c r="AN75" s="282">
        <f t="shared" si="478"/>
        <v>1.0328133405056481</v>
      </c>
      <c r="AO75" s="282">
        <f t="shared" si="478"/>
        <v>0.97520436891557272</v>
      </c>
      <c r="AP75" s="282">
        <f t="shared" si="478"/>
        <v>0.81379875115160205</v>
      </c>
      <c r="AQ75" s="282">
        <f>AQ74/AQ76</f>
        <v>1.1729302739117053</v>
      </c>
      <c r="AR75" s="282">
        <f t="shared" si="478"/>
        <v>1.0579982891360138</v>
      </c>
      <c r="AS75" s="282">
        <f t="shared" si="478"/>
        <v>1.0674647258745578</v>
      </c>
      <c r="AT75" s="282">
        <f t="shared" si="478"/>
        <v>1.0009770870829295</v>
      </c>
      <c r="AU75" s="282">
        <f t="shared" si="478"/>
        <v>1.2552768377350592</v>
      </c>
      <c r="AV75" s="282">
        <f t="shared" si="478"/>
        <v>1.1835629921259843</v>
      </c>
      <c r="AW75" s="282">
        <f t="shared" si="478"/>
        <v>1.169074276833963</v>
      </c>
      <c r="AX75" s="282">
        <f t="shared" si="478"/>
        <v>0.93732153055396916</v>
      </c>
      <c r="AY75" s="282">
        <f t="shared" si="478"/>
        <v>1.2570793605276362</v>
      </c>
      <c r="AZ75" s="282">
        <f t="shared" ref="AZ75:BG75" si="479">AZ74/AZ76</f>
        <v>1.1531272465851905</v>
      </c>
      <c r="BA75" s="282">
        <f t="shared" si="479"/>
        <v>1.1976369495166488</v>
      </c>
      <c r="BB75" s="282">
        <f t="shared" si="479"/>
        <v>1.0312891113892366</v>
      </c>
      <c r="BC75" s="282">
        <f t="shared" si="479"/>
        <v>1.2926750795409858</v>
      </c>
      <c r="BD75" s="282">
        <f t="shared" si="479"/>
        <v>1.2306866952789699</v>
      </c>
      <c r="BE75" s="282">
        <f t="shared" si="479"/>
        <v>1.2263135228251507</v>
      </c>
      <c r="BF75" s="282">
        <f t="shared" si="479"/>
        <v>1.0296232384239288</v>
      </c>
      <c r="BG75" s="282">
        <f t="shared" si="479"/>
        <v>1.539654488404804</v>
      </c>
      <c r="BH75" s="282">
        <f t="shared" ref="BH75:BN75" si="480">BH74/BH76</f>
        <v>1.2098658900514148</v>
      </c>
      <c r="BI75" s="282">
        <f>BI74/BI76</f>
        <v>1.1525448131883955</v>
      </c>
      <c r="BJ75" s="282">
        <f t="shared" si="480"/>
        <v>2.0597489963470648</v>
      </c>
      <c r="BK75" s="282">
        <f t="shared" si="480"/>
        <v>1.4090597859382319</v>
      </c>
      <c r="BL75" s="282">
        <f t="shared" si="480"/>
        <v>1.2940461725394898</v>
      </c>
      <c r="BM75" s="282">
        <f t="shared" si="480"/>
        <v>1.2231645434867464</v>
      </c>
      <c r="BN75" s="282">
        <f t="shared" si="480"/>
        <v>1.0076233500388225</v>
      </c>
      <c r="BO75" s="282">
        <f t="shared" ref="BO75:BR75" si="481">BO74/BO76</f>
        <v>1.2606688120889884</v>
      </c>
      <c r="BP75" s="282">
        <f t="shared" si="481"/>
        <v>1.5019011406844107</v>
      </c>
      <c r="BQ75" s="282">
        <f t="shared" si="481"/>
        <v>1.3824101068999028</v>
      </c>
      <c r="BR75" s="282">
        <f t="shared" si="481"/>
        <v>1.2703882311977714</v>
      </c>
      <c r="BS75" s="282">
        <f t="shared" ref="BS75:BV75" si="482">BS74/BS76</f>
        <v>1.7466170382996489</v>
      </c>
      <c r="BT75" s="282">
        <f t="shared" si="482"/>
        <v>1.5969661123095122</v>
      </c>
      <c r="BU75" s="282">
        <f t="shared" si="482"/>
        <v>1.1884230003840379</v>
      </c>
      <c r="BV75" s="282">
        <f t="shared" si="482"/>
        <v>1.2793027097318384</v>
      </c>
      <c r="BW75" s="282">
        <f t="shared" ref="BW75:BZ75" si="483">BW74/BW76</f>
        <v>1.40552016985138</v>
      </c>
      <c r="BX75" s="282">
        <f t="shared" si="483"/>
        <v>1.2748933143669985</v>
      </c>
      <c r="BY75" s="282">
        <f t="shared" si="483"/>
        <v>1.3493872898261614</v>
      </c>
      <c r="BZ75" s="282">
        <f t="shared" si="483"/>
        <v>0.97492241287054537</v>
      </c>
      <c r="CA75" s="282">
        <f t="shared" ref="CA75:CC75" si="484">+CA74/CA76</f>
        <v>1.6373327609644415</v>
      </c>
      <c r="CB75" s="282">
        <f t="shared" si="484"/>
        <v>1.6809820342137285</v>
      </c>
      <c r="CC75" s="282">
        <f t="shared" si="484"/>
        <v>1.5559704171752711</v>
      </c>
      <c r="CD75" s="282">
        <f t="shared" ref="CD75:CE75" si="485">+CD74/CD76</f>
        <v>1.4501718213058419</v>
      </c>
      <c r="CE75" s="282">
        <f t="shared" si="485"/>
        <v>1.6362316209838446</v>
      </c>
      <c r="CF75" s="282">
        <f t="shared" ref="CF75:CG75" si="486">+CF74/CF76</f>
        <v>1.6144446470910085</v>
      </c>
      <c r="CG75" s="282">
        <f t="shared" si="486"/>
        <v>1.4000803594257956</v>
      </c>
      <c r="CH75" s="282">
        <f t="shared" ref="CH75:CJ75" si="487">+CH74/CH76</f>
        <v>1.778092293940184</v>
      </c>
      <c r="CI75" s="282">
        <f t="shared" si="487"/>
        <v>1.6138950913283794</v>
      </c>
      <c r="CJ75" s="282">
        <f t="shared" si="487"/>
        <v>1.6076875022966963</v>
      </c>
      <c r="CK75" s="282">
        <f t="shared" ref="CK75:CL75" si="488">+CK74/CK76</f>
        <v>2.1205455345358559</v>
      </c>
      <c r="CL75" s="282">
        <f t="shared" si="488"/>
        <v>1.9629221732745963</v>
      </c>
      <c r="CM75" s="282">
        <f t="shared" ref="CM75:CN75" si="489">+CM74/CM76</f>
        <v>1.7322513709796945</v>
      </c>
      <c r="CN75" s="282">
        <f t="shared" si="489"/>
        <v>1.4797339971022032</v>
      </c>
      <c r="CO75" s="282">
        <f t="shared" ref="CO75:CQ75" si="490">+CO74/CO76</f>
        <v>2.1154350350200382</v>
      </c>
      <c r="CP75" s="282">
        <f t="shared" si="490"/>
        <v>1.896144767899292</v>
      </c>
      <c r="CQ75" s="282">
        <f t="shared" si="490"/>
        <v>1.9056533133657807</v>
      </c>
      <c r="CR75" s="282">
        <f t="shared" ref="CR75" si="491">+CR74/CR76</f>
        <v>1.3862314762708685</v>
      </c>
      <c r="CS75" s="282">
        <f>+CS74/CS76</f>
        <v>1.8583739228175347</v>
      </c>
      <c r="CT75" s="282">
        <f>+CT74/CT76</f>
        <v>1.5357811914574746</v>
      </c>
      <c r="CU75" s="282">
        <f>+CU74/CU76</f>
        <v>2.3384592359785987</v>
      </c>
      <c r="CV75" s="282">
        <f t="shared" ref="CV75" si="492">+CV74/CV76</f>
        <v>2.5280730648300644</v>
      </c>
      <c r="CW75" s="282">
        <f>+CW74/CW76</f>
        <v>2.4202773935474222</v>
      </c>
      <c r="CX75" s="282">
        <f>+CX74/CX76</f>
        <v>1.8325842696629213</v>
      </c>
      <c r="CY75" s="282">
        <f>+CY74/CY76</f>
        <v>2.2227639227451714</v>
      </c>
      <c r="CZ75" s="282">
        <f t="shared" ref="CZ75:DG75" si="493">+CZ74/CZ76</f>
        <v>2.6316578582405636</v>
      </c>
      <c r="DA75" s="282">
        <f t="shared" si="493"/>
        <v>4.2005786645624319</v>
      </c>
      <c r="DB75" s="282">
        <f t="shared" si="493"/>
        <v>2.4116071091656921</v>
      </c>
      <c r="DC75" s="282">
        <f t="shared" si="493"/>
        <v>1.932834388792938</v>
      </c>
      <c r="DD75" s="282">
        <f t="shared" si="493"/>
        <v>2.0501199680085311</v>
      </c>
      <c r="DE75" s="282">
        <f t="shared" si="493"/>
        <v>1.8319802329685846</v>
      </c>
      <c r="DF75" s="282">
        <f t="shared" si="493"/>
        <v>2.3746245937384294</v>
      </c>
      <c r="DG75" s="282">
        <f t="shared" si="493"/>
        <v>2.7072959960495453</v>
      </c>
      <c r="DH75" s="282">
        <f t="shared" ref="DH75:DN75" si="494">+DH74/DH76</f>
        <v>2.0119735755573904</v>
      </c>
      <c r="DI75" s="282">
        <f t="shared" si="494"/>
        <v>6.9568538398018163</v>
      </c>
      <c r="DJ75" s="282">
        <f t="shared" si="494"/>
        <v>6.8489801816680425</v>
      </c>
      <c r="DK75" s="282">
        <f t="shared" si="494"/>
        <v>6.7051207679603628</v>
      </c>
      <c r="DL75" s="282">
        <f t="shared" si="494"/>
        <v>6.8151279933938884</v>
      </c>
      <c r="DM75" s="282">
        <f t="shared" si="494"/>
        <v>6.8161761973575565</v>
      </c>
      <c r="DN75" s="282">
        <f t="shared" si="494"/>
        <v>6.7596412159372425</v>
      </c>
      <c r="DP75" s="282">
        <f t="shared" ref="DP75:EQ75" si="495">DP74/DP76</f>
        <v>0.40603422395676969</v>
      </c>
      <c r="DQ75" s="282">
        <f t="shared" si="495"/>
        <v>0.47156254726970198</v>
      </c>
      <c r="DR75" s="282">
        <f t="shared" si="495"/>
        <v>0.4759850708145893</v>
      </c>
      <c r="DS75" s="282">
        <f t="shared" si="495"/>
        <v>0.52940839182345845</v>
      </c>
      <c r="DT75" s="282">
        <f t="shared" si="495"/>
        <v>0.58218178406300991</v>
      </c>
      <c r="DU75" s="282">
        <f t="shared" si="495"/>
        <v>0.65351385866378242</v>
      </c>
      <c r="DV75" s="282">
        <f t="shared" si="495"/>
        <v>0.78282591359009235</v>
      </c>
      <c r="DW75" s="282">
        <f t="shared" si="495"/>
        <v>0.94049871516212935</v>
      </c>
      <c r="DX75" s="282">
        <f t="shared" si="495"/>
        <v>1.0760191396537975</v>
      </c>
      <c r="DY75" s="282">
        <f t="shared" si="495"/>
        <v>1.2496546835337472</v>
      </c>
      <c r="DZ75" s="282">
        <f t="shared" si="495"/>
        <v>1.3574032715796827</v>
      </c>
      <c r="EA75" s="282">
        <f t="shared" si="495"/>
        <v>1.5704391300920373</v>
      </c>
      <c r="EB75" s="282">
        <f t="shared" si="495"/>
        <v>1.8504142196944589</v>
      </c>
      <c r="EC75" s="282">
        <f t="shared" si="495"/>
        <v>2.5504287815058815</v>
      </c>
      <c r="ED75" s="282">
        <f t="shared" si="495"/>
        <v>2.9038000008760192</v>
      </c>
      <c r="EE75" s="282">
        <f t="shared" si="495"/>
        <v>3.1288886016701989</v>
      </c>
      <c r="EF75" s="282">
        <f t="shared" si="495"/>
        <v>3.2802394235223793</v>
      </c>
      <c r="EG75" s="282">
        <f t="shared" si="495"/>
        <v>3.7598784194528876</v>
      </c>
      <c r="EH75" s="282">
        <f>EH74/EH76</f>
        <v>4.2069005657186507</v>
      </c>
      <c r="EI75" s="282">
        <f t="shared" si="495"/>
        <v>4.5490126939351194</v>
      </c>
      <c r="EJ75" s="282">
        <f>EJ74/EJ76</f>
        <v>6.0130988325732666</v>
      </c>
      <c r="EK75" s="282">
        <f>EK74/EK76</f>
        <v>4.7116375332622535</v>
      </c>
      <c r="EL75" s="282">
        <f t="shared" si="495"/>
        <v>5.9586738877724805</v>
      </c>
      <c r="EM75" s="282">
        <f t="shared" si="495"/>
        <v>4.8147818185057814</v>
      </c>
      <c r="EN75" s="282">
        <f t="shared" si="495"/>
        <v>5.3269204693611476</v>
      </c>
      <c r="EO75" s="282">
        <f t="shared" si="495"/>
        <v>6.7952575953713632</v>
      </c>
      <c r="EP75" s="282">
        <f t="shared" si="495"/>
        <v>17.206297526205997</v>
      </c>
      <c r="EQ75" s="282">
        <f t="shared" si="495"/>
        <v>15.858812765135593</v>
      </c>
      <c r="ER75" s="282" t="e">
        <f t="shared" ref="ER75:EY75" si="496">ER74/ER76</f>
        <v>#DIV/0!</v>
      </c>
      <c r="ES75" s="282">
        <f t="shared" si="496"/>
        <v>7.3050466950333774</v>
      </c>
      <c r="ET75" s="282">
        <f t="shared" si="496"/>
        <v>7.2200948152290394</v>
      </c>
      <c r="EU75" s="282">
        <f t="shared" si="496"/>
        <v>6.6865895358096399</v>
      </c>
      <c r="EV75" s="282">
        <f t="shared" si="496"/>
        <v>9.2036822213074885</v>
      </c>
      <c r="EW75" s="282">
        <f t="shared" si="496"/>
        <v>11.416344457374526</v>
      </c>
      <c r="EX75" s="282">
        <f t="shared" si="496"/>
        <v>11.436440807513025</v>
      </c>
      <c r="EY75" s="282">
        <f t="shared" si="496"/>
        <v>11.831660095014493</v>
      </c>
      <c r="EZ75" s="282">
        <f t="shared" ref="EZ75:FE75" si="497">EZ74/EZ76</f>
        <v>9.89244144658905</v>
      </c>
      <c r="FA75" s="282">
        <f t="shared" si="497"/>
        <v>9.0426308120663457</v>
      </c>
      <c r="FB75" s="282">
        <f t="shared" si="497"/>
        <v>9.0346704531340478</v>
      </c>
      <c r="FC75" s="282">
        <f t="shared" si="497"/>
        <v>9.2467893035603854</v>
      </c>
      <c r="FD75" s="282">
        <f t="shared" si="497"/>
        <v>9.1504772707115105</v>
      </c>
      <c r="FE75" s="282">
        <f t="shared" si="497"/>
        <v>9.1679850395472204</v>
      </c>
      <c r="FF75" s="282">
        <f t="shared" ref="FF75:FJ75" si="498">FF74/FF76</f>
        <v>9.2526513258126339</v>
      </c>
      <c r="FG75" s="282">
        <f t="shared" si="498"/>
        <v>9.3803035458857202</v>
      </c>
      <c r="FH75" s="282">
        <f t="shared" si="498"/>
        <v>9.5382116437013451</v>
      </c>
      <c r="FI75" s="282">
        <f t="shared" si="498"/>
        <v>9.7195285129704097</v>
      </c>
      <c r="FJ75" s="282">
        <f t="shared" si="498"/>
        <v>9.9204810136201385</v>
      </c>
    </row>
    <row r="76" spans="1:270" ht="12.75" customHeight="1" x14ac:dyDescent="0.2">
      <c r="B76" t="s">
        <v>349</v>
      </c>
      <c r="C76" s="235">
        <f>1333.1*2</f>
        <v>2666.2</v>
      </c>
      <c r="D76" s="235">
        <f>1332.5*2</f>
        <v>2665</v>
      </c>
      <c r="E76" s="235">
        <f>1335.1*2</f>
        <v>2670.2</v>
      </c>
      <c r="F76" s="235">
        <f>1342.1*2</f>
        <v>2684.2</v>
      </c>
      <c r="G76" s="235">
        <f>1374.7*2</f>
        <v>2749.4</v>
      </c>
      <c r="H76" s="235">
        <f>1369.4*2</f>
        <v>2738.8</v>
      </c>
      <c r="I76" s="235">
        <f>1373*2</f>
        <v>2746</v>
      </c>
      <c r="J76" s="235">
        <f>1371.6*2</f>
        <v>2743.2</v>
      </c>
      <c r="K76" s="235">
        <f>1373.4*2</f>
        <v>2746.8</v>
      </c>
      <c r="L76" s="235">
        <f>1374.8*2</f>
        <v>2749.6</v>
      </c>
      <c r="M76" s="235">
        <f>1373.6*2</f>
        <v>2747.2</v>
      </c>
      <c r="N76" s="235">
        <f>1419.5*2</f>
        <v>2839</v>
      </c>
      <c r="O76" s="235">
        <f>1411*2</f>
        <v>2822</v>
      </c>
      <c r="P76" s="235">
        <f>1413.6*2</f>
        <v>2827.2</v>
      </c>
      <c r="Q76" s="235">
        <f>1415.1*2</f>
        <v>2830.2</v>
      </c>
      <c r="R76" s="235">
        <f>1419.5*2</f>
        <v>2839</v>
      </c>
      <c r="S76" s="235">
        <f>1414.7*2</f>
        <v>2829.4</v>
      </c>
      <c r="T76" s="235">
        <v>3110.5</v>
      </c>
      <c r="U76" s="235">
        <v>3110.9</v>
      </c>
      <c r="V76" s="235">
        <v>3121.2</v>
      </c>
      <c r="W76" s="235">
        <v>3115.4</v>
      </c>
      <c r="X76" s="235">
        <v>3069.3</v>
      </c>
      <c r="Y76" s="235">
        <v>3026.7</v>
      </c>
      <c r="Z76" s="235">
        <f>3023.7</f>
        <v>3023.7</v>
      </c>
      <c r="AA76" s="235">
        <v>3018.5</v>
      </c>
      <c r="AB76" s="235">
        <v>3018.5</v>
      </c>
      <c r="AC76" s="235">
        <v>3008.3</v>
      </c>
      <c r="AD76" s="235">
        <v>3005.4</v>
      </c>
      <c r="AE76" s="243">
        <v>3004.6</v>
      </c>
      <c r="AF76" s="243">
        <v>3005.3</v>
      </c>
      <c r="AG76" s="243">
        <v>3009</v>
      </c>
      <c r="AH76" s="243">
        <v>3013.5</v>
      </c>
      <c r="AI76" s="243">
        <v>3023.7</v>
      </c>
      <c r="AJ76" s="243">
        <v>3024.7</v>
      </c>
      <c r="AK76" s="243">
        <v>3006.2</v>
      </c>
      <c r="AL76" s="243">
        <v>3013.5</v>
      </c>
      <c r="AM76" s="243">
        <v>2992.7</v>
      </c>
      <c r="AN76" s="243">
        <v>2974.4</v>
      </c>
      <c r="AO76" s="243">
        <v>2948.1</v>
      </c>
      <c r="AP76" s="243">
        <v>2930.7</v>
      </c>
      <c r="AQ76" s="243">
        <v>2924.3</v>
      </c>
      <c r="AR76" s="243">
        <v>2922.5</v>
      </c>
      <c r="AS76" s="243">
        <v>2912.9</v>
      </c>
      <c r="AT76" s="243">
        <v>2889.2</v>
      </c>
      <c r="AU76" s="243">
        <v>2866.3</v>
      </c>
      <c r="AV76" s="243">
        <v>2844.8</v>
      </c>
      <c r="AW76" s="243">
        <v>2831.3</v>
      </c>
      <c r="AX76" s="243">
        <v>2801.6</v>
      </c>
      <c r="AY76" s="243">
        <v>2789.8</v>
      </c>
      <c r="AZ76" s="243">
        <v>2782</v>
      </c>
      <c r="BA76" s="243">
        <v>2793</v>
      </c>
      <c r="BB76" s="243">
        <v>2796.5</v>
      </c>
      <c r="BC76" s="243">
        <v>2797.3</v>
      </c>
      <c r="BD76" s="243">
        <v>2796</v>
      </c>
      <c r="BE76" s="243">
        <v>2786.4</v>
      </c>
      <c r="BF76" s="243">
        <v>2781.6</v>
      </c>
      <c r="BG76" s="243">
        <v>2772.7</v>
      </c>
      <c r="BH76" s="243">
        <v>2781.3</v>
      </c>
      <c r="BI76" s="243">
        <v>2778.2</v>
      </c>
      <c r="BJ76" s="243">
        <v>2764.9</v>
      </c>
      <c r="BK76" s="243">
        <v>2774.9</v>
      </c>
      <c r="BL76" s="243">
        <v>2798.2</v>
      </c>
      <c r="BM76" s="243">
        <v>2818.1</v>
      </c>
      <c r="BN76" s="243">
        <v>2833.4</v>
      </c>
      <c r="BO76" s="243">
        <v>2858.8</v>
      </c>
      <c r="BP76" s="243">
        <v>2893</v>
      </c>
      <c r="BQ76" s="243">
        <v>2881.2</v>
      </c>
      <c r="BR76" s="243">
        <v>2872</v>
      </c>
      <c r="BS76" s="243">
        <v>2874.7</v>
      </c>
      <c r="BT76" s="243">
        <v>2874.2</v>
      </c>
      <c r="BU76" s="243">
        <v>2864.3</v>
      </c>
      <c r="BV76" s="243">
        <v>2845.3</v>
      </c>
      <c r="BW76" s="243">
        <v>2826</v>
      </c>
      <c r="BX76" s="243">
        <v>2812</v>
      </c>
      <c r="BY76" s="243">
        <v>2807.2</v>
      </c>
      <c r="BZ76" s="243">
        <v>2803.3</v>
      </c>
      <c r="CA76" s="243">
        <v>2795.4</v>
      </c>
      <c r="CB76" s="243">
        <v>2794.2</v>
      </c>
      <c r="CC76" s="243">
        <v>2785.4</v>
      </c>
      <c r="CD76" s="243">
        <v>2764.5</v>
      </c>
      <c r="CE76" s="243">
        <v>2754.5</v>
      </c>
      <c r="CF76" s="243">
        <v>2741.5</v>
      </c>
      <c r="CG76" s="243">
        <v>2737.7</v>
      </c>
      <c r="CH76" s="243">
        <v>2684.9</v>
      </c>
      <c r="CI76" s="243">
        <v>2731.9</v>
      </c>
      <c r="CJ76" s="243">
        <v>2721.3</v>
      </c>
      <c r="CK76" s="243">
        <v>2727.6</v>
      </c>
      <c r="CL76" s="243">
        <v>2724</v>
      </c>
      <c r="CM76" s="243">
        <v>2698.8</v>
      </c>
      <c r="CN76" s="243">
        <v>2691.7</v>
      </c>
      <c r="CO76" s="243">
        <v>2669.9</v>
      </c>
      <c r="CP76" s="243">
        <v>2669.1</v>
      </c>
      <c r="CQ76" s="243">
        <v>2671</v>
      </c>
      <c r="CR76" s="243">
        <v>2665.5</v>
      </c>
      <c r="CS76" s="243">
        <v>2669</v>
      </c>
      <c r="CT76" s="243">
        <v>2669</v>
      </c>
      <c r="CU76" s="243">
        <v>2672.7</v>
      </c>
      <c r="CV76" s="243">
        <v>2671.6</v>
      </c>
      <c r="CW76" s="243">
        <v>2674.9</v>
      </c>
      <c r="CX76" s="243">
        <v>2670</v>
      </c>
      <c r="CY76" s="243">
        <v>2666.5</v>
      </c>
      <c r="CZ76" s="243">
        <v>2667.9</v>
      </c>
      <c r="DA76" s="243">
        <v>2661.3</v>
      </c>
      <c r="DB76" s="243">
        <v>2650.1</v>
      </c>
      <c r="DC76" s="243">
        <v>2605.5</v>
      </c>
      <c r="DD76" s="243">
        <v>2625.7</v>
      </c>
      <c r="DE76" s="243">
        <v>2549.6999999999998</v>
      </c>
      <c r="DF76" s="243">
        <v>2430.6999999999998</v>
      </c>
      <c r="DG76" s="243">
        <v>2430.1</v>
      </c>
      <c r="DH76" s="243">
        <v>2422</v>
      </c>
      <c r="DI76" s="243">
        <f t="shared" ref="DI76:DN76" si="499">+DH76</f>
        <v>2422</v>
      </c>
      <c r="DJ76" s="243">
        <f t="shared" si="499"/>
        <v>2422</v>
      </c>
      <c r="DK76" s="243">
        <f t="shared" si="499"/>
        <v>2422</v>
      </c>
      <c r="DL76" s="243">
        <f t="shared" si="499"/>
        <v>2422</v>
      </c>
      <c r="DM76" s="243">
        <f t="shared" si="499"/>
        <v>2422</v>
      </c>
      <c r="DN76" s="243">
        <f t="shared" si="499"/>
        <v>2422</v>
      </c>
      <c r="DP76" s="276">
        <f>666.2*4</f>
        <v>2664.8</v>
      </c>
      <c r="DQ76" s="276">
        <f>661.1*4</f>
        <v>2644.4</v>
      </c>
      <c r="DR76" s="276">
        <f>767.356*4</f>
        <v>3069.424</v>
      </c>
      <c r="DS76" s="276">
        <f>767.366*4</f>
        <v>3069.4639999999999</v>
      </c>
      <c r="DT76" s="276">
        <f>767.372*4</f>
        <v>3069.4879999999998</v>
      </c>
      <c r="DU76" s="276">
        <f>767.39*4</f>
        <v>3069.56</v>
      </c>
      <c r="DV76" s="243">
        <f>767.412*4</f>
        <v>3069.6480000000001</v>
      </c>
      <c r="DW76" s="243">
        <f>1534.824*2</f>
        <v>3069.6480000000001</v>
      </c>
      <c r="DX76" s="243">
        <f>1534.824*2</f>
        <v>3069.6480000000001</v>
      </c>
      <c r="DY76" s="243">
        <f>1534.824*2</f>
        <v>3069.6480000000001</v>
      </c>
      <c r="DZ76" s="243">
        <f>1534.916*2</f>
        <v>3069.8319999999999</v>
      </c>
      <c r="EA76" s="243">
        <f>1534.921*2</f>
        <v>3069.8420000000001</v>
      </c>
      <c r="EB76" s="243">
        <v>3119.8420000000001</v>
      </c>
      <c r="EC76" s="243">
        <f>3119.842-151.547</f>
        <v>2968.2950000000001</v>
      </c>
      <c r="ED76" s="235">
        <f>3119.842-151.869</f>
        <v>2967.973</v>
      </c>
      <c r="EE76" s="235">
        <f>3119.842-148.819</f>
        <v>2971.0230000000001</v>
      </c>
      <c r="EF76" s="235">
        <f>3119.842-145.364</f>
        <v>2974.4780000000001</v>
      </c>
      <c r="EG76" s="276">
        <v>2961</v>
      </c>
      <c r="EH76" s="276">
        <f>AVERAGE(AQ76:AT76)</f>
        <v>2912.2250000000004</v>
      </c>
      <c r="EI76" s="243">
        <f>AVERAGE(AU76:AX76)</f>
        <v>2836.0000000000005</v>
      </c>
      <c r="EJ76" s="243">
        <f>AVERAGE(AY76:BB76)</f>
        <v>2790.3249999999998</v>
      </c>
      <c r="EK76" s="243">
        <f>AVERAGE(BC76:BF76)</f>
        <v>2790.3250000000003</v>
      </c>
      <c r="EL76" s="243">
        <f>AVERAGE(BG76:BJ76)</f>
        <v>2774.2750000000001</v>
      </c>
      <c r="EM76" s="243">
        <f>AVERAGE(BK76:BN76)</f>
        <v>2806.15</v>
      </c>
      <c r="EN76" s="243">
        <f>AVERAGE(BO76:BR76)</f>
        <v>2876.25</v>
      </c>
      <c r="EO76" s="243">
        <f t="shared" ref="EO76:EP76" si="500">EN76</f>
        <v>2876.25</v>
      </c>
      <c r="EP76" s="243">
        <f t="shared" si="500"/>
        <v>2876.25</v>
      </c>
      <c r="EQ76" s="243">
        <f>EP76</f>
        <v>2876.25</v>
      </c>
      <c r="ER76" s="243"/>
      <c r="ES76" s="243">
        <f>AVERAGE(CI76:CL76)</f>
        <v>2726.2000000000003</v>
      </c>
      <c r="ET76" s="243">
        <f>AVERAGE(CM76:CP76)</f>
        <v>2682.375</v>
      </c>
      <c r="EU76" s="243">
        <f>AVERAGE(CQ76:CT76)</f>
        <v>2668.625</v>
      </c>
      <c r="EV76" s="243">
        <f>AVERAGE(CU76:CX76)</f>
        <v>2672.2999999999997</v>
      </c>
      <c r="EW76" s="243">
        <v>2663.9</v>
      </c>
      <c r="EX76" s="243">
        <f>AVERAGE(DC76:DF76)</f>
        <v>2552.8999999999996</v>
      </c>
      <c r="EY76" s="243">
        <f>+EX76</f>
        <v>2552.8999999999996</v>
      </c>
      <c r="EZ76" s="243">
        <f t="shared" ref="EZ76:FE76" si="501">+EY76</f>
        <v>2552.8999999999996</v>
      </c>
      <c r="FA76" s="243">
        <f t="shared" si="501"/>
        <v>2552.8999999999996</v>
      </c>
      <c r="FB76" s="243">
        <f t="shared" si="501"/>
        <v>2552.8999999999996</v>
      </c>
      <c r="FC76" s="243">
        <f t="shared" si="501"/>
        <v>2552.8999999999996</v>
      </c>
      <c r="FD76" s="243">
        <f t="shared" si="501"/>
        <v>2552.8999999999996</v>
      </c>
      <c r="FE76" s="243">
        <f t="shared" si="501"/>
        <v>2552.8999999999996</v>
      </c>
      <c r="FF76" s="243">
        <f t="shared" ref="FF76" si="502">+FE76</f>
        <v>2552.8999999999996</v>
      </c>
      <c r="FG76" s="243">
        <f t="shared" ref="FG76" si="503">+FF76</f>
        <v>2552.8999999999996</v>
      </c>
      <c r="FH76" s="243">
        <f t="shared" ref="FH76" si="504">+FG76</f>
        <v>2552.8999999999996</v>
      </c>
      <c r="FI76" s="243">
        <f t="shared" ref="FI76" si="505">+FH76</f>
        <v>2552.8999999999996</v>
      </c>
      <c r="FJ76" s="243">
        <f t="shared" ref="FJ76" si="506">+FI76</f>
        <v>2552.8999999999996</v>
      </c>
      <c r="FM76" t="s">
        <v>1433</v>
      </c>
      <c r="FN76" s="81">
        <v>5.0000000000000001E-3</v>
      </c>
    </row>
    <row r="77" spans="1:270" s="254" customFormat="1" ht="12.75" customHeight="1" x14ac:dyDescent="0.2">
      <c r="B77" t="s">
        <v>348</v>
      </c>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283"/>
      <c r="AJ77" s="283"/>
      <c r="AK77" s="283"/>
      <c r="AL77" s="283"/>
      <c r="AM77" s="283"/>
      <c r="AN77" s="283"/>
      <c r="AO77" s="283"/>
      <c r="AP77" s="283"/>
      <c r="AQ77" s="283"/>
      <c r="AR77" s="283"/>
      <c r="AS77" s="283"/>
      <c r="AT77" s="283"/>
      <c r="AU77" s="283"/>
      <c r="AV77" s="283"/>
      <c r="AW77" s="283"/>
      <c r="AX77" s="283"/>
      <c r="AY77" s="76"/>
      <c r="AZ77" s="76">
        <v>1.1200000000000001</v>
      </c>
      <c r="BA77" s="76">
        <v>1.1100000000000001</v>
      </c>
      <c r="BB77" s="76">
        <v>0.92</v>
      </c>
      <c r="BC77" s="76"/>
      <c r="BD77" s="76">
        <v>1.23</v>
      </c>
      <c r="BE77" s="76"/>
      <c r="BF77" s="283">
        <v>1.03</v>
      </c>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c r="CF77" s="283"/>
      <c r="CG77" s="283"/>
      <c r="CH77" s="283"/>
      <c r="CI77" s="283"/>
      <c r="CJ77" s="283"/>
      <c r="CK77" s="283"/>
      <c r="CL77" s="283"/>
      <c r="CM77" s="283"/>
      <c r="CN77" s="283"/>
      <c r="CO77" s="283"/>
      <c r="CP77" s="283"/>
      <c r="CQ77" s="283"/>
      <c r="CR77" s="283"/>
      <c r="CS77" s="283"/>
      <c r="CT77" s="283"/>
      <c r="CU77" s="283"/>
      <c r="CV77" s="283"/>
      <c r="CW77" s="283"/>
      <c r="CX77" s="283"/>
      <c r="CY77" s="283"/>
      <c r="CZ77" s="283"/>
      <c r="DA77" s="283"/>
      <c r="DB77" s="283"/>
      <c r="DC77" s="283"/>
      <c r="DD77" s="283"/>
      <c r="DE77" s="283"/>
      <c r="DF77" s="283"/>
      <c r="DG77" s="283"/>
      <c r="DH77" s="283"/>
      <c r="DI77" s="283"/>
      <c r="DJ77" s="283"/>
      <c r="DK77" s="283"/>
      <c r="DL77" s="283"/>
      <c r="DM77" s="283"/>
      <c r="DN77" s="283"/>
      <c r="DP77" s="284"/>
      <c r="DQ77" s="284"/>
      <c r="DR77" s="284"/>
      <c r="DS77" s="284"/>
      <c r="DT77" s="284"/>
      <c r="DU77" s="284"/>
      <c r="DV77" s="284"/>
      <c r="DW77" s="284"/>
      <c r="DX77" s="284"/>
      <c r="DY77" s="284"/>
      <c r="DZ77" s="284"/>
      <c r="EA77" s="284"/>
      <c r="EB77" s="284"/>
      <c r="EC77" s="283">
        <v>2.2200000000000002</v>
      </c>
      <c r="ED77" s="283">
        <v>2.65</v>
      </c>
      <c r="EE77" s="283">
        <v>3.1</v>
      </c>
      <c r="EF77" s="283">
        <f>(EF74+356-225)/EF76</f>
        <v>3.3242807645576802</v>
      </c>
      <c r="EG77" s="283">
        <v>3.68</v>
      </c>
      <c r="EH77" s="283">
        <v>4.05</v>
      </c>
      <c r="EI77" s="283">
        <v>4.51</v>
      </c>
      <c r="EJ77" s="283">
        <v>4.49</v>
      </c>
      <c r="EK77" s="283">
        <v>4.75</v>
      </c>
      <c r="EL77" s="283">
        <v>5.36</v>
      </c>
      <c r="EM77" s="283">
        <v>5.81</v>
      </c>
      <c r="EN77" s="283">
        <v>6.25</v>
      </c>
      <c r="EO77" s="283">
        <v>6.68</v>
      </c>
      <c r="EP77" s="283">
        <v>7.28</v>
      </c>
      <c r="EQ77" s="284" t="s">
        <v>1310</v>
      </c>
      <c r="ER77" s="284"/>
      <c r="ES77" s="284"/>
      <c r="ET77" s="284"/>
      <c r="EU77" s="284"/>
      <c r="FK77" s="285"/>
      <c r="FM77" t="s">
        <v>1236</v>
      </c>
      <c r="FN77" s="81">
        <v>5.0000000000000001E-3</v>
      </c>
      <c r="FQ77" s="184"/>
      <c r="FR77" s="285"/>
      <c r="FS77" s="184"/>
      <c r="FT77" s="184"/>
      <c r="FU77" s="184"/>
      <c r="FV77"/>
      <c r="FW77"/>
    </row>
    <row r="78" spans="1:270" s="281" customFormat="1" ht="12.75" customHeight="1" x14ac:dyDescent="0.2">
      <c r="B78" s="1"/>
      <c r="C78" s="286"/>
      <c r="D78" s="286"/>
      <c r="E78" s="286"/>
      <c r="F78" s="286"/>
      <c r="G78" s="286"/>
      <c r="H78" s="286"/>
      <c r="I78" s="286"/>
      <c r="J78" s="286"/>
      <c r="K78" s="286"/>
      <c r="L78" s="286"/>
      <c r="M78" s="166"/>
      <c r="N78" s="166"/>
      <c r="O78" s="166"/>
      <c r="P78" s="166"/>
      <c r="Q78" s="166"/>
      <c r="R78" s="166"/>
      <c r="S78" s="166"/>
      <c r="T78" s="166"/>
      <c r="U78" s="166"/>
      <c r="V78" s="166"/>
      <c r="W78" s="166"/>
      <c r="X78" s="166"/>
      <c r="Y78" s="166"/>
      <c r="Z78" s="166"/>
      <c r="AA78" s="76"/>
      <c r="AB78" s="76"/>
      <c r="AC78" s="76"/>
      <c r="AD78" s="76"/>
      <c r="AE78" s="76"/>
      <c r="AF78" s="76"/>
      <c r="AG78" s="76"/>
      <c r="AH78" s="76"/>
      <c r="AI78" s="287"/>
      <c r="AJ78" s="287"/>
      <c r="AK78" s="287"/>
      <c r="AL78" s="287"/>
      <c r="AM78" s="287"/>
      <c r="AN78" s="287"/>
      <c r="AO78" s="287"/>
      <c r="AP78" s="287"/>
      <c r="AQ78" s="287"/>
      <c r="AR78" s="287"/>
      <c r="AS78" s="287"/>
      <c r="AT78" s="287"/>
      <c r="AU78" s="287"/>
      <c r="AV78" s="287"/>
      <c r="AW78" s="287"/>
      <c r="AX78" s="287"/>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6"/>
      <c r="CY78" s="166"/>
      <c r="CZ78" s="166"/>
      <c r="DA78" s="166"/>
      <c r="DB78" s="166"/>
      <c r="DC78" s="166"/>
      <c r="DD78" s="166"/>
      <c r="DE78" s="166"/>
      <c r="DF78" s="166"/>
      <c r="DG78" s="166"/>
      <c r="DH78" s="166"/>
      <c r="DI78" s="166"/>
      <c r="DJ78" s="166"/>
      <c r="DK78" s="166"/>
      <c r="DL78" s="166"/>
      <c r="DM78" s="166"/>
      <c r="DN78" s="166"/>
      <c r="DP78" s="287"/>
      <c r="DQ78" s="287"/>
      <c r="DR78" s="287"/>
      <c r="DS78" s="287"/>
      <c r="DT78" s="287"/>
      <c r="DU78" s="287"/>
      <c r="DV78" s="287"/>
      <c r="DW78" s="287"/>
      <c r="DX78" s="287"/>
      <c r="DY78" s="287"/>
      <c r="DZ78" s="287"/>
      <c r="EA78" s="287"/>
      <c r="EB78" s="287"/>
      <c r="EC78" s="282"/>
      <c r="ED78" s="287"/>
      <c r="EE78" s="287"/>
      <c r="EF78" s="287"/>
      <c r="EG78" s="287"/>
      <c r="EH78" s="287"/>
      <c r="EI78" s="282"/>
      <c r="EJ78" s="282"/>
      <c r="EK78" s="282"/>
      <c r="EL78" s="282"/>
      <c r="EM78" s="282"/>
      <c r="EN78" s="287"/>
      <c r="EO78" s="287"/>
      <c r="EP78" s="287"/>
      <c r="EQ78" s="287"/>
      <c r="ER78" s="287"/>
      <c r="ES78" s="287"/>
      <c r="ET78" s="287"/>
      <c r="EU78" s="287"/>
      <c r="FM78" s="1" t="s">
        <v>1237</v>
      </c>
      <c r="FN78" s="223">
        <f>+FN79+(FN81*FN82)</f>
        <v>6.5500000000000003E-2</v>
      </c>
      <c r="FQ78"/>
      <c r="FR78" s="254"/>
      <c r="FS78"/>
      <c r="FT78"/>
      <c r="FU78"/>
      <c r="FV78" s="1"/>
      <c r="FW78" s="1"/>
    </row>
    <row r="79" spans="1:270" s="279" customFormat="1" ht="12.75" customHeight="1" x14ac:dyDescent="0.2">
      <c r="A79" s="1"/>
      <c r="B79" s="1" t="s">
        <v>346</v>
      </c>
      <c r="C79" s="282">
        <f>PV(11%,4,0,-EO75)*14</f>
        <v>62.667453175112655</v>
      </c>
      <c r="D79" s="282"/>
      <c r="E79" s="282"/>
      <c r="F79" s="282"/>
      <c r="G79" s="282"/>
      <c r="H79" s="288">
        <f t="shared" ref="H79:BB79" si="507">H63/D63-1</f>
        <v>1.4917514917514918E-2</v>
      </c>
      <c r="I79" s="288">
        <f t="shared" si="507"/>
        <v>2.4704618689581181E-2</v>
      </c>
      <c r="J79" s="288">
        <f t="shared" si="507"/>
        <v>0.13090586145648309</v>
      </c>
      <c r="K79" s="288">
        <f t="shared" si="507"/>
        <v>0.14784713816358286</v>
      </c>
      <c r="L79" s="288">
        <f t="shared" si="507"/>
        <v>0.18519799412069871</v>
      </c>
      <c r="M79" s="288">
        <f t="shared" si="507"/>
        <v>0.17907058001397624</v>
      </c>
      <c r="N79" s="288">
        <f t="shared" si="507"/>
        <v>8.0100518297471446E-2</v>
      </c>
      <c r="O79" s="288">
        <f t="shared" si="507"/>
        <v>0.1025911419102139</v>
      </c>
      <c r="P79" s="288">
        <f>P63/L63-1</f>
        <v>9.54187335862271E-2</v>
      </c>
      <c r="Q79" s="288">
        <f t="shared" si="507"/>
        <v>6.7417395169654837E-2</v>
      </c>
      <c r="R79" s="288">
        <f t="shared" si="507"/>
        <v>3.3590228297222691E-2</v>
      </c>
      <c r="S79" s="288">
        <f t="shared" si="507"/>
        <v>6.4489684383112422E-2</v>
      </c>
      <c r="T79" s="288">
        <f>T63/P63-1</f>
        <v>0.11108151305274383</v>
      </c>
      <c r="U79" s="288">
        <f t="shared" si="507"/>
        <v>0.14353137146029993</v>
      </c>
      <c r="V79" s="288">
        <f t="shared" si="507"/>
        <v>0.18218908272369161</v>
      </c>
      <c r="W79" s="288">
        <f t="shared" si="507"/>
        <v>0.12219227313566927</v>
      </c>
      <c r="X79" s="288">
        <f t="shared" si="507"/>
        <v>8.7628865979381354E-2</v>
      </c>
      <c r="Y79" s="288">
        <f t="shared" si="507"/>
        <v>0.10208788540907987</v>
      </c>
      <c r="Z79" s="288">
        <f t="shared" si="507"/>
        <v>0.11900511722004037</v>
      </c>
      <c r="AA79" s="288">
        <f t="shared" si="507"/>
        <v>0.12341301612718736</v>
      </c>
      <c r="AB79" s="288">
        <f t="shared" si="507"/>
        <v>0.13876336382673871</v>
      </c>
      <c r="AC79" s="288">
        <f t="shared" si="507"/>
        <v>0.15144839740059468</v>
      </c>
      <c r="AD79" s="288">
        <f t="shared" si="507"/>
        <v>0.21120918855684345</v>
      </c>
      <c r="AE79" s="288">
        <f t="shared" si="507"/>
        <v>0.22011810221950734</v>
      </c>
      <c r="AF79" s="288">
        <f t="shared" si="507"/>
        <v>0.15098722415795596</v>
      </c>
      <c r="AG79" s="288">
        <f t="shared" si="507"/>
        <v>0.1051272240290797</v>
      </c>
      <c r="AH79" s="288">
        <f t="shared" si="507"/>
        <v>0.11967688120115905</v>
      </c>
      <c r="AI79" s="288">
        <f t="shared" si="507"/>
        <v>7.0761014686248291E-2</v>
      </c>
      <c r="AJ79" s="288">
        <f t="shared" si="507"/>
        <v>7.3158425832492435E-2</v>
      </c>
      <c r="AK79" s="288">
        <f t="shared" si="507"/>
        <v>6.552410629273786E-2</v>
      </c>
      <c r="AL79" s="288">
        <f t="shared" si="507"/>
        <v>-1.1135508155583396E-2</v>
      </c>
      <c r="AM79" s="288">
        <f t="shared" si="507"/>
        <v>1.2468827930174564E-2</v>
      </c>
      <c r="AN79" s="288">
        <f t="shared" si="507"/>
        <v>4.7092932142297483E-2</v>
      </c>
      <c r="AO79" s="288">
        <f t="shared" si="507"/>
        <v>7.9366368805848797E-2</v>
      </c>
      <c r="AP79" s="288">
        <f t="shared" si="507"/>
        <v>8.5011895321173592E-2</v>
      </c>
      <c r="AQ79" s="288">
        <f t="shared" si="507"/>
        <v>0.16125307881773399</v>
      </c>
      <c r="AR79" s="288">
        <f t="shared" si="507"/>
        <v>0.13312878844570819</v>
      </c>
      <c r="AS79" s="289">
        <f t="shared" si="507"/>
        <v>0.12944983818770228</v>
      </c>
      <c r="AT79" s="289">
        <f t="shared" si="507"/>
        <v>0.16627686010817122</v>
      </c>
      <c r="AU79" s="289">
        <f t="shared" si="507"/>
        <v>7.3374428315768458E-2</v>
      </c>
      <c r="AV79" s="289">
        <f t="shared" si="507"/>
        <v>8.6382248051776411E-2</v>
      </c>
      <c r="AW79" s="289">
        <f t="shared" si="507"/>
        <v>6.0904911041513854E-2</v>
      </c>
      <c r="AX79" s="289">
        <f>AX63/AT63-1</f>
        <v>-4.8568026571410683E-2</v>
      </c>
      <c r="AY79" s="289">
        <f t="shared" si="507"/>
        <v>-7.2125478572310775E-2</v>
      </c>
      <c r="AZ79" s="289">
        <f t="shared" si="507"/>
        <v>-7.3617021276595751E-2</v>
      </c>
      <c r="BA79" s="289">
        <f>BA63/AW63-1</f>
        <v>-5.27605049934049E-2</v>
      </c>
      <c r="BB79" s="289">
        <f t="shared" si="507"/>
        <v>9.017257278355939E-2</v>
      </c>
      <c r="BC79" s="289">
        <f>BC63/AY63-1</f>
        <v>4.026354319180081E-2</v>
      </c>
      <c r="BD79" s="289">
        <f>BD63/AZ63-1</f>
        <v>9.8431655620447867E-3</v>
      </c>
      <c r="BE79" s="289">
        <f t="shared" ref="BE79:BG79" si="508">BE63/BA63-1</f>
        <v>-6.5645514223194867E-3</v>
      </c>
      <c r="BF79" s="289">
        <f t="shared" si="508"/>
        <v>-5.4800314180412091E-2</v>
      </c>
      <c r="BG79" s="289">
        <f t="shared" si="508"/>
        <v>8.5407203633804718E-2</v>
      </c>
      <c r="BH79" s="289">
        <f>BH63/BD63-1</f>
        <v>7.8497628175969947E-2</v>
      </c>
      <c r="BI79" s="289">
        <f>BI63/BE63-1</f>
        <v>6.8281938325991165E-2</v>
      </c>
      <c r="BJ79" s="289">
        <f t="shared" ref="BJ79" si="509">BJ63/BF63-1</f>
        <v>0.20308105343901817</v>
      </c>
      <c r="BK79" s="289">
        <f>BK63/BG63-1</f>
        <v>-4.8744547919368109E-2</v>
      </c>
      <c r="BL79" s="289">
        <f>BL63/BH63-1</f>
        <v>1.7473037295896443E-3</v>
      </c>
      <c r="BM79" s="289">
        <f>BM63/BI63-1</f>
        <v>7.4101843174008142E-2</v>
      </c>
      <c r="BN79" s="289">
        <f>BN63/BJ63-1</f>
        <v>-5.4726103820200822E-2</v>
      </c>
      <c r="BO79" s="289">
        <f t="shared" ref="BO79:BR79" si="510">BO63/BK63-1</f>
        <v>8.7304046099510479E-2</v>
      </c>
      <c r="BP79" s="289">
        <f t="shared" si="510"/>
        <v>7.8611812823288885E-2</v>
      </c>
      <c r="BQ79" s="289">
        <f t="shared" si="510"/>
        <v>2.60601477517306E-2</v>
      </c>
      <c r="BR79" s="289">
        <f t="shared" si="510"/>
        <v>3.7097408802203358E-2</v>
      </c>
      <c r="BS79" s="289">
        <f>BS63/BO63-1</f>
        <v>3.8237975837702276E-2</v>
      </c>
      <c r="BT79" s="289">
        <f t="shared" ref="BT79" si="511">BT63/BP63-1</f>
        <v>8.7101990743322366E-2</v>
      </c>
      <c r="BU79" s="289">
        <f t="shared" ref="BU79" si="512">BU63/BQ63-1</f>
        <v>4.6941436589375884E-2</v>
      </c>
      <c r="BV79" s="289">
        <f t="shared" ref="BV79" si="513">BV63/BR63-1</f>
        <v>-1.0676928079778825E-2</v>
      </c>
      <c r="BW79" s="289">
        <f t="shared" ref="BW79" si="514">BW63/BS63-1</f>
        <v>-4.6380152587957579E-2</v>
      </c>
      <c r="BX79" s="289">
        <f t="shared" ref="BX79" si="515">BX63/BT63-1</f>
        <v>-8.7612208258527779E-2</v>
      </c>
      <c r="BY79" s="289">
        <f t="shared" ref="BY79" si="516">BY63/BU63-1</f>
        <v>-7.3915633291817828E-2</v>
      </c>
      <c r="BZ79" s="289">
        <f t="shared" ref="BZ79" si="517">BZ63/BV63-1</f>
        <v>-2.4268653445820076E-2</v>
      </c>
      <c r="CA79" s="289">
        <f t="shared" ref="CA79:CH79" si="518">CA63/BW63-1</f>
        <v>6.2161851041786509E-3</v>
      </c>
      <c r="CB79" s="289">
        <f t="shared" si="518"/>
        <v>3.9073480631922175E-2</v>
      </c>
      <c r="CC79" s="289">
        <f t="shared" si="518"/>
        <v>4.1983393755116394E-2</v>
      </c>
      <c r="CD79" s="289">
        <f t="shared" si="518"/>
        <v>1.6562798270731482E-2</v>
      </c>
      <c r="CE79" s="289">
        <f t="shared" si="518"/>
        <v>1.6245280860313516E-2</v>
      </c>
      <c r="CF79" s="289">
        <f t="shared" si="518"/>
        <v>1.9316091332106877E-2</v>
      </c>
      <c r="CG79" s="289">
        <f t="shared" si="518"/>
        <v>0.10269360269360273</v>
      </c>
      <c r="CH79" s="289">
        <f t="shared" si="518"/>
        <v>0.11537611841378559</v>
      </c>
      <c r="CI79" s="289">
        <f t="shared" ref="CI79:CO79" si="519">+CI63/CE63-1</f>
        <v>0.12625239220983908</v>
      </c>
      <c r="CJ79" s="289">
        <f t="shared" si="519"/>
        <v>0.10568501512819162</v>
      </c>
      <c r="CK79" s="289">
        <f t="shared" si="519"/>
        <v>3.5521628498727642E-2</v>
      </c>
      <c r="CL79" s="289">
        <f t="shared" si="519"/>
        <v>9.8539242386730397E-3</v>
      </c>
      <c r="CM79" s="289">
        <f t="shared" si="519"/>
        <v>5.9973012144531879E-4</v>
      </c>
      <c r="CN79" s="289">
        <f t="shared" si="519"/>
        <v>-1.2770043206913106E-2</v>
      </c>
      <c r="CO79" s="289">
        <f t="shared" si="519"/>
        <v>1.867505405936698E-2</v>
      </c>
      <c r="CP79" s="289">
        <f t="shared" ref="CP79" si="520">+CP63/CL63-1</f>
        <v>1.7161910365793842E-2</v>
      </c>
      <c r="CQ79" s="289">
        <f t="shared" ref="CQ79:CU79" si="521">+CQ63/CM63-1</f>
        <v>3.3414914339943147E-2</v>
      </c>
      <c r="CR79" s="289">
        <f t="shared" si="521"/>
        <v>-0.10824742268041232</v>
      </c>
      <c r="CS79" s="289">
        <f t="shared" si="521"/>
        <v>1.7078348128135801E-2</v>
      </c>
      <c r="CT79" s="289">
        <f>+CT63/CP63-1</f>
        <v>8.3494022367913701E-2</v>
      </c>
      <c r="CU79" s="289">
        <f t="shared" si="521"/>
        <v>7.8830352827452765E-2</v>
      </c>
      <c r="CV79" s="289">
        <f t="shared" ref="CV79" si="522">+CV63/CR63-1</f>
        <v>0.27827462100556222</v>
      </c>
      <c r="CW79" s="289">
        <f t="shared" ref="CW79:CX79" si="523">+CW63/CS63-1</f>
        <v>0.10686841855611418</v>
      </c>
      <c r="CX79" s="289">
        <f t="shared" si="523"/>
        <v>0.10686954974194696</v>
      </c>
      <c r="CY79" s="289">
        <f>+CY63/CU63-1</f>
        <v>5.3895434792347929E-2</v>
      </c>
      <c r="CZ79" s="289">
        <f t="shared" ref="CZ79:DG79" si="524">+CZ63/CV63-1</f>
        <v>2.9350283690968926E-2</v>
      </c>
      <c r="DA79" s="289">
        <f t="shared" si="524"/>
        <v>2.6226698092993272E-2</v>
      </c>
      <c r="DB79" s="289">
        <f>+DB63/CX63-1</f>
        <v>-4.0155961090119763E-2</v>
      </c>
      <c r="DC79" s="289">
        <f t="shared" si="524"/>
        <v>-0.11180071416425774</v>
      </c>
      <c r="DD79" s="289">
        <f t="shared" si="524"/>
        <v>6.1958638982137604E-2</v>
      </c>
      <c r="DE79" s="289">
        <f t="shared" si="524"/>
        <v>-0.10848958115839147</v>
      </c>
      <c r="DF79" s="289">
        <f t="shared" si="524"/>
        <v>-0.10398257883495954</v>
      </c>
      <c r="DG79" s="289">
        <f t="shared" si="524"/>
        <v>2.3355987364793718E-2</v>
      </c>
      <c r="DH79" s="289">
        <f t="shared" ref="DH79" si="525">+DH63/DD63-1</f>
        <v>-0.12375117077739617</v>
      </c>
      <c r="DI79" s="289">
        <f t="shared" ref="DI79" si="526">+DI63/DE63-1</f>
        <v>5.2320951801021032E-2</v>
      </c>
      <c r="DJ79" s="289">
        <f t="shared" ref="DJ79" si="527">+DJ63/DF63-1</f>
        <v>3.3727799588708196E-2</v>
      </c>
      <c r="DK79" s="289">
        <f t="shared" ref="DK79" si="528">+DK63/DG63-1</f>
        <v>1.2677485735665517E-2</v>
      </c>
      <c r="DL79" s="289">
        <f t="shared" ref="DL79" si="529">+DL63/DH63-1</f>
        <v>-1.9804925845098631E-2</v>
      </c>
      <c r="DM79" s="289">
        <f t="shared" ref="DM79" si="530">+DM63/DI63-1</f>
        <v>-2.0221445740229549E-2</v>
      </c>
      <c r="DN79" s="289">
        <f t="shared" ref="DN79" si="531">+DN63/DJ63-1</f>
        <v>-1.3044126769402031E-2</v>
      </c>
      <c r="DP79" s="245"/>
      <c r="DQ79" s="245">
        <f t="shared" ref="DQ79:EQ79" si="532">DQ63/DP63-1</f>
        <v>0.15117351644972832</v>
      </c>
      <c r="DR79" s="245">
        <f t="shared" si="532"/>
        <v>0.10817307692307687</v>
      </c>
      <c r="DS79" s="245">
        <f t="shared" si="532"/>
        <v>0.10492488149754964</v>
      </c>
      <c r="DT79" s="245">
        <f t="shared" si="532"/>
        <v>2.7993892241692686E-2</v>
      </c>
      <c r="DU79" s="245">
        <f t="shared" si="532"/>
        <v>0.11288725420851597</v>
      </c>
      <c r="DV79" s="245">
        <f t="shared" si="532"/>
        <v>0.19753400279649158</v>
      </c>
      <c r="DW79" s="245">
        <f t="shared" si="532"/>
        <v>0.14743657785797692</v>
      </c>
      <c r="DX79" s="245">
        <f t="shared" si="532"/>
        <v>4.6669750231267404E-2</v>
      </c>
      <c r="DY79" s="245">
        <f t="shared" si="532"/>
        <v>4.542843254231288E-2</v>
      </c>
      <c r="DZ79" s="245">
        <f t="shared" si="532"/>
        <v>0.16122078031872178</v>
      </c>
      <c r="EA79" s="245">
        <f t="shared" si="532"/>
        <v>6.071857595282304E-2</v>
      </c>
      <c r="EB79" s="245">
        <f t="shared" si="532"/>
        <v>0.13264010432753359</v>
      </c>
      <c r="EC79" s="245">
        <f t="shared" si="532"/>
        <v>0.11840685977457288</v>
      </c>
      <c r="ED79" s="245">
        <f t="shared" si="532"/>
        <v>0.14774368157694395</v>
      </c>
      <c r="EE79" s="245">
        <f t="shared" si="532"/>
        <v>0.13576173009106474</v>
      </c>
      <c r="EF79" s="245">
        <f t="shared" si="532"/>
        <v>2.870087495064122E-2</v>
      </c>
      <c r="EG79" s="245">
        <f t="shared" si="532"/>
        <v>7.729605236575221E-2</v>
      </c>
      <c r="EH79" s="245">
        <f t="shared" si="532"/>
        <v>0.14573175305678499</v>
      </c>
      <c r="EI79" s="245">
        <f>EI63/EH63-1</f>
        <v>4.3407807512889862E-2</v>
      </c>
      <c r="EJ79" s="245">
        <f>EJ63/EI63-1</f>
        <v>-2.902097353600952E-2</v>
      </c>
      <c r="EK79" s="245">
        <f t="shared" si="532"/>
        <v>-7.1408953584179979E-3</v>
      </c>
      <c r="EL79" s="245">
        <f t="shared" si="532"/>
        <v>5.817264665202182E-2</v>
      </c>
      <c r="EM79" s="245">
        <f t="shared" si="532"/>
        <v>4.178071659234206E-2</v>
      </c>
      <c r="EN79" s="245">
        <f t="shared" si="532"/>
        <v>5.2622256336073869E-2</v>
      </c>
      <c r="EO79" s="245">
        <f t="shared" si="532"/>
        <v>5.5186013574153092E-2</v>
      </c>
      <c r="EP79" s="245">
        <f t="shared" si="532"/>
        <v>1.0956896863912657E-2</v>
      </c>
      <c r="EQ79" s="245">
        <f t="shared" si="532"/>
        <v>-7.3837523337225819E-2</v>
      </c>
      <c r="ER79" s="245">
        <f t="shared" ref="ER79" si="533">ER63/EQ63-1</f>
        <v>-0.99999740259527692</v>
      </c>
      <c r="ES79" s="245">
        <f t="shared" ref="ES79" si="534">ES63/ER63-1</f>
        <v>445796.91420765017</v>
      </c>
      <c r="ET79" s="245">
        <f t="shared" ref="ET79" si="535">ET63/ES63-1</f>
        <v>5.834488707282981E-3</v>
      </c>
      <c r="EU79" s="245">
        <f t="shared" ref="EU79" si="536">EU63/ET63-1</f>
        <v>6.4467157975860445E-3</v>
      </c>
      <c r="EV79" s="245">
        <f t="shared" ref="EV79" si="537">EV63/EU63-1</f>
        <v>0.14061705373792166</v>
      </c>
      <c r="EW79" s="245">
        <f t="shared" ref="EW79" si="538">EW63/EV63-1</f>
        <v>1.2462977313984158E-2</v>
      </c>
      <c r="EX79" s="245">
        <f t="shared" ref="EX79" si="539">EX63/EW63-1</f>
        <v>2.2377979092615519E-2</v>
      </c>
      <c r="EY79" s="245">
        <f t="shared" ref="EY79" si="540">EY63/EX63-1</f>
        <v>3.2085239452182224E-2</v>
      </c>
      <c r="EZ79" s="245">
        <f t="shared" ref="EZ79" si="541">EZ63/EY63-1</f>
        <v>-0.15253811168455866</v>
      </c>
      <c r="FA79" s="245">
        <f t="shared" ref="FA79" si="542">FA63/EZ63-1</f>
        <v>-7.8877578962196937E-2</v>
      </c>
      <c r="FB79" s="245">
        <f t="shared" ref="FB79" si="543">FB63/FA63-1</f>
        <v>-8.0213359790093364E-4</v>
      </c>
      <c r="FC79" s="245">
        <f t="shared" ref="FC79" si="544">FC63/FB63-1</f>
        <v>2.1391528804087789E-2</v>
      </c>
      <c r="FD79" s="245">
        <f t="shared" ref="FD79" si="545">FD63/FC63-1</f>
        <v>-9.5093505389505228E-3</v>
      </c>
      <c r="FE79" s="245">
        <f t="shared" ref="FE79" si="546">FE63/FD63-1</f>
        <v>1.7452222092462222E-3</v>
      </c>
      <c r="FF79" s="245"/>
      <c r="FG79" s="245"/>
      <c r="FH79" s="245"/>
      <c r="FI79" s="245"/>
      <c r="FJ79" s="245"/>
      <c r="FM79" t="s">
        <v>1437</v>
      </c>
      <c r="FN79" s="81">
        <v>0.02</v>
      </c>
      <c r="FQ79" s="290"/>
      <c r="FR79" s="290"/>
      <c r="FS79" s="291"/>
      <c r="FT79"/>
      <c r="FU79" s="291"/>
      <c r="FV79" s="290"/>
      <c r="FW79" s="290"/>
    </row>
    <row r="80" spans="1:270" s="279" customFormat="1" ht="12.75" customHeight="1" x14ac:dyDescent="0.2">
      <c r="A80" s="1"/>
      <c r="B80" s="1" t="s">
        <v>1962</v>
      </c>
      <c r="C80" s="282"/>
      <c r="D80" s="282"/>
      <c r="E80" s="282"/>
      <c r="F80" s="282"/>
      <c r="G80" s="282"/>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288"/>
      <c r="AF80" s="288"/>
      <c r="AG80" s="288"/>
      <c r="AH80" s="288"/>
      <c r="AI80" s="288"/>
      <c r="AJ80" s="288"/>
      <c r="AK80" s="288"/>
      <c r="AL80" s="288"/>
      <c r="AM80" s="288"/>
      <c r="AN80" s="288"/>
      <c r="AO80" s="288"/>
      <c r="AP80" s="288"/>
      <c r="AQ80" s="288"/>
      <c r="AR80" s="288"/>
      <c r="AS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v>5.3999999999999999E-2</v>
      </c>
      <c r="DJ80" s="289"/>
      <c r="DK80" s="289"/>
      <c r="DL80" s="289"/>
      <c r="DM80" s="289"/>
      <c r="DN80" s="289"/>
      <c r="DP80" s="245"/>
      <c r="DQ80" s="245"/>
      <c r="DR80" s="245"/>
      <c r="DS80" s="245"/>
      <c r="DT80" s="245"/>
      <c r="DU80" s="245"/>
      <c r="DV80" s="245"/>
      <c r="DW80" s="245"/>
      <c r="DX80" s="245"/>
      <c r="DY80" s="245"/>
      <c r="DZ80" s="245"/>
      <c r="EA80" s="245"/>
      <c r="EB80" s="245"/>
      <c r="EC80" s="245"/>
      <c r="ED80" s="245"/>
      <c r="EE80" s="245"/>
      <c r="EF80" s="245"/>
      <c r="EG80" s="245"/>
      <c r="EH80" s="245"/>
      <c r="EI80" s="245"/>
      <c r="EJ80" s="245"/>
      <c r="EK80" s="245"/>
      <c r="EL80" s="245"/>
      <c r="EM80" s="245"/>
      <c r="EN80" s="245"/>
      <c r="EO80" s="245"/>
      <c r="EP80" s="245"/>
      <c r="EQ80" s="245"/>
      <c r="ER80" s="245"/>
      <c r="ES80" s="245"/>
      <c r="ET80" s="245"/>
      <c r="EU80" s="245"/>
      <c r="EV80" s="245"/>
      <c r="EW80" s="245"/>
      <c r="EX80" s="245"/>
      <c r="EY80" s="245"/>
      <c r="EZ80" s="245"/>
      <c r="FA80" s="245"/>
      <c r="FB80" s="245"/>
      <c r="FC80" s="245"/>
      <c r="FD80" s="245"/>
      <c r="FE80" s="245"/>
      <c r="FF80" s="245"/>
      <c r="FG80" s="245"/>
      <c r="FH80" s="245"/>
      <c r="FI80" s="245"/>
      <c r="FJ80" s="245"/>
      <c r="FM80"/>
      <c r="FN80" s="81"/>
      <c r="FQ80" s="290"/>
      <c r="FR80" s="290"/>
      <c r="FS80" s="291"/>
      <c r="FT80"/>
      <c r="FU80" s="291"/>
      <c r="FV80" s="290"/>
      <c r="FW80" s="290"/>
    </row>
    <row r="81" spans="1:179" s="275" customFormat="1" ht="12.75" customHeight="1" x14ac:dyDescent="0.2">
      <c r="A81"/>
      <c r="B81" t="s">
        <v>1540</v>
      </c>
      <c r="C81" s="283"/>
      <c r="D81" s="283"/>
      <c r="E81" s="283"/>
      <c r="F81" s="283"/>
      <c r="G81" s="283"/>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8"/>
      <c r="AT81" s="288"/>
      <c r="AU81" s="288"/>
      <c r="AV81" s="288"/>
      <c r="AW81" s="288"/>
      <c r="AX81" s="288"/>
      <c r="AY81" s="288"/>
      <c r="AZ81" s="288"/>
      <c r="BA81" s="288"/>
      <c r="BB81" s="288"/>
      <c r="BC81" s="288"/>
      <c r="BD81" s="288">
        <f t="shared" ref="BD81" si="547">+BD67/AZ67-1</f>
        <v>6.1050061050060833E-3</v>
      </c>
      <c r="BE81" s="288">
        <f t="shared" ref="BE81" si="548">+BE67/BA67-1</f>
        <v>2.4737167594310439E-2</v>
      </c>
      <c r="BF81" s="288">
        <f t="shared" ref="BF81" si="549">+BF67/BB67-1</f>
        <v>-0.10438319023949394</v>
      </c>
      <c r="BG81" s="288">
        <f t="shared" ref="BG81" si="550">+BG67/BC67-1</f>
        <v>0.11624919717405269</v>
      </c>
      <c r="BH81" s="288">
        <f t="shared" ref="BH81:BL81" si="551">+BH67/BD67-1</f>
        <v>0.14199029126213603</v>
      </c>
      <c r="BI81" s="288">
        <f t="shared" si="551"/>
        <v>7.0006035003017608E-2</v>
      </c>
      <c r="BJ81" s="288">
        <f t="shared" si="551"/>
        <v>8.7285570131180545E-2</v>
      </c>
      <c r="BK81" s="288">
        <f t="shared" si="551"/>
        <v>-5.3509781357882646E-2</v>
      </c>
      <c r="BL81" s="288">
        <f t="shared" si="551"/>
        <v>-6.1636556854410163E-2</v>
      </c>
      <c r="BM81" s="288">
        <f>+BM67/BI67-1</f>
        <v>8.4602368866328215E-2</v>
      </c>
      <c r="BN81" s="288">
        <f t="shared" ref="BN81:BR81" si="552">+BN67/BJ67-1</f>
        <v>8.1670533642691501E-2</v>
      </c>
      <c r="BO81" s="288">
        <f t="shared" si="552"/>
        <v>8.44984802431612E-2</v>
      </c>
      <c r="BP81" s="288">
        <f t="shared" si="552"/>
        <v>0.10192525481313708</v>
      </c>
      <c r="BQ81" s="288">
        <f t="shared" si="552"/>
        <v>6.1882475299011919E-2</v>
      </c>
      <c r="BR81" s="288">
        <f t="shared" si="552"/>
        <v>3.4320034320034276E-2</v>
      </c>
      <c r="BS81" s="288">
        <f>+BS67/BO67-1</f>
        <v>2.6345291479820565E-2</v>
      </c>
      <c r="BT81" s="288">
        <f t="shared" ref="BT81" si="553">+BT67/BP67-1</f>
        <v>3.0318602261048211E-2</v>
      </c>
      <c r="BU81" s="288">
        <f t="shared" ref="BU81" si="554">+BU67/BQ67-1</f>
        <v>-9.3046033300685504E-3</v>
      </c>
      <c r="BV81" s="288">
        <f t="shared" ref="BV81" si="555">+BV67/BR67-1</f>
        <v>9.2907507258398914E-2</v>
      </c>
      <c r="BW81" s="288">
        <f t="shared" ref="BW81" si="556">+BW67/BS67-1</f>
        <v>3.713817586018564E-2</v>
      </c>
      <c r="BX81" s="288">
        <f t="shared" ref="BX81" si="557">+BX67/BT67-1</f>
        <v>6.1845386533665891E-2</v>
      </c>
      <c r="BY81" s="288">
        <f t="shared" ref="BY81" si="558">+BY67/BU67-1</f>
        <v>6.4755313890261901E-2</v>
      </c>
      <c r="BZ81" s="288">
        <f t="shared" ref="BZ81" si="559">+BZ67/BV67-1</f>
        <v>8.6907020872865282E-2</v>
      </c>
      <c r="CA81" s="288">
        <f t="shared" ref="CA81" si="560">+CA67/BW67-1</f>
        <v>6.0031595576619301E-2</v>
      </c>
      <c r="CB81" s="288">
        <f t="shared" ref="CB81" si="561">+CB67/BX67-1</f>
        <v>6.3410051667449396E-2</v>
      </c>
      <c r="CC81" s="288">
        <f t="shared" ref="CC81" si="562">+CC67/BY67-1</f>
        <v>1.1142061281337101E-2</v>
      </c>
      <c r="CD81" s="288">
        <f t="shared" ref="CD81" si="563">+CD67/BZ67-1</f>
        <v>-7.8212290502793325E-2</v>
      </c>
      <c r="CE81" s="288">
        <f t="shared" ref="CE81" si="564">+CE67/CA67-1</f>
        <v>2.3348236462990668E-2</v>
      </c>
      <c r="CF81" s="288">
        <f t="shared" ref="CF81" si="565">+CF67/CB67-1</f>
        <v>9.2756183745583698E-3</v>
      </c>
      <c r="CG81" s="288">
        <f t="shared" ref="CG81" si="566">+CG67/CC67-1</f>
        <v>0.18181818181818188</v>
      </c>
      <c r="CH81" s="288">
        <f t="shared" ref="CH81" si="567">+CH67/CD67-1</f>
        <v>0.37689393939393945</v>
      </c>
      <c r="CI81" s="288">
        <f t="shared" ref="CI81" si="568">+CI67/CE67-1</f>
        <v>0.16699029126213594</v>
      </c>
      <c r="CJ81" s="288">
        <f t="shared" ref="CJ81" si="569">+CJ67/CF67-1</f>
        <v>0.15492341356673967</v>
      </c>
      <c r="CK81" s="288">
        <f t="shared" ref="CK81" si="570">+CK67/CG67-1</f>
        <v>-2.5641025641025661E-2</v>
      </c>
      <c r="CL81" s="288">
        <f t="shared" ref="CL81" si="571">+CL67/CH67-1</f>
        <v>-0.1130674002751032</v>
      </c>
      <c r="CM81" s="288">
        <f t="shared" ref="CM81:CO81" si="572">+CM67/CI67-1</f>
        <v>0.18885191347753749</v>
      </c>
      <c r="CN81" s="288">
        <f t="shared" si="572"/>
        <v>1.0231148162182624E-2</v>
      </c>
      <c r="CO81" s="288">
        <f t="shared" si="572"/>
        <v>3.6283891547049363E-2</v>
      </c>
      <c r="CP81" s="288">
        <f t="shared" ref="CP81" si="573">+CP67/CL67-1</f>
        <v>2.4813895781636841E-3</v>
      </c>
      <c r="CQ81" s="288">
        <f t="shared" ref="CQ81" si="574">+CQ67/CM67-1</f>
        <v>-9.7270818754373711E-2</v>
      </c>
      <c r="CR81" s="288">
        <f t="shared" ref="CR81" si="575">+CR67/CN67-1</f>
        <v>1.5378844711177786E-2</v>
      </c>
      <c r="CS81" s="288">
        <f t="shared" ref="CS81" si="576">+CS67/CO67-1</f>
        <v>9.2727972297037331E-2</v>
      </c>
      <c r="CT81" s="288">
        <f t="shared" ref="CT81" si="577">+CT67/CP67-1</f>
        <v>0.24752475247524752</v>
      </c>
      <c r="CU81" s="288">
        <f t="shared" ref="CU81" si="578">+CU67/CQ67-1</f>
        <v>0.23178294573643421</v>
      </c>
      <c r="CV81" s="288">
        <f t="shared" ref="CV81" si="579">+CV67/CR67-1</f>
        <v>0.24270410048023638</v>
      </c>
      <c r="CW81" s="288">
        <f t="shared" ref="CW81:CX81" si="580">+CW67/CS67-1</f>
        <v>0.20492957746478879</v>
      </c>
      <c r="CX81" s="288">
        <f t="shared" si="580"/>
        <v>0.17063492063492069</v>
      </c>
      <c r="CY81" s="288">
        <f>+CY67/CU67-1</f>
        <v>8.9364380113278852E-2</v>
      </c>
      <c r="CZ81" s="288">
        <f t="shared" ref="CZ81:DJ81" si="581">+CZ67/CV67-1</f>
        <v>5.6480380499405403E-2</v>
      </c>
      <c r="DA81" s="288">
        <f t="shared" si="581"/>
        <v>5.1139684395090645E-2</v>
      </c>
      <c r="DB81" s="288">
        <f t="shared" si="581"/>
        <v>-0.22012711864406775</v>
      </c>
      <c r="DC81" s="288">
        <f t="shared" si="581"/>
        <v>-2.021952628538437E-3</v>
      </c>
      <c r="DD81" s="288">
        <f t="shared" si="581"/>
        <v>7.7377602701181658E-2</v>
      </c>
      <c r="DE81" s="288">
        <f t="shared" si="581"/>
        <v>-4.1701417848206801E-2</v>
      </c>
      <c r="DF81" s="288">
        <f t="shared" si="581"/>
        <v>0.20211898940505302</v>
      </c>
      <c r="DG81" s="288">
        <f t="shared" si="581"/>
        <v>1.013024602026058E-2</v>
      </c>
      <c r="DH81" s="288">
        <f t="shared" si="581"/>
        <v>-0.10159310524941234</v>
      </c>
      <c r="DI81" s="288">
        <f t="shared" si="581"/>
        <v>-1</v>
      </c>
      <c r="DJ81" s="288">
        <f t="shared" si="581"/>
        <v>-1</v>
      </c>
      <c r="DK81" s="288">
        <f t="shared" ref="DK81" si="582">+DK67/DG67-1</f>
        <v>-1</v>
      </c>
      <c r="DL81" s="288">
        <f t="shared" ref="DL81" si="583">+DL67/DH67-1</f>
        <v>-1</v>
      </c>
      <c r="DM81" s="288" t="e">
        <f t="shared" ref="DM81" si="584">+DM67/DI67-1</f>
        <v>#DIV/0!</v>
      </c>
      <c r="DN81" s="288" t="e">
        <f t="shared" ref="DN81" si="585">+DN67/DJ67-1</f>
        <v>#DIV/0!</v>
      </c>
      <c r="DP81" s="246"/>
      <c r="DQ81" s="246"/>
      <c r="DR81" s="246"/>
      <c r="DS81" s="246"/>
      <c r="DT81" s="246"/>
      <c r="DU81" s="246"/>
      <c r="DV81" s="246"/>
      <c r="DW81" s="246"/>
      <c r="DX81" s="246"/>
      <c r="DY81" s="246"/>
      <c r="DZ81" s="246"/>
      <c r="EA81" s="246"/>
      <c r="EB81" s="246"/>
      <c r="EC81" s="246"/>
      <c r="ED81" s="246"/>
      <c r="EE81" s="246"/>
      <c r="EF81" s="246"/>
      <c r="EG81" s="246"/>
      <c r="EH81" s="246"/>
      <c r="EI81" s="246"/>
      <c r="EJ81" s="246"/>
      <c r="EK81" s="246">
        <f t="shared" ref="EK81:EM81" si="586">EK67/EJ67-1</f>
        <v>-2.0326367019753766E-2</v>
      </c>
      <c r="EL81" s="246">
        <f t="shared" si="586"/>
        <v>0.10286382232612512</v>
      </c>
      <c r="EM81" s="246">
        <f t="shared" si="586"/>
        <v>1.5500794912559623E-2</v>
      </c>
      <c r="EN81" s="246">
        <f>EN67/EM67-1</f>
        <v>6.7579908675799105E-2</v>
      </c>
      <c r="EO81" s="246">
        <f t="shared" ref="EO81:EY81" si="587">EO67/EN67-1</f>
        <v>-0.63338628864719548</v>
      </c>
      <c r="EP81" s="246">
        <f t="shared" si="587"/>
        <v>0</v>
      </c>
      <c r="EQ81" s="246">
        <f t="shared" si="587"/>
        <v>0</v>
      </c>
      <c r="ER81" s="246">
        <f t="shared" si="587"/>
        <v>-1</v>
      </c>
      <c r="ES81" s="246" t="e">
        <f t="shared" si="587"/>
        <v>#DIV/0!</v>
      </c>
      <c r="ET81" s="246">
        <f t="shared" si="587"/>
        <v>5.382830626450108E-2</v>
      </c>
      <c r="EU81" s="246">
        <f t="shared" si="587"/>
        <v>7.080581241743733E-2</v>
      </c>
      <c r="EV81" s="246">
        <f t="shared" si="587"/>
        <v>0.20766510403816096</v>
      </c>
      <c r="EW81" s="246">
        <f t="shared" si="587"/>
        <v>-2.6559520566603156E-2</v>
      </c>
      <c r="EX81" s="246">
        <f t="shared" si="587"/>
        <v>-0.7901217293969498</v>
      </c>
      <c r="EY81" s="246">
        <f t="shared" si="587"/>
        <v>0</v>
      </c>
      <c r="EZ81" s="246"/>
      <c r="FA81" s="246"/>
      <c r="FB81" s="246"/>
      <c r="FC81" s="246"/>
      <c r="FD81" s="246"/>
      <c r="FE81" s="246"/>
      <c r="FF81" s="246"/>
      <c r="FG81" s="246"/>
      <c r="FH81" s="246"/>
      <c r="FI81" s="246"/>
      <c r="FJ81" s="246"/>
      <c r="FM81" t="s">
        <v>1438</v>
      </c>
      <c r="FN81" s="81">
        <v>6.5000000000000002E-2</v>
      </c>
      <c r="FQ81" s="291"/>
      <c r="FR81" s="291"/>
      <c r="FS81" s="291"/>
      <c r="FT81"/>
      <c r="FU81" s="291"/>
      <c r="FV81" s="291"/>
      <c r="FW81" s="291"/>
    </row>
    <row r="82" spans="1:179" s="275" customFormat="1" ht="12.75" customHeight="1" x14ac:dyDescent="0.2">
      <c r="A82"/>
      <c r="B82" t="s">
        <v>1541</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BL82" si="588">BD66/AZ66-1</f>
        <v>-8.5470085470085166E-3</v>
      </c>
      <c r="BE82" s="288">
        <f t="shared" si="588"/>
        <v>-1.2166981329976956E-2</v>
      </c>
      <c r="BF82" s="288">
        <f t="shared" si="588"/>
        <v>-7.9765500088825769E-2</v>
      </c>
      <c r="BG82" s="288">
        <f t="shared" si="588"/>
        <v>5.7961916718978879E-2</v>
      </c>
      <c r="BH82" s="288">
        <f t="shared" si="588"/>
        <v>9.6509671993271651E-2</v>
      </c>
      <c r="BI82" s="288">
        <f t="shared" si="588"/>
        <v>0.11276279464854544</v>
      </c>
      <c r="BJ82" s="288">
        <f t="shared" si="588"/>
        <v>5.3667953667953627E-2</v>
      </c>
      <c r="BK82" s="288">
        <f t="shared" si="588"/>
        <v>-8.1091772151898889E-3</v>
      </c>
      <c r="BL82" s="288">
        <f t="shared" si="588"/>
        <v>-4.7938638542665335E-2</v>
      </c>
      <c r="BM82" s="288">
        <f>BM66/BI66-1</f>
        <v>-2.2900763358778553E-3</v>
      </c>
      <c r="BN82" s="288">
        <f t="shared" ref="BN82:BR82" si="589">BN66/BJ66-1</f>
        <v>3.7193111029681258E-2</v>
      </c>
      <c r="BO82" s="288">
        <f t="shared" si="589"/>
        <v>4.1475573280159495E-2</v>
      </c>
      <c r="BP82" s="288">
        <f t="shared" si="589"/>
        <v>7.2507552870091363E-3</v>
      </c>
      <c r="BQ82" s="288">
        <f t="shared" si="589"/>
        <v>1.6449885233358774E-2</v>
      </c>
      <c r="BR82" s="288">
        <f t="shared" si="589"/>
        <v>4.5221692280515757E-2</v>
      </c>
      <c r="BS82" s="288">
        <f>BS66/BO66-1</f>
        <v>-7.6584338502776461E-3</v>
      </c>
      <c r="BT82" s="288">
        <f t="shared" ref="BT82" si="590">BT66/BP66-1</f>
        <v>9.5980803839232243E-2</v>
      </c>
      <c r="BU82" s="288">
        <f t="shared" ref="BU82" si="591">BU66/BQ66-1</f>
        <v>2.8980052691004898E-2</v>
      </c>
      <c r="BV82" s="288">
        <f t="shared" ref="BV82" si="592">BV66/BR66-1</f>
        <v>-1.6055433496704463E-2</v>
      </c>
      <c r="BW82" s="288">
        <f t="shared" ref="BW82" si="593">BW66/BS66-1</f>
        <v>-6.4827320084892892E-2</v>
      </c>
      <c r="BX82" s="288">
        <f t="shared" ref="BX82" si="594">BX66/BT66-1</f>
        <v>-1.7697500456121174E-2</v>
      </c>
      <c r="BY82" s="288">
        <f t="shared" ref="BY82" si="595">BY66/BU66-1</f>
        <v>-7.0775420629114905E-2</v>
      </c>
      <c r="BZ82" s="288">
        <f t="shared" ref="BZ82" si="596">BZ66/BV66-1</f>
        <v>1.1851597389213264E-2</v>
      </c>
      <c r="CA82" s="288">
        <f t="shared" ref="CA82" si="597">CA66/BW66-1</f>
        <v>-3.2803796162574783E-2</v>
      </c>
      <c r="CB82" s="288">
        <f t="shared" ref="CB82" si="598">CB66/BX66-1</f>
        <v>-3.8632986627043064E-2</v>
      </c>
      <c r="CC82" s="288">
        <f t="shared" ref="CC82" si="599">CC66/BY66-1</f>
        <v>-6.0814800236174027E-2</v>
      </c>
      <c r="CD82" s="288">
        <f t="shared" ref="CD82" si="600">CD66/BZ66-1</f>
        <v>-9.8794771685622118E-2</v>
      </c>
      <c r="CE82" s="288">
        <f t="shared" ref="CE82" si="601">CE66/CA66-1</f>
        <v>1.0452218430034188E-2</v>
      </c>
      <c r="CF82" s="288">
        <f t="shared" ref="CF82" si="602">CF66/CB66-1</f>
        <v>1.6615146831530092E-2</v>
      </c>
      <c r="CG82" s="288">
        <f t="shared" ref="CG82" si="603">CG66/CC66-1</f>
        <v>0.13076278290025156</v>
      </c>
      <c r="CH82" s="288">
        <f t="shared" ref="CH82" si="604">CH66/CD66-1</f>
        <v>0.13486532303635346</v>
      </c>
      <c r="CI82" s="288">
        <f t="shared" ref="CI82" si="605">CI66/CE66-1</f>
        <v>0.1110407430863416</v>
      </c>
      <c r="CJ82" s="288">
        <f t="shared" ref="CJ82" si="606">CJ66/CF66-1</f>
        <v>9.1410110224249275E-2</v>
      </c>
      <c r="CK82" s="288">
        <f t="shared" ref="CK82" si="607">CK66/CG66-1</f>
        <v>-0.17383246849518164</v>
      </c>
      <c r="CL82" s="288">
        <f t="shared" ref="CL82" si="608">CL66/CH66-1</f>
        <v>-0.18373443983402493</v>
      </c>
      <c r="CM82" s="288">
        <f t="shared" ref="CM82:CO82" si="609">+CM66/CI66-1</f>
        <v>-8.3602508075242277E-3</v>
      </c>
      <c r="CN82" s="288">
        <f t="shared" si="609"/>
        <v>-3.4302629287828679E-2</v>
      </c>
      <c r="CO82" s="288">
        <f t="shared" si="609"/>
        <v>-4.9798115746971683E-2</v>
      </c>
      <c r="CP82" s="288">
        <f t="shared" ref="CP82" si="610">+CP66/CL66-1</f>
        <v>-4.2700284668564237E-3</v>
      </c>
      <c r="CQ82" s="288">
        <f t="shared" ref="CQ82" si="611">+CQ66/CM66-1</f>
        <v>-3.0657214025675561E-3</v>
      </c>
      <c r="CR82" s="288">
        <f t="shared" ref="CR82" si="612">+CR66/CN66-1</f>
        <v>-9.9711503786512834E-2</v>
      </c>
      <c r="CS82" s="288">
        <f t="shared" ref="CS82" si="613">+CS66/CO66-1</f>
        <v>0.2821057601510859</v>
      </c>
      <c r="CT82" s="288">
        <f t="shared" ref="CT82" si="614">+CT66/CP66-1</f>
        <v>0.31856238513375534</v>
      </c>
      <c r="CU82" s="288">
        <f t="shared" ref="CU82" si="615">+CU66/CQ66-1</f>
        <v>4.4013069383048276E-2</v>
      </c>
      <c r="CV82" s="288">
        <f t="shared" ref="CV82" si="616">+CV66/CR66-1</f>
        <v>0.21510114159823757</v>
      </c>
      <c r="CW82" s="288">
        <f t="shared" ref="CW82:CX82" si="617">+CW66/CS66-1</f>
        <v>0.10476891916774078</v>
      </c>
      <c r="CX82" s="288">
        <f t="shared" si="617"/>
        <v>0.10794486603685916</v>
      </c>
      <c r="CY82" s="288">
        <f>+CY66/CU66-1</f>
        <v>9.3151693667157476E-2</v>
      </c>
      <c r="CZ82" s="288">
        <f t="shared" ref="CZ82:DG82" si="618">+CZ66/CV66-1</f>
        <v>2.5218394593703675E-2</v>
      </c>
      <c r="DA82" s="288">
        <f t="shared" si="618"/>
        <v>-1</v>
      </c>
      <c r="DB82" s="288">
        <f t="shared" si="618"/>
        <v>-9.7008666480290717E-2</v>
      </c>
      <c r="DC82" s="288">
        <f t="shared" si="618"/>
        <v>-0.17379589087234759</v>
      </c>
      <c r="DD82" s="288">
        <f t="shared" si="618"/>
        <v>7.1543408360128513E-2</v>
      </c>
      <c r="DE82" s="288" t="e">
        <f t="shared" si="618"/>
        <v>#DIV/0!</v>
      </c>
      <c r="DF82" s="288">
        <f t="shared" si="618"/>
        <v>-0.10185758513931886</v>
      </c>
      <c r="DG82" s="288">
        <f t="shared" si="618"/>
        <v>7.0729718711781464E-2</v>
      </c>
      <c r="DH82" s="288">
        <f t="shared" ref="DH82" si="619">+DH66/DD66-1</f>
        <v>-0.14763690922730688</v>
      </c>
      <c r="DI82" s="288">
        <f t="shared" ref="DI82" si="620">+DI66/DE66-1</f>
        <v>-1</v>
      </c>
      <c r="DJ82" s="288">
        <f t="shared" ref="DJ82" si="621">+DJ66/DF66-1</f>
        <v>-1</v>
      </c>
      <c r="DK82" s="288">
        <f t="shared" ref="DK82" si="622">+DK66/DG66-1</f>
        <v>-1</v>
      </c>
      <c r="DL82" s="288">
        <f t="shared" ref="DL82" si="623">+DL66/DH66-1</f>
        <v>-1</v>
      </c>
      <c r="DM82" s="288" t="e">
        <f t="shared" ref="DM82" si="624">+DM66/DI66-1</f>
        <v>#DIV/0!</v>
      </c>
      <c r="DN82" s="288" t="e">
        <f t="shared" ref="DN82" si="625">+DN66/DJ66-1</f>
        <v>#DIV/0!</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626">EK66/EJ66-1</f>
        <v>-1.9039442452401412E-2</v>
      </c>
      <c r="EL82" s="246">
        <f t="shared" si="626"/>
        <v>7.9540774299835304E-2</v>
      </c>
      <c r="EM82" s="246">
        <f t="shared" si="626"/>
        <v>-4.7689446325528406E-3</v>
      </c>
      <c r="EN82" s="246">
        <f>EN66/EM66-1</f>
        <v>2.8079927164694096E-2</v>
      </c>
      <c r="EO82" s="246">
        <f t="shared" ref="EO82:EY82" si="627">EO66/EN66-1</f>
        <v>0.15738290608249828</v>
      </c>
      <c r="EP82" s="246">
        <f t="shared" si="627"/>
        <v>-1</v>
      </c>
      <c r="EQ82" s="246" t="e">
        <f t="shared" si="627"/>
        <v>#DIV/0!</v>
      </c>
      <c r="ER82" s="246" t="e">
        <f t="shared" si="627"/>
        <v>#DIV/0!</v>
      </c>
      <c r="ES82" s="246" t="e">
        <f t="shared" si="627"/>
        <v>#DIV/0!</v>
      </c>
      <c r="ET82" s="246">
        <f t="shared" si="627"/>
        <v>-2.3746442939848844E-2</v>
      </c>
      <c r="EU82" s="246">
        <f t="shared" si="627"/>
        <v>0.10986028746607701</v>
      </c>
      <c r="EV82" s="246">
        <f t="shared" si="627"/>
        <v>0.11632856366600253</v>
      </c>
      <c r="EW82" s="246">
        <f t="shared" si="627"/>
        <v>-0.24479779337200336</v>
      </c>
      <c r="EX82" s="246">
        <f t="shared" si="627"/>
        <v>0.36168687828982726</v>
      </c>
      <c r="EY82" s="246">
        <f t="shared" si="627"/>
        <v>3.2085239452182224E-2</v>
      </c>
      <c r="EZ82" s="246"/>
      <c r="FA82" s="246"/>
      <c r="FB82" s="246"/>
      <c r="FC82" s="246"/>
      <c r="FD82" s="246"/>
      <c r="FE82" s="246"/>
      <c r="FF82" s="246"/>
      <c r="FG82" s="246"/>
      <c r="FH82" s="246"/>
      <c r="FI82" s="246"/>
      <c r="FJ82" s="246"/>
      <c r="FM82" t="s">
        <v>1439</v>
      </c>
      <c r="FN82" s="292">
        <v>0.7</v>
      </c>
      <c r="FQ82" s="291"/>
      <c r="FR82" s="291"/>
      <c r="FS82" s="291"/>
      <c r="FT82"/>
      <c r="FU82" s="291"/>
      <c r="FV82" s="291"/>
      <c r="FW82" s="291"/>
    </row>
    <row r="83" spans="1:179" s="281" customFormat="1" ht="12.75" customHeight="1" x14ac:dyDescent="0.2">
      <c r="B83" s="1" t="s">
        <v>345</v>
      </c>
      <c r="C83" s="282">
        <f>PV(9%,4,0,-EO75)*14</f>
        <v>67.395045147406719</v>
      </c>
      <c r="D83" s="282"/>
      <c r="E83" s="282"/>
      <c r="F83" s="166"/>
      <c r="G83" s="166"/>
      <c r="H83" s="287">
        <f t="shared" ref="H83:AY83" si="628">H75/D75-1</f>
        <v>7.5818659710282343E-2</v>
      </c>
      <c r="I83" s="287">
        <f t="shared" si="628"/>
        <v>9.2950596934190166E-2</v>
      </c>
      <c r="J83" s="287">
        <f t="shared" si="628"/>
        <v>7.634149897929432E-2</v>
      </c>
      <c r="K83" s="287">
        <f t="shared" si="628"/>
        <v>0.11788882689055269</v>
      </c>
      <c r="L83" s="287">
        <f t="shared" si="628"/>
        <v>0.14473964191263655</v>
      </c>
      <c r="M83" s="287">
        <f t="shared" si="628"/>
        <v>0.14310088198022242</v>
      </c>
      <c r="N83" s="287">
        <f t="shared" si="628"/>
        <v>5.1308536479371281E-2</v>
      </c>
      <c r="O83" s="287">
        <f t="shared" si="628"/>
        <v>0.13385180270518893</v>
      </c>
      <c r="P83" s="287">
        <f>P75/L75-1</f>
        <v>0.12075080173552166</v>
      </c>
      <c r="Q83" s="287">
        <f t="shared" si="628"/>
        <v>0.11640695323782246</v>
      </c>
      <c r="R83" s="287">
        <f t="shared" si="628"/>
        <v>0.25331564986737409</v>
      </c>
      <c r="S83" s="287">
        <f t="shared" si="628"/>
        <v>0.13856690012533113</v>
      </c>
      <c r="T83" s="287">
        <f>T75/P75-1</f>
        <v>1.2037195940025613E-2</v>
      </c>
      <c r="U83" s="287">
        <f t="shared" si="628"/>
        <v>0.10050364968255754</v>
      </c>
      <c r="V83" s="287">
        <f t="shared" si="628"/>
        <v>0.16465516247651335</v>
      </c>
      <c r="W83" s="287">
        <f t="shared" si="628"/>
        <v>0.11042340202435219</v>
      </c>
      <c r="X83" s="287">
        <f t="shared" si="628"/>
        <v>0.33892222366878832</v>
      </c>
      <c r="Y83" s="287">
        <f t="shared" si="628"/>
        <v>0.15957351708447542</v>
      </c>
      <c r="Z83" s="287">
        <f t="shared" si="628"/>
        <v>0.18068383735432225</v>
      </c>
      <c r="AA83" s="287">
        <f t="shared" si="628"/>
        <v>0.17560586488735686</v>
      </c>
      <c r="AB83" s="287">
        <f t="shared" si="628"/>
        <v>9.5766268040985869E-2</v>
      </c>
      <c r="AC83" s="287">
        <f t="shared" si="628"/>
        <v>0.20792294940519618</v>
      </c>
      <c r="AD83" s="287">
        <f t="shared" si="628"/>
        <v>0.43934703660578567</v>
      </c>
      <c r="AE83" s="287">
        <f t="shared" si="628"/>
        <v>0.40330271308582621</v>
      </c>
      <c r="AF83" s="287">
        <f t="shared" si="628"/>
        <v>0.36425979190318269</v>
      </c>
      <c r="AG83" s="287">
        <f t="shared" si="628"/>
        <v>0.13879826799979922</v>
      </c>
      <c r="AH83" s="287">
        <f t="shared" si="628"/>
        <v>1.0408112986510343E-2</v>
      </c>
      <c r="AI83" s="287">
        <f t="shared" si="628"/>
        <v>-3.321908623949843E-2</v>
      </c>
      <c r="AJ83" s="287">
        <f t="shared" si="628"/>
        <v>4.5241526320477954E-2</v>
      </c>
      <c r="AK83" s="287">
        <f t="shared" si="628"/>
        <v>7.6881693334693413E-2</v>
      </c>
      <c r="AL83" s="287">
        <f t="shared" si="628"/>
        <v>4.7357926221335944E-2</v>
      </c>
      <c r="AM83" s="287">
        <f t="shared" si="628"/>
        <v>0.18936887555891713</v>
      </c>
      <c r="AN83" s="287">
        <f t="shared" si="628"/>
        <v>3.6136156228004479E-2</v>
      </c>
      <c r="AO83" s="287">
        <f t="shared" si="628"/>
        <v>0.15510613626240932</v>
      </c>
      <c r="AP83" s="287">
        <f t="shared" si="628"/>
        <v>0.16724537677075335</v>
      </c>
      <c r="AQ83" s="287">
        <f t="shared" si="628"/>
        <v>5.0337651327217348E-2</v>
      </c>
      <c r="AR83" s="287">
        <f t="shared" si="628"/>
        <v>2.4384801824921754E-2</v>
      </c>
      <c r="AS83" s="287">
        <f t="shared" si="628"/>
        <v>9.4606176817664034E-2</v>
      </c>
      <c r="AT83" s="287">
        <f t="shared" si="628"/>
        <v>0.23000568097020602</v>
      </c>
      <c r="AU83" s="287">
        <f t="shared" si="628"/>
        <v>7.020584740193403E-2</v>
      </c>
      <c r="AV83" s="287">
        <f t="shared" si="628"/>
        <v>0.11868138566888375</v>
      </c>
      <c r="AW83" s="287">
        <f t="shared" si="628"/>
        <v>9.5187736415512925E-2</v>
      </c>
      <c r="AX83" s="287">
        <f t="shared" si="628"/>
        <v>-6.3593420219504537E-2</v>
      </c>
      <c r="AY83" s="287">
        <f t="shared" si="628"/>
        <v>1.4359563869827952E-3</v>
      </c>
      <c r="AZ83" s="287">
        <f t="shared" ref="AZ83:BF83" si="629">AZ75/AV75-1</f>
        <v>-2.5715357562949182E-2</v>
      </c>
      <c r="BA83" s="287">
        <f t="shared" si="629"/>
        <v>2.4431871651507064E-2</v>
      </c>
      <c r="BB83" s="287">
        <f t="shared" si="629"/>
        <v>0.10025117077992585</v>
      </c>
      <c r="BC83" s="287">
        <f t="shared" si="629"/>
        <v>2.8316206701865632E-2</v>
      </c>
      <c r="BD83" s="287">
        <f t="shared" si="629"/>
        <v>6.7260095469480863E-2</v>
      </c>
      <c r="BE83" s="287">
        <f t="shared" si="629"/>
        <v>2.3944295740103483E-2</v>
      </c>
      <c r="BF83" s="287">
        <f t="shared" si="629"/>
        <v>-1.6153307030108977E-3</v>
      </c>
      <c r="BG83" s="287">
        <f>BG75/BC75-1</f>
        <v>0.1910607025483293</v>
      </c>
      <c r="BH83" s="287">
        <f>BH75/BD75-1</f>
        <v>-1.6918038772520849E-2</v>
      </c>
      <c r="BI83" s="287">
        <f>BI75/BE75-1</f>
        <v>-6.0154852950498827E-2</v>
      </c>
      <c r="BJ83" s="287">
        <f t="shared" ref="BJ83" si="630">BJ75/BF75-1</f>
        <v>1.0004880615359619</v>
      </c>
      <c r="BK83" s="287">
        <f>BK75/BG75-1</f>
        <v>-8.4820785085281014E-2</v>
      </c>
      <c r="BL83" s="287">
        <f t="shared" ref="BL83" si="631">BL75/BH75-1</f>
        <v>6.9578193071049954E-2</v>
      </c>
      <c r="BM83" s="287">
        <f t="shared" ref="BM83" si="632">BM75/BI75-1</f>
        <v>6.1272871553678554E-2</v>
      </c>
      <c r="BN83" s="287">
        <f t="shared" ref="BN83" si="633">BN75/BJ75-1</f>
        <v>-0.51080284450880753</v>
      </c>
      <c r="BO83" s="287">
        <f t="shared" ref="BO83" si="634">BO75/BK75-1</f>
        <v>-0.10531204944610384</v>
      </c>
      <c r="BP83" s="287">
        <f t="shared" ref="BP83" si="635">BP75/BL75-1</f>
        <v>0.16062407397490119</v>
      </c>
      <c r="BQ83" s="287">
        <f t="shared" ref="BQ83" si="636">BQ75/BM75-1</f>
        <v>0.13019144828970597</v>
      </c>
      <c r="BR83" s="287">
        <f t="shared" ref="BR83" si="637">BR75/BN75-1</f>
        <v>0.2607768876622647</v>
      </c>
      <c r="BS83" s="287">
        <f>BS75/BO75-1</f>
        <v>0.38546858742814538</v>
      </c>
      <c r="BT83" s="287">
        <f t="shared" ref="BT83" si="638">BT75/BP75-1</f>
        <v>6.3296424145320662E-2</v>
      </c>
      <c r="BU83" s="287">
        <f t="shared" ref="BU83" si="639">BU75/BQ75-1</f>
        <v>-0.14032529532852378</v>
      </c>
      <c r="BV83" s="287">
        <f t="shared" ref="BV83" si="640">BV75/BR75-1</f>
        <v>7.0171293429426296E-3</v>
      </c>
      <c r="BW83" s="287">
        <f t="shared" ref="BW83" si="641">BW75/BS75-1</f>
        <v>-0.19529001548062908</v>
      </c>
      <c r="BX83" s="287">
        <f t="shared" ref="BX83" si="642">BX75/BT75-1</f>
        <v>-0.20167791630639931</v>
      </c>
      <c r="BY83" s="287">
        <f t="shared" ref="BY83" si="643">BY75/BU75-1</f>
        <v>0.13544359995566224</v>
      </c>
      <c r="BZ83" s="287">
        <f t="shared" ref="BZ83" si="644">BZ75/BV75-1</f>
        <v>-0.23792671941193322</v>
      </c>
      <c r="CA83" s="287">
        <f t="shared" ref="CA83" si="645">CA75/BW75-1</f>
        <v>0.16493010636593963</v>
      </c>
      <c r="CB83" s="287">
        <f t="shared" ref="CB83" si="646">CB75/BX75-1</f>
        <v>0.31852760954226067</v>
      </c>
      <c r="CC83" s="287">
        <f t="shared" ref="CC83" si="647">CC75/BY75-1</f>
        <v>0.15309402193622512</v>
      </c>
      <c r="CD83" s="287">
        <f t="shared" ref="CD83" si="648">CD75/BZ75-1</f>
        <v>0.4874740822051471</v>
      </c>
      <c r="CE83" s="287">
        <f t="shared" ref="CE83" si="649">CE75/CA75-1</f>
        <v>-6.7252058155131689E-4</v>
      </c>
      <c r="CF83" s="287">
        <f t="shared" ref="CF83" si="650">CF75/CB75-1</f>
        <v>-3.9582449882542892E-2</v>
      </c>
      <c r="CG83" s="287">
        <f t="shared" ref="CG83" si="651">CG75/CC75-1</f>
        <v>-0.10018831722551658</v>
      </c>
      <c r="CH83" s="287">
        <f t="shared" ref="CH83" si="652">CH75/CD75-1</f>
        <v>0.22612525482605106</v>
      </c>
      <c r="CI83" s="287">
        <f t="shared" ref="CI83" si="653">CI75/CE75-1</f>
        <v>-1.3651202781446381E-2</v>
      </c>
      <c r="CJ83" s="287">
        <f t="shared" ref="CJ83" si="654">CJ75/CF75-1</f>
        <v>-4.1854298358804387E-3</v>
      </c>
      <c r="CK83" s="287">
        <f t="shared" ref="CK83" si="655">CK75/CG75-1</f>
        <v>0.51458844505578183</v>
      </c>
      <c r="CL83" s="287">
        <f t="shared" ref="CL83" si="656">CL75/CH75-1</f>
        <v>0.10394841705592039</v>
      </c>
      <c r="CM83" s="287">
        <f t="shared" ref="CM83:CO83" si="657">+CM75/CI75-1</f>
        <v>7.3335795050902153E-2</v>
      </c>
      <c r="CN83" s="287">
        <f t="shared" si="657"/>
        <v>-7.9588542556748409E-2</v>
      </c>
      <c r="CO83" s="287">
        <f t="shared" si="657"/>
        <v>-2.4099928214634803E-3</v>
      </c>
      <c r="CP83" s="287">
        <f t="shared" ref="CP83" si="658">+CP75/CL75-1</f>
        <v>-3.401938512106395E-2</v>
      </c>
      <c r="CQ83" s="287">
        <f t="shared" ref="CQ83" si="659">+CQ75/CM75-1</f>
        <v>0.10010206676183309</v>
      </c>
      <c r="CR83" s="287">
        <f t="shared" ref="CR83" si="660">+CR75/CN75-1</f>
        <v>-6.3188735958248476E-2</v>
      </c>
      <c r="CS83" s="287">
        <f t="shared" ref="CS83" si="661">+CS75/CO75-1</f>
        <v>-0.12151690217235556</v>
      </c>
      <c r="CT83" s="287">
        <f t="shared" ref="CT83" si="662">+CT75/CP75-1</f>
        <v>-0.19005066624794598</v>
      </c>
      <c r="CU83" s="287">
        <f t="shared" ref="CU83" si="663">+CU75/CQ75-1</f>
        <v>0.22711682108032161</v>
      </c>
      <c r="CV83" s="287">
        <f t="shared" ref="CV83" si="664">+CV75/CR75-1</f>
        <v>0.82370196327592327</v>
      </c>
      <c r="CW83" s="287">
        <f t="shared" ref="CW83:CX83" si="665">+CW75/CS75-1</f>
        <v>0.30236297648751398</v>
      </c>
      <c r="CX83" s="287">
        <f t="shared" si="665"/>
        <v>0.19325870108083376</v>
      </c>
      <c r="CY83" s="287">
        <f>+CY75/CU75-1</f>
        <v>-4.9475018188636977E-2</v>
      </c>
      <c r="CZ83" s="287">
        <f t="shared" ref="CZ83:DG83" si="666">+CZ75/CV75-1</f>
        <v>4.0973813158941219E-2</v>
      </c>
      <c r="DA83" s="287">
        <f t="shared" si="666"/>
        <v>0.73557736636361604</v>
      </c>
      <c r="DB83" s="287">
        <f t="shared" si="666"/>
        <v>0.31595973461524585</v>
      </c>
      <c r="DC83" s="287">
        <f t="shared" si="666"/>
        <v>-0.13043649439575344</v>
      </c>
      <c r="DD83" s="287">
        <f t="shared" si="666"/>
        <v>-0.22097777201966096</v>
      </c>
      <c r="DE83" s="287">
        <f t="shared" si="666"/>
        <v>-0.56387431845430769</v>
      </c>
      <c r="DF83" s="287">
        <f t="shared" si="666"/>
        <v>-1.5335215793113588E-2</v>
      </c>
      <c r="DG83" s="287">
        <f t="shared" si="666"/>
        <v>0.40068699716185274</v>
      </c>
      <c r="DH83" s="287">
        <f t="shared" ref="DH83" si="667">+DH75/DD75-1</f>
        <v>-1.8606907423176722E-2</v>
      </c>
      <c r="DI83" s="287">
        <f t="shared" ref="DI83" si="668">+DI75/DE75-1</f>
        <v>2.797450275175057</v>
      </c>
      <c r="DJ83" s="287">
        <f t="shared" ref="DJ83" si="669">+DJ75/DF75-1</f>
        <v>1.8842370283403516</v>
      </c>
      <c r="DK83" s="287">
        <f t="shared" ref="DK83" si="670">+DK75/DG75-1</f>
        <v>1.4766855112054231</v>
      </c>
      <c r="DL83" s="287">
        <f t="shared" ref="DL83" si="671">+DL75/DH75-1</f>
        <v>2.3872850400164167</v>
      </c>
      <c r="DM83" s="287">
        <f t="shared" ref="DM83" si="672">+DM75/DI75-1</f>
        <v>-2.0221445740229549E-2</v>
      </c>
      <c r="DN83" s="287">
        <f t="shared" ref="DN83" si="673">+DN75/DJ75-1</f>
        <v>-1.3044126769402031E-2</v>
      </c>
      <c r="DP83" s="287"/>
      <c r="DQ83" s="287">
        <f t="shared" ref="DQ83:EQ83" si="674">DQ75/DP75-1</f>
        <v>0.16138620699103701</v>
      </c>
      <c r="DR83" s="287">
        <f t="shared" si="674"/>
        <v>9.3784452783480798E-3</v>
      </c>
      <c r="DS83" s="287">
        <f t="shared" si="674"/>
        <v>0.11223738786059356</v>
      </c>
      <c r="DT83" s="287">
        <f t="shared" si="674"/>
        <v>9.9683709315189217E-2</v>
      </c>
      <c r="DU83" s="287">
        <f t="shared" si="674"/>
        <v>0.12252543201017119</v>
      </c>
      <c r="DV83" s="287">
        <f t="shared" si="674"/>
        <v>0.19787193984028106</v>
      </c>
      <c r="DW83" s="287">
        <f t="shared" si="674"/>
        <v>0.20141489804411172</v>
      </c>
      <c r="DX83" s="287">
        <f t="shared" si="674"/>
        <v>0.14409421544856249</v>
      </c>
      <c r="DY83" s="287">
        <f t="shared" si="674"/>
        <v>0.16136845292158641</v>
      </c>
      <c r="DZ83" s="287">
        <f t="shared" si="674"/>
        <v>8.6222689728370661E-2</v>
      </c>
      <c r="EA83" s="287">
        <f t="shared" si="674"/>
        <v>0.15694367545205146</v>
      </c>
      <c r="EB83" s="287">
        <f t="shared" si="674"/>
        <v>0.17827821800773225</v>
      </c>
      <c r="EC83" s="287">
        <f t="shared" si="674"/>
        <v>0.37830154695147633</v>
      </c>
      <c r="ED83" s="287">
        <f t="shared" si="674"/>
        <v>0.13855365103019746</v>
      </c>
      <c r="EE83" s="287">
        <f t="shared" si="674"/>
        <v>7.7515187246461448E-2</v>
      </c>
      <c r="EF83" s="287">
        <f t="shared" si="674"/>
        <v>4.8372071083447876E-2</v>
      </c>
      <c r="EG83" s="287">
        <f t="shared" si="674"/>
        <v>0.1462207278197587</v>
      </c>
      <c r="EH83" s="287">
        <f t="shared" si="674"/>
        <v>0.11889271311352956</v>
      </c>
      <c r="EI83" s="287">
        <f t="shared" si="674"/>
        <v>8.1321657802964298E-2</v>
      </c>
      <c r="EJ83" s="287">
        <f>EJ75/EI75-1</f>
        <v>0.32184701102067947</v>
      </c>
      <c r="EK83" s="287">
        <f t="shared" si="674"/>
        <v>-0.21643770301278442</v>
      </c>
      <c r="EL83" s="287">
        <f t="shared" si="674"/>
        <v>0.26467153844213498</v>
      </c>
      <c r="EM83" s="287">
        <f t="shared" si="674"/>
        <v>-0.19197091346348505</v>
      </c>
      <c r="EN83" s="287">
        <f t="shared" si="674"/>
        <v>0.10636798720285601</v>
      </c>
      <c r="EO83" s="287">
        <f t="shared" si="674"/>
        <v>0.27564464955984436</v>
      </c>
      <c r="EP83" s="287">
        <f t="shared" si="674"/>
        <v>1.532103792198575</v>
      </c>
      <c r="EQ83" s="287">
        <f t="shared" si="674"/>
        <v>-7.8313463952260576E-2</v>
      </c>
      <c r="ER83" s="287" t="e">
        <f t="shared" ref="ER83" si="675">ER75/EQ75-1</f>
        <v>#DIV/0!</v>
      </c>
      <c r="ES83" s="287" t="e">
        <f t="shared" ref="ES83" si="676">ES75/ER75-1</f>
        <v>#DIV/0!</v>
      </c>
      <c r="ET83" s="287">
        <f t="shared" ref="ET83" si="677">ET75/ES75-1</f>
        <v>-1.1629204213314037E-2</v>
      </c>
      <c r="EU83" s="287">
        <f t="shared" ref="EU83" si="678">EU75/ET75-1</f>
        <v>-7.3891727611955949E-2</v>
      </c>
      <c r="EV83" s="287">
        <f t="shared" ref="EV83" si="679">EV75/EU75-1</f>
        <v>0.37643894125962207</v>
      </c>
      <c r="EW83" s="287">
        <f t="shared" ref="EW83" si="680">EW75/EV75-1</f>
        <v>0.24041054252660876</v>
      </c>
      <c r="EX83" s="287">
        <f t="shared" ref="EX83" si="681">EX75/EW75-1</f>
        <v>1.7603139265403023E-3</v>
      </c>
      <c r="EY83" s="287">
        <f t="shared" ref="EY83" si="682">EY75/EX75-1</f>
        <v>3.4557892105893107E-2</v>
      </c>
      <c r="EZ83" s="287"/>
      <c r="FA83" s="287"/>
      <c r="FB83" s="287"/>
      <c r="FC83" s="287"/>
      <c r="FD83" s="287"/>
      <c r="FE83" s="287"/>
      <c r="FF83" s="287"/>
      <c r="FG83" s="287"/>
      <c r="FH83" s="287"/>
      <c r="FI83" s="287"/>
      <c r="FJ83" s="287"/>
      <c r="FM83" t="s">
        <v>1238</v>
      </c>
      <c r="FN83" s="79">
        <f>NPV(FN78,EX74:JW74)+EW74+Main!R5-Main!R6</f>
        <v>414027.66281907813</v>
      </c>
      <c r="FQ83" s="1"/>
      <c r="FR83" s="1"/>
      <c r="FS83"/>
      <c r="FT83"/>
      <c r="FU83"/>
      <c r="FV83" s="1"/>
      <c r="FW83" s="1"/>
    </row>
    <row r="84" spans="1:179" s="279" customFormat="1" ht="12.75" customHeight="1" x14ac:dyDescent="0.2">
      <c r="A84" s="1"/>
      <c r="B84" t="s">
        <v>347</v>
      </c>
      <c r="C84" s="282">
        <f>PV(7%,4,0,-EO75)*14</f>
        <v>72.576972777937499</v>
      </c>
      <c r="D84" s="282"/>
      <c r="E84" s="282"/>
      <c r="F84" s="293"/>
      <c r="G84" s="293"/>
      <c r="H84" s="293"/>
      <c r="I84" s="294"/>
      <c r="J84" s="294"/>
      <c r="K84" s="294"/>
      <c r="L84" s="294"/>
      <c r="M84" s="294"/>
      <c r="N84" s="294"/>
      <c r="O84" s="294">
        <f t="shared" ref="O84:AT84" si="683">O3/K3-1</f>
        <v>1.3333333333333335</v>
      </c>
      <c r="P84" s="294">
        <f t="shared" si="683"/>
        <v>2.5076923076923077</v>
      </c>
      <c r="Q84" s="294">
        <f t="shared" si="683"/>
        <v>2.3629629629629627</v>
      </c>
      <c r="R84" s="294">
        <f t="shared" si="683"/>
        <v>2.3902439024390243</v>
      </c>
      <c r="S84" s="294">
        <f t="shared" si="683"/>
        <v>1.6734693877551021</v>
      </c>
      <c r="T84" s="294">
        <f t="shared" si="683"/>
        <v>0.875</v>
      </c>
      <c r="U84" s="294">
        <f t="shared" si="683"/>
        <v>1.3017621145374449</v>
      </c>
      <c r="V84" s="294">
        <f t="shared" si="683"/>
        <v>0.51079136690647475</v>
      </c>
      <c r="W84" s="294">
        <f t="shared" si="683"/>
        <v>0.87022900763358768</v>
      </c>
      <c r="X84" s="294">
        <f t="shared" si="683"/>
        <v>0.9415204678362572</v>
      </c>
      <c r="Y84" s="294">
        <f t="shared" si="683"/>
        <v>0.63157894736842102</v>
      </c>
      <c r="Z84" s="294">
        <f t="shared" si="683"/>
        <v>0.80476190476190479</v>
      </c>
      <c r="AA84" s="294">
        <f t="shared" si="683"/>
        <v>0.66938775510204085</v>
      </c>
      <c r="AB84" s="294">
        <f t="shared" si="683"/>
        <v>0.26807228915662651</v>
      </c>
      <c r="AC84" s="294">
        <f t="shared" si="683"/>
        <v>0.30205278592375362</v>
      </c>
      <c r="AD84" s="294">
        <f t="shared" si="683"/>
        <v>0.20316622691292885</v>
      </c>
      <c r="AE84" s="294">
        <f t="shared" si="683"/>
        <v>0.13447432762836176</v>
      </c>
      <c r="AF84" s="294">
        <f t="shared" si="683"/>
        <v>0.28028503562945373</v>
      </c>
      <c r="AG84" s="294">
        <f t="shared" si="683"/>
        <v>0.22747747747747749</v>
      </c>
      <c r="AH84" s="294">
        <f t="shared" si="683"/>
        <v>0.31140350877192979</v>
      </c>
      <c r="AI84" s="294">
        <f t="shared" si="683"/>
        <v>0.24353448275862077</v>
      </c>
      <c r="AJ84" s="294">
        <f t="shared" si="683"/>
        <v>0.19109461966604813</v>
      </c>
      <c r="AK84" s="294">
        <f t="shared" si="683"/>
        <v>0.14495412844036704</v>
      </c>
      <c r="AL84" s="294">
        <f t="shared" si="683"/>
        <v>0.15719063545150491</v>
      </c>
      <c r="AM84" s="294">
        <f t="shared" si="683"/>
        <v>0.18024263431542464</v>
      </c>
      <c r="AN84" s="294">
        <f t="shared" si="683"/>
        <v>0.21028037383177578</v>
      </c>
      <c r="AO84" s="294">
        <f t="shared" si="683"/>
        <v>0.24358974358974361</v>
      </c>
      <c r="AP84" s="294">
        <f t="shared" si="683"/>
        <v>0.12716763005780352</v>
      </c>
      <c r="AQ84" s="294">
        <f t="shared" si="683"/>
        <v>7.3421439060205484E-2</v>
      </c>
      <c r="AR84" s="294">
        <f t="shared" si="683"/>
        <v>0.11840411840411846</v>
      </c>
      <c r="AS84" s="294">
        <f t="shared" si="683"/>
        <v>5.5412371134020644E-2</v>
      </c>
      <c r="AT84" s="294">
        <f t="shared" si="683"/>
        <v>0.16410256410256419</v>
      </c>
      <c r="AU84" s="294">
        <f t="shared" ref="AU84:BZ84" si="684">AU3/AQ3-1</f>
        <v>0.36525307797537621</v>
      </c>
      <c r="AV84" s="294">
        <f t="shared" si="684"/>
        <v>1.9562715765247374E-2</v>
      </c>
      <c r="AW84" s="294">
        <f t="shared" si="684"/>
        <v>0.19413919413919412</v>
      </c>
      <c r="AX84" s="294">
        <f t="shared" si="684"/>
        <v>-2.4229074889867808E-2</v>
      </c>
      <c r="AY84" s="294">
        <f t="shared" si="684"/>
        <v>3.0060120240480881E-2</v>
      </c>
      <c r="AZ84" s="294">
        <f t="shared" si="684"/>
        <v>0.24379232505643333</v>
      </c>
      <c r="BA84" s="294">
        <f t="shared" si="684"/>
        <v>5.9304703476482645E-2</v>
      </c>
      <c r="BB84" s="294">
        <f t="shared" si="684"/>
        <v>0.28442437923250563</v>
      </c>
      <c r="BC84" s="294">
        <f t="shared" si="684"/>
        <v>0.15369649805447461</v>
      </c>
      <c r="BD84" s="294">
        <f t="shared" si="684"/>
        <v>2.5408348457350183E-2</v>
      </c>
      <c r="BE84" s="294">
        <f t="shared" si="684"/>
        <v>0.18629343629343631</v>
      </c>
      <c r="BF84" s="294">
        <f t="shared" si="684"/>
        <v>-6.4147627416520248E-2</v>
      </c>
      <c r="BG84" s="294">
        <f t="shared" si="684"/>
        <v>8.3473861720067433E-2</v>
      </c>
      <c r="BH84" s="294">
        <f t="shared" si="684"/>
        <v>0.21327433628318593</v>
      </c>
      <c r="BI84" s="294">
        <f t="shared" si="684"/>
        <v>0.14564686737184696</v>
      </c>
      <c r="BJ84" s="294">
        <f t="shared" si="684"/>
        <v>0.3408450704225352</v>
      </c>
      <c r="BK84" s="294">
        <f t="shared" si="684"/>
        <v>0.18365758754863815</v>
      </c>
      <c r="BL84" s="294">
        <f t="shared" si="684"/>
        <v>0.11086797957695116</v>
      </c>
      <c r="BM84" s="294">
        <f t="shared" si="684"/>
        <v>0.12997159090909083</v>
      </c>
      <c r="BN84" s="294">
        <f t="shared" si="684"/>
        <v>5.3221288515406195E-2</v>
      </c>
      <c r="BO84" s="294">
        <f t="shared" si="684"/>
        <v>5.1939513477974986E-2</v>
      </c>
      <c r="BP84" s="294">
        <f t="shared" si="684"/>
        <v>9.7833223900196886E-2</v>
      </c>
      <c r="BQ84" s="294">
        <f t="shared" si="684"/>
        <v>6.1596480201131287E-2</v>
      </c>
      <c r="BR84" s="294">
        <f t="shared" si="684"/>
        <v>0.13829787234042556</v>
      </c>
      <c r="BS84" s="294">
        <f t="shared" si="684"/>
        <v>6.2500000000000888E-3</v>
      </c>
      <c r="BT84" s="294">
        <f t="shared" si="684"/>
        <v>7.8947368421052655E-2</v>
      </c>
      <c r="BU84" s="294">
        <f t="shared" si="684"/>
        <v>5.5062166962699832E-2</v>
      </c>
      <c r="BV84" s="294">
        <f t="shared" si="684"/>
        <v>-2.3364485981308358E-2</v>
      </c>
      <c r="BW84" s="294">
        <f t="shared" si="684"/>
        <v>-6.2111801242236142E-3</v>
      </c>
      <c r="BX84" s="294">
        <f t="shared" si="684"/>
        <v>-7.5388026607538849E-2</v>
      </c>
      <c r="BY84" s="294">
        <f t="shared" si="684"/>
        <v>-9.4837261503928127E-2</v>
      </c>
      <c r="BZ84" s="294">
        <f t="shared" si="684"/>
        <v>4.7846889952152249E-3</v>
      </c>
      <c r="CA84" s="294">
        <f t="shared" ref="CA84" si="685">CA3/BW3-1</f>
        <v>0.11187499999999995</v>
      </c>
      <c r="CB84" s="294">
        <f t="shared" ref="CB84" si="686">CB3/BX3-1</f>
        <v>6.714628297362113E-2</v>
      </c>
      <c r="CC84" s="294">
        <f t="shared" ref="CC84" si="687">CC3/BY3-1</f>
        <v>0.10539367637941721</v>
      </c>
      <c r="CD84" s="294">
        <f t="shared" ref="CD84" si="688">CD3/BZ3-1</f>
        <v>-3.3333333333333326E-2</v>
      </c>
      <c r="CE84" s="294">
        <f t="shared" ref="CE84" si="689">CE3/CA3-1</f>
        <v>-6.014614952220354E-2</v>
      </c>
      <c r="CF84" s="294">
        <f t="shared" ref="CF84" si="690">CF3/CB3-1</f>
        <v>-0.1404494382022472</v>
      </c>
      <c r="CG84" s="294">
        <f t="shared" ref="CG84" si="691">CG3/CC3-1</f>
        <v>-7.6275939427930428E-2</v>
      </c>
      <c r="CH84" s="294">
        <f t="shared" ref="CH84" si="692">CH3/CD3-1</f>
        <v>-9.7290640394088634E-2</v>
      </c>
      <c r="CI84" s="294">
        <f t="shared" ref="CI84" si="693">CI3/CE3-1</f>
        <v>-0.16925837320574166</v>
      </c>
      <c r="CJ84" s="294">
        <f t="shared" ref="CJ84" si="694">CJ3/CF3-1</f>
        <v>-0.13725490196078427</v>
      </c>
      <c r="CK84" s="294">
        <f t="shared" ref="CK84" si="695">CK3/CG3-1</f>
        <v>-0.16272009714632663</v>
      </c>
      <c r="CL84" s="294">
        <f t="shared" ref="CL84" si="696">CL3/CH3-1</f>
        <v>-0.155525238744884</v>
      </c>
      <c r="CM84" s="294">
        <f t="shared" ref="CM84:CV85" si="697">+CM3/CI3-1</f>
        <v>-0.20662347012239024</v>
      </c>
      <c r="CN84" s="294">
        <f t="shared" si="697"/>
        <v>-0.16136363636363638</v>
      </c>
      <c r="CO84" s="294">
        <f t="shared" si="697"/>
        <v>-0.17621464829586653</v>
      </c>
      <c r="CP84" s="294">
        <f t="shared" si="697"/>
        <v>-0.16397415185783526</v>
      </c>
      <c r="CQ84" s="294">
        <f t="shared" si="697"/>
        <v>-0.10163339382940106</v>
      </c>
      <c r="CR84" s="294">
        <f t="shared" si="697"/>
        <v>-0.15537488708220415</v>
      </c>
      <c r="CS84" s="294">
        <f t="shared" si="697"/>
        <v>-0.18926056338028174</v>
      </c>
      <c r="CT84" s="294">
        <f t="shared" si="697"/>
        <v>-0.12946859903381647</v>
      </c>
      <c r="CU84" s="294">
        <f t="shared" si="697"/>
        <v>-0.2151515151515152</v>
      </c>
      <c r="CV84" s="294">
        <f t="shared" si="697"/>
        <v>-5.0267379679144408E-2</v>
      </c>
      <c r="CW84" s="294">
        <f t="shared" ref="CW84:DF85" si="698">+CW3/CS3-1</f>
        <v>-0.17372421281216066</v>
      </c>
      <c r="CX84" s="294">
        <f t="shared" si="698"/>
        <v>-0.1520532741398446</v>
      </c>
      <c r="CY84" s="294">
        <f t="shared" si="698"/>
        <v>-0.14671814671814676</v>
      </c>
      <c r="CZ84" s="294">
        <f t="shared" si="698"/>
        <v>-0.27139639639639634</v>
      </c>
      <c r="DA84" s="294">
        <f t="shared" si="698"/>
        <v>-0.26675427069645208</v>
      </c>
      <c r="DB84" s="294">
        <f t="shared" si="698"/>
        <v>-0.37827225130890052</v>
      </c>
      <c r="DC84" s="294">
        <f t="shared" si="698"/>
        <v>-0.26546003016591246</v>
      </c>
      <c r="DD84" s="294">
        <f t="shared" si="698"/>
        <v>-0.28593508500772802</v>
      </c>
      <c r="DE84" s="294">
        <f t="shared" si="698"/>
        <v>-0.1738351254480287</v>
      </c>
      <c r="DF84" s="294">
        <f t="shared" si="698"/>
        <v>-9.6842105263157841E-2</v>
      </c>
      <c r="DG84" s="294">
        <f t="shared" ref="DG84:DP85" si="699">+DG3/DC3-1</f>
        <v>-0.10882956878850103</v>
      </c>
      <c r="DH84" s="294">
        <f t="shared" si="699"/>
        <v>-0.14935064935064934</v>
      </c>
      <c r="DI84" s="294">
        <f t="shared" si="699"/>
        <v>-9.110629067245124E-2</v>
      </c>
      <c r="DJ84" s="294">
        <f t="shared" si="699"/>
        <v>-0.19999999999999984</v>
      </c>
      <c r="DK84" s="294">
        <f t="shared" si="699"/>
        <v>-0.19999999999999984</v>
      </c>
      <c r="DL84" s="294">
        <f t="shared" si="699"/>
        <v>-0.19999999999999996</v>
      </c>
      <c r="DM84" s="294">
        <f t="shared" si="699"/>
        <v>-0.19999999999999984</v>
      </c>
      <c r="DN84" s="294">
        <f t="shared" si="699"/>
        <v>-0.19999999999999996</v>
      </c>
      <c r="DP84" s="245"/>
      <c r="DQ84" s="245"/>
      <c r="DR84" s="245"/>
      <c r="DS84" s="245"/>
      <c r="DT84" s="245"/>
      <c r="DU84" s="245"/>
      <c r="DV84" s="245"/>
      <c r="DW84" s="245"/>
      <c r="DX84" s="245"/>
      <c r="DY84" s="245"/>
      <c r="DZ84" s="245"/>
      <c r="EA84" s="245"/>
      <c r="EB84" s="245"/>
      <c r="EC84" s="246">
        <f t="shared" ref="EC84:FE84" si="700">EC3/EB3-1</f>
        <v>0.79889042995839121</v>
      </c>
      <c r="ED84" s="246">
        <f t="shared" si="700"/>
        <v>0.33384734001542027</v>
      </c>
      <c r="EE84" s="246">
        <f t="shared" si="700"/>
        <v>0.23988439306358389</v>
      </c>
      <c r="EF84" s="246">
        <f t="shared" si="700"/>
        <v>0.18181818181818188</v>
      </c>
      <c r="EG84" s="246">
        <f t="shared" si="700"/>
        <v>0.18895463510848121</v>
      </c>
      <c r="EH84" s="246">
        <f t="shared" si="700"/>
        <v>0.10384870603848717</v>
      </c>
      <c r="EI84" s="246">
        <f t="shared" si="700"/>
        <v>0.12654042681094069</v>
      </c>
      <c r="EJ84" s="246">
        <f t="shared" si="700"/>
        <v>0.14834578441835644</v>
      </c>
      <c r="EK84" s="246">
        <f t="shared" si="700"/>
        <v>7.1096654275093041E-2</v>
      </c>
      <c r="EL84" s="246">
        <f t="shared" si="700"/>
        <v>0.19132321041214762</v>
      </c>
      <c r="EM84" s="246">
        <f t="shared" si="700"/>
        <v>0.11780772032046616</v>
      </c>
      <c r="EN84" s="246">
        <f t="shared" si="700"/>
        <v>8.6984850952923853E-2</v>
      </c>
      <c r="EO84" s="246">
        <f t="shared" si="700"/>
        <v>2.9222238873070516E-2</v>
      </c>
      <c r="EP84" s="246">
        <f t="shared" si="700"/>
        <v>3.0000000000000027E-2</v>
      </c>
      <c r="EQ84" s="246">
        <f t="shared" si="700"/>
        <v>0</v>
      </c>
      <c r="ER84" s="246">
        <f t="shared" si="700"/>
        <v>-1</v>
      </c>
      <c r="ES84" s="246" t="e">
        <f t="shared" si="700"/>
        <v>#DIV/0!</v>
      </c>
      <c r="ET84" s="246">
        <f t="shared" si="700"/>
        <v>-0.17761922643634998</v>
      </c>
      <c r="EU84" s="246">
        <f t="shared" si="700"/>
        <v>-0.14452054794520552</v>
      </c>
      <c r="EV84" s="246">
        <f t="shared" si="700"/>
        <v>-0.14865225513744329</v>
      </c>
      <c r="EW84" s="246">
        <f t="shared" si="700"/>
        <v>-0.26551724137931032</v>
      </c>
      <c r="EX84" s="246">
        <f t="shared" si="700"/>
        <v>-0.21510883482714471</v>
      </c>
      <c r="EY84" s="246">
        <f t="shared" si="700"/>
        <v>-0.13583469276780857</v>
      </c>
      <c r="EZ84" s="246">
        <f t="shared" si="700"/>
        <v>-0.19999999999999996</v>
      </c>
      <c r="FA84" s="246">
        <f t="shared" si="700"/>
        <v>-4.9999999999999933E-2</v>
      </c>
      <c r="FB84" s="246">
        <f t="shared" si="700"/>
        <v>-4.9999999999999933E-2</v>
      </c>
      <c r="FC84" s="246">
        <f t="shared" si="700"/>
        <v>-5.0000000000000044E-2</v>
      </c>
      <c r="FD84" s="246">
        <f t="shared" si="700"/>
        <v>-5.0000000000000044E-2</v>
      </c>
      <c r="FE84" s="246">
        <f t="shared" si="700"/>
        <v>-5.0000000000000044E-2</v>
      </c>
      <c r="FF84" s="246"/>
      <c r="FG84" s="246"/>
      <c r="FH84" s="246"/>
      <c r="FI84" s="246"/>
      <c r="FJ84" s="246"/>
      <c r="FM84" s="1" t="s">
        <v>1240</v>
      </c>
      <c r="FN84" s="295">
        <f>FN83/Main!R3</f>
        <v>170.94453460738157</v>
      </c>
      <c r="FQ84" s="290"/>
      <c r="FR84" s="290"/>
      <c r="FS84" s="291"/>
      <c r="FT84"/>
      <c r="FU84" s="290"/>
      <c r="FV84" s="290"/>
      <c r="FW84" s="290"/>
    </row>
    <row r="85" spans="1:179" s="279" customFormat="1" ht="12.75" customHeight="1" x14ac:dyDescent="0.2">
      <c r="A85" s="1"/>
      <c r="B85" t="s">
        <v>1627</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f t="shared" ref="BK85:BZ85" si="701">+BK4/BG4-1</f>
        <v>0.22105263157894739</v>
      </c>
      <c r="BL85" s="294">
        <f t="shared" si="701"/>
        <v>0.86567164179104483</v>
      </c>
      <c r="BM85" s="294">
        <f t="shared" si="701"/>
        <v>0.43410852713178305</v>
      </c>
      <c r="BN85" s="294">
        <f t="shared" si="701"/>
        <v>0.52100840336134446</v>
      </c>
      <c r="BO85" s="294">
        <f t="shared" si="701"/>
        <v>1.0431034482758621</v>
      </c>
      <c r="BP85" s="294">
        <f t="shared" si="701"/>
        <v>0.39999999999999991</v>
      </c>
      <c r="BQ85" s="294">
        <f t="shared" si="701"/>
        <v>0.43783783783783781</v>
      </c>
      <c r="BR85" s="294">
        <f t="shared" si="701"/>
        <v>0.40331491712707179</v>
      </c>
      <c r="BS85" s="294">
        <f t="shared" si="701"/>
        <v>9.2827004219409259E-2</v>
      </c>
      <c r="BT85" s="294">
        <f t="shared" si="701"/>
        <v>0.61142857142857143</v>
      </c>
      <c r="BU85" s="294">
        <f t="shared" si="701"/>
        <v>0.1278195488721805</v>
      </c>
      <c r="BV85" s="294">
        <f t="shared" si="701"/>
        <v>0.36220472440944884</v>
      </c>
      <c r="BW85" s="294">
        <f t="shared" si="701"/>
        <v>0.15830115830115821</v>
      </c>
      <c r="BX85" s="294">
        <f t="shared" si="701"/>
        <v>9.219858156028371E-2</v>
      </c>
      <c r="BY85" s="294">
        <f t="shared" si="701"/>
        <v>0.26666666666666661</v>
      </c>
      <c r="BZ85" s="294">
        <f t="shared" si="701"/>
        <v>-1.7341040462427793E-2</v>
      </c>
      <c r="CA85" s="294">
        <f t="shared" ref="CA85" si="702">+CA4/BW4-1</f>
        <v>0.30000000000000004</v>
      </c>
      <c r="CB85" s="294">
        <f t="shared" ref="CB85" si="703">+CB4/BX4-1</f>
        <v>0.45454545454545459</v>
      </c>
      <c r="CC85" s="294">
        <f t="shared" ref="CC85" si="704">+CC4/BY4-1</f>
        <v>0.26578947368421058</v>
      </c>
      <c r="CD85" s="294">
        <f t="shared" ref="CD85" si="705">+CD4/BZ4-1</f>
        <v>0.25294117647058822</v>
      </c>
      <c r="CE85" s="294">
        <f t="shared" ref="CE85" si="706">+CE4/CA4-1</f>
        <v>9.7435897435897534E-2</v>
      </c>
      <c r="CF85" s="294">
        <f t="shared" ref="CF85" si="707">+CF4/CB4-1</f>
        <v>-2.0089285714285698E-2</v>
      </c>
      <c r="CG85" s="294">
        <f t="shared" ref="CG85" si="708">+CG4/CC4-1</f>
        <v>-1.039501039501034E-2</v>
      </c>
      <c r="CH85" s="294">
        <f t="shared" ref="CH85" si="709">+CH4/CD4-1</f>
        <v>0.15023474178403751</v>
      </c>
      <c r="CI85" s="294">
        <f t="shared" ref="CI85" si="710">+CI4/CE4-1</f>
        <v>0.21028037383177578</v>
      </c>
      <c r="CJ85" s="294">
        <f t="shared" ref="CJ85" si="711">+CJ4/CF4-1</f>
        <v>0.24829157175398642</v>
      </c>
      <c r="CK85" s="294">
        <f t="shared" ref="CK85" si="712">+CK4/CG4-1</f>
        <v>0.12605042016806722</v>
      </c>
      <c r="CL85" s="294">
        <f t="shared" ref="CL85" si="713">+CL4/CH4-1</f>
        <v>-1.6326530612244872E-2</v>
      </c>
      <c r="CM85" s="294">
        <f t="shared" si="697"/>
        <v>1.158301158301156E-2</v>
      </c>
      <c r="CN85" s="294">
        <f t="shared" si="697"/>
        <v>2.7372262773722733E-2</v>
      </c>
      <c r="CO85" s="294">
        <f t="shared" si="697"/>
        <v>9.3283582089552342E-2</v>
      </c>
      <c r="CP85" s="294">
        <f t="shared" si="697"/>
        <v>6.846473029045641E-2</v>
      </c>
      <c r="CQ85" s="294">
        <f t="shared" si="697"/>
        <v>9.5419847328244156E-3</v>
      </c>
      <c r="CR85" s="294">
        <f t="shared" si="697"/>
        <v>-3.0195381882770822E-2</v>
      </c>
      <c r="CS85" s="294">
        <f t="shared" si="697"/>
        <v>1.0238907849829282E-2</v>
      </c>
      <c r="CT85" s="294">
        <f t="shared" si="697"/>
        <v>0.11844660194174761</v>
      </c>
      <c r="CU85" s="294">
        <f t="shared" si="697"/>
        <v>6.2381852551984807E-2</v>
      </c>
      <c r="CV85" s="294">
        <f t="shared" si="697"/>
        <v>6.9597069597069572E-2</v>
      </c>
      <c r="CW85" s="294">
        <f t="shared" si="698"/>
        <v>-3.5472972972973027E-2</v>
      </c>
      <c r="CX85" s="294">
        <f t="shared" si="698"/>
        <v>-2.951388888888884E-2</v>
      </c>
      <c r="CY85" s="294">
        <f t="shared" si="698"/>
        <v>1.6014234875444844E-2</v>
      </c>
      <c r="CZ85" s="294">
        <f t="shared" si="698"/>
        <v>-3.082191780821919E-2</v>
      </c>
      <c r="DA85" s="294">
        <f t="shared" si="698"/>
        <v>-4.5534150612959734E-2</v>
      </c>
      <c r="DB85" s="294">
        <f t="shared" si="698"/>
        <v>-0.10375670840787121</v>
      </c>
      <c r="DC85" s="294">
        <f t="shared" si="698"/>
        <v>-5.9544658493870362E-2</v>
      </c>
      <c r="DD85" s="294">
        <f t="shared" si="698"/>
        <v>-6.5371024734982353E-2</v>
      </c>
      <c r="DE85" s="294">
        <f t="shared" si="698"/>
        <v>0.15412844036697249</v>
      </c>
      <c r="DF85" s="294">
        <f t="shared" si="698"/>
        <v>1.9960079840319889E-3</v>
      </c>
      <c r="DG85" s="294">
        <f t="shared" si="699"/>
        <v>3.165735567970196E-2</v>
      </c>
      <c r="DH85" s="294">
        <f t="shared" si="699"/>
        <v>1.512287334593565E-2</v>
      </c>
      <c r="DI85" s="294">
        <f t="shared" si="699"/>
        <v>-0.17965023847376793</v>
      </c>
      <c r="DJ85" s="294">
        <f t="shared" si="699"/>
        <v>0.19033864541832668</v>
      </c>
      <c r="DK85" s="294">
        <f t="shared" si="699"/>
        <v>-0.1391696750902528</v>
      </c>
      <c r="DL85" s="294">
        <f t="shared" si="699"/>
        <v>-1.9925512104283172E-2</v>
      </c>
      <c r="DM85" s="294">
        <f t="shared" si="699"/>
        <v>-1.1337209302325624E-2</v>
      </c>
      <c r="DN85" s="294">
        <f t="shared" si="699"/>
        <v>-0.17965023847376782</v>
      </c>
      <c r="DP85" s="245"/>
      <c r="DQ85" s="245"/>
      <c r="DR85" s="245"/>
      <c r="DS85" s="245"/>
      <c r="DT85" s="245"/>
      <c r="DU85" s="245"/>
      <c r="DV85" s="245"/>
      <c r="DW85" s="245"/>
      <c r="DX85" s="245"/>
      <c r="DY85" s="245"/>
      <c r="DZ85" s="245"/>
      <c r="EA85" s="245"/>
      <c r="EB85" s="245"/>
      <c r="EC85" s="246"/>
      <c r="ED85" s="246"/>
      <c r="EE85" s="246"/>
      <c r="EF85" s="246"/>
      <c r="EG85" s="246"/>
      <c r="EH85" s="246"/>
      <c r="EI85" s="265" t="s">
        <v>1310</v>
      </c>
      <c r="EJ85" s="265" t="s">
        <v>1310</v>
      </c>
      <c r="EK85" s="265" t="s">
        <v>1310</v>
      </c>
      <c r="EL85" s="265" t="s">
        <v>1310</v>
      </c>
      <c r="EM85" s="246">
        <f t="shared" ref="EM85:EY85" si="714">EM4/EL4-1</f>
        <v>0.48048780487804876</v>
      </c>
      <c r="EN85" s="246">
        <f t="shared" si="714"/>
        <v>0.53542009884678743</v>
      </c>
      <c r="EO85" s="246">
        <f t="shared" si="714"/>
        <v>0.2736051502145922</v>
      </c>
      <c r="EP85" s="246">
        <f t="shared" si="714"/>
        <v>0.10000000000000009</v>
      </c>
      <c r="EQ85" s="246">
        <f t="shared" si="714"/>
        <v>5.0000000000000044E-2</v>
      </c>
      <c r="ER85" s="246">
        <f t="shared" si="714"/>
        <v>-1</v>
      </c>
      <c r="ES85" s="246" t="e">
        <f t="shared" si="714"/>
        <v>#DIV/0!</v>
      </c>
      <c r="ET85" s="246">
        <f t="shared" si="714"/>
        <v>4.9904030710172798E-2</v>
      </c>
      <c r="EU85" s="246">
        <f t="shared" si="714"/>
        <v>2.5137111517367527E-2</v>
      </c>
      <c r="EV85" s="246">
        <f t="shared" si="714"/>
        <v>1.471243869817207E-2</v>
      </c>
      <c r="EW85" s="246">
        <f t="shared" si="714"/>
        <v>-4.0861159929701185E-2</v>
      </c>
      <c r="EX85" s="246">
        <f t="shared" si="714"/>
        <v>6.4131928538708749E-3</v>
      </c>
      <c r="EY85" s="246">
        <f t="shared" si="714"/>
        <v>3.4365043240782711E-3</v>
      </c>
      <c r="EZ85" s="246"/>
      <c r="FA85" s="246"/>
      <c r="FB85" s="246"/>
      <c r="FC85" s="246"/>
      <c r="FD85" s="246"/>
      <c r="FE85" s="246"/>
      <c r="FF85" s="246"/>
      <c r="FG85" s="246"/>
      <c r="FH85" s="246"/>
      <c r="FI85" s="246"/>
      <c r="FJ85" s="246"/>
      <c r="FM85" t="s">
        <v>1239</v>
      </c>
      <c r="FN85" s="3">
        <f>FN84/170-1</f>
        <v>5.5560859257739459E-3</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t="s">
        <v>1310</v>
      </c>
      <c r="BJ86" s="294" t="s">
        <v>1310</v>
      </c>
      <c r="BK86" s="294">
        <f t="shared" ref="BK86:BZ86" si="715">+BK6/BG6-1</f>
        <v>0.33132530120481918</v>
      </c>
      <c r="BL86" s="294">
        <f t="shared" si="715"/>
        <v>0.40909090909090917</v>
      </c>
      <c r="BM86" s="294">
        <f t="shared" si="715"/>
        <v>0.5185185185185186</v>
      </c>
      <c r="BN86" s="294">
        <f t="shared" si="715"/>
        <v>0.29951690821256038</v>
      </c>
      <c r="BO86" s="294">
        <f t="shared" si="715"/>
        <v>0.56561085972850678</v>
      </c>
      <c r="BP86" s="294">
        <f t="shared" si="715"/>
        <v>0.49596774193548376</v>
      </c>
      <c r="BQ86" s="294">
        <f t="shared" si="715"/>
        <v>0.28919860627177707</v>
      </c>
      <c r="BR86" s="294">
        <f t="shared" si="715"/>
        <v>0.55018587360594795</v>
      </c>
      <c r="BS86" s="294">
        <f t="shared" si="715"/>
        <v>0.31791907514450868</v>
      </c>
      <c r="BT86" s="294">
        <f t="shared" si="715"/>
        <v>0.42318059299191368</v>
      </c>
      <c r="BU86" s="294">
        <f t="shared" si="715"/>
        <v>0.46756756756756768</v>
      </c>
      <c r="BV86" s="294">
        <f t="shared" si="715"/>
        <v>0.30695443645083942</v>
      </c>
      <c r="BW86" s="294">
        <f t="shared" si="715"/>
        <v>0.20394736842105265</v>
      </c>
      <c r="BX86" s="294">
        <f t="shared" si="715"/>
        <v>7.9545454545454586E-2</v>
      </c>
      <c r="BY86" s="294">
        <f t="shared" si="715"/>
        <v>0.1289134438305708</v>
      </c>
      <c r="BZ86" s="294">
        <f t="shared" si="715"/>
        <v>0.36146788990825685</v>
      </c>
      <c r="CA86" s="294">
        <f t="shared" ref="CA86" si="716">+CA6/BW6-1</f>
        <v>0.33879781420765021</v>
      </c>
      <c r="CB86" s="294">
        <f t="shared" ref="CB86" si="717">+CB6/BX6-1</f>
        <v>0.41052631578947363</v>
      </c>
      <c r="CC86" s="294">
        <f t="shared" ref="CC86" si="718">+CC6/BY6-1</f>
        <v>0.32789559543230018</v>
      </c>
      <c r="CD86" s="294">
        <f t="shared" ref="CD86" si="719">+CD6/BZ6-1</f>
        <v>0.18463611859838269</v>
      </c>
      <c r="CE86" s="294">
        <f t="shared" ref="CE86" si="720">+CE6/CA6-1</f>
        <v>0.11972789115646254</v>
      </c>
      <c r="CF86" s="294">
        <f t="shared" ref="CF86" si="721">+CF6/CB6-1</f>
        <v>0.22263681592039797</v>
      </c>
      <c r="CG86" s="294">
        <f t="shared" ref="CG86" si="722">+CG6/CC6-1</f>
        <v>0.38083538083538082</v>
      </c>
      <c r="CH86" s="294">
        <f t="shared" ref="CH86" si="723">+CH6/CD6-1</f>
        <v>0.22980659840728102</v>
      </c>
      <c r="CI86" s="294">
        <f t="shared" ref="CI86" si="724">+CI6/CE6-1</f>
        <v>0.28918590522478738</v>
      </c>
      <c r="CJ86" s="294">
        <f t="shared" ref="CJ86" si="725">+CJ6/CF6-1</f>
        <v>0.36419125127161744</v>
      </c>
      <c r="CK86" s="294">
        <f t="shared" ref="CK86" si="726">+CK6/CG6-1</f>
        <v>0.16548042704626331</v>
      </c>
      <c r="CL86" s="294">
        <f t="shared" ref="CL86" si="727">+CL6/CH6-1</f>
        <v>0.3358001850138761</v>
      </c>
      <c r="CM86" s="294">
        <f t="shared" ref="CM86:DG86" si="728">+CM6/CI6-1</f>
        <v>0.32422243166823761</v>
      </c>
      <c r="CN86" s="294">
        <f t="shared" si="728"/>
        <v>0.16181953765846391</v>
      </c>
      <c r="CO86" s="294">
        <f t="shared" si="728"/>
        <v>0.29618320610687032</v>
      </c>
      <c r="CP86" s="294">
        <f t="shared" si="728"/>
        <v>0.17728531855955687</v>
      </c>
      <c r="CQ86" s="294">
        <f t="shared" si="728"/>
        <v>0.29466192170818495</v>
      </c>
      <c r="CR86" s="294">
        <f t="shared" si="728"/>
        <v>8.9216944801026932E-2</v>
      </c>
      <c r="CS86" s="294">
        <f t="shared" si="728"/>
        <v>0.14664310954063597</v>
      </c>
      <c r="CT86" s="294">
        <f t="shared" si="728"/>
        <v>0.32000000000000006</v>
      </c>
      <c r="CU86" s="294">
        <f t="shared" si="728"/>
        <v>0.18086860912589331</v>
      </c>
      <c r="CV86" s="294">
        <f t="shared" si="728"/>
        <v>0.34001178550383027</v>
      </c>
      <c r="CW86" s="294">
        <f t="shared" si="728"/>
        <v>0.2213662044170519</v>
      </c>
      <c r="CX86" s="294">
        <f t="shared" si="728"/>
        <v>4.0106951871657692E-2</v>
      </c>
      <c r="CY86" s="294">
        <f t="shared" si="728"/>
        <v>6.5176908752327734E-2</v>
      </c>
      <c r="CZ86" s="294">
        <f t="shared" si="728"/>
        <v>0.14291996481970104</v>
      </c>
      <c r="DA86" s="294">
        <f t="shared" si="728"/>
        <v>2.9857022708158043E-2</v>
      </c>
      <c r="DB86" s="294">
        <f t="shared" si="728"/>
        <v>2.227934875749793E-2</v>
      </c>
      <c r="DC86" s="294">
        <f t="shared" si="728"/>
        <v>6.8181818181818121E-2</v>
      </c>
      <c r="DD86" s="294">
        <f t="shared" si="728"/>
        <v>7.6183147364370818E-2</v>
      </c>
      <c r="DE86" s="294">
        <f t="shared" si="728"/>
        <v>0.16945692119232336</v>
      </c>
      <c r="DF86" s="294">
        <f t="shared" si="728"/>
        <v>0.15381391450125736</v>
      </c>
      <c r="DG86" s="294">
        <f t="shared" si="728"/>
        <v>2.864157119476296E-3</v>
      </c>
      <c r="DH86" s="294">
        <f t="shared" ref="DH86" si="729">+DH6/DD6-1</f>
        <v>3.1462281015373517E-2</v>
      </c>
      <c r="DI86" s="294">
        <f t="shared" ref="DI86" si="730">+DI6/DE6-1</f>
        <v>-6.5642458100558687E-2</v>
      </c>
      <c r="DJ86" s="294">
        <f t="shared" ref="DJ86" si="731">+DJ6/DF6-1</f>
        <v>-9.9999999999999867E-2</v>
      </c>
      <c r="DK86" s="294">
        <f t="shared" ref="DK86" si="732">+DK6/DG6-1</f>
        <v>-0.25</v>
      </c>
      <c r="DL86" s="294">
        <f t="shared" ref="DL86" si="733">+DL6/DH6-1</f>
        <v>-0.4</v>
      </c>
      <c r="DM86" s="294">
        <f t="shared" ref="DM86" si="734">+DM6/DI6-1</f>
        <v>-0.4</v>
      </c>
      <c r="DN86" s="294">
        <f t="shared" ref="DN86" si="735">+DN6/DJ6-1</f>
        <v>-0.5</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t="s">
        <v>1310</v>
      </c>
      <c r="EL86" s="265" t="s">
        <v>1310</v>
      </c>
      <c r="EM86" s="246">
        <f t="shared" ref="EM86:EY86" si="736">EM6/EL6-1</f>
        <v>0.38888888888888884</v>
      </c>
      <c r="EN86" s="246">
        <f t="shared" si="736"/>
        <v>0.46731707317073168</v>
      </c>
      <c r="EO86" s="246">
        <f t="shared" si="736"/>
        <v>0.37765957446808507</v>
      </c>
      <c r="EP86" s="246">
        <f t="shared" si="736"/>
        <v>0.14999999999999991</v>
      </c>
      <c r="EQ86" s="246">
        <f t="shared" si="736"/>
        <v>-1</v>
      </c>
      <c r="ER86" s="246" t="e">
        <f t="shared" si="736"/>
        <v>#DIV/0!</v>
      </c>
      <c r="ES86" s="246" t="e">
        <f t="shared" si="736"/>
        <v>#DIV/0!</v>
      </c>
      <c r="ET86" s="246">
        <f t="shared" si="736"/>
        <v>0.23370830100853368</v>
      </c>
      <c r="EU86" s="246">
        <f t="shared" si="736"/>
        <v>0.21160194937902843</v>
      </c>
      <c r="EV86" s="246">
        <f t="shared" si="736"/>
        <v>0.18515635136888542</v>
      </c>
      <c r="EW86" s="246">
        <f t="shared" si="736"/>
        <v>6.4374863148675354E-2</v>
      </c>
      <c r="EX86" s="246">
        <f t="shared" si="736"/>
        <v>0.1168483851059452</v>
      </c>
      <c r="EY86" s="246">
        <f t="shared" si="736"/>
        <v>-3.3919690550745951E-2</v>
      </c>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x14ac:dyDescent="0.2">
      <c r="A87" s="1"/>
      <c r="B87" t="s">
        <v>1688</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f t="shared" ref="CL87" si="737">+CL5/CH5-1</f>
        <v>2.7234042553191489</v>
      </c>
      <c r="CM87" s="294">
        <f t="shared" ref="CM87:DG87" si="738">+CM5/CI5-1</f>
        <v>2.0138888888888888</v>
      </c>
      <c r="CN87" s="294">
        <f t="shared" si="738"/>
        <v>0.86507936507936511</v>
      </c>
      <c r="CO87" s="294">
        <f t="shared" si="738"/>
        <v>0.69590643274853803</v>
      </c>
      <c r="CP87" s="294">
        <f t="shared" si="738"/>
        <v>0.54285714285714293</v>
      </c>
      <c r="CQ87" s="294">
        <f t="shared" si="738"/>
        <v>0.3640552995391706</v>
      </c>
      <c r="CR87" s="294">
        <f t="shared" si="738"/>
        <v>0.45531914893617031</v>
      </c>
      <c r="CS87" s="294">
        <f t="shared" si="738"/>
        <v>0.12758620689655165</v>
      </c>
      <c r="CT87" s="294">
        <f t="shared" si="738"/>
        <v>0.41481481481481475</v>
      </c>
      <c r="CU87" s="294">
        <f t="shared" si="738"/>
        <v>0.41216216216216206</v>
      </c>
      <c r="CV87" s="294">
        <f t="shared" si="738"/>
        <v>0.40058479532163749</v>
      </c>
      <c r="CW87" s="294">
        <f t="shared" si="738"/>
        <v>0.64220183486238525</v>
      </c>
      <c r="CX87" s="294">
        <f t="shared" si="738"/>
        <v>0.81413612565445037</v>
      </c>
      <c r="CY87" s="294">
        <f t="shared" si="738"/>
        <v>0.41148325358851667</v>
      </c>
      <c r="CZ87" s="294">
        <f t="shared" si="738"/>
        <v>0.24634655532359084</v>
      </c>
      <c r="DA87" s="294">
        <f t="shared" si="738"/>
        <v>0.35754189944134085</v>
      </c>
      <c r="DB87" s="294">
        <f t="shared" si="738"/>
        <v>8.5137085137085178E-2</v>
      </c>
      <c r="DC87" s="294">
        <f t="shared" si="738"/>
        <v>8.4745762711864403E-2</v>
      </c>
      <c r="DD87" s="294">
        <f t="shared" si="738"/>
        <v>0.18257956448911217</v>
      </c>
      <c r="DE87" s="294">
        <f t="shared" si="738"/>
        <v>0.22222222222222232</v>
      </c>
      <c r="DF87" s="294">
        <f t="shared" si="738"/>
        <v>0.21010638297872331</v>
      </c>
      <c r="DG87" s="294">
        <f t="shared" si="738"/>
        <v>0.26249999999999996</v>
      </c>
      <c r="DH87" s="294">
        <f t="shared" ref="DH87" si="739">+DH5/DD5-1</f>
        <v>0.28328611898016987</v>
      </c>
      <c r="DI87" s="294">
        <f t="shared" ref="DI87" si="740">+DI5/DE5-1</f>
        <v>0.1301907968574636</v>
      </c>
      <c r="DJ87" s="294">
        <f t="shared" ref="DJ87" si="741">+DJ5/DF5-1</f>
        <v>0.25</v>
      </c>
      <c r="DK87" s="294">
        <f t="shared" ref="DK87" si="742">+DK5/DG5-1</f>
        <v>0.25</v>
      </c>
      <c r="DL87" s="294">
        <f t="shared" ref="DL87" si="743">+DL5/DH5-1</f>
        <v>0.25</v>
      </c>
      <c r="DM87" s="294">
        <f t="shared" ref="DM87" si="744">+DM5/DI5-1</f>
        <v>0.25</v>
      </c>
      <c r="DN87" s="294">
        <f t="shared" ref="DN87" si="745">+DN5/DJ5-1</f>
        <v>0.25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c r="EL87" s="265"/>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1689</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f t="shared" ref="CF88" si="746">CF11/CB11-1</f>
        <v>-2.024922118380057E-2</v>
      </c>
      <c r="CG88" s="294">
        <f t="shared" ref="CG88" si="747">CG11/CC11-1</f>
        <v>0</v>
      </c>
      <c r="CH88" s="294">
        <f t="shared" ref="CH88" si="748">CH11/CD11-1</f>
        <v>8.1123244929797167E-2</v>
      </c>
      <c r="CI88" s="294">
        <f t="shared" ref="CI88" si="749">CI11/CE11-1</f>
        <v>0.15231788079470188</v>
      </c>
      <c r="CJ88" s="294">
        <f t="shared" ref="CJ88" si="750">CJ11/CF11-1</f>
        <v>0.14467408585055641</v>
      </c>
      <c r="CK88" s="294">
        <f t="shared" ref="CK88" si="751">CK11/CG11-1</f>
        <v>0.16485225505443224</v>
      </c>
      <c r="CL88" s="294">
        <f t="shared" ref="CL88" si="752">CL11/CH11-1</f>
        <v>0.10101010101010099</v>
      </c>
      <c r="CM88" s="294">
        <f t="shared" ref="CM88:DG88" si="753">CM11/CI11-1</f>
        <v>0.13505747126436773</v>
      </c>
      <c r="CN88" s="294">
        <f t="shared" si="753"/>
        <v>0.13611111111111107</v>
      </c>
      <c r="CO88" s="294">
        <f t="shared" si="753"/>
        <v>0.13618157543391196</v>
      </c>
      <c r="CP88" s="294">
        <f t="shared" si="753"/>
        <v>0.1415465268676277</v>
      </c>
      <c r="CQ88" s="294">
        <f t="shared" si="753"/>
        <v>0.11772151898734173</v>
      </c>
      <c r="CR88" s="294">
        <f t="shared" si="753"/>
        <v>7.457212713936423E-2</v>
      </c>
      <c r="CS88" s="294">
        <f t="shared" si="753"/>
        <v>8.8131609870740313E-2</v>
      </c>
      <c r="CT88" s="294">
        <f t="shared" si="753"/>
        <v>0.10792192881745111</v>
      </c>
      <c r="CU88" s="294">
        <f t="shared" si="753"/>
        <v>9.2865232163080513E-2</v>
      </c>
      <c r="CV88" s="294">
        <f t="shared" si="753"/>
        <v>0.16496018202502838</v>
      </c>
      <c r="CW88" s="294">
        <f t="shared" si="753"/>
        <v>8.4233261339092813E-2</v>
      </c>
      <c r="CX88" s="294">
        <f t="shared" si="753"/>
        <v>6.6321243523316031E-2</v>
      </c>
      <c r="CY88" s="294">
        <f t="shared" si="753"/>
        <v>8.6010362694300513E-2</v>
      </c>
      <c r="CZ88" s="294">
        <f t="shared" si="753"/>
        <v>2.9296875E-2</v>
      </c>
      <c r="DA88" s="294">
        <f t="shared" si="753"/>
        <v>2.6892430278884438E-2</v>
      </c>
      <c r="DB88" s="294">
        <f t="shared" si="753"/>
        <v>-2.0408163265306145E-2</v>
      </c>
      <c r="DC88" s="294">
        <f t="shared" si="753"/>
        <v>-3.8167938931297218E-3</v>
      </c>
      <c r="DD88" s="294">
        <f t="shared" si="753"/>
        <v>-2.1821631878557901E-2</v>
      </c>
      <c r="DE88" s="294">
        <f t="shared" si="753"/>
        <v>-1.9398642095053154E-3</v>
      </c>
      <c r="DF88" s="294">
        <f t="shared" si="753"/>
        <v>2.9761904761904656E-3</v>
      </c>
      <c r="DG88" s="294">
        <f t="shared" si="753"/>
        <v>1.1494252873563315E-2</v>
      </c>
      <c r="DH88" s="294">
        <f t="shared" ref="DH88" si="754">DH11/DD11-1</f>
        <v>2.2308438409311293E-2</v>
      </c>
      <c r="DI88" s="294">
        <f t="shared" ref="DI88" si="755">DI11/DE11-1</f>
        <v>1.9436345966958202E-2</v>
      </c>
      <c r="DJ88" s="294">
        <f t="shared" ref="DJ88" si="756">DJ11/DF11-1</f>
        <v>1.0000000000000009E-2</v>
      </c>
      <c r="DK88" s="294">
        <f t="shared" ref="DK88" si="757">DK11/DG11-1</f>
        <v>1.0000000000000009E-2</v>
      </c>
      <c r="DL88" s="294">
        <f t="shared" ref="DL88" si="758">DL11/DH11-1</f>
        <v>1.0000000000000009E-2</v>
      </c>
      <c r="DM88" s="294">
        <f t="shared" ref="DM88" si="759">DM11/DI11-1</f>
        <v>1.0000000000000009E-2</v>
      </c>
      <c r="DN88" s="294">
        <f t="shared" ref="DN88" si="760">DN11/DJ11-1</f>
        <v>1.0000000000000009E-2</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1686</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61">CF27/CB27-1</f>
        <v>1.7685185185185186</v>
      </c>
      <c r="CG89" s="294" t="e">
        <f t="shared" ref="CG89" si="762">CG27/CC27-1</f>
        <v>#DIV/0!</v>
      </c>
      <c r="CH89" s="294">
        <f t="shared" ref="CH89" si="763">CH27/CD27-1</f>
        <v>0.85499999999999998</v>
      </c>
      <c r="CI89" s="294">
        <f t="shared" ref="CI89" si="764">CI27/CE27-1</f>
        <v>0.69411764705882351</v>
      </c>
      <c r="CJ89" s="294">
        <f t="shared" ref="CJ89" si="765">CJ27/CF27-1</f>
        <v>0.70903010033444813</v>
      </c>
      <c r="CK89" s="294">
        <f t="shared" ref="CK89" si="766">CK27/CG27-1</f>
        <v>0.57097791798107256</v>
      </c>
      <c r="CL89" s="294">
        <f t="shared" ref="CL89" si="767">CL27/CH27-1</f>
        <v>0.57412398921832875</v>
      </c>
      <c r="CM89" s="294">
        <f t="shared" ref="CM89:DG89" si="768">CM27/CI27-1</f>
        <v>0.4560185185185186</v>
      </c>
      <c r="CN89" s="294">
        <f t="shared" si="768"/>
        <v>0.51467710371819964</v>
      </c>
      <c r="CO89" s="294">
        <f t="shared" si="768"/>
        <v>0.53614457831325302</v>
      </c>
      <c r="CP89" s="294">
        <f t="shared" si="768"/>
        <v>0.42123287671232879</v>
      </c>
      <c r="CQ89" s="294">
        <f t="shared" si="768"/>
        <v>0.48966613672496018</v>
      </c>
      <c r="CR89" s="294">
        <f t="shared" si="768"/>
        <v>0.16408268733850129</v>
      </c>
      <c r="CS89" s="294">
        <f t="shared" si="768"/>
        <v>0.43660130718954249</v>
      </c>
      <c r="CT89" s="294">
        <f t="shared" si="768"/>
        <v>0.50963855421686755</v>
      </c>
      <c r="CU89" s="294">
        <f t="shared" si="768"/>
        <v>0.45677694770544286</v>
      </c>
      <c r="CV89" s="294">
        <f t="shared" si="768"/>
        <v>0.59045504994450604</v>
      </c>
      <c r="CW89" s="294">
        <f t="shared" si="768"/>
        <v>0.43767060964513194</v>
      </c>
      <c r="CX89" s="294">
        <f t="shared" si="768"/>
        <v>0.31284916201117308</v>
      </c>
      <c r="CY89" s="294">
        <f t="shared" si="768"/>
        <v>0.35970695970695976</v>
      </c>
      <c r="CZ89" s="294">
        <f t="shared" si="768"/>
        <v>0.38590369853454298</v>
      </c>
      <c r="DA89" s="294">
        <f t="shared" si="768"/>
        <v>0.29873417721518991</v>
      </c>
      <c r="DB89" s="294">
        <f t="shared" si="768"/>
        <v>0.2662613981762918</v>
      </c>
      <c r="DC89" s="294">
        <f t="shared" si="768"/>
        <v>0.21982758620689657</v>
      </c>
      <c r="DD89" s="294">
        <f t="shared" si="768"/>
        <v>0.22406847935548835</v>
      </c>
      <c r="DE89" s="294">
        <f t="shared" si="768"/>
        <v>0.21783625730994149</v>
      </c>
      <c r="DF89" s="294">
        <f t="shared" si="768"/>
        <v>0.22419587133941432</v>
      </c>
      <c r="DG89" s="294">
        <f t="shared" si="768"/>
        <v>0.18904593639575973</v>
      </c>
      <c r="DH89" s="294">
        <f t="shared" ref="DH89" si="769">DH27/DD27-1</f>
        <v>0.18387494858083087</v>
      </c>
      <c r="DI89" s="294">
        <f t="shared" ref="DI89" si="770">DI27/DE27-1</f>
        <v>0.20688275310124049</v>
      </c>
      <c r="DJ89" s="294">
        <f t="shared" ref="DJ89" si="771">DJ27/DF27-1</f>
        <v>0.14999999999999991</v>
      </c>
      <c r="DK89" s="294">
        <f t="shared" ref="DK89" si="772">DK27/DG27-1</f>
        <v>0.14999999999999991</v>
      </c>
      <c r="DL89" s="294">
        <f t="shared" ref="DL89" si="773">DL27/DH27-1</f>
        <v>0.14999999999999991</v>
      </c>
      <c r="DM89" s="294">
        <f t="shared" ref="DM89" si="774">DM27/DI27-1</f>
        <v>0.14999999999999991</v>
      </c>
      <c r="DN89" s="294">
        <f t="shared" ref="DN89" si="775">DN27/DJ27-1</f>
        <v>0.14999999999999991</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1687</v>
      </c>
      <c r="C90" s="293"/>
      <c r="D90" s="293"/>
      <c r="E90" s="293"/>
      <c r="F90" s="293"/>
      <c r="G90" s="293"/>
      <c r="H90" s="293"/>
      <c r="I90" s="293"/>
      <c r="J90" s="293"/>
      <c r="K90" s="293"/>
      <c r="L90" s="293"/>
      <c r="M90" s="293"/>
      <c r="N90" s="293"/>
      <c r="O90" s="293"/>
      <c r="P90" s="293"/>
      <c r="Q90" s="293"/>
      <c r="R90" s="293"/>
      <c r="S90" s="293"/>
      <c r="T90" s="293"/>
      <c r="U90" s="293"/>
      <c r="V90" s="293"/>
      <c r="W90" s="293"/>
      <c r="X90" s="293"/>
      <c r="Y90" s="293"/>
      <c r="Z90" s="293"/>
      <c r="AA90" s="293"/>
      <c r="AB90" s="293"/>
      <c r="AC90" s="293"/>
      <c r="AD90" s="293"/>
      <c r="AE90" s="243"/>
      <c r="AF90" s="243"/>
      <c r="AG90" s="243"/>
      <c r="AH90" s="288"/>
      <c r="AI90" s="288"/>
      <c r="AJ90" s="288"/>
      <c r="AK90" s="288"/>
      <c r="AL90" s="288"/>
      <c r="AM90" s="288"/>
      <c r="AN90" s="288"/>
      <c r="AO90" s="288"/>
      <c r="AP90" s="288"/>
      <c r="AQ90" s="288"/>
      <c r="AR90" s="288"/>
      <c r="AS90" s="288"/>
      <c r="AT90" s="288"/>
      <c r="AU90" s="288"/>
      <c r="AV90" s="288"/>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76">+CF62/CB62-1</f>
        <v>1.7256507750804229E-2</v>
      </c>
      <c r="CG90" s="294">
        <f t="shared" ref="CG90" si="777">+CG62/CC62-1</f>
        <v>2.9132168046611451E-2</v>
      </c>
      <c r="CH90" s="294">
        <f t="shared" ref="CH90" si="778">+CH62/CD62-1</f>
        <v>3.1468531468531458E-2</v>
      </c>
      <c r="CI90" s="294">
        <f t="shared" ref="CI90" si="779">+CI62/CE62-1</f>
        <v>5.2664188351920771E-2</v>
      </c>
      <c r="CJ90" s="294">
        <f t="shared" ref="CJ90" si="780">+CJ62/CF62-1</f>
        <v>7.4755606670500185E-3</v>
      </c>
      <c r="CK90" s="294">
        <f t="shared" ref="CK90" si="781">+CK62/CG62-1</f>
        <v>1.7580452920143097E-2</v>
      </c>
      <c r="CL90" s="294">
        <f t="shared" ref="CL90" si="782">+CL62/CH62-1</f>
        <v>-1.1299435028248039E-3</v>
      </c>
      <c r="CM90" s="294">
        <f t="shared" ref="CM90:CT90" si="783">+CM62/CI62-1</f>
        <v>-2.3543260741612726E-2</v>
      </c>
      <c r="CN90" s="294">
        <f t="shared" si="783"/>
        <v>1.1415525114155223E-2</v>
      </c>
      <c r="CO90" s="294">
        <f t="shared" si="783"/>
        <v>1.5812591508052698E-2</v>
      </c>
      <c r="CP90" s="294">
        <f t="shared" si="783"/>
        <v>8.7669683257918241E-3</v>
      </c>
      <c r="CQ90" s="294">
        <f t="shared" si="783"/>
        <v>9.2525617842073471E-2</v>
      </c>
      <c r="CR90" s="294">
        <f t="shared" si="783"/>
        <v>-6.9977426636568807E-2</v>
      </c>
      <c r="CS90" s="294">
        <f t="shared" si="783"/>
        <v>1.2972038051311641E-2</v>
      </c>
      <c r="CT90" s="294">
        <f t="shared" si="783"/>
        <v>1.4297729184188368E-2</v>
      </c>
      <c r="CU90" s="294">
        <f t="shared" ref="CU90:DD90" si="784">+CU62/CQ62-1</f>
        <v>4.4137931034482492E-3</v>
      </c>
      <c r="CV90" s="294">
        <f t="shared" si="784"/>
        <v>0.16929611650485432</v>
      </c>
      <c r="CW90" s="294">
        <f t="shared" si="784"/>
        <v>5.2931132612407561E-2</v>
      </c>
      <c r="CX90" s="294">
        <f t="shared" si="784"/>
        <v>3.0403537866224406E-2</v>
      </c>
      <c r="CY90" s="294">
        <f t="shared" si="784"/>
        <v>-1.5105740181268867E-2</v>
      </c>
      <c r="CZ90" s="294">
        <f t="shared" si="784"/>
        <v>-1.2714063310845902E-2</v>
      </c>
      <c r="DA90" s="294">
        <f t="shared" si="784"/>
        <v>2.5675675675675746E-2</v>
      </c>
      <c r="DB90" s="294">
        <f t="shared" si="784"/>
        <v>1.046137339055786E-2</v>
      </c>
      <c r="DC90" s="294">
        <f t="shared" si="784"/>
        <v>7.4177356385945359E-2</v>
      </c>
      <c r="DD90" s="294">
        <f t="shared" si="784"/>
        <v>5.4139290407358764E-2</v>
      </c>
      <c r="DE90" s="294" t="s">
        <v>1310</v>
      </c>
      <c r="DF90" s="294" t="s">
        <v>1310</v>
      </c>
      <c r="DG90" s="294" t="s">
        <v>1310</v>
      </c>
      <c r="DH90" s="294" t="s">
        <v>1310</v>
      </c>
      <c r="DI90" s="294" t="s">
        <v>1310</v>
      </c>
      <c r="DJ90" s="294" t="s">
        <v>1310</v>
      </c>
      <c r="DK90" s="294" t="s">
        <v>1310</v>
      </c>
      <c r="DL90" s="294" t="s">
        <v>1310</v>
      </c>
      <c r="DM90" s="294" t="s">
        <v>1310</v>
      </c>
      <c r="DN90" s="294" t="s">
        <v>1310</v>
      </c>
      <c r="DO90" s="296"/>
      <c r="DP90" s="245"/>
      <c r="DQ90" s="245"/>
      <c r="DR90" s="245"/>
      <c r="DS90" s="245"/>
      <c r="DT90" s="245"/>
      <c r="DU90" s="245"/>
      <c r="DV90" s="245"/>
      <c r="DW90" s="245"/>
      <c r="DX90" s="245"/>
      <c r="DY90" s="245"/>
      <c r="DZ90" s="245"/>
      <c r="EA90" s="245"/>
      <c r="EB90" s="245"/>
      <c r="EC90" s="245"/>
      <c r="ED90" s="245"/>
      <c r="EE90" s="245"/>
      <c r="EF90" s="245"/>
      <c r="EG90" s="245"/>
      <c r="EH90" s="245"/>
      <c r="EI90" s="246"/>
      <c r="EJ90" s="246"/>
      <c r="EK90" s="246"/>
      <c r="EL90" s="246"/>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Q90" s="290"/>
      <c r="FR90" s="290"/>
      <c r="FS90" s="291"/>
      <c r="FT90"/>
      <c r="FU90" s="291"/>
      <c r="FV90" s="290"/>
      <c r="FW90" s="290"/>
    </row>
    <row r="91" spans="1:179" s="279" customFormat="1" ht="12.75" customHeight="1" x14ac:dyDescent="0.2">
      <c r="A91" s="1"/>
      <c r="B91" t="s">
        <v>1785</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7">
        <f t="shared" ref="AX91:BZ91" si="785">AX49/AT49-1</f>
        <v>-0.16820276497695852</v>
      </c>
      <c r="AY91" s="297">
        <f t="shared" si="785"/>
        <v>-0.19999999999999996</v>
      </c>
      <c r="AZ91" s="297">
        <f t="shared" si="785"/>
        <v>-0.20892018779342725</v>
      </c>
      <c r="BA91" s="297">
        <f t="shared" si="785"/>
        <v>-0.11845730027548207</v>
      </c>
      <c r="BB91" s="297">
        <f t="shared" si="785"/>
        <v>-3.4626038781163437E-2</v>
      </c>
      <c r="BC91" s="297">
        <f t="shared" si="785"/>
        <v>5.9880239520957446E-3</v>
      </c>
      <c r="BD91" s="297">
        <f t="shared" si="785"/>
        <v>-2.8189910979228516E-2</v>
      </c>
      <c r="BE91" s="297">
        <f t="shared" si="785"/>
        <v>-6.8749999999999978E-2</v>
      </c>
      <c r="BF91" s="297">
        <f t="shared" si="785"/>
        <v>-9.7560975609756073E-2</v>
      </c>
      <c r="BG91" s="297">
        <f t="shared" si="785"/>
        <v>-5.5059523809523836E-2</v>
      </c>
      <c r="BH91" s="297">
        <f t="shared" si="785"/>
        <v>-0.10381679389312981</v>
      </c>
      <c r="BI91" s="297">
        <f t="shared" si="785"/>
        <v>-0.1174496644295302</v>
      </c>
      <c r="BJ91" s="297">
        <f t="shared" si="785"/>
        <v>-0.14149443561208264</v>
      </c>
      <c r="BK91" s="297">
        <f t="shared" si="785"/>
        <v>-0.24094488188976382</v>
      </c>
      <c r="BL91" s="297">
        <f t="shared" si="785"/>
        <v>-0.141396933560477</v>
      </c>
      <c r="BM91" s="297">
        <f t="shared" si="785"/>
        <v>-6.2737642585551368E-2</v>
      </c>
      <c r="BN91" s="297">
        <f t="shared" si="785"/>
        <v>-6.2962962962962998E-2</v>
      </c>
      <c r="BO91" s="297">
        <f t="shared" si="785"/>
        <v>6.4315352697095429E-2</v>
      </c>
      <c r="BP91" s="297">
        <f t="shared" si="785"/>
        <v>4.9603174603174649E-2</v>
      </c>
      <c r="BQ91" s="297">
        <f t="shared" si="785"/>
        <v>1.6227180527383478E-2</v>
      </c>
      <c r="BR91" s="297">
        <f t="shared" si="785"/>
        <v>5.5335968379446543E-2</v>
      </c>
      <c r="BS91" s="297">
        <f t="shared" si="785"/>
        <v>5.4580896686159841E-2</v>
      </c>
      <c r="BT91" s="297">
        <f t="shared" si="785"/>
        <v>7.1833648393194727E-2</v>
      </c>
      <c r="BU91" s="297">
        <f t="shared" si="785"/>
        <v>8.1836327345309323E-2</v>
      </c>
      <c r="BV91" s="297">
        <f t="shared" si="785"/>
        <v>4.4943820224719211E-2</v>
      </c>
      <c r="BW91" s="297">
        <f t="shared" si="785"/>
        <v>-2.2181146025877951E-2</v>
      </c>
      <c r="BX91" s="297">
        <f t="shared" si="785"/>
        <v>-4.0564373897707284E-2</v>
      </c>
      <c r="BY91" s="297">
        <f t="shared" si="785"/>
        <v>-3.3210332103321027E-2</v>
      </c>
      <c r="BZ91" s="297">
        <f t="shared" si="785"/>
        <v>-0.21326164874551967</v>
      </c>
      <c r="CA91" s="297"/>
      <c r="CB91" s="297"/>
      <c r="CC91" s="297"/>
      <c r="CD91" s="297"/>
      <c r="CE91" s="297"/>
      <c r="CF91" s="297"/>
      <c r="CG91" s="297"/>
      <c r="CH91" s="297"/>
      <c r="CI91" s="297"/>
      <c r="CJ91" s="297"/>
      <c r="CK91" s="297"/>
      <c r="CL91" s="297"/>
      <c r="CM91" s="297">
        <f t="shared" ref="CM91:CT91" si="786">+CM49/CI49-1</f>
        <v>0.14375000000000004</v>
      </c>
      <c r="CN91" s="297">
        <f t="shared" si="786"/>
        <v>0.12443778110944526</v>
      </c>
      <c r="CO91" s="297">
        <f t="shared" si="786"/>
        <v>0.13476263399693722</v>
      </c>
      <c r="CP91" s="297">
        <f t="shared" si="786"/>
        <v>0.12827988338192431</v>
      </c>
      <c r="CQ91" s="297">
        <f t="shared" si="786"/>
        <v>-6.8306010928961269E-3</v>
      </c>
      <c r="CR91" s="297">
        <f t="shared" si="786"/>
        <v>-0.21333333333333337</v>
      </c>
      <c r="CS91" s="297">
        <f t="shared" si="786"/>
        <v>0.12820512820512819</v>
      </c>
      <c r="CT91" s="297">
        <f t="shared" si="786"/>
        <v>0.1537467700258397</v>
      </c>
      <c r="CU91" s="297">
        <f t="shared" ref="CU91:DG91" si="787">+CU49/CQ49-1</f>
        <v>0.30536451169188439</v>
      </c>
      <c r="CV91" s="297">
        <f t="shared" si="787"/>
        <v>0.77288135593220342</v>
      </c>
      <c r="CW91" s="297">
        <f t="shared" si="787"/>
        <v>0.14473684210526305</v>
      </c>
      <c r="CX91" s="297">
        <f t="shared" si="787"/>
        <v>0.14109742441209416</v>
      </c>
      <c r="CY91" s="297">
        <f t="shared" si="787"/>
        <v>0.15068493150684925</v>
      </c>
      <c r="CZ91" s="297">
        <f t="shared" si="787"/>
        <v>2.8680688336519822E-3</v>
      </c>
      <c r="DA91" s="297">
        <f t="shared" si="787"/>
        <v>0.1076280041797284</v>
      </c>
      <c r="DB91" s="297">
        <f t="shared" si="787"/>
        <v>-2.4533856722276703E-2</v>
      </c>
      <c r="DC91" s="297">
        <f t="shared" si="787"/>
        <v>0</v>
      </c>
      <c r="DD91" s="297">
        <f t="shared" si="787"/>
        <v>0.54432793136320301</v>
      </c>
      <c r="DE91" s="297">
        <f t="shared" si="787"/>
        <v>9.5283018867924563E-2</v>
      </c>
      <c r="DF91" s="297">
        <f t="shared" si="787"/>
        <v>0.24647887323943651</v>
      </c>
      <c r="DG91" s="297">
        <f t="shared" si="787"/>
        <v>0.23076923076923084</v>
      </c>
      <c r="DH91" s="297">
        <f t="shared" ref="DH91" si="788">+DH49/DD49-1</f>
        <v>-0.18333333333333335</v>
      </c>
      <c r="DI91" s="297">
        <f t="shared" ref="DI91" si="789">+DI49/DE49-1</f>
        <v>0.10163652024117131</v>
      </c>
      <c r="DJ91" s="297">
        <f t="shared" ref="DJ91" si="790">+DJ49/DF49-1</f>
        <v>3.0000000000000027E-2</v>
      </c>
      <c r="DK91" s="297">
        <f t="shared" ref="DK91" si="791">+DK49/DG49-1</f>
        <v>3.0000000000000027E-2</v>
      </c>
      <c r="DL91" s="297">
        <f t="shared" ref="DL91" si="792">+DL49/DH49-1</f>
        <v>3.0000000000000027E-2</v>
      </c>
      <c r="DM91" s="297">
        <f t="shared" ref="DM91" si="793">+DM49/DI49-1</f>
        <v>3.0000000000000027E-2</v>
      </c>
      <c r="DN91" s="297">
        <f t="shared" ref="DN91" si="794">+DN49/DJ49-1</f>
        <v>3.0000000000000027E-2</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FQ91" s="290"/>
      <c r="FR91" s="290"/>
      <c r="FS91" s="290"/>
      <c r="FT91"/>
      <c r="FU91" s="290"/>
      <c r="FV91" s="290"/>
      <c r="FW91" s="290"/>
    </row>
    <row r="92" spans="1:179" s="279" customFormat="1" ht="12.75" customHeight="1" x14ac:dyDescent="0.2">
      <c r="A92" s="1"/>
      <c r="B92" t="s">
        <v>1281</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97">
        <f t="shared" ref="AE92:AN94" si="795">AE53/AA53-1</f>
        <v>0.13531799729364002</v>
      </c>
      <c r="AF92" s="297">
        <f t="shared" si="795"/>
        <v>0.12165775401069512</v>
      </c>
      <c r="AG92" s="297">
        <f t="shared" si="795"/>
        <v>0.10027855153203347</v>
      </c>
      <c r="AH92" s="297">
        <f t="shared" si="795"/>
        <v>0.18703241895261846</v>
      </c>
      <c r="AI92" s="297">
        <f t="shared" si="795"/>
        <v>0.18355184743742559</v>
      </c>
      <c r="AJ92" s="297">
        <f t="shared" si="795"/>
        <v>0.16805721096543502</v>
      </c>
      <c r="AK92" s="297">
        <f t="shared" si="795"/>
        <v>0.1354430379746836</v>
      </c>
      <c r="AL92" s="297">
        <f t="shared" si="795"/>
        <v>2.6260504201680579E-2</v>
      </c>
      <c r="AM92" s="297">
        <f t="shared" si="795"/>
        <v>4.6324269889224556E-2</v>
      </c>
      <c r="AN92" s="297">
        <f t="shared" si="795"/>
        <v>5.6122448979591733E-2</v>
      </c>
      <c r="AO92" s="297">
        <f t="shared" ref="AO92:AW94" si="796">AO53/AK53-1</f>
        <v>8.2497212931995634E-2</v>
      </c>
      <c r="AP92" s="297">
        <f t="shared" si="796"/>
        <v>8.4953940634595604E-2</v>
      </c>
      <c r="AQ92" s="297">
        <f t="shared" si="796"/>
        <v>0.11357074109720888</v>
      </c>
      <c r="AR92" s="297">
        <f t="shared" si="796"/>
        <v>9.661835748792269E-2</v>
      </c>
      <c r="AS92" s="297">
        <f t="shared" si="796"/>
        <v>0.11843460350154489</v>
      </c>
      <c r="AT92" s="297">
        <f t="shared" si="796"/>
        <v>0.14056603773584908</v>
      </c>
      <c r="AU92" s="297">
        <f t="shared" si="796"/>
        <v>8.2973206568712099E-2</v>
      </c>
      <c r="AV92" s="297">
        <f t="shared" si="796"/>
        <v>0.13568281938325999</v>
      </c>
      <c r="AW92" s="297">
        <f t="shared" si="796"/>
        <v>0.10036832412523022</v>
      </c>
      <c r="AX92" s="297">
        <f t="shared" ref="AX92:BG92" si="797">AX53/AT53-1</f>
        <v>3.556658395368073E-2</v>
      </c>
      <c r="AY92" s="297">
        <f t="shared" si="797"/>
        <v>3.1125299281723917E-2</v>
      </c>
      <c r="AZ92" s="297">
        <f t="shared" si="797"/>
        <v>2.6377036462373882E-2</v>
      </c>
      <c r="BA92" s="297">
        <f t="shared" si="797"/>
        <v>7.4476987447698706E-2</v>
      </c>
      <c r="BB92" s="297">
        <f t="shared" si="797"/>
        <v>0.17651757188498407</v>
      </c>
      <c r="BC92" s="297">
        <f t="shared" si="797"/>
        <v>0.12538699690402466</v>
      </c>
      <c r="BD92" s="297">
        <f t="shared" si="797"/>
        <v>3.9304610733182255E-2</v>
      </c>
      <c r="BE92" s="297">
        <f t="shared" si="797"/>
        <v>1.947040498442365E-2</v>
      </c>
      <c r="BF92" s="297">
        <f t="shared" si="797"/>
        <v>-1.7651052274270218E-2</v>
      </c>
      <c r="BG92" s="297">
        <f t="shared" si="797"/>
        <v>3.3700137551581744E-2</v>
      </c>
      <c r="BH92" s="297">
        <f t="shared" ref="BH92:BQ92" si="798">BH53/BD53-1</f>
        <v>6.8363636363636404E-2</v>
      </c>
      <c r="BI92" s="297">
        <f t="shared" si="798"/>
        <v>5.7295645530939687E-2</v>
      </c>
      <c r="BJ92" s="297">
        <f t="shared" si="798"/>
        <v>4.146510020732519E-3</v>
      </c>
      <c r="BK92" s="297">
        <f t="shared" si="798"/>
        <v>-6.6533599467730742E-3</v>
      </c>
      <c r="BL92" s="297">
        <f t="shared" si="798"/>
        <v>0.10823689584751528</v>
      </c>
      <c r="BM92" s="297">
        <f t="shared" si="798"/>
        <v>0.65462427745664731</v>
      </c>
      <c r="BN92" s="297">
        <f t="shared" si="798"/>
        <v>0.64349621472814866</v>
      </c>
      <c r="BO92" s="297">
        <f t="shared" si="798"/>
        <v>0.59745478901540516</v>
      </c>
      <c r="BP92" s="297">
        <f t="shared" si="798"/>
        <v>0.46498771498771507</v>
      </c>
      <c r="BQ92" s="297">
        <f t="shared" si="798"/>
        <v>-3.0567685589519833E-3</v>
      </c>
      <c r="BR92" s="297">
        <f t="shared" ref="BR92:BZ92" si="799">BR53/BN53-1</f>
        <v>2.8475711892797406E-2</v>
      </c>
      <c r="BS92" s="297">
        <f t="shared" si="799"/>
        <v>1.5094339622641506E-2</v>
      </c>
      <c r="BT92" s="297">
        <f t="shared" si="799"/>
        <v>3.5220125786163514E-2</v>
      </c>
      <c r="BU92" s="297">
        <f t="shared" si="799"/>
        <v>2.6719229084537943E-2</v>
      </c>
      <c r="BV92" s="297">
        <f t="shared" si="799"/>
        <v>-6.1074918566774716E-3</v>
      </c>
      <c r="BW92" s="297">
        <f t="shared" si="799"/>
        <v>-3.8413878562577497E-2</v>
      </c>
      <c r="BX92" s="297">
        <f t="shared" si="799"/>
        <v>-5.62980963953017E-2</v>
      </c>
      <c r="BY92" s="297">
        <f t="shared" si="799"/>
        <v>-6.9539249146757687E-2</v>
      </c>
      <c r="BZ92" s="297">
        <f t="shared" si="799"/>
        <v>-7.3740270380990847E-3</v>
      </c>
      <c r="CA92" s="297"/>
      <c r="CB92" s="297"/>
      <c r="CC92" s="297"/>
      <c r="CD92" s="297"/>
      <c r="CE92" s="297"/>
      <c r="CF92" s="297"/>
      <c r="CG92" s="297"/>
      <c r="CH92" s="297"/>
      <c r="CI92" s="297"/>
      <c r="CJ92" s="297"/>
      <c r="CK92" s="297"/>
      <c r="CL92" s="297"/>
      <c r="CM92" s="297">
        <f t="shared" ref="CM92:CT92" si="800">+CM53/CI53-1</f>
        <v>-2.0444444444444487E-2</v>
      </c>
      <c r="CN92" s="297">
        <f t="shared" si="800"/>
        <v>-1.6799292661361598E-2</v>
      </c>
      <c r="CO92" s="297">
        <f t="shared" si="800"/>
        <v>1.279014684983415E-2</v>
      </c>
      <c r="CP92" s="297">
        <f t="shared" si="800"/>
        <v>4.8629531388151293E-3</v>
      </c>
      <c r="CQ92" s="297">
        <f t="shared" si="800"/>
        <v>-7.5317604355716883E-2</v>
      </c>
      <c r="CR92" s="297">
        <f t="shared" si="800"/>
        <v>-0.34757194244604317</v>
      </c>
      <c r="CS92" s="297">
        <f t="shared" si="800"/>
        <v>-2.572497661365758E-2</v>
      </c>
      <c r="CT92" s="297">
        <f t="shared" si="800"/>
        <v>-3.6075670919489711E-2</v>
      </c>
      <c r="CU92" s="297">
        <f t="shared" ref="CU92:DG92" si="801">+CU53/CQ53-1</f>
        <v>3.6800785083415111E-2</v>
      </c>
      <c r="CV92" s="297">
        <f t="shared" si="801"/>
        <v>0.53480358373535486</v>
      </c>
      <c r="CW92" s="297">
        <f t="shared" si="801"/>
        <v>4.8007681228996457E-3</v>
      </c>
      <c r="CX92" s="297">
        <f t="shared" si="801"/>
        <v>-1.6430853491556374E-2</v>
      </c>
      <c r="CY92" s="297">
        <f t="shared" si="801"/>
        <v>3.5494557501183133E-2</v>
      </c>
      <c r="CZ92" s="297">
        <f t="shared" si="801"/>
        <v>-3.143242029636284E-2</v>
      </c>
      <c r="DA92" s="297">
        <f t="shared" si="801"/>
        <v>9.5556617295744495E-4</v>
      </c>
      <c r="DB92" s="297">
        <f t="shared" si="801"/>
        <v>-3.2482598607889157E-3</v>
      </c>
      <c r="DC92" s="297">
        <f t="shared" si="801"/>
        <v>2.6051188299817118E-2</v>
      </c>
      <c r="DD92" s="297">
        <f t="shared" si="801"/>
        <v>5.0069541029207132E-2</v>
      </c>
      <c r="DE92" s="297">
        <f t="shared" si="801"/>
        <v>3.2935560859188584E-2</v>
      </c>
      <c r="DF92" s="297">
        <f t="shared" si="801"/>
        <v>5.5865921787709549E-2</v>
      </c>
      <c r="DG92" s="297">
        <f t="shared" si="801"/>
        <v>4.231625835189301E-2</v>
      </c>
      <c r="DH92" s="297">
        <f t="shared" ref="DH92" si="802">+DH53/DD53-1</f>
        <v>2.0750551876379753E-2</v>
      </c>
      <c r="DI92" s="297">
        <f t="shared" ref="DI92" si="803">+DI53/DE53-1</f>
        <v>1.2476894639556368E-2</v>
      </c>
      <c r="DJ92" s="297">
        <f t="shared" ref="DJ92" si="804">+DJ53/DF53-1</f>
        <v>5.0000000000000044E-2</v>
      </c>
      <c r="DK92" s="297">
        <f t="shared" ref="DK92" si="805">+DK53/DG53-1</f>
        <v>5.0000000000000044E-2</v>
      </c>
      <c r="DL92" s="297">
        <f t="shared" ref="DL92" si="806">+DL53/DH53-1</f>
        <v>5.0000000000000044E-2</v>
      </c>
      <c r="DM92" s="297">
        <f t="shared" ref="DM92" si="807">+DM53/DI53-1</f>
        <v>5.0000000000000044E-2</v>
      </c>
      <c r="DN92" s="297">
        <f t="shared" ref="DN92" si="808">+DN53/DJ53-1</f>
        <v>5.0000000000000044E-2</v>
      </c>
      <c r="DO92" s="296"/>
      <c r="DP92" s="245"/>
      <c r="DQ92" s="245"/>
      <c r="DR92" s="245"/>
      <c r="DS92" s="245"/>
      <c r="DT92" s="245"/>
      <c r="DU92" s="245"/>
      <c r="DV92" s="245"/>
      <c r="DW92" s="245"/>
      <c r="DX92" s="245"/>
      <c r="DY92" s="245"/>
      <c r="DZ92" s="245"/>
      <c r="EA92" s="246">
        <f t="shared" ref="EA92:EJ92" si="809">EA53/DZ53-1</f>
        <v>3.7121644774414708E-2</v>
      </c>
      <c r="EB92" s="246">
        <f t="shared" si="809"/>
        <v>0.13105726872246692</v>
      </c>
      <c r="EC92" s="246">
        <f t="shared" si="809"/>
        <v>0.23515092502434265</v>
      </c>
      <c r="ED92" s="246">
        <f t="shared" si="809"/>
        <v>0.18525817895151753</v>
      </c>
      <c r="EE92" s="246">
        <f t="shared" si="809"/>
        <v>0.13734619221815758</v>
      </c>
      <c r="EF92" s="246">
        <f t="shared" si="809"/>
        <v>0.12485380116959055</v>
      </c>
      <c r="EG92" s="246">
        <f t="shared" si="809"/>
        <v>6.7065245645957949E-2</v>
      </c>
      <c r="EH92" s="246">
        <f t="shared" si="809"/>
        <v>0.1174177831912302</v>
      </c>
      <c r="EI92" s="246">
        <f t="shared" si="809"/>
        <v>8.7638979725310762E-2</v>
      </c>
      <c r="EJ92" s="246">
        <f t="shared" si="809"/>
        <v>7.6768891561435071E-2</v>
      </c>
      <c r="EK92" s="246"/>
      <c r="EL92" s="246"/>
      <c r="EM92" s="246"/>
      <c r="EN92" s="246"/>
      <c r="EO92" s="246"/>
      <c r="EP92" s="246"/>
      <c r="EQ92" s="246"/>
      <c r="ER92" s="246"/>
      <c r="ES92" s="246"/>
      <c r="ET92" s="246"/>
      <c r="EU92" s="246"/>
      <c r="FQ92" s="290"/>
      <c r="FR92" s="290"/>
      <c r="FS92" s="290"/>
      <c r="FT92"/>
      <c r="FU92" s="291"/>
      <c r="FV92" s="290"/>
      <c r="FW92" s="290"/>
    </row>
    <row r="93" spans="1:179" s="279" customFormat="1" ht="12.75" customHeight="1" x14ac:dyDescent="0.2">
      <c r="A93" s="1"/>
      <c r="B93" t="s">
        <v>122</v>
      </c>
      <c r="C93" s="293"/>
      <c r="D93" s="293"/>
      <c r="E93" s="293"/>
      <c r="F93" s="293"/>
      <c r="G93" s="297">
        <f t="shared" ref="G93:P94" si="810">G54/C54-1</f>
        <v>4.0000000000000036E-2</v>
      </c>
      <c r="H93" s="297">
        <f t="shared" si="810"/>
        <v>3.0000000000000027E-2</v>
      </c>
      <c r="I93" s="297">
        <f t="shared" si="810"/>
        <v>4.0000000000000036E-2</v>
      </c>
      <c r="J93" s="297">
        <f t="shared" si="810"/>
        <v>0.12698412698412698</v>
      </c>
      <c r="K93" s="297">
        <f t="shared" si="810"/>
        <v>0.20906801007556686</v>
      </c>
      <c r="L93" s="297">
        <f t="shared" si="810"/>
        <v>0.20253164556962022</v>
      </c>
      <c r="M93" s="297">
        <f t="shared" si="810"/>
        <v>0.2005141388174807</v>
      </c>
      <c r="N93" s="297">
        <f t="shared" si="810"/>
        <v>0.1619718309859155</v>
      </c>
      <c r="O93" s="297">
        <f t="shared" si="810"/>
        <v>4.1666666666666519E-3</v>
      </c>
      <c r="P93" s="297">
        <f t="shared" si="810"/>
        <v>7.1578947368420964E-2</v>
      </c>
      <c r="Q93" s="297">
        <f t="shared" ref="Q93:Z94" si="811">Q54/M54-1</f>
        <v>3.2119914346895095E-2</v>
      </c>
      <c r="R93" s="297">
        <f t="shared" si="811"/>
        <v>1.6161616161616266E-2</v>
      </c>
      <c r="S93" s="297">
        <f t="shared" si="811"/>
        <v>7.6763485477178373E-2</v>
      </c>
      <c r="T93" s="297">
        <f t="shared" si="811"/>
        <v>4.1257367387033339E-2</v>
      </c>
      <c r="U93" s="297">
        <f t="shared" si="811"/>
        <v>0.10373443983402497</v>
      </c>
      <c r="V93" s="297">
        <f t="shared" si="811"/>
        <v>0.22862823061630211</v>
      </c>
      <c r="W93" s="297">
        <f t="shared" si="811"/>
        <v>8.6705202312138629E-2</v>
      </c>
      <c r="X93" s="297">
        <f t="shared" si="811"/>
        <v>0.14339622641509431</v>
      </c>
      <c r="Y93" s="297">
        <f t="shared" si="811"/>
        <v>0.12030075187969924</v>
      </c>
      <c r="Z93" s="297">
        <f t="shared" si="811"/>
        <v>3.2362459546926292E-3</v>
      </c>
      <c r="AA93" s="297">
        <f t="shared" ref="AA93:AD94" si="812">AA54/W54-1</f>
        <v>0.11524822695035453</v>
      </c>
      <c r="AB93" s="297">
        <f t="shared" si="812"/>
        <v>0.11056105610561051</v>
      </c>
      <c r="AC93" s="297">
        <f t="shared" si="812"/>
        <v>7.3825503355704702E-2</v>
      </c>
      <c r="AD93" s="297">
        <f t="shared" si="812"/>
        <v>0.12419354838709684</v>
      </c>
      <c r="AE93" s="297">
        <f t="shared" si="795"/>
        <v>8.2670906200317917E-2</v>
      </c>
      <c r="AF93" s="297">
        <f t="shared" si="795"/>
        <v>6.3893016344725106E-2</v>
      </c>
      <c r="AG93" s="297">
        <f t="shared" si="795"/>
        <v>7.3437500000000044E-2</v>
      </c>
      <c r="AH93" s="297">
        <f t="shared" si="795"/>
        <v>8.0344332855093237E-2</v>
      </c>
      <c r="AI93" s="297">
        <f t="shared" si="795"/>
        <v>0.15565345080763593</v>
      </c>
      <c r="AJ93" s="297">
        <f t="shared" si="795"/>
        <v>0.11452513966480438</v>
      </c>
      <c r="AK93" s="297">
        <f t="shared" si="795"/>
        <v>8.4425036390101793E-2</v>
      </c>
      <c r="AL93" s="297">
        <f t="shared" si="795"/>
        <v>2.1248339973439556E-2</v>
      </c>
      <c r="AM93" s="297">
        <f t="shared" si="795"/>
        <v>-1.6518424396442133E-2</v>
      </c>
      <c r="AN93" s="297">
        <f t="shared" si="795"/>
        <v>2.2556390977443552E-2</v>
      </c>
      <c r="AO93" s="297">
        <f t="shared" si="796"/>
        <v>6.8456375838926276E-2</v>
      </c>
      <c r="AP93" s="297">
        <f t="shared" si="796"/>
        <v>7.5422626788036462E-2</v>
      </c>
      <c r="AQ93" s="297">
        <f t="shared" si="796"/>
        <v>0.12403100775193798</v>
      </c>
      <c r="AR93" s="297">
        <f t="shared" si="796"/>
        <v>0.10416666666666674</v>
      </c>
      <c r="AS93" s="297">
        <f t="shared" si="796"/>
        <v>0.10175879396984921</v>
      </c>
      <c r="AT93" s="297">
        <f t="shared" si="796"/>
        <v>0.14147521160822252</v>
      </c>
      <c r="AU93" s="297">
        <f t="shared" si="796"/>
        <v>8.6206896551724199E-2</v>
      </c>
      <c r="AV93" s="297">
        <f t="shared" si="796"/>
        <v>0.13207547169811318</v>
      </c>
      <c r="AW93" s="297">
        <f t="shared" si="796"/>
        <v>9.1220068415051259E-2</v>
      </c>
      <c r="AX93" s="297">
        <f t="shared" ref="AX93:BJ94" si="813">AX54/AT54-1</f>
        <v>-2.754237288135597E-2</v>
      </c>
      <c r="AY93" s="297">
        <f t="shared" si="813"/>
        <v>8.4656084656085095E-3</v>
      </c>
      <c r="AZ93" s="297">
        <f t="shared" si="813"/>
        <v>2.0588235294117574E-2</v>
      </c>
      <c r="BA93" s="297">
        <f t="shared" si="813"/>
        <v>6.478578892372E-2</v>
      </c>
      <c r="BB93" s="297">
        <f t="shared" si="813"/>
        <v>0.20806100217864931</v>
      </c>
      <c r="BC93" s="297">
        <f t="shared" si="813"/>
        <v>0.20356768100734524</v>
      </c>
      <c r="BD93" s="297">
        <f t="shared" si="813"/>
        <v>8.7415946205571471E-2</v>
      </c>
      <c r="BE93" s="297">
        <f t="shared" si="813"/>
        <v>5.201177625122666E-2</v>
      </c>
      <c r="BF93" s="297">
        <f t="shared" si="813"/>
        <v>3.8773669972948621E-2</v>
      </c>
      <c r="BG93" s="297">
        <f t="shared" si="813"/>
        <v>4.0104620749781938E-2</v>
      </c>
      <c r="BH93" s="297">
        <f t="shared" si="813"/>
        <v>0.11042402826855113</v>
      </c>
      <c r="BI93" s="297">
        <f t="shared" si="813"/>
        <v>0.10727611940298498</v>
      </c>
      <c r="BJ93" s="297">
        <f t="shared" si="813"/>
        <v>7.03125E-2</v>
      </c>
      <c r="BK93" s="297"/>
      <c r="BL93" s="297"/>
      <c r="BM93" s="297"/>
      <c r="BN93" s="297"/>
      <c r="BO93" s="297"/>
      <c r="BP93" s="297"/>
      <c r="BQ93" s="297"/>
      <c r="BR93" s="297"/>
      <c r="BS93" s="297"/>
      <c r="BT93" s="297"/>
      <c r="BU93" s="297"/>
      <c r="BV93" s="297"/>
      <c r="BW93" s="297"/>
      <c r="BX93" s="297"/>
      <c r="BY93" s="297"/>
      <c r="BZ93" s="297"/>
      <c r="CA93" s="297"/>
      <c r="CB93" s="297"/>
      <c r="CC93" s="297"/>
      <c r="CD93" s="297"/>
      <c r="CE93" s="297"/>
      <c r="CF93" s="297"/>
      <c r="CG93" s="297"/>
      <c r="CH93" s="297"/>
      <c r="CI93" s="297"/>
      <c r="CJ93" s="297"/>
      <c r="CK93" s="297"/>
      <c r="CL93" s="297"/>
      <c r="CM93" s="297">
        <f t="shared" ref="CM93:CT93" si="814">CM56/CI56-1</f>
        <v>6.9444444444444198E-3</v>
      </c>
      <c r="CN93" s="297">
        <f t="shared" si="814"/>
        <v>-8.2466567607726637E-2</v>
      </c>
      <c r="CO93" s="297">
        <f t="shared" si="814"/>
        <v>-6.6358024691357986E-2</v>
      </c>
      <c r="CP93" s="297">
        <f t="shared" si="814"/>
        <v>-9.6017069701280211E-2</v>
      </c>
      <c r="CQ93" s="297">
        <f t="shared" si="814"/>
        <v>-0.27356321839080455</v>
      </c>
      <c r="CR93" s="297">
        <f t="shared" si="814"/>
        <v>-0.37246963562753033</v>
      </c>
      <c r="CS93" s="297">
        <f t="shared" si="814"/>
        <v>-0.17355371900826444</v>
      </c>
      <c r="CT93" s="297">
        <f t="shared" si="814"/>
        <v>-0.12195121951219512</v>
      </c>
      <c r="CU93" s="297">
        <f t="shared" ref="CU93:DD94" si="815">CU56/CQ56-1</f>
        <v>0.17932489451476785</v>
      </c>
      <c r="CV93" s="297">
        <f t="shared" si="815"/>
        <v>0.50709677419354837</v>
      </c>
      <c r="CW93" s="297">
        <f t="shared" si="815"/>
        <v>0.14399999999999991</v>
      </c>
      <c r="CX93" s="297">
        <f t="shared" si="815"/>
        <v>6.8100358422939156E-2</v>
      </c>
      <c r="CY93" s="297">
        <f t="shared" si="815"/>
        <v>2.5044722719141266E-2</v>
      </c>
      <c r="CZ93" s="297">
        <f t="shared" si="815"/>
        <v>-1.0273972602739767E-2</v>
      </c>
      <c r="DA93" s="297">
        <f t="shared" si="815"/>
        <v>1.2237762237762295E-2</v>
      </c>
      <c r="DB93" s="297">
        <f t="shared" si="815"/>
        <v>-6.9630872483221529E-2</v>
      </c>
      <c r="DC93" s="297">
        <f t="shared" si="815"/>
        <v>-2.4432809773123898E-2</v>
      </c>
      <c r="DD93" s="297">
        <f t="shared" si="815"/>
        <v>5.709342560553643E-2</v>
      </c>
      <c r="DE93" s="297">
        <f t="shared" ref="DE93:DN94" si="816">DE56/DA56-1</f>
        <v>5.1813471502590858E-3</v>
      </c>
      <c r="DF93" s="297">
        <f t="shared" si="816"/>
        <v>5.2299368800721391E-2</v>
      </c>
      <c r="DG93" s="297">
        <f t="shared" si="816"/>
        <v>-2.7728085867620766E-2</v>
      </c>
      <c r="DH93" s="297">
        <f t="shared" si="816"/>
        <v>-6.6284779050736486E-2</v>
      </c>
      <c r="DI93" s="297">
        <f t="shared" si="816"/>
        <v>-4.7250859106529264E-2</v>
      </c>
      <c r="DJ93" s="297">
        <f t="shared" si="816"/>
        <v>1.0000000000000009E-2</v>
      </c>
      <c r="DK93" s="297">
        <f t="shared" si="816"/>
        <v>1.0000000000000009E-2</v>
      </c>
      <c r="DL93" s="297">
        <f t="shared" si="816"/>
        <v>1.0000000000000009E-2</v>
      </c>
      <c r="DM93" s="297">
        <f t="shared" si="816"/>
        <v>1.0000000000000009E-2</v>
      </c>
      <c r="DN93" s="297">
        <f t="shared" si="816"/>
        <v>1.0000000000000009E-2</v>
      </c>
      <c r="DO93" s="296"/>
      <c r="DP93" s="245"/>
      <c r="DQ93" s="245"/>
      <c r="DR93" s="245"/>
      <c r="DS93" s="245"/>
      <c r="DT93" s="245"/>
      <c r="DU93" s="245"/>
      <c r="DV93" s="245"/>
      <c r="DW93" s="245"/>
      <c r="DX93" s="246">
        <f t="shared" ref="DX93:DZ94" si="817">DX54/DW54-1</f>
        <v>0</v>
      </c>
      <c r="DY93" s="246">
        <f t="shared" si="817"/>
        <v>5.3770491803278642E-2</v>
      </c>
      <c r="DZ93" s="246">
        <f t="shared" si="817"/>
        <v>0.20472930927193533</v>
      </c>
      <c r="EA93" s="246">
        <f t="shared" ref="EA93:EJ93" si="818">EA54/DZ54-1</f>
        <v>2.0661157024793431E-2</v>
      </c>
      <c r="EB93" s="246">
        <f t="shared" si="818"/>
        <v>0.11285425101214575</v>
      </c>
      <c r="EC93" s="246">
        <f t="shared" si="818"/>
        <v>8.5038653933606101E-2</v>
      </c>
      <c r="ED93" s="246">
        <f t="shared" si="818"/>
        <v>0.10603520536462696</v>
      </c>
      <c r="EE93" s="246">
        <f t="shared" si="818"/>
        <v>7.5028419856006057E-2</v>
      </c>
      <c r="EF93" s="246">
        <f t="shared" si="818"/>
        <v>9.2351075079309064E-2</v>
      </c>
      <c r="EG93" s="246">
        <f t="shared" si="818"/>
        <v>3.6786060019361022E-2</v>
      </c>
      <c r="EH93" s="246">
        <f t="shared" si="818"/>
        <v>0.11795829442888262</v>
      </c>
      <c r="EI93" s="246">
        <f t="shared" si="818"/>
        <v>6.9042316258351999E-2</v>
      </c>
      <c r="EJ93" s="246">
        <f t="shared" si="818"/>
        <v>7.3437500000000044E-2</v>
      </c>
      <c r="EK93" s="246">
        <f t="shared" ref="EK93:EQ94" si="819">EK54/EJ54-1</f>
        <v>9.243085880640467E-2</v>
      </c>
      <c r="EL93" s="246">
        <f t="shared" si="819"/>
        <v>8.1501221407950242E-2</v>
      </c>
      <c r="EM93" s="246">
        <f t="shared" si="819"/>
        <v>-1</v>
      </c>
      <c r="EN93" s="246" t="e">
        <f t="shared" si="819"/>
        <v>#DIV/0!</v>
      </c>
      <c r="EO93" s="246" t="e">
        <f t="shared" si="819"/>
        <v>#DIV/0!</v>
      </c>
      <c r="EP93" s="246" t="e">
        <f t="shared" si="819"/>
        <v>#DIV/0!</v>
      </c>
      <c r="EQ93" s="246" t="e">
        <f t="shared" si="819"/>
        <v>#DIV/0!</v>
      </c>
      <c r="ER93" s="246"/>
      <c r="ES93" s="246"/>
      <c r="ET93" s="246"/>
      <c r="EU93" s="246"/>
      <c r="FQ93" s="290"/>
      <c r="FR93" s="290"/>
      <c r="FS93" s="290"/>
      <c r="FT93"/>
      <c r="FU93" s="290"/>
      <c r="FV93" s="290"/>
      <c r="FW93" s="290"/>
    </row>
    <row r="94" spans="1:179" s="279" customFormat="1" ht="12.75" customHeight="1" x14ac:dyDescent="0.2">
      <c r="A94" s="1"/>
      <c r="B94" t="s">
        <v>121</v>
      </c>
      <c r="C94" s="293"/>
      <c r="D94" s="293"/>
      <c r="E94" s="293"/>
      <c r="F94" s="293"/>
      <c r="G94" s="297">
        <f t="shared" si="810"/>
        <v>0.15999999999999992</v>
      </c>
      <c r="H94" s="297">
        <f t="shared" si="810"/>
        <v>0.16999999999999993</v>
      </c>
      <c r="I94" s="297">
        <f t="shared" si="810"/>
        <v>0.16999999999999993</v>
      </c>
      <c r="J94" s="297">
        <f t="shared" si="810"/>
        <v>0.2234848484848484</v>
      </c>
      <c r="K94" s="297">
        <f t="shared" si="810"/>
        <v>0.50352112676056349</v>
      </c>
      <c r="L94" s="297">
        <f t="shared" si="810"/>
        <v>0.48620689655172411</v>
      </c>
      <c r="M94" s="297">
        <f t="shared" si="810"/>
        <v>0.46101694915254243</v>
      </c>
      <c r="N94" s="297">
        <f t="shared" si="810"/>
        <v>0.39318885448916419</v>
      </c>
      <c r="O94" s="297">
        <f t="shared" si="810"/>
        <v>4.9180327868852514E-2</v>
      </c>
      <c r="P94" s="297">
        <f t="shared" si="810"/>
        <v>7.4245939675174011E-2</v>
      </c>
      <c r="Q94" s="297">
        <f t="shared" si="811"/>
        <v>3.7122969837587005E-2</v>
      </c>
      <c r="R94" s="297">
        <f t="shared" si="811"/>
        <v>7.1111111111111125E-2</v>
      </c>
      <c r="S94" s="297">
        <f t="shared" si="811"/>
        <v>6.0267857142857206E-2</v>
      </c>
      <c r="T94" s="297">
        <f t="shared" si="811"/>
        <v>7.7753779697624203E-2</v>
      </c>
      <c r="U94" s="297">
        <f t="shared" si="811"/>
        <v>0.12527964205816544</v>
      </c>
      <c r="V94" s="297">
        <f t="shared" si="811"/>
        <v>8.5062240663900335E-2</v>
      </c>
      <c r="W94" s="297">
        <f t="shared" si="811"/>
        <v>9.6842105263157841E-2</v>
      </c>
      <c r="X94" s="297">
        <f t="shared" si="811"/>
        <v>0.1523046092184368</v>
      </c>
      <c r="Y94" s="297">
        <f t="shared" si="811"/>
        <v>0.13518886679920472</v>
      </c>
      <c r="Z94" s="297">
        <f t="shared" si="811"/>
        <v>0.19502868068833656</v>
      </c>
      <c r="AA94" s="297">
        <f t="shared" si="812"/>
        <v>0.19577735124760087</v>
      </c>
      <c r="AB94" s="297">
        <f t="shared" si="812"/>
        <v>0.1286956521739131</v>
      </c>
      <c r="AC94" s="297">
        <f t="shared" si="812"/>
        <v>8.9316987740805542E-2</v>
      </c>
      <c r="AD94" s="297">
        <f t="shared" si="812"/>
        <v>0.10880000000000001</v>
      </c>
      <c r="AE94" s="297">
        <f t="shared" si="795"/>
        <v>6.7415730337078594E-2</v>
      </c>
      <c r="AF94" s="297">
        <f t="shared" si="795"/>
        <v>9.3990755007704152E-2</v>
      </c>
      <c r="AG94" s="297">
        <f t="shared" si="795"/>
        <v>8.0385852090032239E-2</v>
      </c>
      <c r="AH94" s="297">
        <f t="shared" si="795"/>
        <v>0.15728715728715725</v>
      </c>
      <c r="AI94" s="297">
        <f t="shared" si="795"/>
        <v>0.15338345864661651</v>
      </c>
      <c r="AJ94" s="297">
        <f t="shared" si="795"/>
        <v>0.10563380281690149</v>
      </c>
      <c r="AK94" s="297">
        <f t="shared" si="795"/>
        <v>7.5892857142857206E-2</v>
      </c>
      <c r="AL94" s="297">
        <f t="shared" si="795"/>
        <v>2.6184538653366562E-2</v>
      </c>
      <c r="AM94" s="297">
        <f t="shared" si="795"/>
        <v>3.5202086049543668E-2</v>
      </c>
      <c r="AN94" s="297">
        <f t="shared" si="795"/>
        <v>9.1719745222929916E-2</v>
      </c>
      <c r="AO94" s="297">
        <f t="shared" si="796"/>
        <v>0.14246196403872746</v>
      </c>
      <c r="AP94" s="297">
        <f t="shared" si="796"/>
        <v>9.3560145808019524E-2</v>
      </c>
      <c r="AQ94" s="297">
        <f t="shared" si="796"/>
        <v>0.12216624685138533</v>
      </c>
      <c r="AR94" s="297">
        <f t="shared" si="796"/>
        <v>0.11668611435239207</v>
      </c>
      <c r="AS94" s="297">
        <f t="shared" si="796"/>
        <v>0.116222760290557</v>
      </c>
      <c r="AT94" s="297">
        <f t="shared" si="796"/>
        <v>0.18222222222222229</v>
      </c>
      <c r="AU94" s="297">
        <f t="shared" si="796"/>
        <v>0.12570145903479246</v>
      </c>
      <c r="AV94" s="297">
        <f t="shared" si="796"/>
        <v>0.17450365726227801</v>
      </c>
      <c r="AW94" s="297">
        <f t="shared" si="796"/>
        <v>0.13015184381778733</v>
      </c>
      <c r="AX94" s="297">
        <f t="shared" si="813"/>
        <v>4.9812030075187863E-2</v>
      </c>
      <c r="AY94" s="297">
        <f t="shared" si="813"/>
        <v>1.1964107676968982E-2</v>
      </c>
      <c r="AZ94" s="297">
        <f t="shared" si="813"/>
        <v>-8.0071174377224219E-3</v>
      </c>
      <c r="BA94" s="297">
        <f t="shared" si="813"/>
        <v>6.1420345489443307E-2</v>
      </c>
      <c r="BB94" s="297">
        <f t="shared" si="813"/>
        <v>0.12444046553267674</v>
      </c>
      <c r="BC94" s="297">
        <f t="shared" si="813"/>
        <v>0.15073891625615765</v>
      </c>
      <c r="BD94" s="297">
        <f t="shared" si="813"/>
        <v>7.2645739910313978E-2</v>
      </c>
      <c r="BE94" s="297">
        <f t="shared" si="813"/>
        <v>2.8028933092224317E-2</v>
      </c>
      <c r="BF94" s="297">
        <f t="shared" si="813"/>
        <v>7.9617834394896114E-4</v>
      </c>
      <c r="BG94" s="297">
        <f t="shared" si="813"/>
        <v>4.5376712328767166E-2</v>
      </c>
      <c r="BH94" s="297">
        <f t="shared" si="813"/>
        <v>8.2775919732441361E-2</v>
      </c>
      <c r="BI94" s="297">
        <f t="shared" si="813"/>
        <v>8.267370272647323E-2</v>
      </c>
      <c r="BJ94" s="297">
        <f t="shared" si="813"/>
        <v>6.0461416070007878E-2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820">CM57/CI57-1</f>
        <v>-3.3717834960070969E-2</v>
      </c>
      <c r="CN94" s="297">
        <f t="shared" si="820"/>
        <v>-4.2771599657827175E-2</v>
      </c>
      <c r="CO94" s="297">
        <f t="shared" si="820"/>
        <v>1.9444444444444375E-2</v>
      </c>
      <c r="CP94" s="297">
        <f t="shared" si="820"/>
        <v>-8.4674005080440651E-3</v>
      </c>
      <c r="CQ94" s="297">
        <f t="shared" si="820"/>
        <v>5.8769513314967936E-2</v>
      </c>
      <c r="CR94" s="297">
        <f t="shared" si="820"/>
        <v>-0.30741733690795348</v>
      </c>
      <c r="CS94" s="297">
        <f t="shared" si="820"/>
        <v>4.632152588555849E-2</v>
      </c>
      <c r="CT94" s="297">
        <f t="shared" si="820"/>
        <v>0.12040990606319379</v>
      </c>
      <c r="CU94" s="297">
        <f t="shared" si="815"/>
        <v>8.759757155247172E-2</v>
      </c>
      <c r="CV94" s="297">
        <f t="shared" si="815"/>
        <v>0.74709677419354836</v>
      </c>
      <c r="CW94" s="297">
        <f t="shared" si="815"/>
        <v>9.461805555555558E-2</v>
      </c>
      <c r="CX94" s="297">
        <f t="shared" si="815"/>
        <v>6.8597560975609539E-3</v>
      </c>
      <c r="CY94" s="297">
        <f t="shared" si="815"/>
        <v>2.7113237639553533E-2</v>
      </c>
      <c r="CZ94" s="297">
        <f t="shared" si="815"/>
        <v>-4.4313146233382561E-2</v>
      </c>
      <c r="DA94" s="297">
        <f t="shared" si="815"/>
        <v>2.3790642347343294E-3</v>
      </c>
      <c r="DB94" s="297">
        <f t="shared" si="815"/>
        <v>-3.4822104466313397E-2</v>
      </c>
      <c r="DC94" s="297">
        <f t="shared" si="815"/>
        <v>2.1739130434782705E-2</v>
      </c>
      <c r="DD94" s="297">
        <f t="shared" si="815"/>
        <v>6.0278207109737192E-2</v>
      </c>
      <c r="DE94" s="297">
        <f t="shared" si="816"/>
        <v>3.9556962025316444E-2</v>
      </c>
      <c r="DF94" s="297">
        <f t="shared" si="816"/>
        <v>6.9803921568627469E-2</v>
      </c>
      <c r="DG94" s="297">
        <f t="shared" si="816"/>
        <v>1.0638297872340496E-2</v>
      </c>
      <c r="DH94" s="297">
        <f t="shared" si="816"/>
        <v>-1.895043731778423E-2</v>
      </c>
      <c r="DI94" s="297">
        <f t="shared" si="816"/>
        <v>8.3713850837139336E-3</v>
      </c>
      <c r="DJ94" s="297">
        <f t="shared" si="816"/>
        <v>1.0000000000000009E-2</v>
      </c>
      <c r="DK94" s="297">
        <f t="shared" si="816"/>
        <v>1.0000000000000009E-2</v>
      </c>
      <c r="DL94" s="297">
        <f t="shared" si="816"/>
        <v>1.0000000000000009E-2</v>
      </c>
      <c r="DM94" s="297">
        <f t="shared" si="816"/>
        <v>1.0000000000000009E-2</v>
      </c>
      <c r="DN94" s="297">
        <f t="shared" si="816"/>
        <v>1.0000000000000009E-2</v>
      </c>
      <c r="DO94" s="296"/>
      <c r="DP94" s="245"/>
      <c r="DQ94" s="245"/>
      <c r="DR94" s="245"/>
      <c r="DS94" s="245"/>
      <c r="DT94" s="245"/>
      <c r="DU94" s="245"/>
      <c r="DV94" s="245"/>
      <c r="DW94" s="245"/>
      <c r="DX94" s="246">
        <f t="shared" si="817"/>
        <v>0.15999999999999992</v>
      </c>
      <c r="DY94" s="246">
        <f t="shared" si="817"/>
        <v>0.18156959256220939</v>
      </c>
      <c r="DZ94" s="246">
        <f t="shared" si="817"/>
        <v>0.45889261744966436</v>
      </c>
      <c r="EA94" s="246">
        <f t="shared" ref="EA94:EJ94" si="821">EA55/DZ55-1</f>
        <v>5.8079355951696332E-2</v>
      </c>
      <c r="EB94" s="246">
        <f t="shared" si="821"/>
        <v>8.6956521739130377E-2</v>
      </c>
      <c r="EC94" s="246">
        <f t="shared" si="821"/>
        <v>0.14599999999999991</v>
      </c>
      <c r="ED94" s="246">
        <f t="shared" si="821"/>
        <v>0.12870855148342053</v>
      </c>
      <c r="EE94" s="246">
        <f t="shared" si="821"/>
        <v>0.10127560881329734</v>
      </c>
      <c r="EF94" s="246">
        <f t="shared" si="821"/>
        <v>8.7399087399087305E-2</v>
      </c>
      <c r="EG94" s="246">
        <f t="shared" si="821"/>
        <v>9.0058102001291163E-2</v>
      </c>
      <c r="EH94" s="246">
        <f t="shared" si="821"/>
        <v>0.13532721350310917</v>
      </c>
      <c r="EI94" s="246">
        <f t="shared" si="821"/>
        <v>0.11789254042775177</v>
      </c>
      <c r="EJ94" s="246">
        <f t="shared" si="821"/>
        <v>4.8063462435837589E-2</v>
      </c>
      <c r="EK94" s="246">
        <f t="shared" si="819"/>
        <v>5.9216384683882461E-2</v>
      </c>
      <c r="EL94" s="246">
        <f t="shared" si="819"/>
        <v>6.767549390500216E-2</v>
      </c>
      <c r="EM94" s="246">
        <f t="shared" si="819"/>
        <v>-1</v>
      </c>
      <c r="EN94" s="246" t="e">
        <f t="shared" si="819"/>
        <v>#DIV/0!</v>
      </c>
      <c r="EO94" s="246" t="e">
        <f t="shared" si="819"/>
        <v>#DIV/0!</v>
      </c>
      <c r="EP94" s="246" t="e">
        <f t="shared" si="819"/>
        <v>#DIV/0!</v>
      </c>
      <c r="EQ94" s="246" t="e">
        <f t="shared" si="819"/>
        <v>#DIV/0!</v>
      </c>
      <c r="ER94" s="246"/>
      <c r="ES94" s="246"/>
      <c r="ET94" s="246"/>
      <c r="EU94" s="246"/>
      <c r="FQ94" s="290"/>
      <c r="FR94" s="290"/>
      <c r="FS94" s="291"/>
      <c r="FT94"/>
      <c r="FU94" s="291"/>
      <c r="FV94" s="290"/>
      <c r="FW94" s="290"/>
    </row>
    <row r="95" spans="1:179" s="279" customFormat="1" ht="12.75" customHeight="1" x14ac:dyDescent="0.2">
      <c r="A95" s="1"/>
      <c r="B95" t="s">
        <v>123</v>
      </c>
      <c r="C95" s="293"/>
      <c r="D95" s="293"/>
      <c r="E95" s="293"/>
      <c r="F95" s="293"/>
      <c r="G95" s="297">
        <f t="shared" ref="G95:AL95" si="822">G60/C60-1</f>
        <v>3.0000000000000027E-2</v>
      </c>
      <c r="H95" s="297">
        <f t="shared" si="822"/>
        <v>0</v>
      </c>
      <c r="I95" s="297">
        <f t="shared" si="822"/>
        <v>-1.8333333333333313E-2</v>
      </c>
      <c r="J95" s="297">
        <f t="shared" si="822"/>
        <v>6.7961165048543659E-2</v>
      </c>
      <c r="K95" s="297">
        <f t="shared" si="822"/>
        <v>6.7632850241545972E-2</v>
      </c>
      <c r="L95" s="297">
        <f t="shared" si="822"/>
        <v>0.11428571428571432</v>
      </c>
      <c r="M95" s="297">
        <f t="shared" si="822"/>
        <v>0.14746543778801846</v>
      </c>
      <c r="N95" s="297">
        <f t="shared" si="822"/>
        <v>5.9090909090909083E-2</v>
      </c>
      <c r="O95" s="297">
        <f t="shared" si="822"/>
        <v>9.5022624434389247E-2</v>
      </c>
      <c r="P95" s="297">
        <f t="shared" si="822"/>
        <v>8.9743589743589647E-2</v>
      </c>
      <c r="Q95" s="297">
        <f t="shared" si="822"/>
        <v>0.10040160642570273</v>
      </c>
      <c r="R95" s="297">
        <f t="shared" si="822"/>
        <v>0.11587982832618016</v>
      </c>
      <c r="S95" s="297">
        <f t="shared" si="822"/>
        <v>9.0909090909090828E-2</v>
      </c>
      <c r="T95" s="297">
        <f t="shared" si="822"/>
        <v>3.9215686274509887E-2</v>
      </c>
      <c r="U95" s="297">
        <f t="shared" si="822"/>
        <v>2.9197080291970767E-2</v>
      </c>
      <c r="V95" s="297">
        <f t="shared" si="822"/>
        <v>-3.0769230769230771E-2</v>
      </c>
      <c r="W95" s="297">
        <f t="shared" si="822"/>
        <v>2.2727272727272707E-2</v>
      </c>
      <c r="X95" s="297">
        <f t="shared" si="822"/>
        <v>8.679245283018866E-2</v>
      </c>
      <c r="Y95" s="297">
        <f t="shared" si="822"/>
        <v>0.1063829787234043</v>
      </c>
      <c r="Z95" s="297">
        <f t="shared" si="822"/>
        <v>0.18253968253968256</v>
      </c>
      <c r="AA95" s="297">
        <f t="shared" si="822"/>
        <v>0.11111111111111116</v>
      </c>
      <c r="AB95" s="297">
        <f t="shared" si="822"/>
        <v>0.10069444444444442</v>
      </c>
      <c r="AC95" s="297">
        <f t="shared" si="822"/>
        <v>9.6153846153846256E-2</v>
      </c>
      <c r="AD95" s="297">
        <f t="shared" si="822"/>
        <v>0.13758389261744974</v>
      </c>
      <c r="AE95" s="297">
        <f t="shared" si="822"/>
        <v>0.17999999999999994</v>
      </c>
      <c r="AF95" s="297">
        <f t="shared" si="822"/>
        <v>0.18927444794952675</v>
      </c>
      <c r="AG95" s="297">
        <f t="shared" si="822"/>
        <v>0.14619883040935666</v>
      </c>
      <c r="AH95" s="297">
        <f t="shared" si="822"/>
        <v>0.20058997050147487</v>
      </c>
      <c r="AI95" s="297">
        <f t="shared" si="822"/>
        <v>0.14971751412429368</v>
      </c>
      <c r="AJ95" s="297">
        <f t="shared" si="822"/>
        <v>0.12997347480106103</v>
      </c>
      <c r="AK95" s="297">
        <f t="shared" si="822"/>
        <v>0.13010204081632648</v>
      </c>
      <c r="AL95" s="297">
        <f t="shared" si="822"/>
        <v>2.7027027027026973E-2</v>
      </c>
      <c r="AM95" s="297">
        <f t="shared" ref="AM95:BR95" si="823">AM60/AI60-1</f>
        <v>8.3538083538083452E-2</v>
      </c>
      <c r="AN95" s="297">
        <f t="shared" si="823"/>
        <v>0.11267605633802824</v>
      </c>
      <c r="AO95" s="297">
        <f t="shared" si="823"/>
        <v>0.1128668171557563</v>
      </c>
      <c r="AP95" s="297">
        <f t="shared" si="823"/>
        <v>0.12679425837320579</v>
      </c>
      <c r="AQ95" s="297">
        <f t="shared" si="823"/>
        <v>0.16326530612244894</v>
      </c>
      <c r="AR95" s="297">
        <f t="shared" si="823"/>
        <v>0.16666666666666674</v>
      </c>
      <c r="AS95" s="297">
        <f t="shared" si="823"/>
        <v>0.17038539553752541</v>
      </c>
      <c r="AT95" s="297">
        <f t="shared" si="823"/>
        <v>0.20169851380042458</v>
      </c>
      <c r="AU95" s="297">
        <f t="shared" si="823"/>
        <v>0.18323586744639386</v>
      </c>
      <c r="AV95" s="297">
        <f t="shared" si="823"/>
        <v>0.15551537070524413</v>
      </c>
      <c r="AW95" s="297">
        <f t="shared" si="823"/>
        <v>0.12998266897746968</v>
      </c>
      <c r="AX95" s="297">
        <f t="shared" si="823"/>
        <v>6.360424028268552E-2</v>
      </c>
      <c r="AY95" s="297">
        <f t="shared" si="823"/>
        <v>-1.3179571663920919E-2</v>
      </c>
      <c r="AZ95" s="297">
        <f t="shared" si="823"/>
        <v>-1.4084507042253502E-2</v>
      </c>
      <c r="BA95" s="297">
        <f t="shared" si="823"/>
        <v>1.0736196319018454E-2</v>
      </c>
      <c r="BB95" s="297">
        <f t="shared" si="823"/>
        <v>2.6578073089700949E-2</v>
      </c>
      <c r="BC95" s="297">
        <f t="shared" si="823"/>
        <v>0.10851419031719534</v>
      </c>
      <c r="BD95" s="297">
        <f t="shared" si="823"/>
        <v>5.0793650793650835E-2</v>
      </c>
      <c r="BE95" s="297">
        <f t="shared" si="823"/>
        <v>5.4628224582701002E-2</v>
      </c>
      <c r="BF95" s="297">
        <f t="shared" si="823"/>
        <v>6.6343042071197456E-2</v>
      </c>
      <c r="BG95" s="297">
        <f t="shared" si="823"/>
        <v>8.7349397590361422E-2</v>
      </c>
      <c r="BH95" s="297">
        <f t="shared" si="823"/>
        <v>0.10574018126888207</v>
      </c>
      <c r="BI95" s="297">
        <f t="shared" si="823"/>
        <v>8.2014388489208612E-2</v>
      </c>
      <c r="BJ95" s="297">
        <f t="shared" si="823"/>
        <v>7.7389984825493086E-2</v>
      </c>
      <c r="BK95" s="297">
        <f t="shared" si="823"/>
        <v>4.8476454293628901E-2</v>
      </c>
      <c r="BL95" s="297">
        <f t="shared" si="823"/>
        <v>-2.732240437158473E-3</v>
      </c>
      <c r="BM95" s="297">
        <f t="shared" si="823"/>
        <v>1.5957446808510634E-2</v>
      </c>
      <c r="BN95" s="297">
        <f t="shared" si="823"/>
        <v>4.9295774647887258E-2</v>
      </c>
      <c r="BO95" s="297">
        <f t="shared" si="823"/>
        <v>-2.2457067371202122E-2</v>
      </c>
      <c r="BP95" s="297">
        <f t="shared" si="823"/>
        <v>0</v>
      </c>
      <c r="BQ95" s="297">
        <f t="shared" si="823"/>
        <v>-2.0942408376963373E-2</v>
      </c>
      <c r="BR95" s="297">
        <f t="shared" si="823"/>
        <v>-3.4899328859060441E-2</v>
      </c>
      <c r="BS95" s="297">
        <f t="shared" ref="BS95:BZ95" si="824">BS60/BO60-1</f>
        <v>2.8378378378378422E-2</v>
      </c>
      <c r="BT95" s="297">
        <f t="shared" si="824"/>
        <v>-3.150684931506853E-2</v>
      </c>
      <c r="BU95" s="297">
        <f t="shared" si="824"/>
        <v>-5.8823529411764719E-2</v>
      </c>
      <c r="BV95" s="297">
        <f t="shared" si="824"/>
        <v>-0.10152990264255912</v>
      </c>
      <c r="BW95" s="297">
        <f t="shared" si="824"/>
        <v>-0.17082785808147172</v>
      </c>
      <c r="BX95" s="297">
        <f t="shared" si="824"/>
        <v>-8.6280056577086262E-2</v>
      </c>
      <c r="BY95" s="297">
        <f t="shared" si="824"/>
        <v>-2.9829545454545414E-2</v>
      </c>
      <c r="BZ95" s="297">
        <f t="shared" si="824"/>
        <v>3.0959752321981782E-3</v>
      </c>
      <c r="CA95" s="297"/>
      <c r="CB95" s="297"/>
      <c r="CC95" s="297"/>
      <c r="CD95" s="297"/>
      <c r="CE95" s="297"/>
      <c r="CF95" s="297"/>
      <c r="CG95" s="297"/>
      <c r="CH95" s="297"/>
      <c r="CI95" s="297"/>
      <c r="CJ95" s="297"/>
      <c r="CK95" s="297"/>
      <c r="CL95" s="297"/>
      <c r="CM95" s="297"/>
      <c r="CN95" s="297"/>
      <c r="CO95" s="297"/>
      <c r="CP95" s="297"/>
      <c r="CQ95" s="297"/>
      <c r="CR95" s="297"/>
      <c r="CS95" s="297"/>
      <c r="CT95" s="297"/>
      <c r="CU95" s="297"/>
      <c r="CV95" s="297"/>
      <c r="CW95" s="297"/>
      <c r="CX95" s="297"/>
      <c r="CY95" s="297"/>
      <c r="CZ95" s="297"/>
      <c r="DA95" s="297"/>
      <c r="DB95" s="297"/>
      <c r="DC95" s="297"/>
      <c r="DD95" s="297"/>
      <c r="DE95" s="297"/>
      <c r="DF95" s="297"/>
      <c r="DG95" s="297"/>
      <c r="DH95" s="297"/>
      <c r="DI95" s="297"/>
      <c r="DJ95" s="297"/>
      <c r="DK95" s="297"/>
      <c r="DL95" s="297"/>
      <c r="DM95" s="297"/>
      <c r="DN95" s="297"/>
      <c r="DO95" s="296"/>
      <c r="DP95" s="245"/>
      <c r="DQ95" s="245"/>
      <c r="DR95" s="245"/>
      <c r="DS95" s="245"/>
      <c r="DT95" s="245"/>
      <c r="DU95" s="245"/>
      <c r="DV95" s="245"/>
      <c r="DW95" s="245"/>
      <c r="DX95" s="246">
        <f t="shared" ref="DX95:EQ95" si="825">DX60/DW60-1</f>
        <v>0.16999999999999993</v>
      </c>
      <c r="DY95" s="246">
        <f t="shared" si="825"/>
        <v>9.4562647754137252E-3</v>
      </c>
      <c r="DZ95" s="246">
        <f t="shared" si="825"/>
        <v>0.11592505854800939</v>
      </c>
      <c r="EA95" s="246">
        <f t="shared" si="825"/>
        <v>8.1846799580272744E-2</v>
      </c>
      <c r="EB95" s="246">
        <f t="shared" si="825"/>
        <v>3.1037827352085268E-2</v>
      </c>
      <c r="EC95" s="246">
        <f t="shared" si="825"/>
        <v>9.8777046095954946E-2</v>
      </c>
      <c r="ED95" s="246">
        <f t="shared" si="825"/>
        <v>0.11130136986301364</v>
      </c>
      <c r="EE95" s="246">
        <f t="shared" si="825"/>
        <v>0.17873651771956856</v>
      </c>
      <c r="EF95" s="246">
        <f t="shared" si="825"/>
        <v>0.10718954248366019</v>
      </c>
      <c r="EG95" s="246">
        <f t="shared" si="825"/>
        <v>0.10920897284533648</v>
      </c>
      <c r="EH95" s="246">
        <f t="shared" si="825"/>
        <v>0.17562533262373603</v>
      </c>
      <c r="EI95" s="246">
        <f t="shared" si="825"/>
        <v>0.13173381620642832</v>
      </c>
      <c r="EJ95" s="246">
        <f t="shared" si="825"/>
        <v>2.3999999999999577E-3</v>
      </c>
      <c r="EK95" s="246">
        <f t="shared" si="825"/>
        <v>6.9433359936153183E-2</v>
      </c>
      <c r="EL95" s="246">
        <f t="shared" si="825"/>
        <v>8.8059701492537279E-2</v>
      </c>
      <c r="EM95" s="246">
        <f t="shared" si="825"/>
        <v>2.7434842249657088E-2</v>
      </c>
      <c r="EN95" s="246">
        <f t="shared" si="825"/>
        <v>-1.9692923898531389E-2</v>
      </c>
      <c r="EO95" s="246">
        <f t="shared" si="825"/>
        <v>-5.0000000000000044E-3</v>
      </c>
      <c r="EP95" s="246">
        <f t="shared" si="825"/>
        <v>-5.0000000000000044E-3</v>
      </c>
      <c r="EQ95" s="246">
        <f t="shared" si="825"/>
        <v>-5.0000000000000044E-3</v>
      </c>
      <c r="ER95" s="246"/>
      <c r="ES95" s="246"/>
      <c r="ET95" s="246"/>
      <c r="EU95" s="246"/>
      <c r="EW95" s="245">
        <f t="shared" ref="EW95:FE95" si="826">+EW60/EV60-1</f>
        <v>3.4343003412969253E-2</v>
      </c>
      <c r="EX95" s="245">
        <f t="shared" si="826"/>
        <v>-5.0000000000000044E-3</v>
      </c>
      <c r="EY95" s="245">
        <f t="shared" si="826"/>
        <v>-5.0000000000000044E-3</v>
      </c>
      <c r="EZ95" s="245">
        <f t="shared" si="826"/>
        <v>-5.0000000000000044E-3</v>
      </c>
      <c r="FA95" s="245">
        <f t="shared" si="826"/>
        <v>-4.9999999999998934E-3</v>
      </c>
      <c r="FB95" s="245">
        <f t="shared" si="826"/>
        <v>-5.0000000000000044E-3</v>
      </c>
      <c r="FC95" s="245">
        <f t="shared" si="826"/>
        <v>-5.0000000000000044E-3</v>
      </c>
      <c r="FD95" s="245">
        <f t="shared" si="826"/>
        <v>-5.0000000000001155E-3</v>
      </c>
      <c r="FE95" s="245">
        <f t="shared" si="826"/>
        <v>-5.0000000000000044E-3</v>
      </c>
      <c r="FF95" s="245"/>
      <c r="FG95" s="245"/>
      <c r="FH95" s="245"/>
      <c r="FI95" s="245"/>
      <c r="FJ95" s="245"/>
      <c r="FQ95" s="290"/>
      <c r="FR95" s="290"/>
      <c r="FS95" s="291"/>
      <c r="FT95"/>
      <c r="FU95" s="291"/>
      <c r="FV95" s="290"/>
      <c r="FW95" s="290"/>
    </row>
    <row r="96" spans="1:179" ht="12.75" customHeight="1" x14ac:dyDescent="0.2">
      <c r="AE96" s="243"/>
      <c r="AF96" s="243"/>
      <c r="AG96" s="243"/>
      <c r="AH96" s="243"/>
      <c r="AI96" s="243"/>
      <c r="AJ96" s="243"/>
      <c r="AK96" s="243"/>
      <c r="AL96" s="243"/>
      <c r="AM96" s="243"/>
      <c r="AN96" s="243"/>
      <c r="AO96" s="243"/>
      <c r="AP96" s="243"/>
      <c r="AQ96" s="243"/>
      <c r="AR96" s="243"/>
      <c r="AS96" s="243"/>
      <c r="AT96" s="243"/>
      <c r="AU96" s="243"/>
      <c r="AV96" s="243"/>
      <c r="AW96" s="243"/>
      <c r="AX96" s="243"/>
      <c r="DP96" s="276"/>
      <c r="DQ96" s="276"/>
      <c r="DR96" s="276"/>
      <c r="DS96" s="276"/>
      <c r="DT96" s="276"/>
      <c r="DU96" s="276"/>
      <c r="DV96" s="276"/>
      <c r="DW96" s="276"/>
      <c r="DX96" s="276"/>
      <c r="DY96" s="276"/>
      <c r="DZ96" s="276"/>
      <c r="EA96" s="298"/>
      <c r="EB96" s="298"/>
      <c r="EC96" s="298"/>
      <c r="ED96" s="235"/>
      <c r="EE96" s="235"/>
      <c r="EF96" s="235"/>
      <c r="EG96" s="283"/>
      <c r="EH96" s="283"/>
      <c r="EI96" s="283"/>
      <c r="EJ96" s="283"/>
      <c r="EK96" s="283"/>
      <c r="EL96" s="276"/>
      <c r="EM96" s="276"/>
      <c r="EN96" s="276"/>
      <c r="EO96" s="276"/>
      <c r="EP96" s="276"/>
      <c r="EQ96" s="276"/>
      <c r="ER96" s="276"/>
      <c r="ES96" s="276"/>
      <c r="ET96" s="276"/>
      <c r="EU96" s="276"/>
    </row>
    <row r="97" spans="2:166" ht="12.75" customHeight="1" x14ac:dyDescent="0.2">
      <c r="B97" t="s">
        <v>350</v>
      </c>
      <c r="C97" s="240">
        <f t="shared" ref="C97:AH97" si="827">C65/C63</f>
        <v>0.68993875765529311</v>
      </c>
      <c r="D97" s="240">
        <f t="shared" si="827"/>
        <v>0.693050193050193</v>
      </c>
      <c r="E97" s="240">
        <f t="shared" si="827"/>
        <v>0.68671679197994984</v>
      </c>
      <c r="F97" s="240">
        <f t="shared" si="827"/>
        <v>0.66589698046181167</v>
      </c>
      <c r="G97" s="240">
        <f t="shared" si="827"/>
        <v>0.69272004150095101</v>
      </c>
      <c r="H97" s="240">
        <f t="shared" si="827"/>
        <v>0.68822410513574273</v>
      </c>
      <c r="I97" s="240">
        <f t="shared" si="827"/>
        <v>0.69287211740041932</v>
      </c>
      <c r="J97" s="240">
        <f t="shared" si="827"/>
        <v>0.67048845610177477</v>
      </c>
      <c r="K97" s="240">
        <f t="shared" si="827"/>
        <v>0.69297981319674595</v>
      </c>
      <c r="L97" s="240">
        <f t="shared" si="827"/>
        <v>0.69565217391304346</v>
      </c>
      <c r="M97" s="240">
        <f t="shared" si="827"/>
        <v>0.69921469847384798</v>
      </c>
      <c r="N97" s="240">
        <f t="shared" si="827"/>
        <v>0.68285589646648248</v>
      </c>
      <c r="O97" s="240">
        <f t="shared" si="827"/>
        <v>0.69381062986746822</v>
      </c>
      <c r="P97" s="241">
        <f t="shared" si="827"/>
        <v>0.6995205114544486</v>
      </c>
      <c r="Q97" s="240">
        <f t="shared" si="827"/>
        <v>0.69752915047196007</v>
      </c>
      <c r="R97" s="240">
        <f t="shared" si="827"/>
        <v>0.69259988745075973</v>
      </c>
      <c r="S97" s="240">
        <f t="shared" si="827"/>
        <v>0.70748299319727892</v>
      </c>
      <c r="T97" s="241">
        <f t="shared" si="827"/>
        <v>0.71685447134979619</v>
      </c>
      <c r="U97" s="240">
        <f t="shared" si="827"/>
        <v>0.71048798252002909</v>
      </c>
      <c r="V97" s="240">
        <f t="shared" si="827"/>
        <v>0.70379626323931932</v>
      </c>
      <c r="W97" s="241">
        <f t="shared" si="827"/>
        <v>0.71897518014411532</v>
      </c>
      <c r="X97" s="240">
        <f t="shared" si="827"/>
        <v>0.715419376171057</v>
      </c>
      <c r="Y97" s="240">
        <f t="shared" si="827"/>
        <v>0.7124132613723978</v>
      </c>
      <c r="Z97" s="240">
        <f t="shared" si="827"/>
        <v>0.70254174199723496</v>
      </c>
      <c r="AA97" s="241">
        <f t="shared" si="827"/>
        <v>0.72286703319079615</v>
      </c>
      <c r="AB97" s="240">
        <f t="shared" si="827"/>
        <v>0.71293070073557874</v>
      </c>
      <c r="AC97" s="240">
        <f t="shared" si="827"/>
        <v>0.71494164912951985</v>
      </c>
      <c r="AD97" s="240">
        <f t="shared" si="827"/>
        <v>0.6919834928439722</v>
      </c>
      <c r="AE97" s="288">
        <f t="shared" si="827"/>
        <v>0.71904205607476634</v>
      </c>
      <c r="AF97" s="289">
        <f t="shared" si="827"/>
        <v>0.73410696266397579</v>
      </c>
      <c r="AG97" s="289">
        <f t="shared" si="827"/>
        <v>0.72414091577945128</v>
      </c>
      <c r="AH97" s="288">
        <f t="shared" si="827"/>
        <v>0.70937892095357591</v>
      </c>
      <c r="AI97" s="289">
        <f t="shared" ref="AI97:BN97" si="828">AI65/AI63</f>
        <v>0.72755610972568574</v>
      </c>
      <c r="AJ97" s="289">
        <f t="shared" si="828"/>
        <v>0.7240244475787494</v>
      </c>
      <c r="AK97" s="289">
        <f t="shared" si="828"/>
        <v>0.72753858651502845</v>
      </c>
      <c r="AL97" s="288">
        <f t="shared" si="828"/>
        <v>0.71149881046788266</v>
      </c>
      <c r="AM97" s="288">
        <f t="shared" si="828"/>
        <v>0.72198275862068961</v>
      </c>
      <c r="AN97" s="288">
        <f t="shared" si="828"/>
        <v>0.71653071914989153</v>
      </c>
      <c r="AO97" s="289">
        <f t="shared" si="828"/>
        <v>0.72529540152028293</v>
      </c>
      <c r="AP97" s="288">
        <f t="shared" si="828"/>
        <v>0.70713346002046484</v>
      </c>
      <c r="AQ97" s="288">
        <f t="shared" si="828"/>
        <v>0.7093524226154968</v>
      </c>
      <c r="AR97" s="288">
        <f t="shared" si="828"/>
        <v>0.71219125610883638</v>
      </c>
      <c r="AS97" s="288">
        <f t="shared" si="828"/>
        <v>0.71519957353235153</v>
      </c>
      <c r="AT97" s="288">
        <f t="shared" si="828"/>
        <v>0.70332769317540889</v>
      </c>
      <c r="AU97" s="288">
        <f t="shared" si="828"/>
        <v>0.71507965913301219</v>
      </c>
      <c r="AV97" s="288">
        <f t="shared" si="828"/>
        <v>0.71118541033434646</v>
      </c>
      <c r="AW97" s="288">
        <f t="shared" si="828"/>
        <v>0.70014446328748192</v>
      </c>
      <c r="AX97" s="288">
        <f t="shared" si="828"/>
        <v>0.71202740086945071</v>
      </c>
      <c r="AY97" s="288">
        <f t="shared" si="828"/>
        <v>0.71709037668042064</v>
      </c>
      <c r="AZ97" s="288">
        <f t="shared" si="828"/>
        <v>0.70798608832600562</v>
      </c>
      <c r="BA97" s="288">
        <f t="shared" si="828"/>
        <v>0.70598766660035805</v>
      </c>
      <c r="BB97" s="288">
        <f t="shared" si="828"/>
        <v>0.68588000725031717</v>
      </c>
      <c r="BC97" s="288">
        <f t="shared" si="828"/>
        <v>0.71031923741283343</v>
      </c>
      <c r="BD97" s="288">
        <f t="shared" si="828"/>
        <v>0.69913574631230102</v>
      </c>
      <c r="BE97" s="288">
        <f t="shared" si="828"/>
        <v>0.69336537177946866</v>
      </c>
      <c r="BF97" s="288">
        <f t="shared" si="828"/>
        <v>0.67783175658399386</v>
      </c>
      <c r="BG97" s="288">
        <f t="shared" si="828"/>
        <v>0.71837793233525871</v>
      </c>
      <c r="BH97" s="288">
        <f t="shared" si="828"/>
        <v>0.68837741760559135</v>
      </c>
      <c r="BI97" s="288">
        <f t="shared" si="828"/>
        <v>0.68309903155263985</v>
      </c>
      <c r="BJ97" s="288">
        <f t="shared" si="828"/>
        <v>0.71638063864831836</v>
      </c>
      <c r="BK97" s="288">
        <f t="shared" si="828"/>
        <v>0.69545820682818016</v>
      </c>
      <c r="BL97" s="288">
        <f t="shared" si="828"/>
        <v>0.69066522314447254</v>
      </c>
      <c r="BM97" s="288">
        <f t="shared" si="828"/>
        <v>0.67442266302134835</v>
      </c>
      <c r="BN97" s="288">
        <f t="shared" si="828"/>
        <v>0.66258220448541394</v>
      </c>
      <c r="BO97" s="288">
        <f t="shared" ref="BO97:BT97" si="829">BO65/BO63</f>
        <v>0.68349669478003194</v>
      </c>
      <c r="BP97" s="288">
        <f t="shared" si="829"/>
        <v>0.69391624379635308</v>
      </c>
      <c r="BQ97" s="288">
        <f t="shared" si="829"/>
        <v>0.69703497930721692</v>
      </c>
      <c r="BR97" s="288">
        <f t="shared" si="829"/>
        <v>0.6772532654056691</v>
      </c>
      <c r="BS97" s="288">
        <f t="shared" si="829"/>
        <v>0.70058729897359895</v>
      </c>
      <c r="BT97" s="288">
        <f t="shared" si="829"/>
        <v>0.69022826365734802</v>
      </c>
      <c r="BU97" s="288">
        <v>0.69</v>
      </c>
      <c r="BV97" s="288">
        <v>0.69</v>
      </c>
      <c r="BW97" s="288">
        <v>0.69</v>
      </c>
      <c r="BX97" s="288">
        <v>0.69</v>
      </c>
      <c r="BY97" s="288">
        <v>0.69</v>
      </c>
      <c r="BZ97" s="288">
        <v>0.69</v>
      </c>
      <c r="CA97" s="288"/>
      <c r="CB97" s="288"/>
      <c r="CC97" s="288"/>
      <c r="CD97" s="288"/>
      <c r="CE97" s="288"/>
      <c r="CF97" s="288"/>
      <c r="CG97" s="288"/>
      <c r="CH97" s="288"/>
      <c r="CI97" s="288"/>
      <c r="CJ97" s="288"/>
      <c r="CK97" s="288"/>
      <c r="CL97" s="288"/>
      <c r="CM97" s="288"/>
      <c r="CN97" s="288"/>
      <c r="CO97" s="288"/>
      <c r="CP97" s="288"/>
      <c r="CQ97" s="288">
        <f t="shared" ref="CQ97:DF97" si="830">+CQ65/CQ63</f>
        <v>0.658675688738521</v>
      </c>
      <c r="CR97" s="288">
        <f t="shared" si="830"/>
        <v>0.64123677609335805</v>
      </c>
      <c r="CS97" s="288">
        <f t="shared" si="830"/>
        <v>0.6692913385826772</v>
      </c>
      <c r="CT97" s="288">
        <f t="shared" si="830"/>
        <v>0.65234027407011919</v>
      </c>
      <c r="CU97" s="288">
        <f t="shared" si="830"/>
        <v>0.68357152457327186</v>
      </c>
      <c r="CV97" s="288">
        <f t="shared" si="830"/>
        <v>0.72932042148372511</v>
      </c>
      <c r="CW97" s="288">
        <f t="shared" si="830"/>
        <v>0.68930790657810159</v>
      </c>
      <c r="CX97" s="288">
        <f t="shared" si="830"/>
        <v>0.6802395690971943</v>
      </c>
      <c r="CY97" s="288">
        <f t="shared" si="830"/>
        <v>0.67701071246386668</v>
      </c>
      <c r="CZ97" s="288">
        <f t="shared" si="830"/>
        <v>0.72647022255377347</v>
      </c>
      <c r="DA97" s="288">
        <f t="shared" si="830"/>
        <v>0.6739883910301917</v>
      </c>
      <c r="DB97" s="288">
        <f t="shared" si="830"/>
        <v>0.72896687465974286</v>
      </c>
      <c r="DC97" s="288">
        <f t="shared" si="830"/>
        <v>0.67995596822054183</v>
      </c>
      <c r="DD97" s="288">
        <f t="shared" si="830"/>
        <v>0.6795192007492975</v>
      </c>
      <c r="DE97" s="288">
        <f t="shared" si="830"/>
        <v>0.69057098693147223</v>
      </c>
      <c r="DF97" s="288">
        <f t="shared" si="830"/>
        <v>0.7415404748551131</v>
      </c>
      <c r="DG97" s="288">
        <f t="shared" ref="DG97:DN97" si="831">+DG65/DG63</f>
        <v>0.74726405387709283</v>
      </c>
      <c r="DH97" s="288">
        <f t="shared" si="831"/>
        <v>0.6940720616398699</v>
      </c>
      <c r="DI97" s="288">
        <f t="shared" si="831"/>
        <v>0.75</v>
      </c>
      <c r="DJ97" s="288">
        <f t="shared" si="831"/>
        <v>0.75</v>
      </c>
      <c r="DK97" s="288">
        <f t="shared" si="831"/>
        <v>0.75</v>
      </c>
      <c r="DL97" s="288">
        <f t="shared" si="831"/>
        <v>0.74999999999999989</v>
      </c>
      <c r="DM97" s="288">
        <f t="shared" si="831"/>
        <v>0.75</v>
      </c>
      <c r="DN97" s="288">
        <f t="shared" si="831"/>
        <v>0.75</v>
      </c>
      <c r="DP97" s="240">
        <f t="shared" ref="DP97:FC97" si="832">+DP65/DP63</f>
        <v>0.64333299169826796</v>
      </c>
      <c r="DQ97" s="240">
        <f t="shared" si="832"/>
        <v>0.64948361823361822</v>
      </c>
      <c r="DR97" s="240">
        <f t="shared" si="832"/>
        <v>0.66224793122840842</v>
      </c>
      <c r="DS97" s="240">
        <f t="shared" si="832"/>
        <v>0.65985603141132843</v>
      </c>
      <c r="DT97" s="240">
        <f t="shared" si="832"/>
        <v>0.66112604328759372</v>
      </c>
      <c r="DU97" s="240">
        <f t="shared" si="832"/>
        <v>0.66321342316003562</v>
      </c>
      <c r="DV97" s="240">
        <f t="shared" si="832"/>
        <v>0.6690903301135761</v>
      </c>
      <c r="DW97" s="240">
        <f t="shared" si="832"/>
        <v>0.67539315448658654</v>
      </c>
      <c r="DX97" s="240">
        <f t="shared" si="832"/>
        <v>0.68394537982235182</v>
      </c>
      <c r="DY97" s="240">
        <f t="shared" si="832"/>
        <v>0.68567443040114973</v>
      </c>
      <c r="DZ97" s="240">
        <f t="shared" si="832"/>
        <v>0.69269411379272683</v>
      </c>
      <c r="EA97" s="240">
        <f t="shared" si="832"/>
        <v>0.69590583067366762</v>
      </c>
      <c r="EB97" s="240">
        <f t="shared" si="832"/>
        <v>0.71106532541510115</v>
      </c>
      <c r="EC97" s="240">
        <f t="shared" si="832"/>
        <v>0.71697474256269655</v>
      </c>
      <c r="ED97" s="240">
        <f t="shared" si="832"/>
        <v>0.71259565588900375</v>
      </c>
      <c r="EE97" s="240">
        <f t="shared" si="832"/>
        <v>0.72105492861150944</v>
      </c>
      <c r="EF97" s="240">
        <f t="shared" si="832"/>
        <v>0.71808961978261743</v>
      </c>
      <c r="EG97" s="240">
        <f t="shared" si="832"/>
        <v>0.71763183557122501</v>
      </c>
      <c r="EH97" s="240">
        <f t="shared" si="832"/>
        <v>0.70945249202062366</v>
      </c>
      <c r="EI97" s="240">
        <f t="shared" si="832"/>
        <v>0.70961770749996078</v>
      </c>
      <c r="EJ97" s="240">
        <f t="shared" si="832"/>
        <v>0.70379824547231695</v>
      </c>
      <c r="EK97" s="240">
        <f t="shared" si="832"/>
        <v>0.69421527947278494</v>
      </c>
      <c r="EL97" s="240">
        <f t="shared" si="832"/>
        <v>0.73856681531600799</v>
      </c>
      <c r="EM97" s="240">
        <f t="shared" si="832"/>
        <v>0.68031056725759076</v>
      </c>
      <c r="EN97" s="240">
        <f t="shared" si="832"/>
        <v>0.68670069553511326</v>
      </c>
      <c r="EO97" s="240">
        <f t="shared" si="832"/>
        <v>0.69</v>
      </c>
      <c r="EP97" s="240">
        <f t="shared" si="832"/>
        <v>0.69</v>
      </c>
      <c r="EQ97" s="240">
        <f t="shared" si="832"/>
        <v>0.69</v>
      </c>
      <c r="ER97" s="240">
        <f t="shared" si="832"/>
        <v>0.68999999999999984</v>
      </c>
      <c r="ES97" s="240">
        <f t="shared" si="832"/>
        <v>0.66792520411577161</v>
      </c>
      <c r="ET97" s="240">
        <f t="shared" si="832"/>
        <v>0.66418465962126416</v>
      </c>
      <c r="EU97" s="240">
        <f t="shared" si="832"/>
        <v>0.65578911679945751</v>
      </c>
      <c r="EV97" s="240">
        <f t="shared" si="832"/>
        <v>0.69624942939946288</v>
      </c>
      <c r="EW97" s="240">
        <f t="shared" si="832"/>
        <v>0.70141444643662254</v>
      </c>
      <c r="EX97" s="240">
        <f t="shared" si="832"/>
        <v>0.69</v>
      </c>
      <c r="EY97" s="240">
        <f t="shared" si="832"/>
        <v>0.69</v>
      </c>
      <c r="EZ97" s="240">
        <f t="shared" si="832"/>
        <v>0.69</v>
      </c>
      <c r="FA97" s="240">
        <f t="shared" si="832"/>
        <v>0.69</v>
      </c>
      <c r="FB97" s="240">
        <f t="shared" si="832"/>
        <v>0.69</v>
      </c>
      <c r="FC97" s="240">
        <f t="shared" si="832"/>
        <v>0.69</v>
      </c>
    </row>
    <row r="98" spans="2:166" ht="12.75" customHeight="1" x14ac:dyDescent="0.2">
      <c r="B98" t="s">
        <v>338</v>
      </c>
      <c r="C98" s="240">
        <f t="shared" ref="C98:AD98" si="833">+C66/C63</f>
        <v>0.37410323709536308</v>
      </c>
      <c r="D98" s="240">
        <f t="shared" si="833"/>
        <v>0.37592137592137592</v>
      </c>
      <c r="E98" s="240">
        <f t="shared" si="833"/>
        <v>0.38471177944862156</v>
      </c>
      <c r="F98" s="240">
        <f t="shared" si="833"/>
        <v>0.40603907637655418</v>
      </c>
      <c r="G98" s="240">
        <f t="shared" si="833"/>
        <v>0.3631333218052914</v>
      </c>
      <c r="H98" s="240">
        <f t="shared" si="833"/>
        <v>0.36555421061732662</v>
      </c>
      <c r="I98" s="240">
        <f t="shared" si="833"/>
        <v>0.37578616352201261</v>
      </c>
      <c r="J98" s="240">
        <f t="shared" si="833"/>
        <v>0.39924611276896499</v>
      </c>
      <c r="K98" s="240">
        <f t="shared" si="833"/>
        <v>0.36200662850256099</v>
      </c>
      <c r="L98" s="240">
        <f t="shared" si="833"/>
        <v>0.37189962065946891</v>
      </c>
      <c r="M98" s="240">
        <f t="shared" si="833"/>
        <v>0.37990813453845013</v>
      </c>
      <c r="N98" s="240">
        <f t="shared" si="833"/>
        <v>0.41602442925694344</v>
      </c>
      <c r="O98" s="240">
        <f t="shared" si="833"/>
        <v>0.35646946304139909</v>
      </c>
      <c r="P98" s="240">
        <f t="shared" si="833"/>
        <v>0.36561001598295151</v>
      </c>
      <c r="Q98" s="240">
        <f t="shared" si="833"/>
        <v>0.37132148806218768</v>
      </c>
      <c r="R98" s="240">
        <f t="shared" si="833"/>
        <v>0.40039392234102422</v>
      </c>
      <c r="S98" s="240">
        <f t="shared" si="833"/>
        <v>0.34924913361571042</v>
      </c>
      <c r="T98" s="240">
        <f t="shared" si="833"/>
        <v>0.35662910573004075</v>
      </c>
      <c r="U98" s="240">
        <f t="shared" si="833"/>
        <v>0.35129885894634622</v>
      </c>
      <c r="V98" s="240">
        <f t="shared" si="833"/>
        <v>0.3903367844817327</v>
      </c>
      <c r="W98" s="240">
        <f t="shared" si="833"/>
        <v>0.32517442525448931</v>
      </c>
      <c r="X98" s="240">
        <f t="shared" si="833"/>
        <v>0.3325250743965612</v>
      </c>
      <c r="Y98" s="240">
        <f t="shared" si="833"/>
        <v>0.33109373278995485</v>
      </c>
      <c r="Z98" s="240">
        <f t="shared" si="833"/>
        <v>0.35626927576305434</v>
      </c>
      <c r="AA98" s="240">
        <f t="shared" si="833"/>
        <v>0.33119527591121972</v>
      </c>
      <c r="AB98" s="240">
        <f t="shared" si="833"/>
        <v>0.32868757259001163</v>
      </c>
      <c r="AC98" s="240">
        <f t="shared" si="833"/>
        <v>0.32791276066577385</v>
      </c>
      <c r="AD98" s="240">
        <f t="shared" si="833"/>
        <v>0.3559575028536307</v>
      </c>
      <c r="AE98" s="288">
        <f t="shared" ref="AE98:BV98" si="834">AE66/AE63</f>
        <v>0.30373831775700932</v>
      </c>
      <c r="AF98" s="288">
        <f t="shared" si="834"/>
        <v>0.31205852674066598</v>
      </c>
      <c r="AG98" s="288">
        <f t="shared" si="834"/>
        <v>0.3335930061455899</v>
      </c>
      <c r="AH98" s="288">
        <f t="shared" si="834"/>
        <v>0.36504077791718947</v>
      </c>
      <c r="AI98" s="288">
        <f t="shared" si="834"/>
        <v>0.32161783042394015</v>
      </c>
      <c r="AJ98" s="288">
        <f t="shared" si="834"/>
        <v>0.32863187588152326</v>
      </c>
      <c r="AK98" s="288">
        <f t="shared" si="834"/>
        <v>0.33801787164906583</v>
      </c>
      <c r="AL98" s="288">
        <f t="shared" si="834"/>
        <v>0.36835844567803333</v>
      </c>
      <c r="AM98" s="288">
        <f t="shared" si="834"/>
        <v>0.31519396551724138</v>
      </c>
      <c r="AN98" s="288">
        <f t="shared" si="834"/>
        <v>0.32560053880116741</v>
      </c>
      <c r="AO98" s="288">
        <f t="shared" si="834"/>
        <v>0.32294724166478511</v>
      </c>
      <c r="AP98" s="288">
        <f t="shared" si="834"/>
        <v>0.34322467475515278</v>
      </c>
      <c r="AQ98" s="288">
        <f t="shared" si="834"/>
        <v>0.31828726718366807</v>
      </c>
      <c r="AR98" s="288">
        <f t="shared" si="834"/>
        <v>0.33212257297582881</v>
      </c>
      <c r="AS98" s="288">
        <f t="shared" si="834"/>
        <v>0.32644765775971213</v>
      </c>
      <c r="AT98" s="288">
        <f t="shared" si="834"/>
        <v>0.3585260387290844</v>
      </c>
      <c r="AU98" s="288">
        <f t="shared" si="834"/>
        <v>0.31635173521057181</v>
      </c>
      <c r="AV98" s="288">
        <f t="shared" si="834"/>
        <v>0.33477203647416415</v>
      </c>
      <c r="AW98" s="288">
        <f t="shared" si="834"/>
        <v>0.32629859933421268</v>
      </c>
      <c r="AX98" s="288">
        <f t="shared" si="834"/>
        <v>0.37313924384139113</v>
      </c>
      <c r="AY98" s="288">
        <f t="shared" si="834"/>
        <v>0.30666844136829496</v>
      </c>
      <c r="AZ98" s="288">
        <f t="shared" si="834"/>
        <v>0.3147844346741912</v>
      </c>
      <c r="BA98" s="288">
        <f t="shared" si="834"/>
        <v>0.31609309727471652</v>
      </c>
      <c r="BB98" s="288">
        <f t="shared" si="834"/>
        <v>0.34010029605461906</v>
      </c>
      <c r="BC98" s="288">
        <f t="shared" si="834"/>
        <v>0.30573859637899048</v>
      </c>
      <c r="BD98" s="288">
        <f t="shared" si="834"/>
        <v>0.30905192020274219</v>
      </c>
      <c r="BE98" s="288">
        <f t="shared" si="834"/>
        <v>0.31431050594046189</v>
      </c>
      <c r="BF98" s="288">
        <f t="shared" si="834"/>
        <v>0.33111736128867297</v>
      </c>
      <c r="BG98" s="288">
        <f t="shared" si="834"/>
        <v>0.29800778026641517</v>
      </c>
      <c r="BH98" s="288">
        <f t="shared" si="834"/>
        <v>0.31421341206242093</v>
      </c>
      <c r="BI98" s="288">
        <f t="shared" si="834"/>
        <v>0.32739768822243048</v>
      </c>
      <c r="BJ98" s="288">
        <f t="shared" si="834"/>
        <v>0.28999521810743317</v>
      </c>
      <c r="BK98" s="288">
        <f t="shared" si="834"/>
        <v>0.31073796393828612</v>
      </c>
      <c r="BL98" s="288">
        <f t="shared" si="834"/>
        <v>0.29862865391555393</v>
      </c>
      <c r="BM98" s="288">
        <f t="shared" si="834"/>
        <v>0.30411261706706999</v>
      </c>
      <c r="BN98" s="288">
        <f t="shared" si="834"/>
        <v>0.31819459277162609</v>
      </c>
      <c r="BO98" s="288">
        <f t="shared" si="834"/>
        <v>0.29764075678139956</v>
      </c>
      <c r="BP98" s="288">
        <f t="shared" si="834"/>
        <v>0.27887135448614286</v>
      </c>
      <c r="BQ98" s="288">
        <f t="shared" si="834"/>
        <v>0.30126424400476215</v>
      </c>
      <c r="BR98" s="288">
        <f t="shared" si="834"/>
        <v>0.32068722562462737</v>
      </c>
      <c r="BS98" s="288">
        <f t="shared" si="834"/>
        <v>0.28448323179098745</v>
      </c>
      <c r="BT98" s="288">
        <f t="shared" si="834"/>
        <v>0.28114901256732494</v>
      </c>
      <c r="BU98" s="288">
        <f t="shared" si="834"/>
        <v>0.29609573834407321</v>
      </c>
      <c r="BV98" s="288">
        <f t="shared" si="834"/>
        <v>0.31894379314122934</v>
      </c>
      <c r="BW98" s="288"/>
      <c r="BX98" s="288"/>
      <c r="BY98" s="288"/>
      <c r="BZ98" s="288"/>
      <c r="CA98" s="288"/>
      <c r="CB98" s="288"/>
      <c r="CC98" s="288"/>
      <c r="CD98" s="288"/>
      <c r="CE98" s="288"/>
      <c r="CF98" s="288"/>
      <c r="CG98" s="288"/>
      <c r="CH98" s="288"/>
      <c r="CI98" s="288"/>
      <c r="CJ98" s="288"/>
      <c r="CK98" s="288"/>
      <c r="CL98" s="288"/>
      <c r="CM98" s="288"/>
      <c r="CN98" s="288"/>
      <c r="CO98" s="288"/>
      <c r="CP98" s="288"/>
      <c r="CQ98" s="288">
        <f t="shared" ref="CQ98:DF98" si="835">+CQ66/CQ63</f>
        <v>0.25147414209763169</v>
      </c>
      <c r="CR98" s="288">
        <f t="shared" si="835"/>
        <v>0.27227614788962812</v>
      </c>
      <c r="CS98" s="288">
        <f t="shared" si="835"/>
        <v>0.25761312968409067</v>
      </c>
      <c r="CT98" s="288">
        <f t="shared" si="835"/>
        <v>0.28728421427300233</v>
      </c>
      <c r="CU98" s="288">
        <f t="shared" si="835"/>
        <v>0.2433582724788316</v>
      </c>
      <c r="CV98" s="288">
        <f t="shared" si="835"/>
        <v>0.2588200162109125</v>
      </c>
      <c r="CW98" s="288">
        <f t="shared" si="835"/>
        <v>0.25712449110777802</v>
      </c>
      <c r="CX98" s="288">
        <f t="shared" si="835"/>
        <v>0.28756330894766463</v>
      </c>
      <c r="CY98" s="288">
        <f t="shared" si="835"/>
        <v>0.25242305730317971</v>
      </c>
      <c r="CZ98" s="288">
        <f t="shared" si="835"/>
        <v>0.25778109329023169</v>
      </c>
      <c r="DA98" s="288">
        <f t="shared" si="835"/>
        <v>0</v>
      </c>
      <c r="DB98" s="288">
        <f t="shared" si="835"/>
        <v>0.27053059173332217</v>
      </c>
      <c r="DC98" s="288">
        <f t="shared" si="835"/>
        <v>0.23480425002393032</v>
      </c>
      <c r="DD98" s="288">
        <f t="shared" si="835"/>
        <v>0.26010771152044959</v>
      </c>
      <c r="DE98" s="288">
        <f t="shared" si="835"/>
        <v>0.25293924773994098</v>
      </c>
      <c r="DF98" s="288">
        <f t="shared" si="835"/>
        <v>0.27117218171620866</v>
      </c>
      <c r="DG98" s="288">
        <f t="shared" ref="DG98:DN98" si="836">+DG66/DG63</f>
        <v>0.24567393134412122</v>
      </c>
      <c r="DH98" s="288">
        <f t="shared" si="836"/>
        <v>0.25301741415401058</v>
      </c>
      <c r="DI98" s="288">
        <f t="shared" si="836"/>
        <v>0</v>
      </c>
      <c r="DJ98" s="288">
        <f t="shared" si="836"/>
        <v>0</v>
      </c>
      <c r="DK98" s="288">
        <f t="shared" si="836"/>
        <v>0</v>
      </c>
      <c r="DL98" s="288">
        <f t="shared" si="836"/>
        <v>0</v>
      </c>
      <c r="DM98" s="288">
        <f t="shared" si="836"/>
        <v>0</v>
      </c>
      <c r="DN98" s="288">
        <f t="shared" si="836"/>
        <v>0</v>
      </c>
      <c r="DP98" s="240">
        <f t="shared" ref="DP98:EJ98" si="837">+DP66/DP63</f>
        <v>0.39940555498616376</v>
      </c>
      <c r="DQ98" s="240">
        <f t="shared" si="837"/>
        <v>0.39788105413105412</v>
      </c>
      <c r="DR98" s="240">
        <f t="shared" si="837"/>
        <v>0.40965694544870251</v>
      </c>
      <c r="DS98" s="240">
        <f t="shared" si="837"/>
        <v>0.41234639714971277</v>
      </c>
      <c r="DT98" s="240">
        <f t="shared" si="837"/>
        <v>0.40819069175272316</v>
      </c>
      <c r="DU98" s="240">
        <f t="shared" si="837"/>
        <v>0.403584593873141</v>
      </c>
      <c r="DV98" s="240">
        <f t="shared" si="837"/>
        <v>0.3960301454198068</v>
      </c>
      <c r="DW98" s="240">
        <f t="shared" si="837"/>
        <v>0.38825161887141535</v>
      </c>
      <c r="DX98" s="240">
        <f t="shared" si="837"/>
        <v>0.3851252817181493</v>
      </c>
      <c r="DY98" s="240">
        <f t="shared" si="837"/>
        <v>0.376505896774739</v>
      </c>
      <c r="DZ98" s="240">
        <f t="shared" si="837"/>
        <v>0.38233045757344108</v>
      </c>
      <c r="EA98" s="240">
        <f t="shared" si="837"/>
        <v>0.37321116030062801</v>
      </c>
      <c r="EB98" s="240">
        <f t="shared" si="837"/>
        <v>0.36334989698218395</v>
      </c>
      <c r="EC98" s="240">
        <f t="shared" si="837"/>
        <v>0.33095018137782123</v>
      </c>
      <c r="ED98" s="240">
        <f t="shared" si="837"/>
        <v>0.3335504916748101</v>
      </c>
      <c r="EE98" s="240">
        <f t="shared" si="837"/>
        <v>0.32961323440779766</v>
      </c>
      <c r="EF98" s="240">
        <f t="shared" si="837"/>
        <v>0.34096327124328257</v>
      </c>
      <c r="EG98" s="240">
        <f t="shared" si="837"/>
        <v>0.32692596204335761</v>
      </c>
      <c r="EH98" s="240">
        <f t="shared" si="837"/>
        <v>0.33474097716670759</v>
      </c>
      <c r="EI98" s="240">
        <f t="shared" si="837"/>
        <v>0.33711390339937564</v>
      </c>
      <c r="EJ98" s="240">
        <f t="shared" si="837"/>
        <v>0.31990241853401619</v>
      </c>
      <c r="EK98" s="240">
        <f>EJ98-0.1%</f>
        <v>0.31890241853401619</v>
      </c>
      <c r="EL98" s="240">
        <v>0.32</v>
      </c>
      <c r="EM98" s="240">
        <v>0.32500000000000001</v>
      </c>
      <c r="EN98" s="240">
        <v>0.32500000000000001</v>
      </c>
      <c r="EO98" s="240">
        <v>0.33</v>
      </c>
      <c r="EP98" s="240">
        <f t="shared" ref="EP98:FC98" si="838">+EP66/EP63</f>
        <v>0</v>
      </c>
      <c r="EQ98" s="240">
        <f t="shared" si="838"/>
        <v>0</v>
      </c>
      <c r="ER98" s="240">
        <f t="shared" si="838"/>
        <v>0</v>
      </c>
      <c r="ES98" s="240">
        <f t="shared" si="838"/>
        <v>0.24983752868894996</v>
      </c>
      <c r="ET98" s="240">
        <f t="shared" si="838"/>
        <v>0.24248997107185682</v>
      </c>
      <c r="EU98" s="240">
        <f t="shared" si="838"/>
        <v>0.26740609788584019</v>
      </c>
      <c r="EV98" s="240">
        <f t="shared" si="838"/>
        <v>0.26171190776972153</v>
      </c>
      <c r="EW98" s="240">
        <f t="shared" si="838"/>
        <v>0.19521248151992701</v>
      </c>
      <c r="EX98" s="240">
        <f t="shared" si="838"/>
        <v>0.26</v>
      </c>
      <c r="EY98" s="240">
        <f t="shared" si="838"/>
        <v>0.26</v>
      </c>
      <c r="EZ98" s="240">
        <f t="shared" si="838"/>
        <v>0.26</v>
      </c>
      <c r="FA98" s="240">
        <f t="shared" si="838"/>
        <v>0.26</v>
      </c>
      <c r="FB98" s="240">
        <f t="shared" si="838"/>
        <v>0.26</v>
      </c>
      <c r="FC98" s="240">
        <f t="shared" si="838"/>
        <v>0.26</v>
      </c>
    </row>
    <row r="99" spans="2:166" ht="12.75" customHeight="1" x14ac:dyDescent="0.2">
      <c r="B99" t="s">
        <v>339</v>
      </c>
      <c r="C99" s="240">
        <f t="shared" ref="C99:AD99" si="839">+C67/C$63</f>
        <v>8.3639545056867895E-2</v>
      </c>
      <c r="D99" s="240">
        <f t="shared" si="839"/>
        <v>9.1260091260091256E-2</v>
      </c>
      <c r="E99" s="240">
        <f t="shared" si="839"/>
        <v>9.2373791621911922E-2</v>
      </c>
      <c r="F99" s="240">
        <f t="shared" si="839"/>
        <v>0.11119005328596802</v>
      </c>
      <c r="G99" s="240">
        <f t="shared" si="839"/>
        <v>8.542279093895902E-2</v>
      </c>
      <c r="H99" s="240">
        <f t="shared" si="839"/>
        <v>9.1993774857340477E-2</v>
      </c>
      <c r="I99" s="240">
        <f t="shared" si="839"/>
        <v>8.9273235499650591E-2</v>
      </c>
      <c r="J99" s="240">
        <f t="shared" si="839"/>
        <v>0.11496780273284121</v>
      </c>
      <c r="K99" s="240">
        <f t="shared" si="839"/>
        <v>8.0747213015968669E-2</v>
      </c>
      <c r="L99" s="240">
        <f t="shared" si="839"/>
        <v>8.374671724540414E-2</v>
      </c>
      <c r="M99" s="240">
        <f t="shared" si="839"/>
        <v>9.0828270854941467E-2</v>
      </c>
      <c r="N99" s="240">
        <f t="shared" si="839"/>
        <v>0.11807474189326742</v>
      </c>
      <c r="O99" s="240">
        <f t="shared" si="839"/>
        <v>8.7033747779751328E-2</v>
      </c>
      <c r="P99" s="240">
        <f t="shared" si="839"/>
        <v>8.8838572189664358E-2</v>
      </c>
      <c r="Q99" s="240">
        <f t="shared" si="839"/>
        <v>9.605774569683509E-2</v>
      </c>
      <c r="R99" s="240">
        <f t="shared" si="839"/>
        <v>0.13083849184018007</v>
      </c>
      <c r="S99" s="240">
        <f t="shared" si="839"/>
        <v>8.99756128866641E-2</v>
      </c>
      <c r="T99" s="240">
        <f t="shared" si="839"/>
        <v>9.9376648285782784E-2</v>
      </c>
      <c r="U99" s="240">
        <f t="shared" si="839"/>
        <v>0.10912842923039573</v>
      </c>
      <c r="V99" s="240">
        <f t="shared" si="839"/>
        <v>0.13138164941092467</v>
      </c>
      <c r="W99" s="240">
        <f t="shared" si="839"/>
        <v>9.5047466544664297E-2</v>
      </c>
      <c r="X99" s="240">
        <f t="shared" si="839"/>
        <v>0.10272236305521878</v>
      </c>
      <c r="Y99" s="240">
        <f t="shared" si="839"/>
        <v>0.10485736314572089</v>
      </c>
      <c r="Z99" s="240">
        <f t="shared" si="839"/>
        <v>0.13208550462618313</v>
      </c>
      <c r="AA99" s="240">
        <f t="shared" si="839"/>
        <v>9.5296273671350032E-2</v>
      </c>
      <c r="AB99" s="240">
        <f t="shared" si="839"/>
        <v>0.10472319008904375</v>
      </c>
      <c r="AC99" s="240">
        <f t="shared" si="839"/>
        <v>0.11258848287736752</v>
      </c>
      <c r="AD99" s="240">
        <f t="shared" si="839"/>
        <v>0.13074018790060585</v>
      </c>
      <c r="AE99" s="288">
        <f t="shared" ref="AE99:BV99" si="840">AE67/AE63</f>
        <v>9.1371829105473965E-2</v>
      </c>
      <c r="AF99" s="288">
        <f t="shared" si="840"/>
        <v>9.9394550958627648E-2</v>
      </c>
      <c r="AG99" s="288">
        <f t="shared" si="840"/>
        <v>0.10369600969445165</v>
      </c>
      <c r="AH99" s="288">
        <f t="shared" si="840"/>
        <v>0.1354297365119197</v>
      </c>
      <c r="AI99" s="288">
        <f t="shared" si="840"/>
        <v>0.10785536159600997</v>
      </c>
      <c r="AJ99" s="288">
        <f t="shared" si="840"/>
        <v>0.11651778718069268</v>
      </c>
      <c r="AK99" s="288">
        <f t="shared" si="840"/>
        <v>0.12502030869212022</v>
      </c>
      <c r="AL99" s="288">
        <f t="shared" si="840"/>
        <v>0.15971451229183187</v>
      </c>
      <c r="AM99" s="288">
        <f t="shared" si="840"/>
        <v>0.11791871921182266</v>
      </c>
      <c r="AN99" s="288">
        <f t="shared" si="840"/>
        <v>0.12444810297088978</v>
      </c>
      <c r="AO99" s="288">
        <f t="shared" si="840"/>
        <v>0.1293745766538722</v>
      </c>
      <c r="AP99" s="288">
        <f t="shared" si="840"/>
        <v>0.14953954100277736</v>
      </c>
      <c r="AQ99" s="288">
        <f t="shared" si="840"/>
        <v>0.10949824352091204</v>
      </c>
      <c r="AR99" s="288">
        <f t="shared" si="840"/>
        <v>0.12323339056927751</v>
      </c>
      <c r="AS99" s="288">
        <f t="shared" si="840"/>
        <v>0.12220963550343174</v>
      </c>
      <c r="AT99" s="288">
        <f t="shared" si="840"/>
        <v>0.14589208497837938</v>
      </c>
      <c r="AU99" s="288">
        <f t="shared" si="840"/>
        <v>0.10571816722242806</v>
      </c>
      <c r="AV99" s="288">
        <f t="shared" si="840"/>
        <v>0.11525835866261398</v>
      </c>
      <c r="AW99" s="288">
        <f t="shared" si="840"/>
        <v>0.1168896426103888</v>
      </c>
      <c r="AX99" s="288">
        <f t="shared" si="840"/>
        <v>0.13884863654327492</v>
      </c>
      <c r="AY99" s="288">
        <f t="shared" si="840"/>
        <v>0.10102489019033675</v>
      </c>
      <c r="AZ99" s="288">
        <f t="shared" si="840"/>
        <v>0.10748736793752871</v>
      </c>
      <c r="BA99" s="288">
        <f t="shared" si="840"/>
        <v>0.10722100656455143</v>
      </c>
      <c r="BB99" s="288">
        <f t="shared" si="840"/>
        <v>0.13370793305540452</v>
      </c>
      <c r="BC99" s="288">
        <f t="shared" si="840"/>
        <v>9.960974985605528E-2</v>
      </c>
      <c r="BD99" s="288">
        <f t="shared" si="840"/>
        <v>0.10708947949834297</v>
      </c>
      <c r="BE99" s="288">
        <f t="shared" si="840"/>
        <v>0.11059938592978241</v>
      </c>
      <c r="BF99" s="288">
        <f t="shared" si="840"/>
        <v>0.12669394016875479</v>
      </c>
      <c r="BG99" s="288">
        <f t="shared" si="840"/>
        <v>0.10244017446658021</v>
      </c>
      <c r="BH99" s="288">
        <f t="shared" si="840"/>
        <v>0.11339398686509611</v>
      </c>
      <c r="BI99" s="288">
        <f t="shared" si="840"/>
        <v>0.11077788191190253</v>
      </c>
      <c r="BJ99" s="288">
        <f t="shared" si="840"/>
        <v>0.11449976090537166</v>
      </c>
      <c r="BK99" s="288">
        <f t="shared" si="840"/>
        <v>0.10192700910837103</v>
      </c>
      <c r="BL99" s="288">
        <f t="shared" si="840"/>
        <v>0.10621917478647901</v>
      </c>
      <c r="BM99" s="288">
        <f t="shared" si="840"/>
        <v>0.111860857425397</v>
      </c>
      <c r="BN99" s="288">
        <f t="shared" si="840"/>
        <v>0.1310213029059637</v>
      </c>
      <c r="BO99" s="288">
        <f t="shared" si="840"/>
        <v>0.10166400729427855</v>
      </c>
      <c r="BP99" s="288">
        <f t="shared" si="840"/>
        <v>0.10851502816037473</v>
      </c>
      <c r="BQ99" s="288">
        <f t="shared" si="840"/>
        <v>0.11576619989795339</v>
      </c>
      <c r="BR99" s="288">
        <f t="shared" si="840"/>
        <v>0.13067042436724297</v>
      </c>
      <c r="BS99" s="288">
        <f t="shared" si="840"/>
        <v>0.10049947856633185</v>
      </c>
      <c r="BT99" s="288">
        <f t="shared" si="840"/>
        <v>0.10284688381636317</v>
      </c>
      <c r="BU99" s="288">
        <f t="shared" si="840"/>
        <v>0.10954675908377105</v>
      </c>
      <c r="BV99" s="288">
        <f t="shared" si="840"/>
        <v>0.14435192286622109</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41">+CQ67/CQ63</f>
        <v>0.12469792170130498</v>
      </c>
      <c r="CR99" s="288">
        <f t="shared" si="841"/>
        <v>0.1476169702257607</v>
      </c>
      <c r="CS99" s="288">
        <f t="shared" si="841"/>
        <v>0.13471207665306897</v>
      </c>
      <c r="CT99" s="288">
        <f t="shared" si="841"/>
        <v>0.1793913507741591</v>
      </c>
      <c r="CU99" s="288">
        <f t="shared" si="841"/>
        <v>0.14237713364096591</v>
      </c>
      <c r="CV99" s="288">
        <f t="shared" si="841"/>
        <v>0.14350923595409751</v>
      </c>
      <c r="CW99" s="288">
        <f t="shared" si="841"/>
        <v>0.14664666809513607</v>
      </c>
      <c r="CX99" s="288">
        <f t="shared" si="841"/>
        <v>0.18972586220757295</v>
      </c>
      <c r="CY99" s="288">
        <f t="shared" si="841"/>
        <v>0.1471688488352321</v>
      </c>
      <c r="CZ99" s="288">
        <f t="shared" si="841"/>
        <v>0.14729164076422563</v>
      </c>
      <c r="DA99" s="288">
        <f t="shared" si="841"/>
        <v>0.15020670647680295</v>
      </c>
      <c r="DB99" s="288">
        <f t="shared" si="841"/>
        <v>0.15415218392730015</v>
      </c>
      <c r="DC99" s="288">
        <f t="shared" si="841"/>
        <v>0.1653584761175457</v>
      </c>
      <c r="DD99" s="288">
        <f t="shared" si="841"/>
        <v>0.149430221667187</v>
      </c>
      <c r="DE99" s="288">
        <f t="shared" si="841"/>
        <v>0.16145955314066232</v>
      </c>
      <c r="DF99" s="288">
        <f t="shared" si="841"/>
        <v>0.20681435782389232</v>
      </c>
      <c r="DG99" s="288">
        <f t="shared" ref="DG99:DN99" si="842">+DG67/DG63</f>
        <v>0.1632214011785614</v>
      </c>
      <c r="DH99" s="288">
        <f t="shared" si="842"/>
        <v>0.15320892531064892</v>
      </c>
      <c r="DI99" s="288">
        <f t="shared" si="842"/>
        <v>0</v>
      </c>
      <c r="DJ99" s="288">
        <f t="shared" si="842"/>
        <v>0</v>
      </c>
      <c r="DK99" s="288">
        <f t="shared" si="842"/>
        <v>0</v>
      </c>
      <c r="DL99" s="288">
        <f t="shared" si="842"/>
        <v>0</v>
      </c>
      <c r="DM99" s="288">
        <f t="shared" si="842"/>
        <v>0</v>
      </c>
      <c r="DN99" s="288">
        <f t="shared" si="842"/>
        <v>0</v>
      </c>
      <c r="DP99" s="240">
        <f t="shared" ref="DP99:EJ99" si="843">+DP67/DP$63</f>
        <v>7.3690683611765909E-2</v>
      </c>
      <c r="DQ99" s="240">
        <f t="shared" si="843"/>
        <v>7.4252136752136752E-2</v>
      </c>
      <c r="DR99" s="240">
        <f t="shared" si="843"/>
        <v>7.8733831445328195E-2</v>
      </c>
      <c r="DS99" s="240">
        <f t="shared" si="843"/>
        <v>8.1945757289318688E-2</v>
      </c>
      <c r="DT99" s="240">
        <f t="shared" si="843"/>
        <v>8.360447022209648E-2</v>
      </c>
      <c r="DU99" s="240">
        <f t="shared" si="843"/>
        <v>8.1225371806279395E-2</v>
      </c>
      <c r="DV99" s="240">
        <f t="shared" si="843"/>
        <v>8.672115486678697E-2</v>
      </c>
      <c r="DW99" s="240">
        <f t="shared" si="843"/>
        <v>8.8112858464384824E-2</v>
      </c>
      <c r="DX99" s="240">
        <f t="shared" si="843"/>
        <v>9.4568915992752661E-2</v>
      </c>
      <c r="DY99" s="240">
        <f t="shared" si="843"/>
        <v>9.591241493004185E-2</v>
      </c>
      <c r="DZ99" s="240">
        <f t="shared" si="843"/>
        <v>9.4645262276582584E-2</v>
      </c>
      <c r="EA99" s="240">
        <f t="shared" si="843"/>
        <v>0.1004152510381276</v>
      </c>
      <c r="EB99" s="240">
        <f t="shared" si="843"/>
        <v>0.10880499333414131</v>
      </c>
      <c r="EC99" s="240">
        <f t="shared" si="843"/>
        <v>0.10720120069679426</v>
      </c>
      <c r="ED99" s="240">
        <f t="shared" si="843"/>
        <v>0.11056192081273869</v>
      </c>
      <c r="EE99" s="240">
        <f t="shared" si="843"/>
        <v>0.10813226094727435</v>
      </c>
      <c r="EF99" s="240">
        <f t="shared" si="843"/>
        <v>0.12752030385066063</v>
      </c>
      <c r="EG99" s="240">
        <f t="shared" si="843"/>
        <v>0.13052284149726201</v>
      </c>
      <c r="EH99" s="240">
        <f t="shared" si="843"/>
        <v>0.12570586791063099</v>
      </c>
      <c r="EI99" s="240">
        <f t="shared" si="843"/>
        <v>0.11886049539586177</v>
      </c>
      <c r="EJ99" s="240">
        <f t="shared" si="843"/>
        <v>0.11286492075544857</v>
      </c>
      <c r="EK99" s="240">
        <v>0.11</v>
      </c>
      <c r="EL99" s="240">
        <v>0.104</v>
      </c>
      <c r="EM99" s="240">
        <v>0.104</v>
      </c>
      <c r="EN99" s="240">
        <v>0.104</v>
      </c>
      <c r="EO99" s="240">
        <v>0.104</v>
      </c>
      <c r="EP99" s="240">
        <f t="shared" ref="EP99:FC99" si="844">+EP67/EP63</f>
        <v>3.9436373626081066E-2</v>
      </c>
      <c r="EQ99" s="240">
        <f t="shared" si="844"/>
        <v>4.2580405295819683E-2</v>
      </c>
      <c r="ER99" s="240">
        <f t="shared" si="844"/>
        <v>0</v>
      </c>
      <c r="ES99" s="240">
        <f t="shared" si="844"/>
        <v>0.13207729229827475</v>
      </c>
      <c r="ET99" s="240">
        <f t="shared" si="844"/>
        <v>0.13837941609814725</v>
      </c>
      <c r="EU99" s="240">
        <f t="shared" si="844"/>
        <v>0.14722834378708255</v>
      </c>
      <c r="EV99" s="240">
        <f t="shared" si="844"/>
        <v>0.1558827588403274</v>
      </c>
      <c r="EW99" s="240">
        <f t="shared" si="844"/>
        <v>0.1498747024839315</v>
      </c>
      <c r="EX99" s="240">
        <f t="shared" si="844"/>
        <v>3.0766941393232734E-2</v>
      </c>
      <c r="EY99" s="240">
        <f t="shared" si="844"/>
        <v>2.9810465470432885E-2</v>
      </c>
      <c r="EZ99" s="240">
        <f t="shared" si="844"/>
        <v>3.5176172381850952E-2</v>
      </c>
      <c r="FA99" s="240">
        <f t="shared" si="844"/>
        <v>3.8188379284285513E-2</v>
      </c>
      <c r="FB99" s="240">
        <f t="shared" si="844"/>
        <v>3.8219036057186372E-2</v>
      </c>
      <c r="FC99" s="240">
        <f t="shared" si="844"/>
        <v>3.7418595102248133E-2</v>
      </c>
    </row>
    <row r="100" spans="2:166" ht="12.75" customHeight="1" x14ac:dyDescent="0.2">
      <c r="B100" t="s">
        <v>351</v>
      </c>
      <c r="C100" s="240">
        <f t="shared" ref="C100:AD100" si="845">+C69/C63</f>
        <v>0.23219597550306212</v>
      </c>
      <c r="D100" s="240">
        <f t="shared" si="845"/>
        <v>0.22586872586872586</v>
      </c>
      <c r="E100" s="240">
        <f t="shared" si="845"/>
        <v>0.20963122090941641</v>
      </c>
      <c r="F100" s="240">
        <f t="shared" si="845"/>
        <v>0.14866785079928951</v>
      </c>
      <c r="G100" s="240">
        <f t="shared" si="845"/>
        <v>0.24416392875670068</v>
      </c>
      <c r="H100" s="240">
        <f t="shared" si="845"/>
        <v>0.23067611966107557</v>
      </c>
      <c r="I100" s="240">
        <f t="shared" si="845"/>
        <v>0.22781271837875611</v>
      </c>
      <c r="J100" s="240">
        <f t="shared" si="845"/>
        <v>0.15627454059996859</v>
      </c>
      <c r="K100" s="240">
        <f t="shared" si="845"/>
        <v>0.25022597167821631</v>
      </c>
      <c r="L100" s="240">
        <f t="shared" si="845"/>
        <v>0.24000583600817041</v>
      </c>
      <c r="M100" s="240">
        <f t="shared" si="845"/>
        <v>0.22847829308045636</v>
      </c>
      <c r="N100" s="240">
        <f t="shared" si="845"/>
        <v>0.14875672531627163</v>
      </c>
      <c r="O100" s="240">
        <f t="shared" si="845"/>
        <v>0.25030741904631781</v>
      </c>
      <c r="P100" s="240">
        <f t="shared" si="845"/>
        <v>0.24507192328183272</v>
      </c>
      <c r="Q100" s="240">
        <f t="shared" si="845"/>
        <v>0.23014991671293725</v>
      </c>
      <c r="R100" s="240">
        <f t="shared" si="845"/>
        <v>0.16136747326955542</v>
      </c>
      <c r="S100" s="240">
        <f t="shared" si="845"/>
        <v>0.26825824669490439</v>
      </c>
      <c r="T100" s="240">
        <f t="shared" si="845"/>
        <v>0.26084871733397269</v>
      </c>
      <c r="U100" s="240">
        <f t="shared" si="845"/>
        <v>0.2500606943432872</v>
      </c>
      <c r="V100" s="240">
        <f t="shared" si="845"/>
        <v>0.18207782934666192</v>
      </c>
      <c r="W100" s="240">
        <f t="shared" si="845"/>
        <v>0.29875328834496168</v>
      </c>
      <c r="X100" s="240">
        <f t="shared" si="845"/>
        <v>0.28017193871927698</v>
      </c>
      <c r="Y100" s="240">
        <f t="shared" si="845"/>
        <v>0.27646216543672208</v>
      </c>
      <c r="Z100" s="240">
        <f t="shared" si="845"/>
        <v>0.21418696160799744</v>
      </c>
      <c r="AA100" s="240">
        <f t="shared" si="845"/>
        <v>0.29637548360822641</v>
      </c>
      <c r="AB100" s="240">
        <f t="shared" si="845"/>
        <v>0.27951993805652342</v>
      </c>
      <c r="AC100" s="240">
        <f t="shared" si="845"/>
        <v>0.27444040558637844</v>
      </c>
      <c r="AD100" s="240">
        <f t="shared" si="845"/>
        <v>0.20528580208973571</v>
      </c>
      <c r="AE100" s="288">
        <f t="shared" ref="AE100:BV100" si="846">AE69/AE63</f>
        <v>0.32393190921228304</v>
      </c>
      <c r="AF100" s="288">
        <f t="shared" si="846"/>
        <v>0.32265388496468211</v>
      </c>
      <c r="AG100" s="288">
        <f t="shared" si="846"/>
        <v>0.28685189993940968</v>
      </c>
      <c r="AH100" s="288">
        <f t="shared" si="846"/>
        <v>0.20890840652446674</v>
      </c>
      <c r="AI100" s="288">
        <f t="shared" si="846"/>
        <v>0.29808291770573564</v>
      </c>
      <c r="AJ100" s="288">
        <f t="shared" si="846"/>
        <v>0.27887478451653347</v>
      </c>
      <c r="AK100" s="288">
        <f t="shared" si="846"/>
        <v>0.26450040617384241</v>
      </c>
      <c r="AL100" s="288">
        <f t="shared" si="846"/>
        <v>0.18342585249801743</v>
      </c>
      <c r="AM100" s="288">
        <f t="shared" si="846"/>
        <v>0.28887007389162561</v>
      </c>
      <c r="AN100" s="288">
        <f t="shared" si="846"/>
        <v>0.2664820773778343</v>
      </c>
      <c r="AO100" s="288">
        <f t="shared" si="846"/>
        <v>0.27297358320162562</v>
      </c>
      <c r="AP100" s="288">
        <f t="shared" si="846"/>
        <v>0.21436924426253473</v>
      </c>
      <c r="AQ100" s="288">
        <f t="shared" si="846"/>
        <v>0.28156691191091671</v>
      </c>
      <c r="AR100" s="288">
        <f t="shared" si="846"/>
        <v>0.25683529256373</v>
      </c>
      <c r="AS100" s="288">
        <f t="shared" si="846"/>
        <v>0.26654228026920768</v>
      </c>
      <c r="AT100" s="288">
        <f t="shared" si="846"/>
        <v>0.19890956946794511</v>
      </c>
      <c r="AU100" s="288">
        <f t="shared" si="846"/>
        <v>0.29300975670001234</v>
      </c>
      <c r="AV100" s="288">
        <f t="shared" si="846"/>
        <v>0.2611550151975684</v>
      </c>
      <c r="AW100" s="288">
        <f t="shared" si="846"/>
        <v>0.25695622134288049</v>
      </c>
      <c r="AX100" s="288">
        <f t="shared" si="846"/>
        <v>0.2000395204847846</v>
      </c>
      <c r="AY100" s="288">
        <f t="shared" si="846"/>
        <v>0.30939704512178889</v>
      </c>
      <c r="AZ100" s="288">
        <f t="shared" si="846"/>
        <v>0.2857142857142857</v>
      </c>
      <c r="BA100" s="288">
        <f t="shared" si="846"/>
        <v>0.28267356276109012</v>
      </c>
      <c r="BB100" s="288">
        <f t="shared" si="846"/>
        <v>0.21207177814029363</v>
      </c>
      <c r="BC100" s="288">
        <f t="shared" si="846"/>
        <v>0.30497089117778775</v>
      </c>
      <c r="BD100" s="288">
        <f t="shared" si="846"/>
        <v>0.28299434661121581</v>
      </c>
      <c r="BE100" s="288">
        <f t="shared" si="846"/>
        <v>0.26845547990922441</v>
      </c>
      <c r="BF100" s="288">
        <f t="shared" si="846"/>
        <v>0.22002045512656609</v>
      </c>
      <c r="BG100" s="288">
        <f t="shared" si="846"/>
        <v>0.31792997760226333</v>
      </c>
      <c r="BH100" s="288">
        <f t="shared" si="846"/>
        <v>0.26077001867807437</v>
      </c>
      <c r="BI100" s="288">
        <f t="shared" si="846"/>
        <v>0.24492346141830679</v>
      </c>
      <c r="BJ100" s="288">
        <f t="shared" si="846"/>
        <v>0.31188565963551351</v>
      </c>
      <c r="BK100" s="288">
        <f t="shared" si="846"/>
        <v>0.28279323378152305</v>
      </c>
      <c r="BL100" s="288">
        <f t="shared" si="846"/>
        <v>0.28581739444243953</v>
      </c>
      <c r="BM100" s="288">
        <f t="shared" si="846"/>
        <v>0.25844918852888138</v>
      </c>
      <c r="BN100" s="288">
        <f t="shared" si="846"/>
        <v>0.21336630880782417</v>
      </c>
      <c r="BO100" s="288">
        <f t="shared" si="846"/>
        <v>0.28419193070435378</v>
      </c>
      <c r="BP100" s="288">
        <f t="shared" si="846"/>
        <v>0.30652986114983549</v>
      </c>
      <c r="BQ100" s="288">
        <f t="shared" si="846"/>
        <v>0.28000453540450138</v>
      </c>
      <c r="BR100" s="288">
        <f t="shared" si="846"/>
        <v>0.22589561541379871</v>
      </c>
      <c r="BS100" s="288">
        <f t="shared" si="846"/>
        <v>0.31560458861627971</v>
      </c>
      <c r="BT100" s="288">
        <f t="shared" si="846"/>
        <v>0.30623236727365993</v>
      </c>
      <c r="BU100" s="288">
        <f t="shared" si="846"/>
        <v>0.30199815887799858</v>
      </c>
      <c r="BV100" s="288">
        <f t="shared" si="846"/>
        <v>0.21606223293524707</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47">+CQ69/CQ63</f>
        <v>0.28250362493958436</v>
      </c>
      <c r="CR100" s="288">
        <f t="shared" si="847"/>
        <v>0.22134365797796923</v>
      </c>
      <c r="CS100" s="288">
        <f t="shared" si="847"/>
        <v>0.27696613224551753</v>
      </c>
      <c r="CT100" s="288">
        <f t="shared" si="847"/>
        <v>0.18566470902295781</v>
      </c>
      <c r="CU100" s="288">
        <f t="shared" si="847"/>
        <v>0.2978361184534743</v>
      </c>
      <c r="CV100" s="288">
        <f t="shared" si="847"/>
        <v>0.32699116931871508</v>
      </c>
      <c r="CW100" s="288">
        <f t="shared" si="847"/>
        <v>0.28553674737518747</v>
      </c>
      <c r="CX100" s="288">
        <f t="shared" si="847"/>
        <v>0.20295039794195674</v>
      </c>
      <c r="CY100" s="288">
        <f t="shared" si="847"/>
        <v>0.27741880632545485</v>
      </c>
      <c r="CZ100" s="288">
        <f t="shared" si="847"/>
        <v>0.32139748849931615</v>
      </c>
      <c r="DA100" s="288">
        <f t="shared" si="847"/>
        <v>0.52378168455338869</v>
      </c>
      <c r="DB100" s="288">
        <f t="shared" si="847"/>
        <v>0.30428409899912057</v>
      </c>
      <c r="DC100" s="288">
        <f t="shared" si="847"/>
        <v>0.27979324207906575</v>
      </c>
      <c r="DD100" s="288">
        <f t="shared" si="847"/>
        <v>0.26998126756166096</v>
      </c>
      <c r="DE100" s="288">
        <f t="shared" si="847"/>
        <v>0.27617218605086891</v>
      </c>
      <c r="DF100" s="288">
        <f t="shared" si="847"/>
        <v>0.26355393531501214</v>
      </c>
      <c r="DG100" s="288">
        <f t="shared" ref="DG100:DN100" si="848">+DG69/DG63</f>
        <v>0.33836872135441026</v>
      </c>
      <c r="DH100" s="288">
        <f t="shared" si="848"/>
        <v>0.28784572217521043</v>
      </c>
      <c r="DI100" s="288">
        <f t="shared" si="848"/>
        <v>0.75</v>
      </c>
      <c r="DJ100" s="288">
        <f t="shared" si="848"/>
        <v>0.75</v>
      </c>
      <c r="DK100" s="288">
        <f t="shared" si="848"/>
        <v>0.75</v>
      </c>
      <c r="DL100" s="288">
        <f t="shared" si="848"/>
        <v>0.74999999999999989</v>
      </c>
      <c r="DM100" s="288">
        <f t="shared" si="848"/>
        <v>0.75</v>
      </c>
      <c r="DN100" s="288">
        <f t="shared" si="848"/>
        <v>0.75</v>
      </c>
      <c r="DP100" s="240">
        <f t="shared" ref="DP100:FC100" si="849">+DP69/DP63</f>
        <v>0.17023675310033823</v>
      </c>
      <c r="DQ100" s="240">
        <f t="shared" si="849"/>
        <v>0.17735042735042736</v>
      </c>
      <c r="DR100" s="240">
        <f t="shared" si="849"/>
        <v>0.17385715433437776</v>
      </c>
      <c r="DS100" s="240">
        <f t="shared" si="849"/>
        <v>0.16556387697229696</v>
      </c>
      <c r="DT100" s="240">
        <f t="shared" si="849"/>
        <v>0.16933088131277407</v>
      </c>
      <c r="DU100" s="240">
        <f t="shared" si="849"/>
        <v>0.17840345748061523</v>
      </c>
      <c r="DV100" s="240">
        <f t="shared" si="849"/>
        <v>0.18633902982698228</v>
      </c>
      <c r="DW100" s="240">
        <f t="shared" si="849"/>
        <v>0.19902867715078632</v>
      </c>
      <c r="DX100" s="240">
        <f t="shared" si="849"/>
        <v>0.20425118211144991</v>
      </c>
      <c r="DY100" s="240">
        <f t="shared" si="849"/>
        <v>0.21325611869636893</v>
      </c>
      <c r="DZ100" s="240">
        <f t="shared" si="849"/>
        <v>0.2157183939427032</v>
      </c>
      <c r="EA100" s="240">
        <f t="shared" si="849"/>
        <v>0.22227941933491197</v>
      </c>
      <c r="EB100" s="240">
        <f t="shared" si="849"/>
        <v>0.23891043509877591</v>
      </c>
      <c r="EC100" s="240">
        <f t="shared" si="849"/>
        <v>0.2788233604880811</v>
      </c>
      <c r="ED100" s="240">
        <f t="shared" si="849"/>
        <v>0.26848324340145496</v>
      </c>
      <c r="EE100" s="240">
        <f t="shared" si="849"/>
        <v>0.28330943325643743</v>
      </c>
      <c r="EF100" s="240">
        <f t="shared" si="849"/>
        <v>0.24960604468867428</v>
      </c>
      <c r="EG100" s="240">
        <f t="shared" si="849"/>
        <v>0.26018303203060533</v>
      </c>
      <c r="EH100" s="240">
        <f t="shared" si="849"/>
        <v>0.24900564694328506</v>
      </c>
      <c r="EI100" s="240">
        <f t="shared" si="849"/>
        <v>0.25364330870472335</v>
      </c>
      <c r="EJ100" s="240">
        <f t="shared" si="849"/>
        <v>0.27103090618285214</v>
      </c>
      <c r="EK100" s="240">
        <f t="shared" si="849"/>
        <v>0.26678057114962167</v>
      </c>
      <c r="EL100" s="240">
        <f t="shared" si="849"/>
        <v>0.30004613255420576</v>
      </c>
      <c r="EM100" s="240">
        <f t="shared" si="849"/>
        <v>0.2591258653519713</v>
      </c>
      <c r="EN100" s="240">
        <f t="shared" si="849"/>
        <v>0.27109041956472962</v>
      </c>
      <c r="EO100" s="240">
        <f t="shared" si="849"/>
        <v>0.32013152609541112</v>
      </c>
      <c r="EP100" s="240">
        <f t="shared" si="849"/>
        <v>0.65056362637391885</v>
      </c>
      <c r="EQ100" s="240">
        <f t="shared" si="849"/>
        <v>0.6474195947041802</v>
      </c>
      <c r="ER100" s="240">
        <f t="shared" si="849"/>
        <v>0.68999999999999984</v>
      </c>
      <c r="ES100" s="240">
        <f t="shared" si="849"/>
        <v>0.28601038312854693</v>
      </c>
      <c r="ET100" s="240">
        <f t="shared" si="849"/>
        <v>0.28331527245126004</v>
      </c>
      <c r="EU100" s="240">
        <f t="shared" si="849"/>
        <v>0.24115467512653477</v>
      </c>
      <c r="EV100" s="240">
        <f t="shared" si="849"/>
        <v>0.27865476278941392</v>
      </c>
      <c r="EW100" s="240">
        <f t="shared" si="849"/>
        <v>0.35632726243276397</v>
      </c>
      <c r="EX100" s="240">
        <f t="shared" si="849"/>
        <v>0.39923305860676717</v>
      </c>
      <c r="EY100" s="240">
        <f t="shared" si="849"/>
        <v>0.40018953452956701</v>
      </c>
      <c r="EZ100" s="240">
        <f t="shared" si="849"/>
        <v>0.39482382761814899</v>
      </c>
      <c r="FA100" s="240">
        <f t="shared" si="849"/>
        <v>0.3918116207157144</v>
      </c>
      <c r="FB100" s="240">
        <f t="shared" si="849"/>
        <v>0.39178096394281359</v>
      </c>
      <c r="FC100" s="240">
        <f t="shared" si="849"/>
        <v>0.39258140489775173</v>
      </c>
    </row>
    <row r="101" spans="2:166" ht="12.75" customHeight="1" x14ac:dyDescent="0.2">
      <c r="B101" t="s">
        <v>352</v>
      </c>
      <c r="C101" s="240">
        <f t="shared" ref="C101:AD101" si="850">+(C72)/C$63</f>
        <v>0.22782152230971128</v>
      </c>
      <c r="D101" s="240">
        <f t="shared" si="850"/>
        <v>0.2270972270972271</v>
      </c>
      <c r="E101" s="240">
        <f t="shared" si="850"/>
        <v>0.21428571428571427</v>
      </c>
      <c r="F101" s="240">
        <f t="shared" si="850"/>
        <v>0.13907637655417407</v>
      </c>
      <c r="G101" s="240">
        <f t="shared" si="850"/>
        <v>0.24796818260418468</v>
      </c>
      <c r="H101" s="240">
        <f t="shared" si="850"/>
        <v>0.23707418295002594</v>
      </c>
      <c r="I101" s="240">
        <f t="shared" si="850"/>
        <v>0.23008385744234802</v>
      </c>
      <c r="J101" s="240">
        <f t="shared" si="850"/>
        <v>0.14512329197424217</v>
      </c>
      <c r="K101" s="240">
        <f t="shared" si="850"/>
        <v>0.24178969569147332</v>
      </c>
      <c r="L101" s="240">
        <f t="shared" si="850"/>
        <v>0.23548292967610154</v>
      </c>
      <c r="M101" s="240">
        <f t="shared" si="850"/>
        <v>0.2238850200029634</v>
      </c>
      <c r="N101" s="240">
        <f t="shared" si="850"/>
        <v>0.14119528864330377</v>
      </c>
      <c r="O101" s="240">
        <f t="shared" si="850"/>
        <v>0.2585052602814592</v>
      </c>
      <c r="P101" s="240">
        <f t="shared" si="850"/>
        <v>0.24853489611081514</v>
      </c>
      <c r="Q101" s="240">
        <f t="shared" si="850"/>
        <v>0.24236535258189895</v>
      </c>
      <c r="R101" s="240">
        <f t="shared" si="850"/>
        <v>0.16488463702870004</v>
      </c>
      <c r="S101" s="240">
        <f t="shared" si="850"/>
        <v>0.27467590809908871</v>
      </c>
      <c r="T101" s="240">
        <f t="shared" si="850"/>
        <v>0.2552145768400863</v>
      </c>
      <c r="U101" s="240">
        <f t="shared" si="850"/>
        <v>0.25588735129885892</v>
      </c>
      <c r="V101" s="240">
        <f t="shared" si="850"/>
        <v>0.18433892657384268</v>
      </c>
      <c r="W101" s="240">
        <f t="shared" si="850"/>
        <v>0.29978268328948876</v>
      </c>
      <c r="X101" s="240">
        <f t="shared" si="850"/>
        <v>0.30111319299019068</v>
      </c>
      <c r="Y101" s="240">
        <f t="shared" si="850"/>
        <v>0.2635752836215442</v>
      </c>
      <c r="Z101" s="240">
        <f t="shared" si="850"/>
        <v>0.19663937041369775</v>
      </c>
      <c r="AA101" s="240">
        <f t="shared" si="850"/>
        <v>0.30014253716147427</v>
      </c>
      <c r="AB101" s="240">
        <f t="shared" si="850"/>
        <v>0.28610143244289588</v>
      </c>
      <c r="AC101" s="240">
        <f t="shared" si="850"/>
        <v>0.28199732159938778</v>
      </c>
      <c r="AD101" s="240">
        <f t="shared" si="850"/>
        <v>0.22030028975327071</v>
      </c>
      <c r="AE101" s="288">
        <f t="shared" ref="AE101:BV101" si="851">AE72/AE63</f>
        <v>0.32785380507343126</v>
      </c>
      <c r="AF101" s="288">
        <f t="shared" si="851"/>
        <v>0.32315842583249244</v>
      </c>
      <c r="AG101" s="288">
        <f t="shared" si="851"/>
        <v>0.28494763264952827</v>
      </c>
      <c r="AH101" s="288">
        <f t="shared" si="851"/>
        <v>0.20585006273525722</v>
      </c>
      <c r="AI101" s="288">
        <f t="shared" si="851"/>
        <v>0.30603179551122195</v>
      </c>
      <c r="AJ101" s="288">
        <f t="shared" si="851"/>
        <v>0.2931358721203573</v>
      </c>
      <c r="AK101" s="288">
        <f t="shared" si="851"/>
        <v>0.27782290820471162</v>
      </c>
      <c r="AL101" s="288">
        <f t="shared" si="851"/>
        <v>0.19920697858842187</v>
      </c>
      <c r="AM101" s="288">
        <f t="shared" si="851"/>
        <v>0.35806650246305421</v>
      </c>
      <c r="AN101" s="288">
        <f t="shared" si="851"/>
        <v>0.28848312504677093</v>
      </c>
      <c r="AO101" s="288">
        <f t="shared" si="851"/>
        <v>0.28418755174230453</v>
      </c>
      <c r="AP101" s="288">
        <f t="shared" si="851"/>
        <v>0.22131267358573309</v>
      </c>
      <c r="AQ101" s="288">
        <f t="shared" si="851"/>
        <v>0.29886657387154503</v>
      </c>
      <c r="AR101" s="288">
        <f t="shared" si="851"/>
        <v>0.26693963809272225</v>
      </c>
      <c r="AS101" s="288">
        <f t="shared" si="851"/>
        <v>0.27014060105284199</v>
      </c>
      <c r="AT101" s="288">
        <f t="shared" si="851"/>
        <v>0.20110296421633139</v>
      </c>
      <c r="AU101" s="288">
        <f t="shared" si="851"/>
        <v>0.29313325923181427</v>
      </c>
      <c r="AV101" s="288">
        <f t="shared" si="851"/>
        <v>0.26838905775075989</v>
      </c>
      <c r="AW101" s="288">
        <f t="shared" si="851"/>
        <v>0.26945543621631807</v>
      </c>
      <c r="AX101" s="288">
        <f t="shared" si="851"/>
        <v>0.21597944934791199</v>
      </c>
      <c r="AY101" s="288">
        <f t="shared" si="851"/>
        <v>0.30899773725542395</v>
      </c>
      <c r="AZ101" s="288">
        <f t="shared" si="851"/>
        <v>0.27974276527331188</v>
      </c>
      <c r="BA101" s="288">
        <f t="shared" si="851"/>
        <v>0.28148000795703204</v>
      </c>
      <c r="BB101" s="288">
        <f t="shared" si="851"/>
        <v>0.22898918494350795</v>
      </c>
      <c r="BC101" s="288">
        <f t="shared" si="851"/>
        <v>0.30599449811272472</v>
      </c>
      <c r="BD101" s="288">
        <f t="shared" si="851"/>
        <v>0.2780557541100786</v>
      </c>
      <c r="BE101" s="288">
        <f t="shared" si="851"/>
        <v>0.2816045921772794</v>
      </c>
      <c r="BF101" s="288">
        <f t="shared" si="851"/>
        <v>0.22059575556123753</v>
      </c>
      <c r="BG101" s="288">
        <f t="shared" si="851"/>
        <v>0.31256630908876576</v>
      </c>
      <c r="BH101" s="288">
        <f t="shared" si="851"/>
        <v>0.24167018135807677</v>
      </c>
      <c r="BI101" s="288">
        <f t="shared" si="851"/>
        <v>0.25685723211496408</v>
      </c>
      <c r="BJ101" s="288">
        <f t="shared" si="851"/>
        <v>0.33064130492534932</v>
      </c>
      <c r="BK101" s="288">
        <f t="shared" si="851"/>
        <v>0.31259681516822602</v>
      </c>
      <c r="BL101" s="288">
        <f t="shared" si="851"/>
        <v>0.27805846264886325</v>
      </c>
      <c r="BM101" s="288">
        <f t="shared" si="851"/>
        <v>0.25670408934907801</v>
      </c>
      <c r="BN101" s="288">
        <f t="shared" si="851"/>
        <v>0.19043336518464393</v>
      </c>
      <c r="BO101" s="288">
        <f t="shared" si="851"/>
        <v>0.24891725552769547</v>
      </c>
      <c r="BP101" s="288">
        <f t="shared" si="851"/>
        <v>0.3026822059889589</v>
      </c>
      <c r="BQ101" s="288">
        <f t="shared" si="851"/>
        <v>0.27751006292873748</v>
      </c>
      <c r="BR101" s="288">
        <f t="shared" si="851"/>
        <v>0.21706140588585984</v>
      </c>
      <c r="BS101" s="288">
        <f t="shared" si="851"/>
        <v>0.31384818047093693</v>
      </c>
      <c r="BT101" s="288">
        <f t="shared" si="851"/>
        <v>0.3021287509617851</v>
      </c>
      <c r="BU101" s="288">
        <f t="shared" si="851"/>
        <v>0.2959332864027725</v>
      </c>
      <c r="BV101" s="288">
        <f t="shared" si="851"/>
        <v>0.20937876629779775</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c r="CR101" s="288"/>
      <c r="CS101" s="288"/>
      <c r="CT101" s="288"/>
      <c r="CU101" s="288"/>
      <c r="CV101" s="288"/>
      <c r="CW101" s="288"/>
      <c r="CX101" s="288"/>
      <c r="CY101" s="288"/>
      <c r="CZ101" s="288"/>
      <c r="DA101" s="288"/>
      <c r="DB101" s="288"/>
      <c r="DC101" s="288"/>
      <c r="DD101" s="288"/>
      <c r="DE101" s="288"/>
      <c r="DF101" s="288"/>
      <c r="DG101" s="288"/>
      <c r="DH101" s="288"/>
      <c r="DI101" s="288"/>
      <c r="DJ101" s="288"/>
      <c r="DK101" s="288"/>
      <c r="DL101" s="288"/>
      <c r="DM101" s="288"/>
      <c r="DN101" s="288"/>
      <c r="DP101" s="240">
        <f t="shared" ref="DP101:FC101" si="852">+(DP72)/DP$63</f>
        <v>0.15517064671517886</v>
      </c>
      <c r="DQ101" s="240">
        <f t="shared" si="852"/>
        <v>0.15375712250712251</v>
      </c>
      <c r="DR101" s="240">
        <f t="shared" si="852"/>
        <v>0.16373423314854985</v>
      </c>
      <c r="DS101" s="240">
        <f t="shared" si="852"/>
        <v>0.16047407838289829</v>
      </c>
      <c r="DT101" s="240">
        <f t="shared" si="852"/>
        <v>0.16494553685103974</v>
      </c>
      <c r="DU101" s="240">
        <f t="shared" si="852"/>
        <v>0.17039532223210882</v>
      </c>
      <c r="DV101" s="240">
        <f t="shared" si="852"/>
        <v>0.17604288292113363</v>
      </c>
      <c r="DW101" s="240">
        <f t="shared" si="852"/>
        <v>0.18654024051803886</v>
      </c>
      <c r="DX101" s="240">
        <f t="shared" si="852"/>
        <v>0.20221839232842811</v>
      </c>
      <c r="DY101" s="240">
        <f t="shared" si="852"/>
        <v>0.21329838948302829</v>
      </c>
      <c r="DZ101" s="240">
        <f t="shared" si="852"/>
        <v>0.20942084379891521</v>
      </c>
      <c r="EA101" s="240">
        <f t="shared" si="852"/>
        <v>0.22797625175881123</v>
      </c>
      <c r="EB101" s="240">
        <f t="shared" si="852"/>
        <v>0.2424857593019028</v>
      </c>
      <c r="EC101" s="240">
        <f t="shared" si="852"/>
        <v>0.27345923672311639</v>
      </c>
      <c r="ED101" s="240">
        <f t="shared" si="852"/>
        <v>0.27686272288235214</v>
      </c>
      <c r="EE101" s="240">
        <f t="shared" si="852"/>
        <v>0.28316395452750587</v>
      </c>
      <c r="EF101" s="240">
        <f t="shared" si="852"/>
        <v>0.26267727989009659</v>
      </c>
      <c r="EG101" s="240">
        <f t="shared" si="852"/>
        <v>0.28713149801215215</v>
      </c>
      <c r="EH101" s="240">
        <f t="shared" si="852"/>
        <v>0.25723872657336933</v>
      </c>
      <c r="EI101" s="240">
        <f t="shared" si="852"/>
        <v>0.26245940985458138</v>
      </c>
      <c r="EJ101" s="240">
        <f t="shared" si="852"/>
        <v>0.27107129586248124</v>
      </c>
      <c r="EK101" s="240">
        <f t="shared" si="852"/>
        <v>0.26915629322268325</v>
      </c>
      <c r="EL101" s="240">
        <f t="shared" si="852"/>
        <v>0.30213747501153315</v>
      </c>
      <c r="EM101" s="240">
        <f t="shared" si="852"/>
        <v>0.25310345845572496</v>
      </c>
      <c r="EN101" s="240">
        <f t="shared" si="852"/>
        <v>0.25853993717747364</v>
      </c>
      <c r="EO101" s="240">
        <f t="shared" si="852"/>
        <v>0.32013152609541112</v>
      </c>
      <c r="EP101" s="240">
        <f t="shared" si="852"/>
        <v>0.65056362637391885</v>
      </c>
      <c r="EQ101" s="240">
        <f t="shared" si="852"/>
        <v>0.6474195947041802</v>
      </c>
      <c r="ER101" s="240">
        <f t="shared" si="852"/>
        <v>0.68999999999999984</v>
      </c>
      <c r="ES101" s="240">
        <f t="shared" si="852"/>
        <v>0.28195306677117066</v>
      </c>
      <c r="ET101" s="240">
        <f t="shared" si="852"/>
        <v>0.28125572852166192</v>
      </c>
      <c r="EU101" s="240">
        <f t="shared" si="852"/>
        <v>0.23875717433947644</v>
      </c>
      <c r="EV101" s="240">
        <f t="shared" si="852"/>
        <v>0.28938736080000849</v>
      </c>
      <c r="EW101" s="240">
        <f t="shared" si="852"/>
        <v>0.3664349449005484</v>
      </c>
      <c r="EX101" s="240">
        <f t="shared" si="852"/>
        <v>0.39923305860676717</v>
      </c>
      <c r="EY101" s="240">
        <f t="shared" si="852"/>
        <v>0.40018953452956701</v>
      </c>
      <c r="EZ101" s="240">
        <f t="shared" si="852"/>
        <v>0.39482382761814899</v>
      </c>
      <c r="FA101" s="240">
        <f t="shared" si="852"/>
        <v>0.3918116207157144</v>
      </c>
      <c r="FB101" s="240">
        <f t="shared" si="852"/>
        <v>0.39178096394281359</v>
      </c>
      <c r="FC101" s="240">
        <f t="shared" si="852"/>
        <v>0.39258140489775173</v>
      </c>
    </row>
    <row r="102" spans="2:166" ht="12.75" customHeight="1" x14ac:dyDescent="0.2">
      <c r="B102" t="s">
        <v>353</v>
      </c>
      <c r="C102" s="240">
        <f t="shared" ref="C102:AD102" si="853">+C73/C72</f>
        <v>0.30184331797235026</v>
      </c>
      <c r="D102" s="240">
        <f t="shared" si="853"/>
        <v>0.2975270479134467</v>
      </c>
      <c r="E102" s="240">
        <f t="shared" si="853"/>
        <v>0.2857142857142857</v>
      </c>
      <c r="F102" s="240">
        <f t="shared" si="853"/>
        <v>0.19540229885057472</v>
      </c>
      <c r="G102" s="240">
        <f t="shared" si="853"/>
        <v>0.29567642956764295</v>
      </c>
      <c r="H102" s="240">
        <f t="shared" si="853"/>
        <v>0.26695842450765866</v>
      </c>
      <c r="I102" s="240">
        <f t="shared" si="853"/>
        <v>0.27031131359149585</v>
      </c>
      <c r="J102" s="240">
        <f t="shared" si="853"/>
        <v>0.25</v>
      </c>
      <c r="K102" s="240">
        <f t="shared" si="853"/>
        <v>0.297196261682243</v>
      </c>
      <c r="L102" s="240">
        <f t="shared" si="853"/>
        <v>0.28438661710037177</v>
      </c>
      <c r="M102" s="240">
        <f t="shared" si="853"/>
        <v>0.27266710787557907</v>
      </c>
      <c r="N102" s="240">
        <f t="shared" si="853"/>
        <v>0.22348094747682801</v>
      </c>
      <c r="O102" s="240">
        <f t="shared" si="853"/>
        <v>0.30549682875264272</v>
      </c>
      <c r="P102" s="240">
        <f t="shared" si="853"/>
        <v>0.28670953912111469</v>
      </c>
      <c r="Q102" s="240">
        <f t="shared" si="853"/>
        <v>0.27605956471935855</v>
      </c>
      <c r="R102" s="240">
        <f t="shared" si="853"/>
        <v>0.19368600682593856</v>
      </c>
      <c r="S102" s="240">
        <f t="shared" si="853"/>
        <v>0.29906542056074764</v>
      </c>
      <c r="T102" s="240">
        <f t="shared" si="853"/>
        <v>0.30389854391733206</v>
      </c>
      <c r="U102" s="240">
        <f t="shared" si="853"/>
        <v>0.27466793168880455</v>
      </c>
      <c r="V102" s="240">
        <f t="shared" si="853"/>
        <v>0.21885087153001936</v>
      </c>
      <c r="W102" s="240">
        <f t="shared" si="853"/>
        <v>0.30026707363601679</v>
      </c>
      <c r="X102" s="240">
        <f t="shared" si="853"/>
        <v>0.28330893118594436</v>
      </c>
      <c r="Y102" s="240">
        <f t="shared" si="853"/>
        <v>0.27914751358127871</v>
      </c>
      <c r="Z102" s="240">
        <f t="shared" si="853"/>
        <v>0.25148729042725798</v>
      </c>
      <c r="AA102" s="240">
        <f t="shared" si="853"/>
        <v>0.29138398914518315</v>
      </c>
      <c r="AB102" s="240">
        <f t="shared" si="853"/>
        <v>0.2861975642760487</v>
      </c>
      <c r="AC102" s="240">
        <f t="shared" si="853"/>
        <v>0.2974898236092266</v>
      </c>
      <c r="AD102" s="240">
        <f t="shared" si="853"/>
        <v>0.21084097249900358</v>
      </c>
      <c r="AE102" s="288">
        <f t="shared" ref="AE102:BV102" si="854">AE73/AE72</f>
        <v>0.25731738355815731</v>
      </c>
      <c r="AF102" s="288">
        <f t="shared" si="854"/>
        <v>0.25422846734322146</v>
      </c>
      <c r="AG102" s="288">
        <f t="shared" si="854"/>
        <v>0.28341433778857839</v>
      </c>
      <c r="AH102" s="288">
        <f t="shared" si="854"/>
        <v>0.2358095238095238</v>
      </c>
      <c r="AI102" s="288">
        <f t="shared" si="854"/>
        <v>0.27705627705627706</v>
      </c>
      <c r="AJ102" s="288">
        <f t="shared" si="854"/>
        <v>0.19406575781876503</v>
      </c>
      <c r="AK102" s="288">
        <f t="shared" si="854"/>
        <v>0.25789473684210529</v>
      </c>
      <c r="AL102" s="288">
        <f t="shared" si="854"/>
        <v>0.16361464968152867</v>
      </c>
      <c r="AM102" s="288">
        <f t="shared" si="854"/>
        <v>0.28159931212381772</v>
      </c>
      <c r="AN102" s="288">
        <f t="shared" si="854"/>
        <v>0.20311284046692607</v>
      </c>
      <c r="AO102" s="288">
        <f t="shared" si="854"/>
        <v>0.23861228813559321</v>
      </c>
      <c r="AP102" s="288">
        <f t="shared" si="854"/>
        <v>0.21235138705416115</v>
      </c>
      <c r="AQ102" s="288">
        <f t="shared" si="854"/>
        <v>0.23929917941893991</v>
      </c>
      <c r="AR102" s="288">
        <f t="shared" si="854"/>
        <v>0.23503216229589313</v>
      </c>
      <c r="AS102" s="288">
        <f t="shared" si="854"/>
        <v>0.23300000000000001</v>
      </c>
      <c r="AT102" s="288">
        <f t="shared" si="854"/>
        <v>0.153</v>
      </c>
      <c r="AU102" s="288">
        <f t="shared" si="854"/>
        <v>0.24204760901622077</v>
      </c>
      <c r="AV102" s="288">
        <f t="shared" si="854"/>
        <v>0.23737259343148359</v>
      </c>
      <c r="AW102" s="288">
        <f t="shared" si="854"/>
        <v>0.22843822843822845</v>
      </c>
      <c r="AX102" s="288">
        <f t="shared" si="854"/>
        <v>0.19914608112229337</v>
      </c>
      <c r="AY102" s="288">
        <f t="shared" si="854"/>
        <v>0.24466939478785268</v>
      </c>
      <c r="AZ102" s="288">
        <f t="shared" si="854"/>
        <v>0.24747830166549378</v>
      </c>
      <c r="BA102" s="288">
        <f t="shared" si="854"/>
        <v>0.21201413427561838</v>
      </c>
      <c r="BB102" s="288">
        <f t="shared" si="854"/>
        <v>0.23905013192612137</v>
      </c>
      <c r="BC102" s="288">
        <f t="shared" si="854"/>
        <v>0.24398912816224128</v>
      </c>
      <c r="BD102" s="288">
        <f t="shared" si="854"/>
        <v>0.195840149567656</v>
      </c>
      <c r="BE102" s="288">
        <f t="shared" si="854"/>
        <v>0.19009243896657976</v>
      </c>
      <c r="BF102" s="288">
        <f t="shared" si="854"/>
        <v>0.17009562445667922</v>
      </c>
      <c r="BG102" s="288">
        <f t="shared" si="854"/>
        <v>0.19498397133697906</v>
      </c>
      <c r="BH102" s="288">
        <f t="shared" si="854"/>
        <v>0.16105709299426577</v>
      </c>
      <c r="BI102" s="288">
        <f t="shared" si="854"/>
        <v>0.22111408416443687</v>
      </c>
      <c r="BJ102" s="288">
        <f t="shared" si="854"/>
        <v>8.4846537040012854E-2</v>
      </c>
      <c r="BK102" s="288">
        <f t="shared" si="854"/>
        <v>0.22497522299306244</v>
      </c>
      <c r="BL102" s="288">
        <f t="shared" si="854"/>
        <v>0.21674237508111616</v>
      </c>
      <c r="BM102" s="288">
        <f t="shared" si="854"/>
        <v>0.21889870836165873</v>
      </c>
      <c r="BN102" s="288">
        <f t="shared" si="854"/>
        <v>0.15731995277449823</v>
      </c>
      <c r="BO102" s="288">
        <f t="shared" si="854"/>
        <v>0.1749084249084249</v>
      </c>
      <c r="BP102" s="288">
        <f t="shared" si="854"/>
        <v>0.19952100221075902</v>
      </c>
      <c r="BQ102" s="288">
        <f t="shared" si="854"/>
        <v>0.18631256384065373</v>
      </c>
      <c r="BR102" s="288">
        <f t="shared" si="854"/>
        <v>8.8999999999999996E-2</v>
      </c>
      <c r="BS102" s="288">
        <f t="shared" si="854"/>
        <v>0.12189576775096188</v>
      </c>
      <c r="BT102" s="288">
        <f t="shared" si="854"/>
        <v>0.22071307300509338</v>
      </c>
      <c r="BU102" s="288">
        <f t="shared" si="854"/>
        <v>0.37712717291857273</v>
      </c>
      <c r="BV102" s="288">
        <f t="shared" si="854"/>
        <v>4.7619047619047616E-2</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EF102" si="855">+DP73/DP72</f>
        <v>0.28533685601056802</v>
      </c>
      <c r="DQ102" s="240">
        <f t="shared" si="855"/>
        <v>0.27793862188766649</v>
      </c>
      <c r="DR102" s="240">
        <f t="shared" si="855"/>
        <v>0.2831207065750736</v>
      </c>
      <c r="DS102" s="240">
        <f t="shared" si="855"/>
        <v>0.26370638876302671</v>
      </c>
      <c r="DT102" s="240">
        <f t="shared" si="855"/>
        <v>0.233704974271012</v>
      </c>
      <c r="DU102" s="240">
        <f t="shared" si="855"/>
        <v>0.2517717269675494</v>
      </c>
      <c r="DV102" s="240">
        <f t="shared" si="855"/>
        <v>0.27555019596020502</v>
      </c>
      <c r="DW102" s="240">
        <f t="shared" si="855"/>
        <v>0.28415571534837591</v>
      </c>
      <c r="DX102" s="240">
        <f t="shared" si="855"/>
        <v>0.27819055944055943</v>
      </c>
      <c r="DY102" s="240">
        <f t="shared" si="855"/>
        <v>0.23979389615537058</v>
      </c>
      <c r="DZ102" s="240">
        <f t="shared" si="855"/>
        <v>0.27568225273770208</v>
      </c>
      <c r="EA102" s="240">
        <f t="shared" si="855"/>
        <v>0.2742736715339455</v>
      </c>
      <c r="EB102" s="240">
        <f t="shared" si="855"/>
        <v>0.27864550793452453</v>
      </c>
      <c r="EC102" s="240">
        <f t="shared" si="855"/>
        <v>0.25</v>
      </c>
      <c r="ED102" s="240">
        <f t="shared" si="855"/>
        <v>0.26523095810527392</v>
      </c>
      <c r="EE102" s="240">
        <f t="shared" si="855"/>
        <v>0.31772477064220184</v>
      </c>
      <c r="EF102" s="240">
        <f t="shared" si="855"/>
        <v>0.24957698815566837</v>
      </c>
      <c r="EG102" s="240">
        <f t="shared" ref="EG102:EL102" si="856">EG73/EG72</f>
        <v>0.27287571027365948</v>
      </c>
      <c r="EH102" s="240">
        <f t="shared" si="856"/>
        <v>0.22044788750318148</v>
      </c>
      <c r="EI102" s="240">
        <f t="shared" si="856"/>
        <v>0.22891638276253662</v>
      </c>
      <c r="EJ102" s="240">
        <f t="shared" si="856"/>
        <v>0</v>
      </c>
      <c r="EK102" s="240">
        <f t="shared" si="856"/>
        <v>0.20518711081554925</v>
      </c>
      <c r="EL102" s="240">
        <f t="shared" si="856"/>
        <v>0.15864210097719869</v>
      </c>
      <c r="EM102" s="240">
        <f t="shared" ref="EM102:EO102" si="857">EL102+1%</f>
        <v>0.1686421009771987</v>
      </c>
      <c r="EN102" s="240">
        <f t="shared" si="857"/>
        <v>0.17864210097719871</v>
      </c>
      <c r="EO102" s="240">
        <f t="shared" si="857"/>
        <v>0.18864210097719872</v>
      </c>
      <c r="EP102" s="240">
        <f t="shared" ref="EP102:FC102" si="858">+EP73/EP72</f>
        <v>0</v>
      </c>
      <c r="EQ102" s="240">
        <f t="shared" si="858"/>
        <v>0</v>
      </c>
      <c r="ER102" s="240">
        <f t="shared" si="858"/>
        <v>0</v>
      </c>
      <c r="ES102" s="240">
        <f t="shared" si="858"/>
        <v>0.13420561446992677</v>
      </c>
      <c r="ET102" s="240">
        <f t="shared" si="858"/>
        <v>0.1608388450827555</v>
      </c>
      <c r="EU102" s="240">
        <f t="shared" si="858"/>
        <v>9.5040064915305811E-2</v>
      </c>
      <c r="EV102" s="240">
        <f t="shared" si="858"/>
        <v>9.7762289068231839E-2</v>
      </c>
      <c r="EW102" s="240">
        <f t="shared" si="858"/>
        <v>0.12979283506924574</v>
      </c>
      <c r="EX102" s="240">
        <f t="shared" si="858"/>
        <v>0.25</v>
      </c>
      <c r="EY102" s="240">
        <f t="shared" si="858"/>
        <v>0.25</v>
      </c>
      <c r="EZ102" s="240">
        <f t="shared" si="858"/>
        <v>0.25</v>
      </c>
      <c r="FA102" s="240">
        <f t="shared" si="858"/>
        <v>0.25</v>
      </c>
      <c r="FB102" s="240">
        <f t="shared" si="858"/>
        <v>0.25</v>
      </c>
      <c r="FC102" s="240">
        <f t="shared" si="858"/>
        <v>0.25</v>
      </c>
    </row>
    <row r="103" spans="2:166" ht="12.75" customHeight="1" x14ac:dyDescent="0.2">
      <c r="B103" s="299" t="s">
        <v>354</v>
      </c>
      <c r="C103" s="242">
        <f t="shared" ref="C103:AH103" si="859">C74/C63</f>
        <v>0.15905511811023623</v>
      </c>
      <c r="D103" s="242">
        <f t="shared" si="859"/>
        <v>0.15952965952965953</v>
      </c>
      <c r="E103" s="242">
        <f t="shared" si="859"/>
        <v>0.15306122448979592</v>
      </c>
      <c r="F103" s="242">
        <f t="shared" si="859"/>
        <v>0.11190053285968028</v>
      </c>
      <c r="G103" s="242">
        <f t="shared" si="859"/>
        <v>0.17464983572540205</v>
      </c>
      <c r="H103" s="242">
        <f t="shared" si="859"/>
        <v>0.17378523257824657</v>
      </c>
      <c r="I103" s="242">
        <f t="shared" si="859"/>
        <v>0.16788958770090845</v>
      </c>
      <c r="J103" s="242">
        <f t="shared" si="859"/>
        <v>0.10884246898068164</v>
      </c>
      <c r="K103" s="242">
        <f t="shared" si="859"/>
        <v>0.16993070201868032</v>
      </c>
      <c r="L103" s="242">
        <f t="shared" si="859"/>
        <v>0.16851473592063029</v>
      </c>
      <c r="M103" s="242">
        <f t="shared" si="859"/>
        <v>0.16283893910208919</v>
      </c>
      <c r="N103" s="242">
        <f t="shared" si="859"/>
        <v>0.10964083175803403</v>
      </c>
      <c r="O103" s="242">
        <f t="shared" si="859"/>
        <v>0.17953272304959694</v>
      </c>
      <c r="P103" s="242">
        <f t="shared" si="859"/>
        <v>0.1772775705913692</v>
      </c>
      <c r="Q103" s="242">
        <f t="shared" si="859"/>
        <v>0.17545807884508607</v>
      </c>
      <c r="R103" s="242">
        <f t="shared" si="859"/>
        <v>0.13294879009566685</v>
      </c>
      <c r="S103" s="242">
        <f t="shared" si="859"/>
        <v>0.19252984212552945</v>
      </c>
      <c r="T103" s="242">
        <f t="shared" si="859"/>
        <v>0.17765523855190601</v>
      </c>
      <c r="U103" s="242">
        <f t="shared" si="859"/>
        <v>0.18560330177227483</v>
      </c>
      <c r="V103" s="242">
        <f t="shared" si="859"/>
        <v>0.14399619183624895</v>
      </c>
      <c r="W103" s="242">
        <f t="shared" si="859"/>
        <v>0.20976781425140112</v>
      </c>
      <c r="X103" s="242">
        <f t="shared" si="859"/>
        <v>0.21580513611815277</v>
      </c>
      <c r="Y103" s="242">
        <f t="shared" si="859"/>
        <v>0.1899988985571098</v>
      </c>
      <c r="Z103" s="242">
        <f t="shared" si="859"/>
        <v>0.14718706795703498</v>
      </c>
      <c r="AA103" s="242">
        <f t="shared" si="859"/>
        <v>0.21268580737120749</v>
      </c>
      <c r="AB103" s="242">
        <f t="shared" si="859"/>
        <v>0.20421989934185056</v>
      </c>
      <c r="AC103" s="242">
        <f t="shared" si="859"/>
        <v>0.19810598813851157</v>
      </c>
      <c r="AD103" s="242">
        <f t="shared" si="859"/>
        <v>0.17385196241987882</v>
      </c>
      <c r="AE103" s="242">
        <f t="shared" si="859"/>
        <v>0.2434913217623498</v>
      </c>
      <c r="AF103" s="242">
        <f t="shared" si="859"/>
        <v>0.24100235452404978</v>
      </c>
      <c r="AG103" s="242">
        <f t="shared" si="859"/>
        <v>0.20418938803773912</v>
      </c>
      <c r="AH103" s="242">
        <f t="shared" si="859"/>
        <v>0.1573086574654956</v>
      </c>
      <c r="AI103" s="242">
        <f t="shared" ref="AI103:BN103" si="860">AI74/AI63</f>
        <v>0.22124376558603492</v>
      </c>
      <c r="AJ103" s="242">
        <f t="shared" si="860"/>
        <v>0.23624823695345556</v>
      </c>
      <c r="AK103" s="242">
        <f t="shared" si="860"/>
        <v>0.20617384240454914</v>
      </c>
      <c r="AL103" s="242">
        <f t="shared" si="860"/>
        <v>0.16661379857256145</v>
      </c>
      <c r="AM103" s="242">
        <f t="shared" si="860"/>
        <v>0.25723522167487683</v>
      </c>
      <c r="AN103" s="242">
        <f t="shared" si="860"/>
        <v>0.22988849809174586</v>
      </c>
      <c r="AO103" s="242">
        <f t="shared" si="860"/>
        <v>0.21637690976142093</v>
      </c>
      <c r="AP103" s="242">
        <f t="shared" si="860"/>
        <v>0.17431662037713785</v>
      </c>
      <c r="AQ103" s="242">
        <f t="shared" si="860"/>
        <v>0.22734804798833433</v>
      </c>
      <c r="AR103" s="242">
        <f t="shared" si="860"/>
        <v>0.20420023774930657</v>
      </c>
      <c r="AS103" s="242">
        <f t="shared" si="860"/>
        <v>0.2071978410075298</v>
      </c>
      <c r="AT103" s="242">
        <f t="shared" si="860"/>
        <v>0.18123851601178168</v>
      </c>
      <c r="AU103" s="242">
        <f t="shared" si="860"/>
        <v>0.22218105471162158</v>
      </c>
      <c r="AV103" s="242">
        <f t="shared" si="860"/>
        <v>0.2046808510638298</v>
      </c>
      <c r="AW103" s="242">
        <f t="shared" si="860"/>
        <v>0.2079015137240123</v>
      </c>
      <c r="AX103" s="242">
        <f t="shared" si="860"/>
        <v>0.17296798840732447</v>
      </c>
      <c r="AY103" s="242">
        <f t="shared" si="860"/>
        <v>0.23339544789032343</v>
      </c>
      <c r="AZ103" s="242">
        <f t="shared" si="860"/>
        <v>0.21051250082026379</v>
      </c>
      <c r="BA103" s="242">
        <f t="shared" si="860"/>
        <v>0.2218022677541277</v>
      </c>
      <c r="BB103" s="242">
        <f t="shared" si="860"/>
        <v>0.17424929007310735</v>
      </c>
      <c r="BC103" s="242">
        <f t="shared" si="860"/>
        <v>0.23133516729575843</v>
      </c>
      <c r="BD103" s="242">
        <f t="shared" si="860"/>
        <v>0.22360127363701346</v>
      </c>
      <c r="BE103" s="242">
        <f t="shared" si="860"/>
        <v>0.22807368842611134</v>
      </c>
      <c r="BF103" s="242">
        <f t="shared" si="860"/>
        <v>0.18307338276655588</v>
      </c>
      <c r="BG103" s="242">
        <f t="shared" si="860"/>
        <v>0.25162088883649653</v>
      </c>
      <c r="BH103" s="242">
        <f t="shared" si="860"/>
        <v>0.20274748448514793</v>
      </c>
      <c r="BI103" s="242">
        <f t="shared" si="860"/>
        <v>0.20006248047485162</v>
      </c>
      <c r="BJ103" s="242">
        <f t="shared" si="860"/>
        <v>0.3025875352000425</v>
      </c>
      <c r="BK103" s="242">
        <f t="shared" si="860"/>
        <v>0.24227027696883327</v>
      </c>
      <c r="BL103" s="242">
        <f t="shared" si="860"/>
        <v>0.21779141104294478</v>
      </c>
      <c r="BM103" s="242">
        <f t="shared" si="860"/>
        <v>0.200511895759409</v>
      </c>
      <c r="BN103" s="242">
        <f t="shared" si="860"/>
        <v>0.16047439716710696</v>
      </c>
      <c r="BO103" s="242">
        <f t="shared" ref="BO103:BV103" si="861">BO74/BO63</f>
        <v>0.20537953043081833</v>
      </c>
      <c r="BP103" s="242">
        <f t="shared" si="861"/>
        <v>0.24229074889867841</v>
      </c>
      <c r="BQ103" s="242">
        <f t="shared" si="861"/>
        <v>0.22580645161290322</v>
      </c>
      <c r="BR103" s="242">
        <f t="shared" si="861"/>
        <v>0.19774294076201832</v>
      </c>
      <c r="BS103" s="242">
        <f t="shared" si="861"/>
        <v>0.27559141555518962</v>
      </c>
      <c r="BT103" s="242">
        <f t="shared" si="861"/>
        <v>0.23544498589381893</v>
      </c>
      <c r="BU103" s="242">
        <f t="shared" si="861"/>
        <v>0.18432880272919261</v>
      </c>
      <c r="BV103" s="242">
        <f t="shared" si="861"/>
        <v>0.19940834885504546</v>
      </c>
      <c r="BW103" s="240"/>
      <c r="BX103" s="240"/>
      <c r="BY103" s="240"/>
      <c r="BZ103" s="240"/>
      <c r="CA103" s="240"/>
      <c r="CB103" s="240"/>
      <c r="CC103" s="240"/>
      <c r="CD103" s="240"/>
      <c r="CE103" s="240"/>
      <c r="CF103" s="240"/>
      <c r="CG103" s="240"/>
      <c r="CH103" s="240"/>
      <c r="CI103" s="240"/>
      <c r="CJ103" s="240"/>
      <c r="CK103" s="240"/>
      <c r="CL103" s="240"/>
      <c r="CM103" s="240"/>
      <c r="CN103" s="240"/>
      <c r="CO103" s="240"/>
      <c r="CP103" s="240"/>
      <c r="CQ103" s="240"/>
      <c r="CR103" s="240"/>
      <c r="CS103" s="240"/>
      <c r="CT103" s="240"/>
      <c r="CU103" s="240"/>
      <c r="CV103" s="240"/>
      <c r="CW103" s="240"/>
      <c r="CX103" s="240"/>
      <c r="CY103" s="240"/>
      <c r="CZ103" s="240"/>
      <c r="DA103" s="240"/>
      <c r="DB103" s="240"/>
      <c r="DC103" s="240"/>
      <c r="DD103" s="240"/>
      <c r="DE103" s="240"/>
      <c r="DF103" s="240"/>
      <c r="DG103" s="240"/>
      <c r="DH103" s="240"/>
      <c r="DI103" s="240"/>
      <c r="DJ103" s="240"/>
      <c r="DK103" s="240"/>
      <c r="DL103" s="240"/>
      <c r="DM103" s="240"/>
      <c r="DN103" s="240"/>
      <c r="DP103" s="242">
        <f t="shared" ref="DP103:FC103" si="862">DP74/DP63</f>
        <v>0.11089474223634314</v>
      </c>
      <c r="DQ103" s="242">
        <f t="shared" si="862"/>
        <v>0.11102207977207977</v>
      </c>
      <c r="DR103" s="242">
        <f t="shared" si="862"/>
        <v>0.11737768136900457</v>
      </c>
      <c r="DS103" s="242">
        <f t="shared" si="862"/>
        <v>0.11815603868246928</v>
      </c>
      <c r="DT103" s="242">
        <f t="shared" si="862"/>
        <v>0.12639694440514923</v>
      </c>
      <c r="DU103" s="242">
        <f t="shared" si="862"/>
        <v>0.1274945976865387</v>
      </c>
      <c r="DV103" s="242">
        <f t="shared" si="862"/>
        <v>0.12753423203481584</v>
      </c>
      <c r="DW103" s="242">
        <f t="shared" si="862"/>
        <v>0.13353376503237743</v>
      </c>
      <c r="DX103" s="242">
        <f t="shared" si="862"/>
        <v>0.14596314463741217</v>
      </c>
      <c r="DY103" s="242">
        <f t="shared" si="862"/>
        <v>0.16215073762522719</v>
      </c>
      <c r="DZ103" s="242">
        <f t="shared" si="862"/>
        <v>0.15168723381019986</v>
      </c>
      <c r="EA103" s="242">
        <f t="shared" si="862"/>
        <v>0.16544836816637495</v>
      </c>
      <c r="EB103" s="242">
        <f t="shared" si="862"/>
        <v>0.17491819173433523</v>
      </c>
      <c r="EC103" s="242">
        <f t="shared" si="862"/>
        <v>0.20509442754233731</v>
      </c>
      <c r="ED103" s="242">
        <f t="shared" si="862"/>
        <v>0.20343015762863093</v>
      </c>
      <c r="EE103" s="242">
        <f t="shared" si="862"/>
        <v>0.19319575202111519</v>
      </c>
      <c r="EF103" s="242">
        <f t="shared" si="862"/>
        <v>0.19711907551820276</v>
      </c>
      <c r="EG103" s="242">
        <f t="shared" si="862"/>
        <v>0.20878028655014627</v>
      </c>
      <c r="EH103" s="242">
        <f t="shared" si="862"/>
        <v>0.20053099271626154</v>
      </c>
      <c r="EI103" s="242">
        <f t="shared" si="862"/>
        <v>0.20237815112868057</v>
      </c>
      <c r="EJ103" s="242">
        <f t="shared" si="862"/>
        <v>0.27107129586248124</v>
      </c>
      <c r="EK103" s="242">
        <f t="shared" si="862"/>
        <v>0.21392889105849808</v>
      </c>
      <c r="EL103" s="242">
        <f t="shared" si="862"/>
        <v>0.25420575119175765</v>
      </c>
      <c r="EM103" s="242">
        <f t="shared" si="862"/>
        <v>0.19943318523329445</v>
      </c>
      <c r="EN103" s="242">
        <f t="shared" si="862"/>
        <v>0.21485240913170295</v>
      </c>
      <c r="EO103" s="242">
        <f t="shared" si="862"/>
        <v>0.25974124242373586</v>
      </c>
      <c r="EP103" s="242">
        <f t="shared" si="862"/>
        <v>0.65056362637391885</v>
      </c>
      <c r="EQ103" s="242">
        <f t="shared" si="862"/>
        <v>0.6474195947041802</v>
      </c>
      <c r="ER103" s="242">
        <f t="shared" si="862"/>
        <v>0.68999999999999984</v>
      </c>
      <c r="ES103" s="242">
        <f t="shared" si="862"/>
        <v>0.24411338219346543</v>
      </c>
      <c r="ET103" s="242">
        <f t="shared" si="862"/>
        <v>0.23601888197332879</v>
      </c>
      <c r="EU103" s="242">
        <f t="shared" si="862"/>
        <v>0.21606567699125759</v>
      </c>
      <c r="EV103" s="242">
        <f t="shared" si="862"/>
        <v>0.26109618998078538</v>
      </c>
      <c r="EW103" s="242">
        <f t="shared" si="862"/>
        <v>0.31887431453346338</v>
      </c>
      <c r="EX103" s="242">
        <f t="shared" si="862"/>
        <v>0.29942479395507537</v>
      </c>
      <c r="EY103" s="242">
        <f t="shared" si="862"/>
        <v>0.30014215089717527</v>
      </c>
      <c r="EZ103" s="242">
        <f t="shared" si="862"/>
        <v>0.29611787071361173</v>
      </c>
      <c r="FA103" s="242">
        <f t="shared" si="862"/>
        <v>0.29385871553678583</v>
      </c>
      <c r="FB103" s="242">
        <f t="shared" si="862"/>
        <v>0.29383572295711019</v>
      </c>
      <c r="FC103" s="242">
        <f t="shared" si="862"/>
        <v>0.29443605367331377</v>
      </c>
    </row>
    <row r="105" spans="2:166" ht="12.75" customHeight="1" x14ac:dyDescent="0.2">
      <c r="B105" t="s">
        <v>355</v>
      </c>
      <c r="K105" s="247">
        <v>2697</v>
      </c>
      <c r="L105" s="247">
        <v>2957</v>
      </c>
      <c r="M105" s="247">
        <v>2936.4</v>
      </c>
      <c r="N105" s="247">
        <v>2639.4</v>
      </c>
      <c r="O105" s="247">
        <v>3163</v>
      </c>
      <c r="P105" s="247">
        <v>3383</v>
      </c>
      <c r="Q105" s="247">
        <v>3168</v>
      </c>
      <c r="R105" s="247">
        <v>2947</v>
      </c>
      <c r="S105" s="247">
        <v>3489</v>
      </c>
      <c r="T105" s="247">
        <v>3864.4</v>
      </c>
      <c r="U105" s="247">
        <v>3677.4</v>
      </c>
      <c r="V105" s="247">
        <v>3820</v>
      </c>
      <c r="W105" s="247">
        <v>4181</v>
      </c>
      <c r="X105" s="247">
        <v>4258</v>
      </c>
      <c r="Y105" s="247">
        <v>4277</v>
      </c>
      <c r="Z105" s="247">
        <v>4435</v>
      </c>
      <c r="AA105" s="243">
        <v>4666</v>
      </c>
      <c r="AB105" s="243">
        <v>4884</v>
      </c>
      <c r="AC105" s="243">
        <v>4835</v>
      </c>
      <c r="AD105" s="243">
        <v>5134</v>
      </c>
      <c r="AE105" s="243">
        <v>5376</v>
      </c>
      <c r="AF105" s="243">
        <f t="shared" ref="AF105:AL105" si="863">SUM(AF8:AF48)</f>
        <v>5296</v>
      </c>
      <c r="AG105" s="243">
        <f t="shared" si="863"/>
        <v>4940</v>
      </c>
      <c r="AH105" s="243">
        <f t="shared" si="863"/>
        <v>5242</v>
      </c>
      <c r="AI105" s="243">
        <f t="shared" si="863"/>
        <v>5178</v>
      </c>
      <c r="AJ105" s="243">
        <f t="shared" si="863"/>
        <v>4986</v>
      </c>
      <c r="AK105" s="243">
        <f t="shared" si="863"/>
        <v>4833</v>
      </c>
      <c r="AL105" s="243">
        <f t="shared" si="863"/>
        <v>4790</v>
      </c>
      <c r="AM105" s="243">
        <f>SUM(AM3:AM48)</f>
        <v>5626</v>
      </c>
      <c r="AN105" s="243">
        <f>SUM(AN3:AN48)</f>
        <v>5810</v>
      </c>
      <c r="AO105" s="243">
        <f>SUM(AO3:AO48)</f>
        <v>5881</v>
      </c>
      <c r="AP105" s="243">
        <f>SUM(AP3:AP48)</f>
        <v>5950</v>
      </c>
      <c r="AQ105" s="243">
        <f>SUM(AQ3:AQ48)-AQ8</f>
        <v>5093</v>
      </c>
      <c r="AR105" s="243">
        <f>SUM(AR3:AR48)-AR8</f>
        <v>5023</v>
      </c>
      <c r="AS105" s="243">
        <f>SUM(AS3:AS48)-AS8</f>
        <v>4974</v>
      </c>
      <c r="AT105" s="243">
        <f>SUM(AT3:AT48)-AT8</f>
        <v>5177</v>
      </c>
      <c r="AU105" s="243">
        <f>SUM(AU3:AU48)-AU11</f>
        <v>6363</v>
      </c>
      <c r="AV105" s="243">
        <f t="shared" ref="AV105:BV105" si="864">SUM(AV3:AV48)</f>
        <v>6340</v>
      </c>
      <c r="AW105" s="243">
        <f t="shared" si="864"/>
        <v>6113</v>
      </c>
      <c r="AX105" s="243">
        <f t="shared" si="864"/>
        <v>5685</v>
      </c>
      <c r="AY105" s="243">
        <f t="shared" si="864"/>
        <v>5780</v>
      </c>
      <c r="AZ105" s="243">
        <f t="shared" si="864"/>
        <v>5498</v>
      </c>
      <c r="BA105" s="243">
        <f t="shared" si="864"/>
        <v>5249</v>
      </c>
      <c r="BB105" s="243">
        <f t="shared" si="864"/>
        <v>5993</v>
      </c>
      <c r="BC105" s="243">
        <f t="shared" si="864"/>
        <v>5638</v>
      </c>
      <c r="BD105" s="243">
        <f t="shared" si="864"/>
        <v>5612</v>
      </c>
      <c r="BE105" s="243">
        <f t="shared" si="864"/>
        <v>5495</v>
      </c>
      <c r="BF105" s="243">
        <f t="shared" si="864"/>
        <v>5710</v>
      </c>
      <c r="BG105" s="243">
        <f t="shared" si="864"/>
        <v>6059</v>
      </c>
      <c r="BH105" s="243">
        <f t="shared" si="864"/>
        <v>6233</v>
      </c>
      <c r="BI105" s="243">
        <f t="shared" si="864"/>
        <v>5982</v>
      </c>
      <c r="BJ105" s="243">
        <f t="shared" si="864"/>
        <v>6094</v>
      </c>
      <c r="BK105" s="243">
        <f t="shared" si="864"/>
        <v>6133</v>
      </c>
      <c r="BL105" s="243">
        <f t="shared" si="864"/>
        <v>6442</v>
      </c>
      <c r="BM105" s="243">
        <f t="shared" si="864"/>
        <v>6541</v>
      </c>
      <c r="BN105" s="243">
        <f t="shared" si="864"/>
        <v>6758</v>
      </c>
      <c r="BO105" s="243">
        <f t="shared" si="864"/>
        <v>6811</v>
      </c>
      <c r="BP105" s="243">
        <f t="shared" si="864"/>
        <v>7081</v>
      </c>
      <c r="BQ105" s="243">
        <f t="shared" si="864"/>
        <v>7100</v>
      </c>
      <c r="BR105" s="243">
        <f t="shared" si="864"/>
        <v>7392</v>
      </c>
      <c r="BS105" s="243">
        <f t="shared" si="864"/>
        <v>7602</v>
      </c>
      <c r="BT105" s="243">
        <f t="shared" si="864"/>
        <v>8509</v>
      </c>
      <c r="BU105" s="243">
        <f t="shared" si="864"/>
        <v>8307</v>
      </c>
      <c r="BV105" s="243">
        <f t="shared" si="864"/>
        <v>7999</v>
      </c>
      <c r="BW105" s="243"/>
      <c r="BX105" s="243"/>
      <c r="BY105" s="243"/>
      <c r="BZ105" s="243"/>
      <c r="CA105" s="243"/>
      <c r="CB105" s="243"/>
      <c r="CC105" s="243"/>
      <c r="CD105" s="243"/>
      <c r="CE105" s="243"/>
      <c r="CF105" s="243"/>
      <c r="CG105" s="243"/>
      <c r="CH105" s="243"/>
      <c r="CI105" s="243"/>
      <c r="CJ105" s="243"/>
      <c r="CK105" s="243"/>
      <c r="CL105" s="243"/>
      <c r="CM105" s="243"/>
      <c r="CN105" s="243"/>
      <c r="CO105" s="243"/>
      <c r="CP105" s="243"/>
      <c r="CQ105" s="243"/>
      <c r="CR105" s="243"/>
      <c r="CS105" s="243"/>
      <c r="CT105" s="243"/>
      <c r="CU105" s="243"/>
      <c r="CV105" s="243"/>
      <c r="CW105" s="243"/>
      <c r="CX105" s="243"/>
      <c r="CY105" s="243"/>
      <c r="CZ105" s="243"/>
      <c r="DA105" s="243"/>
      <c r="DB105" s="243"/>
      <c r="DC105" s="243"/>
      <c r="DD105" s="243"/>
      <c r="DE105" s="243"/>
      <c r="DF105" s="243"/>
      <c r="DG105" s="243"/>
      <c r="DH105" s="243"/>
      <c r="DI105" s="243"/>
      <c r="DJ105" s="243"/>
      <c r="DK105" s="243"/>
      <c r="DL105" s="243"/>
      <c r="DM105" s="243"/>
      <c r="DN105" s="243"/>
      <c r="DS105" s="243">
        <v>4340</v>
      </c>
      <c r="DT105" s="243">
        <v>4490</v>
      </c>
      <c r="DU105" s="243">
        <v>5158</v>
      </c>
      <c r="DV105" s="243">
        <v>6274</v>
      </c>
      <c r="DW105" s="243">
        <v>7188</v>
      </c>
      <c r="DX105" s="243">
        <v>7696</v>
      </c>
      <c r="DY105" s="243">
        <v>8562</v>
      </c>
      <c r="DZ105" s="243">
        <v>10694</v>
      </c>
      <c r="EA105" s="243">
        <v>11954</v>
      </c>
      <c r="EB105" s="243">
        <v>14851</v>
      </c>
      <c r="EC105" s="243">
        <v>17151</v>
      </c>
      <c r="ED105" s="243">
        <v>19517</v>
      </c>
      <c r="EE105" s="243">
        <v>22128</v>
      </c>
      <c r="EF105" s="243">
        <v>22322</v>
      </c>
      <c r="EG105" s="243">
        <f t="shared" ref="EG105:EQ105" si="865">SUM(EG3:EG48)</f>
        <v>23267</v>
      </c>
      <c r="EH105" s="243">
        <f t="shared" si="865"/>
        <v>24866</v>
      </c>
      <c r="EI105" s="243">
        <f t="shared" si="865"/>
        <v>24567</v>
      </c>
      <c r="EJ105" s="243">
        <f t="shared" si="865"/>
        <v>22520</v>
      </c>
      <c r="EK105" s="243">
        <f t="shared" si="865"/>
        <v>22264</v>
      </c>
      <c r="EL105" s="243">
        <f t="shared" si="865"/>
        <v>24368</v>
      </c>
      <c r="EM105" s="243">
        <f t="shared" si="865"/>
        <v>25874</v>
      </c>
      <c r="EN105" s="243">
        <f t="shared" si="865"/>
        <v>28125</v>
      </c>
      <c r="EO105" s="243">
        <f t="shared" si="865"/>
        <v>31377.599999999999</v>
      </c>
      <c r="EP105" s="243">
        <f t="shared" si="865"/>
        <v>31502.829999999998</v>
      </c>
      <c r="EQ105" s="243">
        <f t="shared" si="865"/>
        <v>25169.797699999999</v>
      </c>
      <c r="ER105" s="243"/>
      <c r="ES105" s="243"/>
      <c r="ET105" s="243"/>
      <c r="EU105" s="243"/>
    </row>
    <row r="106" spans="2:166" ht="12.75" customHeight="1" x14ac:dyDescent="0.2">
      <c r="B106" t="s">
        <v>356</v>
      </c>
      <c r="W106" s="243">
        <v>1664</v>
      </c>
      <c r="X106" s="243">
        <v>1577</v>
      </c>
      <c r="Y106" s="243">
        <v>1455</v>
      </c>
      <c r="Z106" s="243">
        <v>1091</v>
      </c>
      <c r="AA106" s="243">
        <v>1859</v>
      </c>
      <c r="AB106" s="243">
        <v>1091</v>
      </c>
      <c r="AC106" s="243">
        <v>1751</v>
      </c>
      <c r="AD106" s="243">
        <v>1195</v>
      </c>
      <c r="AE106" s="243">
        <v>2085</v>
      </c>
      <c r="AF106" s="243">
        <v>2108</v>
      </c>
      <c r="AG106" s="243">
        <v>1922</v>
      </c>
      <c r="AH106" s="243">
        <v>1493</v>
      </c>
      <c r="AI106" s="243">
        <v>2076</v>
      </c>
      <c r="AJ106" s="243">
        <v>1585</v>
      </c>
      <c r="AK106" s="243">
        <v>1795</v>
      </c>
      <c r="AL106" s="243">
        <v>1093</v>
      </c>
      <c r="AM106" s="243">
        <v>1927</v>
      </c>
      <c r="AN106" s="243">
        <v>1743</v>
      </c>
      <c r="AO106" s="243"/>
      <c r="AP106" s="243"/>
      <c r="AQ106" s="243"/>
      <c r="AR106" s="243"/>
      <c r="AS106" s="243"/>
      <c r="AT106" s="243"/>
      <c r="AU106" s="243"/>
      <c r="AV106" s="243"/>
      <c r="AW106" s="243"/>
      <c r="AX106" s="243"/>
      <c r="BC106" s="243">
        <v>1970</v>
      </c>
      <c r="DS106" s="243">
        <v>1364</v>
      </c>
      <c r="DT106" s="243">
        <v>1406</v>
      </c>
      <c r="DU106" s="243">
        <v>1669</v>
      </c>
      <c r="DV106" s="243">
        <v>2073</v>
      </c>
      <c r="DW106" s="243">
        <v>2477</v>
      </c>
      <c r="DX106" s="243">
        <v>2669</v>
      </c>
      <c r="DY106" s="243">
        <v>3081</v>
      </c>
      <c r="DZ106" s="243">
        <v>3595</v>
      </c>
      <c r="EA106" s="243">
        <v>4175</v>
      </c>
      <c r="EB106" s="243">
        <v>4928</v>
      </c>
      <c r="EC106" s="243">
        <v>5787</v>
      </c>
      <c r="ED106" s="243">
        <v>5896</v>
      </c>
      <c r="EE106" s="243">
        <v>7608</v>
      </c>
      <c r="EF106" s="243">
        <f>6610+302</f>
        <v>6912</v>
      </c>
      <c r="EG106" s="243"/>
      <c r="EH106" s="243"/>
      <c r="EI106" s="243"/>
      <c r="EJ106" s="243"/>
      <c r="EK106" s="243"/>
      <c r="EL106" s="243"/>
      <c r="EM106" s="243"/>
      <c r="EN106" s="243"/>
      <c r="EO106" s="243"/>
      <c r="EP106" s="243"/>
      <c r="EQ106" s="243"/>
      <c r="ER106" s="243"/>
      <c r="ES106" s="243"/>
      <c r="ET106" s="243"/>
      <c r="EU106" s="243"/>
    </row>
    <row r="107" spans="2:166" ht="12.75" customHeight="1" x14ac:dyDescent="0.2">
      <c r="B107" t="s">
        <v>357</v>
      </c>
      <c r="W107" s="294">
        <f t="shared" ref="W107:AN107" si="866">W106/W105</f>
        <v>0.39799091126524755</v>
      </c>
      <c r="X107" s="294">
        <f t="shared" si="866"/>
        <v>0.37036167214654769</v>
      </c>
      <c r="Y107" s="294">
        <f t="shared" si="866"/>
        <v>0.34019172317044655</v>
      </c>
      <c r="Z107" s="294">
        <f t="shared" si="866"/>
        <v>0.24599774520856821</v>
      </c>
      <c r="AA107" s="294">
        <f t="shared" si="866"/>
        <v>0.39841405915130734</v>
      </c>
      <c r="AB107" s="294">
        <f t="shared" si="866"/>
        <v>0.22338247338247338</v>
      </c>
      <c r="AC107" s="294">
        <f t="shared" si="866"/>
        <v>0.36215098241985522</v>
      </c>
      <c r="AD107" s="294">
        <f t="shared" si="866"/>
        <v>0.23276197896377093</v>
      </c>
      <c r="AE107" s="294">
        <f t="shared" si="866"/>
        <v>0.38783482142857145</v>
      </c>
      <c r="AF107" s="294">
        <f t="shared" si="866"/>
        <v>0.39803625377643503</v>
      </c>
      <c r="AG107" s="294">
        <f t="shared" si="866"/>
        <v>0.38906882591093117</v>
      </c>
      <c r="AH107" s="294">
        <f t="shared" si="866"/>
        <v>0.28481495612361696</v>
      </c>
      <c r="AI107" s="294">
        <f t="shared" si="866"/>
        <v>0.40092699884125144</v>
      </c>
      <c r="AJ107" s="294">
        <f t="shared" si="866"/>
        <v>0.31789009225832332</v>
      </c>
      <c r="AK107" s="294">
        <f t="shared" si="866"/>
        <v>0.37140492447755019</v>
      </c>
      <c r="AL107" s="294">
        <f t="shared" si="866"/>
        <v>0.22818371607515658</v>
      </c>
      <c r="AM107" s="294">
        <f t="shared" si="866"/>
        <v>0.34251688588695345</v>
      </c>
      <c r="AN107" s="294">
        <f t="shared" si="866"/>
        <v>0.3</v>
      </c>
      <c r="AO107" s="243"/>
      <c r="AP107" s="243"/>
      <c r="AQ107" s="243"/>
      <c r="AR107" s="243"/>
      <c r="AS107" s="243"/>
      <c r="AT107" s="243"/>
      <c r="AU107" s="243"/>
      <c r="AV107" s="243"/>
      <c r="AW107" s="243"/>
      <c r="AX107" s="243"/>
      <c r="BC107" s="294">
        <f>+BC106/BC105</f>
        <v>0.34941468605888615</v>
      </c>
      <c r="DS107" s="294">
        <f t="shared" ref="DS107:EF107" si="867">DS106/DS105</f>
        <v>0.31428571428571428</v>
      </c>
      <c r="DT107" s="294">
        <f t="shared" si="867"/>
        <v>0.31314031180400892</v>
      </c>
      <c r="DU107" s="294">
        <f t="shared" si="867"/>
        <v>0.32357502908103919</v>
      </c>
      <c r="DV107" s="294">
        <f t="shared" si="867"/>
        <v>0.33041122091169906</v>
      </c>
      <c r="DW107" s="294">
        <f t="shared" si="867"/>
        <v>0.34460211463550361</v>
      </c>
      <c r="DX107" s="294">
        <f t="shared" si="867"/>
        <v>0.34680353430353428</v>
      </c>
      <c r="DY107" s="294">
        <f t="shared" si="867"/>
        <v>0.3598458304134548</v>
      </c>
      <c r="DZ107" s="294">
        <f t="shared" si="867"/>
        <v>0.3361698148494483</v>
      </c>
      <c r="EA107" s="294">
        <f t="shared" si="867"/>
        <v>0.34925547933746026</v>
      </c>
      <c r="EB107" s="294">
        <f t="shared" si="867"/>
        <v>0.33182950643054338</v>
      </c>
      <c r="EC107" s="294">
        <f t="shared" si="867"/>
        <v>0.33741472800419803</v>
      </c>
      <c r="ED107" s="294">
        <f t="shared" si="867"/>
        <v>0.3020956089562945</v>
      </c>
      <c r="EE107" s="294">
        <f t="shared" si="867"/>
        <v>0.3438177874186551</v>
      </c>
      <c r="EF107" s="294">
        <f t="shared" si="867"/>
        <v>0.30964967296837204</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358</v>
      </c>
      <c r="K108" s="294">
        <f t="shared" ref="K108:AP108" si="868">K105/K63</f>
        <v>0.40629707743296173</v>
      </c>
      <c r="L108" s="294">
        <f t="shared" si="868"/>
        <v>0.43142690399766559</v>
      </c>
      <c r="M108" s="294">
        <f t="shared" si="868"/>
        <v>0.43508667950807528</v>
      </c>
      <c r="N108" s="294">
        <f t="shared" si="868"/>
        <v>0.38380107605060348</v>
      </c>
      <c r="O108" s="294">
        <f t="shared" si="868"/>
        <v>0.43216286377920482</v>
      </c>
      <c r="P108" s="294">
        <f t="shared" si="868"/>
        <v>0.45058604155567394</v>
      </c>
      <c r="Q108" s="294">
        <f t="shared" si="868"/>
        <v>0.43975569128262076</v>
      </c>
      <c r="R108" s="294">
        <f t="shared" si="868"/>
        <v>0.41460326392796848</v>
      </c>
      <c r="S108" s="294">
        <f t="shared" si="868"/>
        <v>0.4478244127839815</v>
      </c>
      <c r="T108" s="294">
        <f t="shared" si="868"/>
        <v>0.46324622392711579</v>
      </c>
      <c r="U108" s="294">
        <f t="shared" si="868"/>
        <v>0.44639475600874001</v>
      </c>
      <c r="V108" s="294">
        <f t="shared" si="868"/>
        <v>0.45459954778055456</v>
      </c>
      <c r="W108" s="294">
        <f t="shared" si="868"/>
        <v>0.47821114034084411</v>
      </c>
      <c r="X108" s="294">
        <f t="shared" si="868"/>
        <v>0.46930452992395016</v>
      </c>
      <c r="Y108" s="294">
        <f t="shared" si="868"/>
        <v>0.47108712413261372</v>
      </c>
      <c r="Z108" s="294">
        <f t="shared" si="868"/>
        <v>0.47165798149526744</v>
      </c>
      <c r="AA108" s="294">
        <f t="shared" si="868"/>
        <v>0.47505599674200771</v>
      </c>
      <c r="AB108" s="294">
        <f t="shared" si="868"/>
        <v>0.4727061556329849</v>
      </c>
      <c r="AC108" s="294">
        <f t="shared" si="868"/>
        <v>0.46250239142911803</v>
      </c>
      <c r="AD108" s="294">
        <f t="shared" si="868"/>
        <v>0.45078584599174643</v>
      </c>
      <c r="AE108" s="294">
        <f t="shared" si="868"/>
        <v>0.44859813084112149</v>
      </c>
      <c r="AF108" s="294">
        <f t="shared" si="868"/>
        <v>0.44534140598721828</v>
      </c>
      <c r="AG108" s="294">
        <f t="shared" si="868"/>
        <v>0.42759456418246344</v>
      </c>
      <c r="AH108" s="294">
        <f t="shared" si="868"/>
        <v>0.41107277289836891</v>
      </c>
      <c r="AI108" s="294">
        <f t="shared" si="868"/>
        <v>0.40352244389027431</v>
      </c>
      <c r="AJ108" s="294">
        <f t="shared" si="868"/>
        <v>0.39069111424541608</v>
      </c>
      <c r="AK108" s="294">
        <f t="shared" si="868"/>
        <v>0.39260763606823723</v>
      </c>
      <c r="AL108" s="294">
        <f t="shared" si="868"/>
        <v>0.37985725614591592</v>
      </c>
      <c r="AM108" s="294">
        <f t="shared" si="868"/>
        <v>0.4330357142857143</v>
      </c>
      <c r="AN108" s="294">
        <f t="shared" si="868"/>
        <v>0.43478260869565216</v>
      </c>
      <c r="AO108" s="294">
        <f t="shared" si="868"/>
        <v>0.44261308045457964</v>
      </c>
      <c r="AP108" s="294">
        <f t="shared" si="868"/>
        <v>0.43487794182137113</v>
      </c>
      <c r="AQ108" s="294">
        <f t="shared" ref="AQ108:BV108" si="869">AQ105/AQ63</f>
        <v>0.33757539603632264</v>
      </c>
      <c r="AR108" s="294">
        <f t="shared" si="869"/>
        <v>0.33172632413155462</v>
      </c>
      <c r="AS108" s="294">
        <f t="shared" si="869"/>
        <v>0.3314453255147598</v>
      </c>
      <c r="AT108" s="294">
        <f t="shared" si="869"/>
        <v>0.32443441749702323</v>
      </c>
      <c r="AU108" s="294">
        <f t="shared" si="869"/>
        <v>0.39292330492775102</v>
      </c>
      <c r="AV108" s="294">
        <f t="shared" si="869"/>
        <v>0.38541033434650457</v>
      </c>
      <c r="AW108" s="294">
        <f t="shared" si="869"/>
        <v>0.38395829407700521</v>
      </c>
      <c r="AX108" s="294">
        <f t="shared" si="869"/>
        <v>0.37445659333421155</v>
      </c>
      <c r="AY108" s="294">
        <f t="shared" si="869"/>
        <v>0.38466657793158526</v>
      </c>
      <c r="AZ108" s="294">
        <f t="shared" si="869"/>
        <v>0.36078482840081372</v>
      </c>
      <c r="BA108" s="294">
        <f t="shared" si="869"/>
        <v>0.34805384258338307</v>
      </c>
      <c r="BB108" s="294">
        <f t="shared" si="869"/>
        <v>0.36209292489879763</v>
      </c>
      <c r="BC108" s="294">
        <f t="shared" si="869"/>
        <v>0.3606934936984198</v>
      </c>
      <c r="BD108" s="294">
        <f t="shared" si="869"/>
        <v>0.36467606732081359</v>
      </c>
      <c r="BE108" s="294">
        <f t="shared" si="869"/>
        <v>0.36677346148711787</v>
      </c>
      <c r="BF108" s="294">
        <f t="shared" si="869"/>
        <v>0.36499616466376883</v>
      </c>
      <c r="BG108" s="294">
        <f t="shared" si="869"/>
        <v>0.35712601673936106</v>
      </c>
      <c r="BH108" s="294">
        <f t="shared" si="869"/>
        <v>0.3755497981562933</v>
      </c>
      <c r="BI108" s="294">
        <f t="shared" si="869"/>
        <v>0.37375820056232428</v>
      </c>
      <c r="BJ108" s="294">
        <f t="shared" si="869"/>
        <v>0.32378725891291643</v>
      </c>
      <c r="BK108" s="294">
        <f t="shared" si="869"/>
        <v>0.38001115310737965</v>
      </c>
      <c r="BL108" s="294">
        <f t="shared" si="869"/>
        <v>0.38746541561409842</v>
      </c>
      <c r="BM108" s="294">
        <f t="shared" si="869"/>
        <v>0.38048979116979814</v>
      </c>
      <c r="BN108" s="294">
        <f t="shared" si="869"/>
        <v>0.37985498285650049</v>
      </c>
      <c r="BO108" s="294">
        <f t="shared" si="869"/>
        <v>0.38813540004558922</v>
      </c>
      <c r="BP108" s="294">
        <f t="shared" si="869"/>
        <v>0.39485864049517649</v>
      </c>
      <c r="BQ108" s="294">
        <f t="shared" si="869"/>
        <v>0.40251714949827089</v>
      </c>
      <c r="BR108" s="294">
        <f t="shared" si="869"/>
        <v>0.40062869221180425</v>
      </c>
      <c r="BS108" s="294">
        <f t="shared" si="869"/>
        <v>0.41725671002799275</v>
      </c>
      <c r="BT108" s="294">
        <f t="shared" si="869"/>
        <v>0.43647088997178762</v>
      </c>
      <c r="BU108" s="294">
        <f t="shared" si="869"/>
        <v>0.44982942546163429</v>
      </c>
      <c r="BV108" s="294">
        <f t="shared" si="869"/>
        <v>0.43820532486030461</v>
      </c>
      <c r="BW108" s="294"/>
      <c r="BX108" s="294"/>
      <c r="BY108" s="294"/>
      <c r="BZ108" s="294"/>
      <c r="CA108" s="294"/>
      <c r="CB108" s="294"/>
      <c r="CC108" s="294"/>
      <c r="CD108" s="294"/>
      <c r="CE108" s="294"/>
      <c r="CF108" s="294"/>
      <c r="CG108" s="294"/>
      <c r="CH108" s="294"/>
      <c r="CI108" s="294"/>
      <c r="CJ108" s="294"/>
      <c r="CK108" s="294"/>
      <c r="CL108" s="294"/>
      <c r="CM108" s="294"/>
      <c r="CN108" s="294"/>
      <c r="CO108" s="294"/>
      <c r="CP108" s="294"/>
      <c r="CQ108" s="294"/>
      <c r="CR108" s="294"/>
      <c r="CS108" s="294"/>
      <c r="CT108" s="294"/>
      <c r="CU108" s="294"/>
      <c r="CV108" s="294"/>
      <c r="CW108" s="294"/>
      <c r="CX108" s="294"/>
      <c r="CY108" s="294"/>
      <c r="CZ108" s="294"/>
      <c r="DA108" s="294"/>
      <c r="DB108" s="294"/>
      <c r="DC108" s="294"/>
      <c r="DD108" s="294"/>
      <c r="DE108" s="294"/>
      <c r="DF108" s="294"/>
      <c r="DG108" s="294"/>
      <c r="DH108" s="294"/>
      <c r="DI108" s="294"/>
      <c r="DJ108" s="294"/>
      <c r="DK108" s="294"/>
      <c r="DL108" s="294"/>
      <c r="DM108" s="294"/>
      <c r="DN108" s="294"/>
      <c r="DS108" s="287">
        <f t="shared" ref="DS108:EQ108" si="870">DS105/DS63</f>
        <v>0.31556751254271798</v>
      </c>
      <c r="DT108" s="287">
        <f t="shared" si="870"/>
        <v>0.31758381666430896</v>
      </c>
      <c r="DU108" s="287">
        <f t="shared" si="870"/>
        <v>0.32782509215711197</v>
      </c>
      <c r="DV108" s="287">
        <f t="shared" si="870"/>
        <v>0.33297951385203267</v>
      </c>
      <c r="DW108" s="287">
        <f t="shared" si="870"/>
        <v>0.3324699352451434</v>
      </c>
      <c r="DX108" s="287">
        <f t="shared" si="870"/>
        <v>0.34009456891599277</v>
      </c>
      <c r="DY108" s="287">
        <f t="shared" si="870"/>
        <v>0.36192247537726679</v>
      </c>
      <c r="DZ108" s="287">
        <f t="shared" si="870"/>
        <v>0.38928324414837467</v>
      </c>
      <c r="EA108" s="287">
        <f t="shared" si="870"/>
        <v>0.41024057105597311</v>
      </c>
      <c r="EB108" s="287">
        <f t="shared" si="870"/>
        <v>0.44997576051387711</v>
      </c>
      <c r="EC108" s="294">
        <f t="shared" si="870"/>
        <v>0.46464690248944107</v>
      </c>
      <c r="ED108" s="294">
        <f t="shared" si="870"/>
        <v>0.46068253810892851</v>
      </c>
      <c r="EE108" s="294">
        <f t="shared" si="870"/>
        <v>0.45987904482823116</v>
      </c>
      <c r="EF108" s="294">
        <f t="shared" si="870"/>
        <v>0.45096771586730777</v>
      </c>
      <c r="EG108" s="294">
        <f t="shared" si="870"/>
        <v>0.4363326082064361</v>
      </c>
      <c r="EH108" s="294">
        <f t="shared" si="870"/>
        <v>0.40700548326376956</v>
      </c>
      <c r="EI108" s="294">
        <f t="shared" si="870"/>
        <v>0.38538284154548447</v>
      </c>
      <c r="EJ108" s="294">
        <f t="shared" si="870"/>
        <v>0.36383023409858312</v>
      </c>
      <c r="EK108" s="294">
        <f t="shared" si="870"/>
        <v>0.36228134407289886</v>
      </c>
      <c r="EL108" s="294">
        <f t="shared" si="870"/>
        <v>0.37471936029524833</v>
      </c>
      <c r="EM108" s="294">
        <f t="shared" si="870"/>
        <v>0.38192097067028796</v>
      </c>
      <c r="EN108" s="294">
        <f t="shared" si="870"/>
        <v>0.39439365043751401</v>
      </c>
      <c r="EO108" s="294">
        <f t="shared" si="870"/>
        <v>0.41699234226287474</v>
      </c>
      <c r="EP108" s="294">
        <f t="shared" si="870"/>
        <v>0.41411912471963841</v>
      </c>
      <c r="EQ108" s="294">
        <f t="shared" si="870"/>
        <v>0.35724672909326338</v>
      </c>
      <c r="ER108" s="294"/>
      <c r="ES108" s="294"/>
      <c r="ET108" s="294"/>
      <c r="EU108" s="294"/>
    </row>
    <row r="109" spans="2:166" ht="12.75" customHeight="1" x14ac:dyDescent="0.2">
      <c r="B109" t="s">
        <v>359</v>
      </c>
      <c r="AE109" s="243"/>
      <c r="AF109" s="243"/>
      <c r="AG109" s="243"/>
      <c r="AH109" s="243"/>
      <c r="AI109" s="294"/>
      <c r="AJ109" s="294"/>
      <c r="AK109" s="294"/>
      <c r="AL109" s="294"/>
      <c r="AM109" s="294"/>
      <c r="AN109" s="294"/>
      <c r="AO109" s="288">
        <f t="shared" ref="AO109:BD109" si="871">AO105/AK105-1</f>
        <v>0.2168425408648873</v>
      </c>
      <c r="AP109" s="288">
        <f t="shared" si="871"/>
        <v>0.24217118997912324</v>
      </c>
      <c r="AQ109" s="288">
        <f t="shared" si="871"/>
        <v>-9.4738713117668016E-2</v>
      </c>
      <c r="AR109" s="288">
        <f t="shared" si="871"/>
        <v>-0.13545611015490533</v>
      </c>
      <c r="AS109" s="288">
        <f t="shared" si="871"/>
        <v>-0.15422547185852742</v>
      </c>
      <c r="AT109" s="288">
        <f t="shared" si="871"/>
        <v>-0.12991596638655467</v>
      </c>
      <c r="AU109" s="288">
        <f t="shared" si="871"/>
        <v>0.24936186923227965</v>
      </c>
      <c r="AV109" s="288">
        <f t="shared" si="871"/>
        <v>0.26219390802309372</v>
      </c>
      <c r="AW109" s="288">
        <f t="shared" si="871"/>
        <v>0.22899075190993168</v>
      </c>
      <c r="AX109" s="288">
        <f t="shared" si="871"/>
        <v>9.812632798918286E-2</v>
      </c>
      <c r="AY109" s="288">
        <f t="shared" si="871"/>
        <v>-9.1623448059091617E-2</v>
      </c>
      <c r="AZ109" s="288">
        <f t="shared" si="871"/>
        <v>-0.13280757097791795</v>
      </c>
      <c r="BA109" s="288">
        <f t="shared" si="871"/>
        <v>-0.14133813185015542</v>
      </c>
      <c r="BB109" s="288">
        <f t="shared" si="871"/>
        <v>5.4177660510114301E-2</v>
      </c>
      <c r="BC109" s="288">
        <f t="shared" si="871"/>
        <v>-2.456747404844295E-2</v>
      </c>
      <c r="BD109" s="288">
        <f t="shared" si="871"/>
        <v>2.0734812659148671E-2</v>
      </c>
      <c r="BE109" s="288">
        <f t="shared" ref="BE109" si="872">BE105/BA105-1</f>
        <v>4.6866069727567128E-2</v>
      </c>
      <c r="BF109" s="288">
        <f t="shared" ref="BF109" si="873">BF105/BB105-1</f>
        <v>-4.7221758718504869E-2</v>
      </c>
      <c r="BG109" s="288">
        <f t="shared" ref="BG109" si="874">BG105/BC105-1</f>
        <v>7.4671869457254347E-2</v>
      </c>
      <c r="BH109" s="288">
        <f t="shared" ref="BH109" si="875">BH105/BD105-1</f>
        <v>0.11065573770491799</v>
      </c>
      <c r="BI109" s="288">
        <f t="shared" ref="BI109" si="876">BI105/BE105-1</f>
        <v>8.8626023657870867E-2</v>
      </c>
      <c r="BJ109" s="288">
        <f t="shared" ref="BJ109" si="877">BJ105/BF105-1</f>
        <v>6.7250437828371368E-2</v>
      </c>
      <c r="BK109" s="288"/>
      <c r="BL109" s="288"/>
      <c r="BM109" s="288"/>
      <c r="BN109" s="288"/>
      <c r="BO109" s="288"/>
      <c r="BP109" s="288"/>
      <c r="BQ109" s="288"/>
      <c r="BR109" s="288"/>
      <c r="BS109" s="288"/>
      <c r="BT109" s="288"/>
      <c r="BU109" s="288"/>
      <c r="BV109" s="288"/>
      <c r="BW109" s="288"/>
      <c r="BX109" s="288"/>
      <c r="BY109" s="288"/>
      <c r="BZ109" s="288"/>
      <c r="CA109" s="288"/>
      <c r="CB109" s="288"/>
      <c r="CC109" s="288"/>
      <c r="CD109" s="288"/>
      <c r="CE109" s="288"/>
      <c r="CF109" s="288"/>
      <c r="CG109" s="288"/>
      <c r="CH109" s="288"/>
      <c r="CI109" s="288"/>
      <c r="CJ109" s="288"/>
      <c r="CK109" s="288"/>
      <c r="CL109" s="288"/>
      <c r="CM109" s="288"/>
      <c r="CN109" s="288"/>
      <c r="CO109" s="288"/>
      <c r="CP109" s="288"/>
      <c r="CQ109" s="288"/>
      <c r="CR109" s="288"/>
      <c r="CS109" s="288"/>
      <c r="CT109" s="288"/>
      <c r="CU109" s="288"/>
      <c r="CV109" s="288"/>
      <c r="CW109" s="288"/>
      <c r="CX109" s="288"/>
      <c r="CY109" s="288"/>
      <c r="CZ109" s="288"/>
      <c r="DA109" s="288"/>
      <c r="DB109" s="288"/>
      <c r="DC109" s="288"/>
      <c r="DD109" s="288"/>
      <c r="DE109" s="288"/>
      <c r="DF109" s="288"/>
      <c r="DG109" s="288"/>
      <c r="DH109" s="288"/>
      <c r="DI109" s="288"/>
      <c r="DJ109" s="288"/>
      <c r="DK109" s="288"/>
      <c r="DL109" s="288"/>
      <c r="DM109" s="288"/>
      <c r="DN109" s="288"/>
      <c r="DT109" s="294">
        <f t="shared" ref="DT109:EP109" si="878">DT105/DS105-1</f>
        <v>3.4562211981566726E-2</v>
      </c>
      <c r="DU109" s="294">
        <f t="shared" si="878"/>
        <v>0.14877505567928728</v>
      </c>
      <c r="DV109" s="294">
        <f t="shared" si="878"/>
        <v>0.21636293136874762</v>
      </c>
      <c r="DW109" s="294">
        <f t="shared" si="878"/>
        <v>0.14568058654765692</v>
      </c>
      <c r="DX109" s="294">
        <f t="shared" si="878"/>
        <v>7.0673344462993892E-2</v>
      </c>
      <c r="DY109" s="294">
        <f t="shared" si="878"/>
        <v>0.11252598752598764</v>
      </c>
      <c r="DZ109" s="294">
        <f t="shared" si="878"/>
        <v>0.24900724129876206</v>
      </c>
      <c r="EA109" s="294">
        <f t="shared" si="878"/>
        <v>0.11782307836169825</v>
      </c>
      <c r="EB109" s="294">
        <f t="shared" si="878"/>
        <v>0.24234565835703537</v>
      </c>
      <c r="EC109" s="294">
        <f t="shared" si="878"/>
        <v>0.15487172580970987</v>
      </c>
      <c r="ED109" s="294">
        <f t="shared" si="878"/>
        <v>0.137951139875226</v>
      </c>
      <c r="EE109" s="294">
        <f t="shared" si="878"/>
        <v>0.13378080647640522</v>
      </c>
      <c r="EF109" s="294">
        <f t="shared" si="878"/>
        <v>8.7671728127258763E-3</v>
      </c>
      <c r="EG109" s="294">
        <f t="shared" si="878"/>
        <v>4.2334916226144603E-2</v>
      </c>
      <c r="EH109" s="294">
        <f t="shared" si="878"/>
        <v>6.8723943783040253E-2</v>
      </c>
      <c r="EI109" s="294">
        <f>EI105/EH105-1</f>
        <v>-1.2024451057669139E-2</v>
      </c>
      <c r="EJ109" s="288">
        <f t="shared" si="878"/>
        <v>-8.3323157080636645E-2</v>
      </c>
      <c r="EK109" s="294">
        <f t="shared" si="878"/>
        <v>-1.1367673179396132E-2</v>
      </c>
      <c r="EL109" s="294">
        <f t="shared" si="878"/>
        <v>9.4502335609055077E-2</v>
      </c>
      <c r="EM109" s="294">
        <f t="shared" si="878"/>
        <v>6.1802363755745215E-2</v>
      </c>
      <c r="EN109" s="294">
        <f t="shared" si="878"/>
        <v>8.6998531344206542E-2</v>
      </c>
      <c r="EO109" s="294">
        <f t="shared" si="878"/>
        <v>0.11564799999999997</v>
      </c>
      <c r="EP109" s="294">
        <f t="shared" si="878"/>
        <v>3.9910636887461326E-3</v>
      </c>
      <c r="EQ109" s="294">
        <f t="shared" ref="EQ109" si="879">EQ105/EP105-1</f>
        <v>-0.20103058360153669</v>
      </c>
      <c r="ER109" s="294"/>
      <c r="ES109" s="294"/>
      <c r="ET109" s="294"/>
      <c r="EU109" s="294"/>
    </row>
    <row r="110" spans="2:166" ht="12.75" customHeight="1" x14ac:dyDescent="0.2">
      <c r="B110" t="s">
        <v>360</v>
      </c>
      <c r="AE110" s="243"/>
      <c r="AF110" s="243"/>
      <c r="AG110" s="243"/>
      <c r="AH110" s="243"/>
      <c r="AI110" s="294"/>
      <c r="AJ110" s="294"/>
      <c r="AK110" s="294"/>
      <c r="AL110" s="294"/>
      <c r="AM110" s="294"/>
      <c r="AN110" s="294"/>
      <c r="AO110" s="288">
        <v>6.7000000000000004E-2</v>
      </c>
      <c r="AP110" s="288"/>
      <c r="AQ110" s="294"/>
      <c r="AR110" s="294"/>
      <c r="AS110" s="294"/>
      <c r="AT110" s="294"/>
      <c r="AU110" s="294"/>
      <c r="AV110" s="288">
        <v>-1.2999999999999999E-2</v>
      </c>
      <c r="AW110" s="294"/>
      <c r="AX110" s="294"/>
      <c r="AY110" s="288">
        <v>-5.0999999999999997E-2</v>
      </c>
      <c r="AZ110" s="288">
        <v>-8.5000000000000006E-2</v>
      </c>
      <c r="BD110" s="288">
        <v>0.01</v>
      </c>
      <c r="BI110" s="288">
        <v>4.9000000000000002E-2</v>
      </c>
      <c r="DT110" s="294"/>
      <c r="EF110" s="294"/>
      <c r="EG110" s="294"/>
      <c r="EH110" s="294"/>
      <c r="EI110" s="294"/>
      <c r="EJ110" s="288">
        <v>-6.0999999999999999E-2</v>
      </c>
      <c r="EK110" s="294"/>
      <c r="EL110" s="294"/>
      <c r="EM110" s="294"/>
      <c r="EN110" s="294"/>
      <c r="EO110" s="294"/>
      <c r="EP110" s="294"/>
      <c r="EQ110" s="294"/>
      <c r="ER110" s="294"/>
      <c r="ES110" s="294"/>
      <c r="ET110" s="294"/>
      <c r="EU110" s="294"/>
      <c r="EV110" s="3"/>
      <c r="EW110" s="3"/>
      <c r="EX110" s="3"/>
      <c r="EY110" s="3"/>
      <c r="EZ110" s="3"/>
      <c r="FA110" s="3"/>
      <c r="FB110" s="3"/>
      <c r="FC110" s="3"/>
      <c r="FD110" s="3"/>
      <c r="FE110" s="3"/>
      <c r="FF110" s="3"/>
      <c r="FG110" s="3"/>
      <c r="FH110" s="3"/>
      <c r="FI110" s="3"/>
      <c r="FJ110" s="3"/>
    </row>
    <row r="111" spans="2:166" ht="12.75" customHeight="1" x14ac:dyDescent="0.2">
      <c r="B111" t="s">
        <v>1189</v>
      </c>
      <c r="AE111" s="243"/>
      <c r="AF111" s="243"/>
      <c r="AG111" s="243"/>
      <c r="AH111" s="243"/>
      <c r="AI111" s="294"/>
      <c r="AJ111" s="294"/>
      <c r="AK111" s="294"/>
      <c r="AL111" s="294"/>
      <c r="AM111" s="294"/>
      <c r="AN111" s="294"/>
      <c r="AO111" s="288"/>
      <c r="AP111" s="288"/>
      <c r="AQ111" s="294"/>
      <c r="AR111" s="294"/>
      <c r="AS111" s="294"/>
      <c r="AT111" s="294"/>
      <c r="AU111" s="294"/>
      <c r="AV111" s="288"/>
      <c r="AW111" s="294"/>
      <c r="AX111" s="294"/>
      <c r="AY111" s="288"/>
      <c r="AZ111" s="288">
        <f>AZ109-AZ110</f>
        <v>-4.7807570977917949E-2</v>
      </c>
      <c r="BD111" s="288">
        <f>BD109-BD110</f>
        <v>1.0734812659148671E-2</v>
      </c>
      <c r="BI111" s="288">
        <v>0.04</v>
      </c>
      <c r="DT111" s="294"/>
      <c r="EF111" s="294"/>
      <c r="EG111" s="294"/>
      <c r="EH111" s="294"/>
      <c r="EI111" s="294"/>
      <c r="EJ111" s="288">
        <f>EJ109-EJ110</f>
        <v>-2.2323157080636646E-2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361</v>
      </c>
      <c r="K112" s="247">
        <v>2434</v>
      </c>
      <c r="L112" s="247">
        <v>2455</v>
      </c>
      <c r="M112" s="247">
        <v>2445</v>
      </c>
      <c r="N112" s="247">
        <v>2581</v>
      </c>
      <c r="O112" s="247">
        <v>2525</v>
      </c>
      <c r="P112" s="247">
        <v>2580</v>
      </c>
      <c r="Q112" s="247">
        <v>2548</v>
      </c>
      <c r="R112" s="247">
        <v>2628</v>
      </c>
      <c r="S112" s="247">
        <v>2735.2</v>
      </c>
      <c r="T112" s="247">
        <v>2785</v>
      </c>
      <c r="U112" s="247">
        <v>2771</v>
      </c>
      <c r="V112" s="247">
        <v>2855</v>
      </c>
      <c r="W112" s="247">
        <v>2958</v>
      </c>
      <c r="X112" s="247">
        <v>3166</v>
      </c>
      <c r="Y112" s="247">
        <v>3141</v>
      </c>
      <c r="Z112" s="247">
        <v>3318</v>
      </c>
      <c r="AA112" s="247">
        <v>3364</v>
      </c>
      <c r="AB112" s="247">
        <v>3629</v>
      </c>
      <c r="AC112" s="247">
        <v>3779</v>
      </c>
      <c r="AD112" s="247">
        <v>4141</v>
      </c>
      <c r="AE112" s="243">
        <v>4136</v>
      </c>
      <c r="AF112" s="243">
        <f t="shared" ref="AF112:BJ112" si="880">SUM(AF49:AF61)</f>
        <v>4057</v>
      </c>
      <c r="AG112" s="243">
        <f t="shared" si="880"/>
        <v>4044</v>
      </c>
      <c r="AH112" s="243">
        <f t="shared" si="880"/>
        <v>4650</v>
      </c>
      <c r="AI112" s="243">
        <f t="shared" si="880"/>
        <v>4797</v>
      </c>
      <c r="AJ112" s="243">
        <f t="shared" si="880"/>
        <v>4856</v>
      </c>
      <c r="AK112" s="243">
        <f t="shared" si="880"/>
        <v>4622</v>
      </c>
      <c r="AL112" s="243">
        <f t="shared" si="880"/>
        <v>4821</v>
      </c>
      <c r="AM112" s="243">
        <f t="shared" si="880"/>
        <v>5011</v>
      </c>
      <c r="AN112" s="243">
        <f t="shared" si="880"/>
        <v>5155</v>
      </c>
      <c r="AO112" s="243">
        <f t="shared" si="880"/>
        <v>4950</v>
      </c>
      <c r="AP112" s="243">
        <f t="shared" si="880"/>
        <v>5167</v>
      </c>
      <c r="AQ112" s="243">
        <f t="shared" si="880"/>
        <v>5320</v>
      </c>
      <c r="AR112" s="243">
        <f t="shared" si="880"/>
        <v>5418</v>
      </c>
      <c r="AS112" s="243">
        <f t="shared" si="880"/>
        <v>5248</v>
      </c>
      <c r="AT112" s="243">
        <f t="shared" si="880"/>
        <v>5750</v>
      </c>
      <c r="AU112" s="243">
        <f t="shared" si="880"/>
        <v>5701</v>
      </c>
      <c r="AV112" s="243">
        <f t="shared" si="880"/>
        <v>6074</v>
      </c>
      <c r="AW112" s="243">
        <f t="shared" si="880"/>
        <v>5709</v>
      </c>
      <c r="AX112" s="243">
        <f t="shared" si="880"/>
        <v>5642</v>
      </c>
      <c r="AY112" s="243">
        <f t="shared" si="880"/>
        <v>5535</v>
      </c>
      <c r="AZ112" s="243">
        <f t="shared" si="880"/>
        <v>5887</v>
      </c>
      <c r="BA112" s="243">
        <f t="shared" si="880"/>
        <v>5843</v>
      </c>
      <c r="BB112" s="243">
        <f t="shared" si="880"/>
        <v>6309</v>
      </c>
      <c r="BC112" s="243">
        <f t="shared" si="880"/>
        <v>6227</v>
      </c>
      <c r="BD112" s="243">
        <f t="shared" si="880"/>
        <v>6130</v>
      </c>
      <c r="BE112" s="243">
        <f t="shared" si="880"/>
        <v>5920</v>
      </c>
      <c r="BF112" s="243">
        <f t="shared" si="880"/>
        <v>6324</v>
      </c>
      <c r="BG112" s="243">
        <f t="shared" si="880"/>
        <v>7225</v>
      </c>
      <c r="BH112" s="243">
        <f t="shared" si="880"/>
        <v>6571</v>
      </c>
      <c r="BI112" s="243">
        <f t="shared" si="880"/>
        <v>8701</v>
      </c>
      <c r="BJ112" s="243">
        <f t="shared" si="880"/>
        <v>9059</v>
      </c>
      <c r="BK112" s="243"/>
      <c r="BL112" s="243"/>
      <c r="BM112" s="243"/>
      <c r="BN112" s="243"/>
      <c r="BO112" s="243"/>
      <c r="BP112" s="243"/>
      <c r="BQ112" s="243"/>
      <c r="BR112" s="243"/>
      <c r="BS112" s="243"/>
      <c r="BT112" s="243"/>
      <c r="BU112" s="243"/>
      <c r="BV112" s="243"/>
      <c r="BW112" s="243"/>
      <c r="BX112" s="243"/>
      <c r="BY112" s="243"/>
      <c r="BZ112" s="243"/>
      <c r="CA112" s="243"/>
      <c r="CB112" s="243"/>
      <c r="CC112" s="243"/>
      <c r="CD112" s="243"/>
      <c r="CE112" s="243"/>
      <c r="CF112" s="243"/>
      <c r="CG112" s="243"/>
      <c r="CH112" s="243"/>
      <c r="CI112" s="243"/>
      <c r="CJ112" s="243"/>
      <c r="CK112" s="243"/>
      <c r="CL112" s="243"/>
      <c r="CM112" s="243"/>
      <c r="CN112" s="243"/>
      <c r="CO112" s="243"/>
      <c r="CP112" s="243"/>
      <c r="CQ112" s="243"/>
      <c r="CR112" s="243"/>
      <c r="CS112" s="243"/>
      <c r="CT112" s="243"/>
      <c r="CU112" s="243"/>
      <c r="CV112" s="243"/>
      <c r="CW112" s="243"/>
      <c r="CX112" s="243"/>
      <c r="CY112" s="243"/>
      <c r="CZ112" s="243"/>
      <c r="DA112" s="243"/>
      <c r="DB112" s="243"/>
      <c r="DC112" s="243"/>
      <c r="DD112" s="243"/>
      <c r="DE112" s="243"/>
      <c r="DF112" s="243"/>
      <c r="DG112" s="243"/>
      <c r="DH112" s="243"/>
      <c r="DI112" s="243"/>
      <c r="DJ112" s="243"/>
      <c r="DK112" s="243"/>
      <c r="DL112" s="243"/>
      <c r="DM112" s="243"/>
      <c r="DN112" s="243"/>
      <c r="DS112" s="243">
        <v>4633</v>
      </c>
      <c r="DT112" s="243">
        <v>4824</v>
      </c>
      <c r="DU112" s="243">
        <v>5325</v>
      </c>
      <c r="DV112" s="243">
        <v>6737</v>
      </c>
      <c r="DW112" s="243">
        <v>8068</v>
      </c>
      <c r="DX112" s="243">
        <v>8435</v>
      </c>
      <c r="DY112" s="243">
        <v>8569</v>
      </c>
      <c r="DZ112" s="243">
        <v>9913</v>
      </c>
      <c r="EA112" s="243">
        <v>10281</v>
      </c>
      <c r="EB112" s="243">
        <v>11191</v>
      </c>
      <c r="EC112" s="243">
        <f>SUM(EC49:EC61)</f>
        <v>12585</v>
      </c>
      <c r="ED112" s="243">
        <v>14914</v>
      </c>
      <c r="EE112" s="243">
        <f t="shared" ref="EE112:EQ112" si="881">SUM(EE49:EE61)</f>
        <v>16887</v>
      </c>
      <c r="EF112" s="243">
        <f t="shared" si="881"/>
        <v>19096</v>
      </c>
      <c r="EG112" s="243">
        <f t="shared" si="881"/>
        <v>20283</v>
      </c>
      <c r="EH112" s="243">
        <f t="shared" si="881"/>
        <v>21736</v>
      </c>
      <c r="EI112" s="243">
        <f t="shared" si="881"/>
        <v>23126</v>
      </c>
      <c r="EJ112" s="243">
        <f t="shared" si="881"/>
        <v>23574</v>
      </c>
      <c r="EK112" s="243">
        <f t="shared" si="881"/>
        <v>24601</v>
      </c>
      <c r="EL112" s="243">
        <f t="shared" si="881"/>
        <v>25779</v>
      </c>
      <c r="EM112" s="243">
        <f t="shared" si="881"/>
        <v>27426</v>
      </c>
      <c r="EN112" s="243">
        <f t="shared" si="881"/>
        <v>28490</v>
      </c>
      <c r="EO112" s="243">
        <f t="shared" si="881"/>
        <v>28878.885000000002</v>
      </c>
      <c r="EP112" s="243">
        <f t="shared" si="881"/>
        <v>29278.314474999999</v>
      </c>
      <c r="EQ112" s="243">
        <f t="shared" si="881"/>
        <v>29688.570665625008</v>
      </c>
      <c r="ER112" s="243"/>
      <c r="ES112" s="243"/>
      <c r="ET112" s="243"/>
      <c r="EU112" s="243"/>
    </row>
    <row r="113" spans="2:151" ht="12.75" customHeight="1" x14ac:dyDescent="0.2">
      <c r="B113" t="s">
        <v>356</v>
      </c>
      <c r="W113" s="243">
        <v>662</v>
      </c>
      <c r="X113" s="243">
        <v>564</v>
      </c>
      <c r="Y113" s="243">
        <v>677</v>
      </c>
      <c r="Z113" s="243">
        <v>586</v>
      </c>
      <c r="AA113" s="243">
        <v>731</v>
      </c>
      <c r="AB113" s="243">
        <v>671</v>
      </c>
      <c r="AC113" s="243">
        <v>931</v>
      </c>
      <c r="AD113" s="243">
        <v>1037</v>
      </c>
      <c r="AE113" s="243">
        <v>1067</v>
      </c>
      <c r="AF113" s="243">
        <v>1055</v>
      </c>
      <c r="AG113" s="243">
        <v>1052</v>
      </c>
      <c r="AH113" s="243">
        <v>917</v>
      </c>
      <c r="AI113" s="243">
        <v>1488</v>
      </c>
      <c r="AJ113" s="243">
        <v>1409</v>
      </c>
      <c r="AK113" s="243">
        <v>1363</v>
      </c>
      <c r="AL113" s="243">
        <v>1153</v>
      </c>
      <c r="AM113" s="243">
        <f>2160-622</f>
        <v>1538</v>
      </c>
      <c r="AN113" s="243">
        <v>1340</v>
      </c>
      <c r="AO113" s="243"/>
      <c r="AP113" s="243"/>
      <c r="AQ113" s="243"/>
      <c r="AR113" s="243"/>
      <c r="AS113" s="243"/>
      <c r="AT113" s="243"/>
      <c r="AU113" s="243"/>
      <c r="AV113" s="243"/>
      <c r="AW113" s="243"/>
      <c r="AX113" s="243"/>
      <c r="BC113" s="243">
        <v>3702</v>
      </c>
      <c r="DS113" s="243">
        <v>598</v>
      </c>
      <c r="DT113" s="243">
        <v>655</v>
      </c>
      <c r="DU113" s="243">
        <v>843</v>
      </c>
      <c r="DV113" s="243">
        <v>1203</v>
      </c>
      <c r="DW113" s="243">
        <v>1416</v>
      </c>
      <c r="DX113" s="243">
        <v>1550</v>
      </c>
      <c r="DY113" s="243">
        <v>1409</v>
      </c>
      <c r="DZ113" s="243">
        <v>1632</v>
      </c>
      <c r="EA113" s="243">
        <v>1696</v>
      </c>
      <c r="EB113" s="243">
        <v>2001</v>
      </c>
      <c r="EC113" s="243">
        <v>2489</v>
      </c>
      <c r="ED113" s="243">
        <v>3370</v>
      </c>
      <c r="EE113" s="243">
        <v>4091</v>
      </c>
      <c r="EF113" s="243">
        <v>5418</v>
      </c>
      <c r="EG113" s="243"/>
      <c r="EH113" s="243"/>
      <c r="EI113" s="243"/>
      <c r="EJ113" s="243"/>
      <c r="EK113" s="243"/>
      <c r="EL113" s="243"/>
      <c r="EM113" s="243"/>
      <c r="EN113" s="243"/>
      <c r="EO113" s="243"/>
      <c r="EP113" s="243"/>
      <c r="EQ113" s="243"/>
      <c r="ER113" s="243"/>
      <c r="ES113" s="243"/>
      <c r="ET113" s="243"/>
      <c r="EU113" s="243"/>
    </row>
    <row r="114" spans="2:151" ht="12.75" customHeight="1" x14ac:dyDescent="0.2">
      <c r="B114" t="s">
        <v>357</v>
      </c>
      <c r="W114" s="294">
        <f t="shared" ref="W114:AN114" si="882">W113/W112</f>
        <v>0.22379986477349562</v>
      </c>
      <c r="X114" s="294">
        <f t="shared" si="882"/>
        <v>0.17814276689829439</v>
      </c>
      <c r="Y114" s="294">
        <f t="shared" si="882"/>
        <v>0.21553645335880292</v>
      </c>
      <c r="Z114" s="294">
        <f t="shared" si="882"/>
        <v>0.17661241711874623</v>
      </c>
      <c r="AA114" s="294">
        <f t="shared" si="882"/>
        <v>0.21730083234244946</v>
      </c>
      <c r="AB114" s="294">
        <f t="shared" si="882"/>
        <v>0.18489942132818959</v>
      </c>
      <c r="AC114" s="294">
        <f t="shared" si="882"/>
        <v>0.2463614712887007</v>
      </c>
      <c r="AD114" s="294">
        <f t="shared" si="882"/>
        <v>0.25042260323593335</v>
      </c>
      <c r="AE114" s="294">
        <f t="shared" si="882"/>
        <v>0.25797872340425532</v>
      </c>
      <c r="AF114" s="294">
        <f t="shared" si="882"/>
        <v>0.26004436775942813</v>
      </c>
      <c r="AG114" s="294">
        <f t="shared" si="882"/>
        <v>0.26013847675568746</v>
      </c>
      <c r="AH114" s="294">
        <f t="shared" si="882"/>
        <v>0.19720430107526882</v>
      </c>
      <c r="AI114" s="294">
        <f t="shared" si="882"/>
        <v>0.31019387116948094</v>
      </c>
      <c r="AJ114" s="294">
        <f t="shared" si="882"/>
        <v>0.29015650741350907</v>
      </c>
      <c r="AK114" s="294">
        <f t="shared" si="882"/>
        <v>0.29489398528775423</v>
      </c>
      <c r="AL114" s="294">
        <f t="shared" si="882"/>
        <v>0.2391619995851483</v>
      </c>
      <c r="AM114" s="294">
        <f t="shared" si="882"/>
        <v>0.30692476551586512</v>
      </c>
      <c r="AN114" s="294">
        <f t="shared" si="882"/>
        <v>0.25994180407371487</v>
      </c>
      <c r="AO114" s="243"/>
      <c r="AP114" s="243"/>
      <c r="AQ114" s="243"/>
      <c r="AR114" s="243"/>
      <c r="AS114" s="243"/>
      <c r="AT114" s="243"/>
      <c r="AU114" s="243"/>
      <c r="AV114" s="243"/>
      <c r="AW114" s="243"/>
      <c r="AX114" s="243"/>
      <c r="BC114" s="294">
        <f>+BC113/BC112</f>
        <v>0.59450778866227716</v>
      </c>
      <c r="DS114" s="294">
        <f t="shared" ref="DS114:EF114" si="883">DS113/DS112</f>
        <v>0.12907403410317289</v>
      </c>
      <c r="DT114" s="294">
        <f t="shared" si="883"/>
        <v>0.13577943615257049</v>
      </c>
      <c r="DU114" s="294">
        <f t="shared" si="883"/>
        <v>0.15830985915492957</v>
      </c>
      <c r="DV114" s="294">
        <f t="shared" si="883"/>
        <v>0.17856612735639008</v>
      </c>
      <c r="DW114" s="294">
        <f t="shared" si="883"/>
        <v>0.17550818046603867</v>
      </c>
      <c r="DX114" s="294">
        <f t="shared" si="883"/>
        <v>0.18375815056312983</v>
      </c>
      <c r="DY114" s="294">
        <f t="shared" si="883"/>
        <v>0.16442992181117982</v>
      </c>
      <c r="DZ114" s="294">
        <f t="shared" si="883"/>
        <v>0.16463230101886411</v>
      </c>
      <c r="EA114" s="294">
        <f t="shared" si="883"/>
        <v>0.16496449761696333</v>
      </c>
      <c r="EB114" s="294">
        <f t="shared" si="883"/>
        <v>0.17880439638995621</v>
      </c>
      <c r="EC114" s="294">
        <f t="shared" si="883"/>
        <v>0.19777512912197059</v>
      </c>
      <c r="ED114" s="294">
        <f t="shared" si="883"/>
        <v>0.22596218318358588</v>
      </c>
      <c r="EE114" s="294">
        <f t="shared" si="883"/>
        <v>0.24225735773079884</v>
      </c>
      <c r="EF114" s="294">
        <f t="shared" si="883"/>
        <v>0.2837243401759531</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358</v>
      </c>
      <c r="Z115" s="294">
        <f t="shared" ref="Z115:BJ115" si="884">Z112/Z63</f>
        <v>0.35286610656173562</v>
      </c>
      <c r="AA115" s="294">
        <f t="shared" si="884"/>
        <v>0.34249643657096313</v>
      </c>
      <c r="AB115" s="294">
        <f t="shared" si="884"/>
        <v>0.35123886953155248</v>
      </c>
      <c r="AC115" s="294">
        <f t="shared" si="884"/>
        <v>0.3614884254830687</v>
      </c>
      <c r="AD115" s="294">
        <f t="shared" si="884"/>
        <v>0.36359645271753449</v>
      </c>
      <c r="AE115" s="294">
        <f t="shared" si="884"/>
        <v>0.34512683578104136</v>
      </c>
      <c r="AF115" s="294">
        <f t="shared" si="884"/>
        <v>0.34115371678439288</v>
      </c>
      <c r="AG115" s="294">
        <f t="shared" si="884"/>
        <v>0.35003895092183851</v>
      </c>
      <c r="AH115" s="294">
        <f t="shared" si="884"/>
        <v>0.36464868255959848</v>
      </c>
      <c r="AI115" s="294">
        <f t="shared" si="884"/>
        <v>0.37383104738154616</v>
      </c>
      <c r="AJ115" s="294">
        <f t="shared" si="884"/>
        <v>0.38050462309982763</v>
      </c>
      <c r="AK115" s="294">
        <f t="shared" si="884"/>
        <v>0.37546709991876526</v>
      </c>
      <c r="AL115" s="294">
        <f t="shared" si="884"/>
        <v>0.38231562252180806</v>
      </c>
      <c r="AM115" s="294">
        <f t="shared" si="884"/>
        <v>0.38569889162561577</v>
      </c>
      <c r="AN115" s="294">
        <f t="shared" si="884"/>
        <v>0.38576666916111652</v>
      </c>
      <c r="AO115" s="294">
        <f t="shared" si="884"/>
        <v>0.37254459245879429</v>
      </c>
      <c r="AP115" s="294">
        <f t="shared" si="884"/>
        <v>0.37764946645227304</v>
      </c>
      <c r="AQ115" s="294">
        <f t="shared" si="884"/>
        <v>0.35262146218598794</v>
      </c>
      <c r="AR115" s="294">
        <f t="shared" si="884"/>
        <v>0.35781270637960638</v>
      </c>
      <c r="AS115" s="294">
        <f t="shared" si="884"/>
        <v>0.34970347171320049</v>
      </c>
      <c r="AT115" s="294">
        <f t="shared" si="884"/>
        <v>0.36034342294917593</v>
      </c>
      <c r="AU115" s="294">
        <f t="shared" si="884"/>
        <v>0.3520439669013215</v>
      </c>
      <c r="AV115" s="294">
        <f t="shared" si="884"/>
        <v>0.36924012158054709</v>
      </c>
      <c r="AW115" s="294">
        <f t="shared" si="884"/>
        <v>0.35858300358017714</v>
      </c>
      <c r="AX115" s="294">
        <f t="shared" si="884"/>
        <v>0.37162429192464763</v>
      </c>
      <c r="AY115" s="294">
        <f t="shared" si="884"/>
        <v>0.36836150672168244</v>
      </c>
      <c r="AZ115" s="294">
        <f t="shared" si="884"/>
        <v>0.38631143775838311</v>
      </c>
      <c r="BA115" s="294">
        <f t="shared" si="884"/>
        <v>0.38744115111729993</v>
      </c>
      <c r="BB115" s="294">
        <f t="shared" si="884"/>
        <v>0.38118542686242524</v>
      </c>
      <c r="BC115" s="294">
        <f t="shared" si="884"/>
        <v>0.39837502399078756</v>
      </c>
      <c r="BD115" s="294">
        <f t="shared" si="884"/>
        <v>0.3983364741048801</v>
      </c>
      <c r="BE115" s="294">
        <f t="shared" si="884"/>
        <v>0.39514083566947</v>
      </c>
      <c r="BF115" s="294">
        <f t="shared" si="884"/>
        <v>0.40424443876246485</v>
      </c>
      <c r="BG115" s="294">
        <f t="shared" si="884"/>
        <v>0.42585170340681361</v>
      </c>
      <c r="BH115" s="294">
        <f t="shared" si="884"/>
        <v>0.39591492438392478</v>
      </c>
      <c r="BI115" s="294">
        <f t="shared" si="884"/>
        <v>0.54364261168384875</v>
      </c>
      <c r="BJ115" s="294">
        <f t="shared" si="884"/>
        <v>0.48132405291961106</v>
      </c>
      <c r="BK115" s="294"/>
      <c r="BL115" s="294"/>
      <c r="BM115" s="294"/>
      <c r="BN115" s="294"/>
      <c r="BO115" s="294"/>
      <c r="BP115" s="294"/>
      <c r="BQ115" s="294"/>
      <c r="BR115" s="294"/>
      <c r="BS115" s="294"/>
      <c r="BT115" s="294"/>
      <c r="BU115" s="294"/>
      <c r="BV115" s="294"/>
      <c r="BW115" s="294"/>
      <c r="BX115" s="294"/>
      <c r="BY115" s="294"/>
      <c r="BZ115" s="294"/>
      <c r="CA115" s="294"/>
      <c r="CB115" s="294"/>
      <c r="CC115" s="294"/>
      <c r="CD115" s="294"/>
      <c r="CE115" s="294"/>
      <c r="CF115" s="294"/>
      <c r="CG115" s="294"/>
      <c r="CH115" s="294"/>
      <c r="CI115" s="294"/>
      <c r="CJ115" s="294"/>
      <c r="CK115" s="294"/>
      <c r="CL115" s="294"/>
      <c r="CM115" s="294"/>
      <c r="CN115" s="294"/>
      <c r="CO115" s="294"/>
      <c r="CP115" s="294"/>
      <c r="CQ115" s="294"/>
      <c r="CR115" s="294"/>
      <c r="CS115" s="294"/>
      <c r="CT115" s="294"/>
      <c r="CU115" s="294"/>
      <c r="CV115" s="294"/>
      <c r="CW115" s="294"/>
      <c r="CX115" s="294"/>
      <c r="CY115" s="294"/>
      <c r="CZ115" s="294"/>
      <c r="DA115" s="294"/>
      <c r="DB115" s="294"/>
      <c r="DC115" s="294"/>
      <c r="DD115" s="294"/>
      <c r="DE115" s="294"/>
      <c r="DF115" s="294"/>
      <c r="DG115" s="294"/>
      <c r="DH115" s="294"/>
      <c r="DI115" s="294"/>
      <c r="DJ115" s="294"/>
      <c r="DK115" s="294"/>
      <c r="DL115" s="294"/>
      <c r="DM115" s="294"/>
      <c r="DN115" s="294"/>
      <c r="DS115" s="294">
        <f t="shared" ref="DS115:EP115" si="885">DS112/DS63</f>
        <v>0.33687195520977242</v>
      </c>
      <c r="DT115" s="294">
        <f t="shared" si="885"/>
        <v>0.34120809166784555</v>
      </c>
      <c r="DU115" s="294">
        <f t="shared" si="885"/>
        <v>0.3384390491928308</v>
      </c>
      <c r="DV115" s="294">
        <f t="shared" si="885"/>
        <v>0.35755227682836216</v>
      </c>
      <c r="DW115" s="294">
        <f t="shared" si="885"/>
        <v>0.37317298797409804</v>
      </c>
      <c r="DX115" s="294">
        <f t="shared" si="885"/>
        <v>0.37275177869106013</v>
      </c>
      <c r="DY115" s="294">
        <f t="shared" si="885"/>
        <v>0.36221837088388215</v>
      </c>
      <c r="DZ115" s="294">
        <f t="shared" si="885"/>
        <v>0.36085326344144736</v>
      </c>
      <c r="EA115" s="294">
        <f t="shared" si="885"/>
        <v>0.35282610933800063</v>
      </c>
      <c r="EB115" s="294">
        <f t="shared" si="885"/>
        <v>0.33908011150163614</v>
      </c>
      <c r="EC115" s="294">
        <f t="shared" si="885"/>
        <v>0.34094695748525544</v>
      </c>
      <c r="ED115" s="294">
        <f t="shared" si="885"/>
        <v>0.35203255486788748</v>
      </c>
      <c r="EE115" s="294">
        <f t="shared" si="885"/>
        <v>0.35095704220961405</v>
      </c>
      <c r="EF115" s="294">
        <f t="shared" si="885"/>
        <v>0.38579336538850056</v>
      </c>
      <c r="EG115" s="294">
        <f t="shared" si="885"/>
        <v>0.38037281524266747</v>
      </c>
      <c r="EH115" s="294">
        <f t="shared" si="885"/>
        <v>0.35577379490956706</v>
      </c>
      <c r="EI115" s="294">
        <f t="shared" si="885"/>
        <v>0.36277785621284137</v>
      </c>
      <c r="EJ115" s="294">
        <f t="shared" si="885"/>
        <v>0.38085852303019535</v>
      </c>
      <c r="EK115" s="294">
        <f t="shared" si="885"/>
        <v>0.4003091693108779</v>
      </c>
      <c r="EL115" s="294">
        <f t="shared" si="885"/>
        <v>0.39641703829002001</v>
      </c>
      <c r="EM115" s="294">
        <f t="shared" si="885"/>
        <v>0.40482973415797008</v>
      </c>
      <c r="EN115" s="294">
        <f t="shared" si="885"/>
        <v>0.39951200358985867</v>
      </c>
      <c r="EO115" s="294">
        <f t="shared" si="885"/>
        <v>0.3837856910053733</v>
      </c>
      <c r="EP115" s="294">
        <f t="shared" si="885"/>
        <v>0.38487684959266583</v>
      </c>
      <c r="EQ115" s="294"/>
      <c r="ER115" s="294"/>
      <c r="ES115" s="294"/>
      <c r="ET115" s="294"/>
      <c r="EU115" s="294"/>
    </row>
    <row r="116" spans="2:151" ht="12.75" customHeight="1" x14ac:dyDescent="0.2">
      <c r="B116" t="s">
        <v>359</v>
      </c>
      <c r="AE116" s="243"/>
      <c r="AF116" s="243"/>
      <c r="AG116" s="243"/>
      <c r="AH116" s="288"/>
      <c r="AI116" s="288"/>
      <c r="AJ116" s="288">
        <f t="shared" ref="AJ116:BD116" si="886">AJ112/AF112-1</f>
        <v>0.19694355435050537</v>
      </c>
      <c r="AK116" s="288">
        <f t="shared" si="886"/>
        <v>0.14292779426310576</v>
      </c>
      <c r="AL116" s="288">
        <f t="shared" si="886"/>
        <v>3.677419354838718E-2</v>
      </c>
      <c r="AM116" s="288">
        <f t="shared" si="886"/>
        <v>4.4611215342922561E-2</v>
      </c>
      <c r="AN116" s="288">
        <f t="shared" si="886"/>
        <v>6.1573311367380645E-2</v>
      </c>
      <c r="AO116" s="288">
        <f t="shared" si="886"/>
        <v>7.0964950237992319E-2</v>
      </c>
      <c r="AP116" s="288">
        <f t="shared" si="886"/>
        <v>7.1769342460070495E-2</v>
      </c>
      <c r="AQ116" s="288">
        <f t="shared" si="886"/>
        <v>6.1664338455398093E-2</v>
      </c>
      <c r="AR116" s="288">
        <f t="shared" si="886"/>
        <v>5.1018428709990404E-2</v>
      </c>
      <c r="AS116" s="288">
        <f t="shared" si="886"/>
        <v>6.0202020202020146E-2</v>
      </c>
      <c r="AT116" s="288">
        <f t="shared" si="886"/>
        <v>0.11283143023030773</v>
      </c>
      <c r="AU116" s="288">
        <f t="shared" si="886"/>
        <v>7.1616541353383356E-2</v>
      </c>
      <c r="AV116" s="288">
        <f t="shared" si="886"/>
        <v>0.12107788851974899</v>
      </c>
      <c r="AW116" s="288">
        <f t="shared" si="886"/>
        <v>8.7842987804878092E-2</v>
      </c>
      <c r="AX116" s="288">
        <f t="shared" si="886"/>
        <v>-1.8782608695652181E-2</v>
      </c>
      <c r="AY116" s="288">
        <f t="shared" si="886"/>
        <v>-2.9117698649359758E-2</v>
      </c>
      <c r="AZ116" s="288">
        <f t="shared" si="886"/>
        <v>-3.0786960816595377E-2</v>
      </c>
      <c r="BA116" s="288">
        <f t="shared" si="886"/>
        <v>2.3471711332982981E-2</v>
      </c>
      <c r="BB116" s="288">
        <f t="shared" si="886"/>
        <v>0.11822048918823103</v>
      </c>
      <c r="BC116" s="288">
        <f t="shared" si="886"/>
        <v>0.12502258355916895</v>
      </c>
      <c r="BD116" s="288">
        <f t="shared" si="886"/>
        <v>4.1277390861219621E-2</v>
      </c>
      <c r="BE116" s="288">
        <f t="shared" ref="BE116" si="887">BE112/BA112-1</f>
        <v>1.3178161903131924E-2</v>
      </c>
      <c r="BF116" s="288">
        <f t="shared" ref="BF116" si="888">BF112/BB112-1</f>
        <v>2.377555872562942E-3</v>
      </c>
      <c r="BG116" s="288">
        <f t="shared" ref="BG116" si="889">BG112/BC112-1</f>
        <v>0.16026979283764242</v>
      </c>
      <c r="BH116" s="288">
        <f t="shared" ref="BH116" si="890">BH112/BD112-1</f>
        <v>7.1941272430668946E-2</v>
      </c>
      <c r="BI116" s="288">
        <f t="shared" ref="BI116" si="891">BI112/BE112-1</f>
        <v>0.46976351351351342</v>
      </c>
      <c r="BJ116" s="288">
        <f t="shared" ref="BJ116" si="892">BJ112/BF112-1</f>
        <v>0.43247944339025923</v>
      </c>
      <c r="BK116" s="288"/>
      <c r="BL116" s="288"/>
      <c r="BM116" s="288"/>
      <c r="BN116" s="288"/>
      <c r="BO116" s="288"/>
      <c r="BP116" s="288"/>
      <c r="BQ116" s="288"/>
      <c r="BR116" s="288"/>
      <c r="BS116" s="288"/>
      <c r="BT116" s="288"/>
      <c r="BU116" s="288"/>
      <c r="BV116" s="288"/>
      <c r="BW116" s="288"/>
      <c r="BX116" s="288"/>
      <c r="BY116" s="288"/>
      <c r="BZ116" s="288"/>
      <c r="CA116" s="288"/>
      <c r="CB116" s="288"/>
      <c r="CC116" s="288"/>
      <c r="CD116" s="288"/>
      <c r="CE116" s="288"/>
      <c r="CF116" s="288"/>
      <c r="CG116" s="288"/>
      <c r="CH116" s="288"/>
      <c r="CI116" s="288"/>
      <c r="CJ116" s="288"/>
      <c r="CK116" s="288"/>
      <c r="CL116" s="288"/>
      <c r="CM116" s="288"/>
      <c r="CN116" s="288"/>
      <c r="CO116" s="288"/>
      <c r="CP116" s="288"/>
      <c r="CQ116" s="288"/>
      <c r="CR116" s="288"/>
      <c r="CS116" s="288"/>
      <c r="CT116" s="288"/>
      <c r="CU116" s="288"/>
      <c r="CV116" s="288"/>
      <c r="CW116" s="288"/>
      <c r="CX116" s="288"/>
      <c r="CY116" s="288"/>
      <c r="CZ116" s="288"/>
      <c r="DA116" s="288"/>
      <c r="DB116" s="288"/>
      <c r="DC116" s="288"/>
      <c r="DD116" s="288"/>
      <c r="DE116" s="288"/>
      <c r="DF116" s="288"/>
      <c r="DG116" s="288"/>
      <c r="DH116" s="288"/>
      <c r="DI116" s="288"/>
      <c r="DJ116" s="288"/>
      <c r="DK116" s="288"/>
      <c r="DL116" s="288"/>
      <c r="DM116" s="288"/>
      <c r="DN116" s="288"/>
      <c r="EG116" s="288">
        <f>EG112/EF112-1</f>
        <v>6.2159614578969347E-2</v>
      </c>
      <c r="EH116" s="288">
        <f t="shared" ref="EH116:EI116" si="893">EH112/EG112-1</f>
        <v>7.1636345708228522E-2</v>
      </c>
      <c r="EI116" s="288">
        <f t="shared" si="893"/>
        <v>6.3949208686050696E-2</v>
      </c>
      <c r="EJ116" s="288">
        <f>EJ112/EI112-1</f>
        <v>1.9372135259015932E-2</v>
      </c>
      <c r="EK116" s="243"/>
      <c r="EL116" s="243"/>
      <c r="EM116" s="243"/>
      <c r="EN116" s="243"/>
      <c r="EO116" s="243"/>
      <c r="EP116" s="243"/>
      <c r="EQ116" s="243"/>
      <c r="ER116" s="243"/>
      <c r="ES116" s="243"/>
      <c r="ET116" s="243"/>
      <c r="EU116" s="243"/>
    </row>
    <row r="117" spans="2:151" ht="12.75" customHeight="1" x14ac:dyDescent="0.2">
      <c r="B117" t="s">
        <v>360</v>
      </c>
      <c r="AE117" s="243"/>
      <c r="AF117" s="243"/>
      <c r="AG117" s="243"/>
      <c r="AH117" s="243"/>
      <c r="AI117" s="294"/>
      <c r="AJ117" s="243"/>
      <c r="AK117" s="243"/>
      <c r="AL117" s="243"/>
      <c r="AM117" s="294"/>
      <c r="AN117" s="243"/>
      <c r="AO117" s="288">
        <v>6.0999999999999999E-2</v>
      </c>
      <c r="AP117" s="243"/>
      <c r="AQ117" s="243"/>
      <c r="AR117" s="243"/>
      <c r="AS117" s="243"/>
      <c r="AT117" s="243"/>
      <c r="AU117" s="243"/>
      <c r="AV117" s="288">
        <v>5.7000000000000002E-2</v>
      </c>
      <c r="AW117" s="243"/>
      <c r="AX117" s="243"/>
      <c r="AY117" s="288">
        <v>3.1E-2</v>
      </c>
      <c r="AZ117" s="288">
        <v>2.9000000000000001E-2</v>
      </c>
      <c r="BD117" s="288">
        <v>3.5000000000000003E-2</v>
      </c>
      <c r="BG117" s="288">
        <v>1.2999999999999999E-2</v>
      </c>
      <c r="BI117" s="288">
        <v>1.7000000000000001E-2</v>
      </c>
      <c r="EG117" s="288">
        <v>6.4000000000000001E-2</v>
      </c>
      <c r="EH117" s="243"/>
      <c r="EI117" s="243"/>
      <c r="EJ117" s="288">
        <v>4.2000000000000003E-2</v>
      </c>
      <c r="EK117" s="243"/>
      <c r="EL117" s="243"/>
      <c r="EM117" s="243"/>
      <c r="EN117" s="243"/>
      <c r="EO117" s="243"/>
      <c r="EP117" s="243"/>
      <c r="EQ117" s="243"/>
      <c r="ER117" s="243"/>
      <c r="ES117" s="243"/>
      <c r="ET117" s="243"/>
      <c r="EU117" s="243"/>
    </row>
    <row r="118" spans="2:151" ht="12.75" customHeight="1" x14ac:dyDescent="0.2">
      <c r="B118" t="s">
        <v>1189</v>
      </c>
      <c r="AE118" s="243"/>
      <c r="AF118" s="243"/>
      <c r="AG118" s="243"/>
      <c r="AH118" s="243"/>
      <c r="AI118" s="294"/>
      <c r="AJ118" s="243"/>
      <c r="AK118" s="243"/>
      <c r="AL118" s="243"/>
      <c r="AM118" s="294"/>
      <c r="AN118" s="243"/>
      <c r="AO118" s="288"/>
      <c r="AP118" s="243"/>
      <c r="AQ118" s="243"/>
      <c r="AR118" s="243"/>
      <c r="AS118" s="243"/>
      <c r="AT118" s="243"/>
      <c r="AU118" s="243"/>
      <c r="AV118" s="288"/>
      <c r="AW118" s="243"/>
      <c r="AX118" s="243"/>
      <c r="AY118" s="288"/>
      <c r="AZ118" s="288">
        <f>AZ116-AZ117</f>
        <v>-5.9786960816595375E-2</v>
      </c>
      <c r="BD118" s="288">
        <f>BD116-BD117</f>
        <v>6.2773908612196172E-3</v>
      </c>
      <c r="BG118" s="288">
        <v>0.02</v>
      </c>
      <c r="BI118" s="288">
        <v>4.3999999999999997E-2</v>
      </c>
      <c r="EG118" s="288"/>
      <c r="EH118" s="243"/>
      <c r="EI118" s="243"/>
      <c r="EJ118" s="288">
        <f>EJ116-EJ117</f>
        <v>-2.262786474098407E-2</v>
      </c>
      <c r="EK118" s="243"/>
      <c r="EL118" s="243"/>
      <c r="EM118" s="243"/>
      <c r="EN118" s="243"/>
      <c r="EO118" s="243"/>
      <c r="EP118" s="243"/>
      <c r="EQ118" s="243"/>
      <c r="ER118" s="243"/>
      <c r="ES118" s="243"/>
      <c r="ET118" s="243"/>
      <c r="EU118" s="243"/>
    </row>
    <row r="119" spans="2:151" ht="12.75" customHeight="1" x14ac:dyDescent="0.2">
      <c r="B119" t="s">
        <v>231</v>
      </c>
      <c r="K119" s="247">
        <v>1728</v>
      </c>
      <c r="L119" s="247">
        <v>1687</v>
      </c>
      <c r="M119" s="247">
        <v>1704</v>
      </c>
      <c r="N119" s="247">
        <v>1744</v>
      </c>
      <c r="O119" s="247">
        <v>1752</v>
      </c>
      <c r="P119" s="247">
        <v>1707</v>
      </c>
      <c r="Q119" s="247">
        <v>1722</v>
      </c>
      <c r="R119" s="247">
        <v>1723</v>
      </c>
      <c r="S119" s="243">
        <f t="shared" ref="S119:AN119" si="894">S255</f>
        <v>1631</v>
      </c>
      <c r="T119" s="243">
        <f t="shared" si="894"/>
        <v>1530</v>
      </c>
      <c r="U119" s="243">
        <f t="shared" si="894"/>
        <v>1609</v>
      </c>
      <c r="V119" s="243">
        <f t="shared" si="894"/>
        <v>1550</v>
      </c>
      <c r="W119" s="243">
        <f t="shared" si="894"/>
        <v>1604</v>
      </c>
      <c r="X119" s="243">
        <f t="shared" si="894"/>
        <v>1649</v>
      </c>
      <c r="Y119" s="243">
        <f t="shared" si="894"/>
        <v>1661</v>
      </c>
      <c r="Z119" s="243">
        <f t="shared" si="894"/>
        <v>1650</v>
      </c>
      <c r="AA119" s="243">
        <f t="shared" si="894"/>
        <v>1791</v>
      </c>
      <c r="AB119" s="243">
        <f t="shared" si="894"/>
        <v>1819</v>
      </c>
      <c r="AC119" s="243">
        <f t="shared" si="894"/>
        <v>1841</v>
      </c>
      <c r="AD119" s="243">
        <f t="shared" si="894"/>
        <v>1979</v>
      </c>
      <c r="AE119" s="243">
        <f t="shared" si="894"/>
        <v>2047</v>
      </c>
      <c r="AF119" s="243">
        <f t="shared" si="894"/>
        <v>2000</v>
      </c>
      <c r="AG119" s="243">
        <f t="shared" si="894"/>
        <v>2024</v>
      </c>
      <c r="AH119" s="243">
        <f t="shared" si="894"/>
        <v>2262</v>
      </c>
      <c r="AI119" s="243">
        <f t="shared" si="894"/>
        <v>2280</v>
      </c>
      <c r="AJ119" s="243">
        <f t="shared" si="894"/>
        <v>2278</v>
      </c>
      <c r="AK119" s="243">
        <f t="shared" si="894"/>
        <v>2231</v>
      </c>
      <c r="AL119" s="243">
        <f t="shared" si="894"/>
        <v>2307</v>
      </c>
      <c r="AM119" s="243">
        <f t="shared" si="894"/>
        <v>2355</v>
      </c>
      <c r="AN119" s="243">
        <f t="shared" si="894"/>
        <v>2398</v>
      </c>
      <c r="AO119" s="243">
        <f t="shared" ref="AO119:BJ119" si="895">AO62</f>
        <v>2456</v>
      </c>
      <c r="AP119" s="243">
        <f t="shared" si="895"/>
        <v>2565</v>
      </c>
      <c r="AQ119" s="243">
        <f t="shared" si="895"/>
        <v>3496</v>
      </c>
      <c r="AR119" s="243">
        <f t="shared" si="895"/>
        <v>3564</v>
      </c>
      <c r="AS119" s="243">
        <f t="shared" si="895"/>
        <v>3623</v>
      </c>
      <c r="AT119" s="243">
        <f t="shared" si="895"/>
        <v>3810</v>
      </c>
      <c r="AU119" s="243">
        <f t="shared" si="895"/>
        <v>4064</v>
      </c>
      <c r="AV119" s="243">
        <f t="shared" si="895"/>
        <v>4036</v>
      </c>
      <c r="AW119" s="243">
        <f t="shared" si="895"/>
        <v>4099</v>
      </c>
      <c r="AX119" s="243">
        <f t="shared" si="895"/>
        <v>3855</v>
      </c>
      <c r="AY119" s="243">
        <f t="shared" si="895"/>
        <v>3711</v>
      </c>
      <c r="AZ119" s="243">
        <f t="shared" si="895"/>
        <v>3854</v>
      </c>
      <c r="BA119" s="243">
        <f t="shared" si="895"/>
        <v>3989</v>
      </c>
      <c r="BB119" s="243">
        <f t="shared" si="895"/>
        <v>4249</v>
      </c>
      <c r="BC119" s="243">
        <f t="shared" si="895"/>
        <v>3766</v>
      </c>
      <c r="BD119" s="243">
        <f t="shared" si="895"/>
        <v>3647</v>
      </c>
      <c r="BE119" s="243">
        <f t="shared" si="895"/>
        <v>3567</v>
      </c>
      <c r="BF119" s="243">
        <f t="shared" si="895"/>
        <v>3610</v>
      </c>
      <c r="BG119" s="243">
        <f t="shared" si="895"/>
        <v>3682</v>
      </c>
      <c r="BH119" s="243">
        <f t="shared" si="895"/>
        <v>3793</v>
      </c>
      <c r="BI119" s="243">
        <f t="shared" si="895"/>
        <v>3740</v>
      </c>
      <c r="BJ119" s="243">
        <f t="shared" si="895"/>
        <v>3668</v>
      </c>
      <c r="BK119" s="243"/>
      <c r="BL119" s="243"/>
      <c r="BM119" s="243"/>
      <c r="BN119" s="243"/>
      <c r="BO119" s="243"/>
      <c r="BP119" s="243"/>
      <c r="BQ119" s="243"/>
      <c r="BR119" s="243"/>
      <c r="BS119" s="243"/>
      <c r="BT119" s="243"/>
      <c r="BU119" s="243"/>
      <c r="BV119" s="243"/>
      <c r="BW119" s="243"/>
      <c r="BX119" s="243"/>
      <c r="BY119" s="243"/>
      <c r="BZ119" s="243"/>
      <c r="CA119" s="243"/>
      <c r="CB119" s="243"/>
      <c r="CC119" s="243"/>
      <c r="CD119" s="243"/>
      <c r="CE119" s="243"/>
      <c r="CF119" s="243"/>
      <c r="CG119" s="243"/>
      <c r="CH119" s="243"/>
      <c r="CI119" s="243"/>
      <c r="CJ119" s="243"/>
      <c r="CK119" s="243"/>
      <c r="CL119" s="243"/>
      <c r="CM119" s="243"/>
      <c r="CN119" s="243"/>
      <c r="CO119" s="243"/>
      <c r="CP119" s="243"/>
      <c r="CQ119" s="243"/>
      <c r="CR119" s="243"/>
      <c r="CS119" s="243"/>
      <c r="CT119" s="243"/>
      <c r="CU119" s="243"/>
      <c r="CV119" s="243"/>
      <c r="CW119" s="243"/>
      <c r="CX119" s="243"/>
      <c r="CY119" s="243"/>
      <c r="CZ119" s="243"/>
      <c r="DA119" s="243"/>
      <c r="DB119" s="243"/>
      <c r="DC119" s="243"/>
      <c r="DD119" s="243"/>
      <c r="DE119" s="243"/>
      <c r="DF119" s="243"/>
      <c r="DG119" s="243"/>
      <c r="DH119" s="243"/>
      <c r="DI119" s="243"/>
      <c r="DJ119" s="243"/>
      <c r="DK119" s="243"/>
      <c r="DL119" s="243"/>
      <c r="DM119" s="243"/>
      <c r="DN119" s="243"/>
      <c r="DS119" s="243">
        <v>4780</v>
      </c>
      <c r="DT119" s="243">
        <v>4824</v>
      </c>
      <c r="DU119" s="243">
        <v>5251</v>
      </c>
      <c r="DV119" s="243">
        <v>5831</v>
      </c>
      <c r="DW119" s="243">
        <v>6364</v>
      </c>
      <c r="DX119" s="243">
        <v>6498</v>
      </c>
      <c r="DY119" s="243">
        <v>6526</v>
      </c>
      <c r="DZ119" s="243">
        <v>6864</v>
      </c>
      <c r="EA119" s="243">
        <v>6904</v>
      </c>
      <c r="EB119" s="243">
        <v>6962</v>
      </c>
      <c r="EC119" s="243">
        <v>6564</v>
      </c>
      <c r="ED119" s="243">
        <v>7431</v>
      </c>
      <c r="EE119" s="243">
        <v>8333</v>
      </c>
      <c r="EF119" s="243">
        <f t="shared" ref="EF119:EQ119" si="896">EF62</f>
        <v>9096</v>
      </c>
      <c r="EG119" s="243">
        <f t="shared" si="896"/>
        <v>9774</v>
      </c>
      <c r="EH119" s="243">
        <f t="shared" si="896"/>
        <v>14493</v>
      </c>
      <c r="EI119" s="243">
        <f t="shared" si="896"/>
        <v>16054</v>
      </c>
      <c r="EJ119" s="243">
        <f t="shared" si="896"/>
        <v>15803</v>
      </c>
      <c r="EK119" s="243">
        <f t="shared" si="896"/>
        <v>14590</v>
      </c>
      <c r="EL119" s="243">
        <f t="shared" si="896"/>
        <v>14883</v>
      </c>
      <c r="EM119" s="243">
        <f t="shared" si="896"/>
        <v>14447</v>
      </c>
      <c r="EN119" s="243">
        <f t="shared" si="896"/>
        <v>14697</v>
      </c>
      <c r="EO119" s="243">
        <f t="shared" si="896"/>
        <v>14990.94</v>
      </c>
      <c r="EP119" s="243">
        <f t="shared" si="896"/>
        <v>15290.758800000001</v>
      </c>
      <c r="EQ119" s="243">
        <f t="shared" si="896"/>
        <v>15596.573976000001</v>
      </c>
      <c r="ER119" s="243"/>
      <c r="ES119" s="243"/>
      <c r="ET119" s="243"/>
      <c r="EU119" s="243"/>
    </row>
    <row r="120" spans="2:151" ht="12.75" customHeight="1" x14ac:dyDescent="0.2">
      <c r="B120" t="s">
        <v>356</v>
      </c>
      <c r="W120" s="243">
        <v>315</v>
      </c>
      <c r="X120" s="243">
        <v>339</v>
      </c>
      <c r="Y120" s="243">
        <v>337</v>
      </c>
      <c r="Z120" s="243">
        <v>238</v>
      </c>
      <c r="AA120" s="243">
        <v>413</v>
      </c>
      <c r="AB120" s="243">
        <v>372</v>
      </c>
      <c r="AC120" s="243">
        <v>364</v>
      </c>
      <c r="AD120" s="243">
        <v>244</v>
      </c>
      <c r="AE120" s="243">
        <v>440</v>
      </c>
      <c r="AF120" s="243">
        <v>382</v>
      </c>
      <c r="AG120" s="243">
        <v>358</v>
      </c>
      <c r="AH120" s="243">
        <v>334</v>
      </c>
      <c r="AI120" s="243">
        <v>438</v>
      </c>
      <c r="AJ120" s="243">
        <v>418</v>
      </c>
      <c r="AK120" s="243">
        <v>426</v>
      </c>
      <c r="AL120" s="243">
        <v>366</v>
      </c>
      <c r="AM120" s="243">
        <v>465</v>
      </c>
      <c r="AN120" s="243">
        <v>473</v>
      </c>
      <c r="AO120" s="243"/>
      <c r="AP120" s="243"/>
      <c r="AQ120" s="243"/>
      <c r="AR120" s="243"/>
      <c r="AS120" s="243"/>
      <c r="AT120" s="243"/>
      <c r="AU120" s="243"/>
      <c r="AV120" s="243"/>
      <c r="AW120" s="243"/>
      <c r="AX120" s="243"/>
      <c r="BC120" s="76">
        <v>785</v>
      </c>
      <c r="DS120" s="243">
        <v>501</v>
      </c>
      <c r="DT120" s="243">
        <v>521</v>
      </c>
      <c r="DU120" s="243">
        <v>443</v>
      </c>
      <c r="DV120" s="243">
        <v>298</v>
      </c>
      <c r="DW120" s="243">
        <v>361</v>
      </c>
      <c r="DX120" s="243">
        <v>558</v>
      </c>
      <c r="DY120" s="243">
        <v>658</v>
      </c>
      <c r="DZ120" s="243">
        <v>683</v>
      </c>
      <c r="EA120" s="243">
        <v>867</v>
      </c>
      <c r="EB120" s="243">
        <v>1004</v>
      </c>
      <c r="EC120" s="243">
        <v>1229</v>
      </c>
      <c r="ED120" s="243">
        <v>1393</v>
      </c>
      <c r="EE120" s="243">
        <v>1514</v>
      </c>
      <c r="EF120" s="243">
        <v>1667</v>
      </c>
      <c r="EG120" s="243"/>
      <c r="EH120" s="243"/>
      <c r="EI120" s="243"/>
      <c r="EJ120" s="243"/>
      <c r="EK120" s="243"/>
      <c r="EL120" s="243"/>
      <c r="EM120" s="243"/>
      <c r="EN120" s="243"/>
      <c r="EO120" s="243"/>
      <c r="EP120" s="243"/>
      <c r="EQ120" s="243"/>
      <c r="ER120" s="243"/>
      <c r="ES120" s="243"/>
      <c r="ET120" s="243"/>
      <c r="EU120" s="243"/>
    </row>
    <row r="121" spans="2:151" ht="12.75" customHeight="1" x14ac:dyDescent="0.2">
      <c r="B121" t="s">
        <v>357</v>
      </c>
      <c r="W121" s="294">
        <f t="shared" ref="W121:AN121" si="897">W120/W119</f>
        <v>0.19638403990024939</v>
      </c>
      <c r="X121" s="294">
        <f t="shared" si="897"/>
        <v>0.20557913887204365</v>
      </c>
      <c r="Y121" s="294">
        <f t="shared" si="897"/>
        <v>0.2028898254063817</v>
      </c>
      <c r="Z121" s="294">
        <f t="shared" si="897"/>
        <v>0.14424242424242426</v>
      </c>
      <c r="AA121" s="294">
        <f t="shared" si="897"/>
        <v>0.23059743160245672</v>
      </c>
      <c r="AB121" s="294">
        <f t="shared" si="897"/>
        <v>0.2045079714128642</v>
      </c>
      <c r="AC121" s="294">
        <f t="shared" si="897"/>
        <v>0.19771863117870722</v>
      </c>
      <c r="AD121" s="294">
        <f t="shared" si="897"/>
        <v>0.12329459322890349</v>
      </c>
      <c r="AE121" s="294">
        <f t="shared" si="897"/>
        <v>0.21494870542256961</v>
      </c>
      <c r="AF121" s="294">
        <f t="shared" si="897"/>
        <v>0.191</v>
      </c>
      <c r="AG121" s="294">
        <f t="shared" si="897"/>
        <v>0.17687747035573123</v>
      </c>
      <c r="AH121" s="294">
        <f t="shared" si="897"/>
        <v>0.14765694076038904</v>
      </c>
      <c r="AI121" s="294">
        <f t="shared" si="897"/>
        <v>0.19210526315789472</v>
      </c>
      <c r="AJ121" s="294">
        <f t="shared" si="897"/>
        <v>0.18349429323968394</v>
      </c>
      <c r="AK121" s="294">
        <f t="shared" si="897"/>
        <v>0.19094576423128642</v>
      </c>
      <c r="AL121" s="294">
        <f t="shared" si="897"/>
        <v>0.15864759427828348</v>
      </c>
      <c r="AM121" s="294">
        <f t="shared" si="897"/>
        <v>0.19745222929936307</v>
      </c>
      <c r="AN121" s="294">
        <f t="shared" si="897"/>
        <v>0.19724770642201836</v>
      </c>
      <c r="BC121" s="294">
        <f>+BC120/BC119</f>
        <v>0.20844397238449283</v>
      </c>
      <c r="DS121" s="294">
        <f t="shared" ref="DS121:EI121" si="898">DS120/DS119</f>
        <v>0.10481171548117155</v>
      </c>
      <c r="DT121" s="294">
        <f t="shared" si="898"/>
        <v>0.1080016583747927</v>
      </c>
      <c r="DU121" s="294">
        <f t="shared" si="898"/>
        <v>8.4364882879451528E-2</v>
      </c>
      <c r="DV121" s="294">
        <f t="shared" si="898"/>
        <v>5.110615674841365E-2</v>
      </c>
      <c r="DW121" s="294">
        <f t="shared" si="898"/>
        <v>5.6725329981143935E-2</v>
      </c>
      <c r="DX121" s="294">
        <f t="shared" si="898"/>
        <v>8.5872576177285317E-2</v>
      </c>
      <c r="DY121" s="294">
        <f t="shared" si="898"/>
        <v>0.10082745939319644</v>
      </c>
      <c r="DZ121" s="294">
        <f t="shared" si="898"/>
        <v>9.9504662004662001E-2</v>
      </c>
      <c r="EA121" s="294">
        <f t="shared" si="898"/>
        <v>0.12557937427578217</v>
      </c>
      <c r="EB121" s="294">
        <f t="shared" si="898"/>
        <v>0.14421143349612181</v>
      </c>
      <c r="EC121" s="294">
        <f t="shared" si="898"/>
        <v>0.18723339427178551</v>
      </c>
      <c r="ED121" s="294">
        <f t="shared" si="898"/>
        <v>0.18745794644058672</v>
      </c>
      <c r="EE121" s="294">
        <f t="shared" si="898"/>
        <v>0.18168726749069963</v>
      </c>
      <c r="EF121" s="294">
        <f t="shared" si="898"/>
        <v>0.18326737027264731</v>
      </c>
      <c r="EG121" s="294">
        <f t="shared" si="898"/>
        <v>0</v>
      </c>
      <c r="EH121" s="294">
        <f t="shared" si="898"/>
        <v>0</v>
      </c>
      <c r="EI121" s="294">
        <f t="shared" si="898"/>
        <v>0</v>
      </c>
    </row>
    <row r="122" spans="2:151" ht="12.75" customHeight="1" x14ac:dyDescent="0.2">
      <c r="B122" t="s">
        <v>358</v>
      </c>
      <c r="Z122" s="294">
        <f t="shared" ref="Z122:BJ122" si="899">Z119/Z63</f>
        <v>0.17547591194299691</v>
      </c>
      <c r="AA122" s="294">
        <f t="shared" si="899"/>
        <v>0.18234575442883322</v>
      </c>
      <c r="AB122" s="294">
        <f t="shared" si="899"/>
        <v>0.17605497483546265</v>
      </c>
      <c r="AC122" s="294">
        <f t="shared" si="899"/>
        <v>0.17610484025253492</v>
      </c>
      <c r="AD122" s="294">
        <f t="shared" si="899"/>
        <v>0.17376415839845466</v>
      </c>
      <c r="AE122" s="294">
        <f t="shared" si="899"/>
        <v>0.17081108144192256</v>
      </c>
      <c r="AF122" s="294">
        <f t="shared" si="899"/>
        <v>0.16818028927009754</v>
      </c>
      <c r="AG122" s="294">
        <f t="shared" si="899"/>
        <v>0.17519259066909029</v>
      </c>
      <c r="AH122" s="294">
        <f t="shared" si="899"/>
        <v>0.17738393977415307</v>
      </c>
      <c r="AI122" s="294">
        <f t="shared" si="899"/>
        <v>0.17768079800498754</v>
      </c>
      <c r="AJ122" s="294">
        <f t="shared" si="899"/>
        <v>0.17849866792038865</v>
      </c>
      <c r="AK122" s="294">
        <f t="shared" si="899"/>
        <v>0.18123476848090983</v>
      </c>
      <c r="AL122" s="294">
        <f t="shared" si="899"/>
        <v>0.18295003965107057</v>
      </c>
      <c r="AM122" s="294">
        <f t="shared" si="899"/>
        <v>0.18126539408866996</v>
      </c>
      <c r="AN122" s="294">
        <f t="shared" si="899"/>
        <v>0.17945072214323132</v>
      </c>
      <c r="AO122" s="294">
        <f t="shared" si="899"/>
        <v>0.18484232708662601</v>
      </c>
      <c r="AP122" s="294">
        <f t="shared" si="899"/>
        <v>0.1874725917263558</v>
      </c>
      <c r="AQ122" s="294">
        <f t="shared" si="899"/>
        <v>0.23172267515079206</v>
      </c>
      <c r="AR122" s="294">
        <f t="shared" si="899"/>
        <v>0.23537181349887729</v>
      </c>
      <c r="AS122" s="294">
        <f t="shared" si="899"/>
        <v>0.24142067035383488</v>
      </c>
      <c r="AT122" s="294">
        <f t="shared" si="899"/>
        <v>0.23876668546719307</v>
      </c>
      <c r="AU122" s="294">
        <f t="shared" si="899"/>
        <v>0.25095714462146473</v>
      </c>
      <c r="AV122" s="294">
        <f t="shared" si="899"/>
        <v>0.24534954407294832</v>
      </c>
      <c r="AW122" s="294">
        <f t="shared" si="899"/>
        <v>0.25745870234281765</v>
      </c>
      <c r="AX122" s="294">
        <f t="shared" si="899"/>
        <v>0.25391911474114082</v>
      </c>
      <c r="AY122" s="294">
        <f t="shared" si="899"/>
        <v>0.24697191534673232</v>
      </c>
      <c r="AZ122" s="294">
        <f t="shared" si="899"/>
        <v>0.25290373384080322</v>
      </c>
      <c r="BA122" s="294">
        <f t="shared" si="899"/>
        <v>0.264505006299317</v>
      </c>
      <c r="BB122" s="294">
        <f t="shared" si="899"/>
        <v>0.25672164823877713</v>
      </c>
      <c r="BC122" s="294">
        <f t="shared" si="899"/>
        <v>0.24093148231079264</v>
      </c>
      <c r="BD122" s="294">
        <f t="shared" si="899"/>
        <v>0.23698745857430631</v>
      </c>
      <c r="BE122" s="294">
        <f t="shared" si="899"/>
        <v>0.2380857028434121</v>
      </c>
      <c r="BF122" s="294">
        <f t="shared" si="899"/>
        <v>0.23075939657376629</v>
      </c>
      <c r="BG122" s="294">
        <f t="shared" si="899"/>
        <v>0.2170222798538253</v>
      </c>
      <c r="BH122" s="294">
        <f t="shared" si="899"/>
        <v>0.22853527745978189</v>
      </c>
      <c r="BI122" s="294">
        <f t="shared" si="899"/>
        <v>0.23367697594501718</v>
      </c>
      <c r="BJ122" s="294">
        <f t="shared" si="899"/>
        <v>0.19488868816747251</v>
      </c>
      <c r="BK122" s="294"/>
      <c r="BL122" s="294"/>
      <c r="BM122" s="294"/>
      <c r="BN122" s="294"/>
      <c r="BO122" s="294"/>
      <c r="BP122" s="294"/>
      <c r="BQ122" s="294"/>
      <c r="BR122" s="294"/>
      <c r="BS122" s="294"/>
      <c r="BT122" s="294"/>
      <c r="BU122" s="294"/>
      <c r="BV122" s="294"/>
      <c r="BW122" s="294"/>
      <c r="BX122" s="294"/>
      <c r="BY122" s="294"/>
      <c r="BZ122" s="294"/>
      <c r="CA122" s="294"/>
      <c r="CB122" s="294"/>
      <c r="CC122" s="294"/>
      <c r="CD122" s="294"/>
      <c r="CE122" s="294"/>
      <c r="CF122" s="294"/>
      <c r="CG122" s="294"/>
      <c r="CH122" s="294"/>
      <c r="CI122" s="294"/>
      <c r="CJ122" s="294"/>
      <c r="CK122" s="294"/>
      <c r="CL122" s="294"/>
      <c r="CM122" s="294"/>
      <c r="CN122" s="294"/>
      <c r="CO122" s="294"/>
      <c r="CP122" s="294"/>
      <c r="CQ122" s="294"/>
      <c r="CR122" s="294"/>
      <c r="CS122" s="294"/>
      <c r="CT122" s="294"/>
      <c r="CU122" s="294"/>
      <c r="CV122" s="294"/>
      <c r="CW122" s="294"/>
      <c r="CX122" s="294"/>
      <c r="CY122" s="294"/>
      <c r="CZ122" s="294"/>
      <c r="DA122" s="294"/>
      <c r="DB122" s="294"/>
      <c r="DC122" s="294"/>
      <c r="DD122" s="294"/>
      <c r="DE122" s="294"/>
      <c r="DF122" s="294"/>
      <c r="DG122" s="294"/>
      <c r="DH122" s="294"/>
      <c r="DI122" s="294"/>
      <c r="DJ122" s="294"/>
      <c r="DK122" s="294"/>
      <c r="DL122" s="294"/>
      <c r="DM122" s="294"/>
      <c r="DN122" s="294"/>
      <c r="DS122" s="294">
        <f t="shared" ref="DS122:EP122" si="900">DS119/DS63</f>
        <v>0.34756053224750966</v>
      </c>
      <c r="DT122" s="294">
        <f t="shared" si="900"/>
        <v>0.34120809166784555</v>
      </c>
      <c r="DU122" s="294">
        <f t="shared" si="900"/>
        <v>0.33373585865005723</v>
      </c>
      <c r="DV122" s="294">
        <f t="shared" si="900"/>
        <v>0.30946820931960511</v>
      </c>
      <c r="DW122" s="294">
        <f t="shared" si="900"/>
        <v>0.29435707678075856</v>
      </c>
      <c r="DX122" s="294">
        <f t="shared" si="900"/>
        <v>0.2871536523929471</v>
      </c>
      <c r="DY122" s="294">
        <f t="shared" si="900"/>
        <v>0.27585915373885106</v>
      </c>
      <c r="DZ122" s="294">
        <f t="shared" si="900"/>
        <v>0.249863492410178</v>
      </c>
      <c r="EA122" s="294">
        <f t="shared" si="900"/>
        <v>0.23693331960602629</v>
      </c>
      <c r="EB122" s="294">
        <f t="shared" si="900"/>
        <v>0.21094412798448672</v>
      </c>
      <c r="EC122" s="294">
        <f t="shared" si="900"/>
        <v>0.17782883026882929</v>
      </c>
      <c r="ED122" s="294">
        <f t="shared" si="900"/>
        <v>0.17540256907759633</v>
      </c>
      <c r="EE122" s="294">
        <f t="shared" si="900"/>
        <v>0.17318203545524452</v>
      </c>
      <c r="EF122" s="294">
        <f t="shared" si="900"/>
        <v>0.18376500060608508</v>
      </c>
      <c r="EG122" s="294">
        <f t="shared" si="900"/>
        <v>0.1832945765508964</v>
      </c>
      <c r="EH122" s="294">
        <f t="shared" si="900"/>
        <v>0.2372207218266634</v>
      </c>
      <c r="EI122" s="294">
        <f t="shared" si="900"/>
        <v>0.25183930224167411</v>
      </c>
      <c r="EJ122" s="294">
        <f t="shared" si="900"/>
        <v>0.25531124287122153</v>
      </c>
      <c r="EK122" s="294">
        <f t="shared" si="900"/>
        <v>0.23740948661622324</v>
      </c>
      <c r="EL122" s="294">
        <f t="shared" si="900"/>
        <v>0.22886360141473167</v>
      </c>
      <c r="EM122" s="294">
        <f t="shared" si="900"/>
        <v>0.21324929517174193</v>
      </c>
      <c r="EN122" s="294">
        <f t="shared" si="900"/>
        <v>0.20609434597262732</v>
      </c>
      <c r="EO122" s="294">
        <f t="shared" si="900"/>
        <v>0.19922196673175194</v>
      </c>
      <c r="EP122" s="294">
        <f t="shared" si="900"/>
        <v>0.20100402568769568</v>
      </c>
      <c r="EQ122" s="294"/>
      <c r="ER122" s="294"/>
      <c r="ES122" s="294"/>
      <c r="ET122" s="294"/>
      <c r="EU122" s="294"/>
    </row>
    <row r="123" spans="2:151" ht="12.75" customHeight="1" x14ac:dyDescent="0.2">
      <c r="B123" t="s">
        <v>359</v>
      </c>
      <c r="AI123" s="294"/>
      <c r="AM123" s="294"/>
      <c r="AO123" s="288">
        <f t="shared" ref="AO123:BB123" si="901">AO119/AK119-1</f>
        <v>0.10085163603765124</v>
      </c>
      <c r="AP123" s="288">
        <f t="shared" si="901"/>
        <v>0.1118335500650196</v>
      </c>
      <c r="AQ123" s="288">
        <f t="shared" si="901"/>
        <v>0.48450106157112516</v>
      </c>
      <c r="AR123" s="288">
        <f t="shared" si="901"/>
        <v>0.48623853211009171</v>
      </c>
      <c r="AS123" s="288">
        <f t="shared" si="901"/>
        <v>0.47516286644951133</v>
      </c>
      <c r="AT123" s="288">
        <f t="shared" si="901"/>
        <v>0.48538011695906436</v>
      </c>
      <c r="AU123" s="288">
        <f t="shared" si="901"/>
        <v>0.1624713958810069</v>
      </c>
      <c r="AV123" s="288">
        <f t="shared" si="901"/>
        <v>0.13243546576879917</v>
      </c>
      <c r="AW123" s="288">
        <f t="shared" si="901"/>
        <v>0.13138283190725919</v>
      </c>
      <c r="AX123" s="288">
        <f t="shared" si="901"/>
        <v>1.1811023622047223E-2</v>
      </c>
      <c r="AY123" s="288">
        <f t="shared" si="901"/>
        <v>-8.6860236220472453E-2</v>
      </c>
      <c r="AZ123" s="288">
        <f>AZ119/AV119-1</f>
        <v>-4.5094152626362738E-2</v>
      </c>
      <c r="BA123" s="288">
        <f t="shared" si="901"/>
        <v>-2.6835813613076409E-2</v>
      </c>
      <c r="BB123" s="288">
        <f t="shared" si="901"/>
        <v>0.10220492866407271</v>
      </c>
      <c r="BC123" s="288">
        <f>BC119/AY119-1</f>
        <v>1.4820803018054329E-2</v>
      </c>
      <c r="BD123" s="288">
        <f>BD119/AZ119-1</f>
        <v>-5.3710430721328528E-2</v>
      </c>
      <c r="BE123" s="288">
        <f>BE119/BA119-1</f>
        <v>-0.10579092504387066</v>
      </c>
      <c r="BF123" s="288">
        <f>BF119/BB119-1</f>
        <v>-0.15038832666509772</v>
      </c>
      <c r="BG123" s="288">
        <f>BG119/BC119-1</f>
        <v>-2.2304832713754608E-2</v>
      </c>
      <c r="BH123" s="288">
        <f t="shared" ref="BH123:BI123" si="902">BH119/BD119-1</f>
        <v>4.0032903756512139E-2</v>
      </c>
      <c r="BI123" s="288">
        <f t="shared" si="902"/>
        <v>4.8500140173815431E-2</v>
      </c>
      <c r="BJ123" s="288">
        <f t="shared" ref="BJ123" si="903">BJ119/BF119-1</f>
        <v>1.6066481994459814E-2</v>
      </c>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f>EG119/EF119-1</f>
        <v>7.4538258575197913E-2</v>
      </c>
      <c r="EH123" s="288">
        <f>EH119/EG119-1</f>
        <v>0.48281154082259059</v>
      </c>
      <c r="EI123" s="288">
        <f>EI119/EH119-1</f>
        <v>0.10770716897812727</v>
      </c>
      <c r="EJ123" s="288">
        <f>EJ119/EI119-1</f>
        <v>-1.5634732776877991E-2</v>
      </c>
    </row>
    <row r="124" spans="2:151" ht="12.75" customHeight="1" x14ac:dyDescent="0.2">
      <c r="B124" t="s">
        <v>360</v>
      </c>
      <c r="AI124" s="294"/>
      <c r="AM124" s="294"/>
      <c r="AO124" s="288">
        <v>8.1000000000000003E-2</v>
      </c>
      <c r="AY124" s="288">
        <v>-0.01</v>
      </c>
      <c r="AZ124" s="288">
        <f>AZ123-AZ125</f>
        <v>3.090584737363726E-2</v>
      </c>
      <c r="BA124" s="288">
        <f>BA123-BA125</f>
        <v>1.116418638692359E-2</v>
      </c>
      <c r="BB124" s="288"/>
      <c r="BC124" s="288"/>
      <c r="BD124" s="288">
        <f>BD123-BD125</f>
        <v>-6.4710430721328524E-2</v>
      </c>
      <c r="BE124" s="288"/>
      <c r="BF124" s="288"/>
      <c r="BG124" s="288">
        <v>-4.1000000000000002E-2</v>
      </c>
      <c r="BH124" s="288"/>
      <c r="BI124" s="288">
        <v>5.0000000000000001E-3</v>
      </c>
      <c r="BJ124" s="288"/>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v>6.4000000000000001E-2</v>
      </c>
      <c r="EJ124" s="288">
        <v>0.02</v>
      </c>
    </row>
    <row r="125" spans="2:151" ht="12.75" customHeight="1" x14ac:dyDescent="0.2">
      <c r="B125" t="s">
        <v>1189</v>
      </c>
      <c r="AI125" s="294"/>
      <c r="AM125" s="294"/>
      <c r="AO125" s="288"/>
      <c r="AY125" s="288"/>
      <c r="AZ125" s="288">
        <v>-7.5999999999999998E-2</v>
      </c>
      <c r="BA125" s="288">
        <v>-3.7999999999999999E-2</v>
      </c>
      <c r="BB125" s="288"/>
      <c r="BC125" s="288"/>
      <c r="BD125" s="288">
        <v>1.0999999999999999E-2</v>
      </c>
      <c r="BE125" s="288"/>
      <c r="BF125" s="288"/>
      <c r="BG125" s="288">
        <v>1.9E-2</v>
      </c>
      <c r="BH125" s="288"/>
      <c r="BI125" s="288">
        <v>4.3999999999999997E-2</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EG123-EG124</f>
        <v>1.0538258575197912E-2</v>
      </c>
      <c r="EJ125" s="288">
        <f>EJ123-EJ124</f>
        <v>-3.5634732776877995E-2</v>
      </c>
    </row>
    <row r="126" spans="2:151" ht="12.75" customHeight="1" x14ac:dyDescent="0.2">
      <c r="AI126" s="294"/>
      <c r="AM126" s="294"/>
      <c r="AO126" s="288"/>
      <c r="AY126" s="288"/>
      <c r="AZ126" s="288"/>
      <c r="BA126" s="288"/>
      <c r="BB126" s="288"/>
      <c r="BC126" s="288"/>
      <c r="BD126" s="288"/>
      <c r="BE126" s="288"/>
      <c r="BF126" s="288"/>
      <c r="BG126" s="288"/>
      <c r="BH126" s="288"/>
      <c r="BI126" s="288"/>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c r="EJ126" s="288"/>
    </row>
    <row r="127" spans="2:151" s="1" customFormat="1" ht="12.75" customHeight="1" x14ac:dyDescent="0.2">
      <c r="B127" s="1" t="s">
        <v>634</v>
      </c>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289">
        <v>0.108</v>
      </c>
      <c r="AS127" s="289">
        <v>9.7000000000000003E-2</v>
      </c>
      <c r="AT127" s="289">
        <v>0.11899999999999999</v>
      </c>
      <c r="AU127" s="289">
        <v>2.5999999999999999E-2</v>
      </c>
      <c r="AV127" s="289">
        <f>AV79-AV129</f>
        <v>3.038224805177641E-2</v>
      </c>
      <c r="AW127" s="289">
        <f>AW79-AW129</f>
        <v>2.9904911041513854E-2</v>
      </c>
      <c r="AX127" s="289">
        <v>-0.01</v>
      </c>
      <c r="AY127" s="289">
        <v>-1.2E-2</v>
      </c>
      <c r="AZ127" s="289">
        <f>AZ130-AZ129</f>
        <v>-1.3617021276595753E-2</v>
      </c>
      <c r="BA127" s="289">
        <f>BA130-BA129</f>
        <v>-2.7760504993404898E-2</v>
      </c>
      <c r="BB127" s="289">
        <f>BB130-BB129</f>
        <v>4.5172572783559392E-2</v>
      </c>
      <c r="BC127" s="289">
        <v>-1E-3</v>
      </c>
      <c r="BD127" s="289">
        <v>1E-3</v>
      </c>
      <c r="BE127" s="289">
        <v>1E-3</v>
      </c>
      <c r="BF127" s="166"/>
      <c r="BG127" s="289">
        <v>1.7999999999999999E-2</v>
      </c>
      <c r="BH127" s="166"/>
      <c r="BI127" s="289">
        <v>2.5999999999999999E-2</v>
      </c>
      <c r="BJ127" s="289">
        <v>0.04</v>
      </c>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c r="CS127" s="166"/>
      <c r="CT127" s="166"/>
      <c r="CU127" s="166"/>
      <c r="CV127" s="166"/>
      <c r="CW127" s="166"/>
      <c r="CX127" s="166"/>
      <c r="CY127" s="166"/>
      <c r="CZ127" s="166"/>
      <c r="DA127" s="166"/>
      <c r="DB127" s="166"/>
      <c r="DC127" s="166"/>
      <c r="DD127" s="166"/>
      <c r="DE127" s="166"/>
      <c r="DF127" s="166"/>
      <c r="DG127" s="166"/>
      <c r="DH127" s="166"/>
      <c r="DI127" s="166"/>
      <c r="DJ127" s="166"/>
      <c r="DK127" s="166"/>
      <c r="DL127" s="166"/>
      <c r="DM127" s="166"/>
      <c r="DN127" s="166"/>
      <c r="DP127" s="166"/>
      <c r="DQ127" s="166"/>
      <c r="DR127" s="166"/>
      <c r="DS127" s="166"/>
      <c r="DT127" s="166"/>
      <c r="DU127" s="166"/>
      <c r="DV127" s="166"/>
      <c r="DW127" s="166"/>
      <c r="DX127" s="166"/>
      <c r="DY127" s="166"/>
      <c r="DZ127" s="166"/>
      <c r="EA127" s="166"/>
      <c r="EB127" s="289">
        <v>0.122</v>
      </c>
      <c r="EC127" s="289">
        <v>0.104</v>
      </c>
      <c r="ED127" s="289">
        <v>9.4E-2</v>
      </c>
      <c r="EE127" s="289">
        <v>8.6999999999999994E-2</v>
      </c>
      <c r="EF127" s="289">
        <v>5.3999999999999999E-2</v>
      </c>
      <c r="EG127" s="166"/>
      <c r="EH127" s="223">
        <v>0.10100000000000001</v>
      </c>
      <c r="EI127" s="223">
        <v>1.0999999999999999E-2</v>
      </c>
      <c r="EJ127" s="223">
        <v>-2E-3</v>
      </c>
      <c r="EK127" s="166"/>
      <c r="EL127" s="289">
        <v>2.8000000000000001E-2</v>
      </c>
      <c r="EM127" s="166"/>
      <c r="EN127" s="166"/>
      <c r="EO127" s="166"/>
      <c r="EP127" s="166"/>
      <c r="EQ127" s="166"/>
      <c r="ER127" s="166"/>
      <c r="ES127" s="166"/>
      <c r="ET127" s="166"/>
      <c r="EU127" s="166"/>
    </row>
    <row r="128" spans="2:151" ht="12.75" customHeight="1" x14ac:dyDescent="0.2">
      <c r="B128" t="s">
        <v>155</v>
      </c>
      <c r="AE128" s="288"/>
      <c r="EB128" s="288">
        <v>1.2E-2</v>
      </c>
      <c r="EC128" s="288">
        <v>1.7000000000000001E-2</v>
      </c>
      <c r="ED128" s="288">
        <v>1.2999999999999999E-2</v>
      </c>
      <c r="EE128" s="288">
        <v>0.01</v>
      </c>
      <c r="EF128" s="288">
        <v>6.0000000000000001E-3</v>
      </c>
      <c r="EH128" s="81">
        <v>1.4E-2</v>
      </c>
      <c r="EI128" s="81">
        <v>8.0000000000000002E-3</v>
      </c>
      <c r="EJ128" s="81">
        <v>-1E-3</v>
      </c>
      <c r="EL128" s="288">
        <v>0</v>
      </c>
    </row>
    <row r="129" spans="2:153" ht="12.75" customHeight="1" x14ac:dyDescent="0.2">
      <c r="B129" t="s">
        <v>362</v>
      </c>
      <c r="AE129" s="288">
        <v>5.3999999999999999E-2</v>
      </c>
      <c r="AF129" s="288">
        <v>2.5999999999999999E-2</v>
      </c>
      <c r="AG129" s="288">
        <v>2.8000000000000001E-2</v>
      </c>
      <c r="AH129" s="288">
        <v>2.9000000000000001E-2</v>
      </c>
      <c r="AI129" s="288">
        <v>2.1999999999999999E-2</v>
      </c>
      <c r="AJ129" s="288">
        <v>0.02</v>
      </c>
      <c r="AK129" s="288">
        <v>8.0000000000000002E-3</v>
      </c>
      <c r="AL129" s="288">
        <v>-1.7999999999999999E-2</v>
      </c>
      <c r="AM129" s="288">
        <v>-2.3E-2</v>
      </c>
      <c r="AO129" s="288">
        <v>1.2E-2</v>
      </c>
      <c r="AR129" s="288">
        <v>2.4E-2</v>
      </c>
      <c r="AS129" s="288">
        <v>0.03</v>
      </c>
      <c r="AT129" s="288">
        <v>4.7E-2</v>
      </c>
      <c r="AU129" s="288">
        <v>5.0999999999999997E-2</v>
      </c>
      <c r="AV129" s="288">
        <v>5.6000000000000001E-2</v>
      </c>
      <c r="AW129" s="288">
        <v>3.1E-2</v>
      </c>
      <c r="AX129" s="288">
        <v>-3.9E-2</v>
      </c>
      <c r="AY129" s="288">
        <v>-0.06</v>
      </c>
      <c r="AZ129" s="288">
        <v>-0.06</v>
      </c>
      <c r="BA129" s="288">
        <v>-2.5000000000000001E-2</v>
      </c>
      <c r="BB129" s="288">
        <v>4.4999999999999998E-2</v>
      </c>
      <c r="BC129" s="288">
        <v>4.1000000000000002E-2</v>
      </c>
      <c r="BD129" s="288">
        <v>5.0000000000000001E-3</v>
      </c>
      <c r="BE129" s="288">
        <v>-8.0000000000000002E-3</v>
      </c>
      <c r="BG129" s="288">
        <v>1.7000000000000001E-2</v>
      </c>
      <c r="BI129" s="288">
        <v>4.2000000000000003E-2</v>
      </c>
      <c r="BJ129" s="288">
        <v>-1E-3</v>
      </c>
      <c r="DX129" s="288">
        <v>-0.04</v>
      </c>
      <c r="DY129" s="288">
        <v>-2.7558829638206016E-2</v>
      </c>
      <c r="DZ129" s="288">
        <v>-1.8336618644173741E-2</v>
      </c>
      <c r="EB129" s="288">
        <v>-2.5999999999999999E-2</v>
      </c>
      <c r="EC129" s="288">
        <v>2E-3</v>
      </c>
      <c r="ED129" s="288">
        <v>4.5999999999999999E-2</v>
      </c>
      <c r="EE129" s="288">
        <v>3.4000000000000002E-2</v>
      </c>
      <c r="EF129" s="288">
        <v>7.0000000000000001E-3</v>
      </c>
      <c r="EH129" s="288">
        <v>3.1E-2</v>
      </c>
      <c r="EI129" s="288">
        <v>2.4E-2</v>
      </c>
      <c r="EJ129" s="288">
        <v>-2.5999999999999999E-2</v>
      </c>
      <c r="EL129" s="288">
        <v>2.8000000000000001E-2</v>
      </c>
    </row>
    <row r="130" spans="2:153" ht="12.75" customHeight="1" x14ac:dyDescent="0.2">
      <c r="B130" t="s">
        <v>363</v>
      </c>
      <c r="AE130" s="288">
        <f t="shared" ref="AE130:AO130" si="904">AE79</f>
        <v>0.22011810221950734</v>
      </c>
      <c r="AF130" s="288">
        <f t="shared" si="904"/>
        <v>0.15098722415795596</v>
      </c>
      <c r="AG130" s="288">
        <f t="shared" si="904"/>
        <v>0.1051272240290797</v>
      </c>
      <c r="AH130" s="288">
        <f t="shared" si="904"/>
        <v>0.11967688120115905</v>
      </c>
      <c r="AI130" s="288">
        <f t="shared" si="904"/>
        <v>7.0761014686248291E-2</v>
      </c>
      <c r="AJ130" s="288">
        <f t="shared" si="904"/>
        <v>7.3158425832492435E-2</v>
      </c>
      <c r="AK130" s="288">
        <f t="shared" si="904"/>
        <v>6.552410629273786E-2</v>
      </c>
      <c r="AL130" s="288">
        <f t="shared" si="904"/>
        <v>-1.1135508155583396E-2</v>
      </c>
      <c r="AM130" s="288">
        <f t="shared" si="904"/>
        <v>1.2468827930174564E-2</v>
      </c>
      <c r="AN130" s="288">
        <f t="shared" si="904"/>
        <v>4.7092932142297483E-2</v>
      </c>
      <c r="AO130" s="288">
        <f t="shared" si="904"/>
        <v>7.9366368805848797E-2</v>
      </c>
      <c r="AR130" s="288">
        <f t="shared" ref="AR130:BE130" si="905">AR79</f>
        <v>0.13312878844570819</v>
      </c>
      <c r="AS130" s="288">
        <f t="shared" si="905"/>
        <v>0.12944983818770228</v>
      </c>
      <c r="AT130" s="288">
        <f t="shared" si="905"/>
        <v>0.16627686010817122</v>
      </c>
      <c r="AU130" s="288">
        <f t="shared" si="905"/>
        <v>7.3374428315768458E-2</v>
      </c>
      <c r="AV130" s="288">
        <f t="shared" si="905"/>
        <v>8.6382248051776411E-2</v>
      </c>
      <c r="AW130" s="288">
        <f t="shared" si="905"/>
        <v>6.0904911041513854E-2</v>
      </c>
      <c r="AX130" s="288">
        <f t="shared" si="905"/>
        <v>-4.8568026571410683E-2</v>
      </c>
      <c r="AY130" s="288">
        <f t="shared" si="905"/>
        <v>-7.2125478572310775E-2</v>
      </c>
      <c r="AZ130" s="288">
        <f t="shared" si="905"/>
        <v>-7.3617021276595751E-2</v>
      </c>
      <c r="BA130" s="288">
        <f t="shared" si="905"/>
        <v>-5.27605049934049E-2</v>
      </c>
      <c r="BB130" s="288">
        <f t="shared" si="905"/>
        <v>9.017257278355939E-2</v>
      </c>
      <c r="BC130" s="288">
        <f t="shared" si="905"/>
        <v>4.026354319180081E-2</v>
      </c>
      <c r="BD130" s="288">
        <f t="shared" si="905"/>
        <v>9.8431655620447867E-3</v>
      </c>
      <c r="BE130" s="288">
        <f t="shared" si="905"/>
        <v>-6.5645514223194867E-3</v>
      </c>
      <c r="BG130" s="288">
        <f>BG79</f>
        <v>8.5407203633804718E-2</v>
      </c>
      <c r="BI130" s="288">
        <f>BI79</f>
        <v>6.8281938325991165E-2</v>
      </c>
      <c r="BJ130" s="288">
        <f>BJ79</f>
        <v>0.20308105343901817</v>
      </c>
      <c r="EA130" s="288"/>
      <c r="EB130" s="288">
        <f>EB129+EB128+EB127</f>
        <v>0.108</v>
      </c>
      <c r="EC130" s="288">
        <f>EC129+EC128+EC127</f>
        <v>0.123</v>
      </c>
      <c r="ED130" s="288">
        <f>ED129+ED128+ED127</f>
        <v>0.153</v>
      </c>
      <c r="EE130" s="288">
        <f>EE129+EE128+EE127</f>
        <v>0.13100000000000001</v>
      </c>
      <c r="EF130" s="288">
        <f>EF129+EF128+EF127</f>
        <v>6.7000000000000004E-2</v>
      </c>
      <c r="EH130" s="288">
        <f>EH129+EH128+EH127</f>
        <v>0.14600000000000002</v>
      </c>
      <c r="EI130" s="288">
        <f>EI129+EI128+EI127</f>
        <v>4.2999999999999997E-2</v>
      </c>
      <c r="EJ130" s="288">
        <f>EJ129+EJ128+EJ127</f>
        <v>-2.8999999999999998E-2</v>
      </c>
      <c r="EL130" s="288">
        <f>EL129+EL128+EL127</f>
        <v>5.6000000000000001E-2</v>
      </c>
    </row>
    <row r="132" spans="2:153" ht="12.75" customHeight="1" x14ac:dyDescent="0.2">
      <c r="B132" t="s">
        <v>364</v>
      </c>
      <c r="K132" s="247">
        <v>3863</v>
      </c>
      <c r="L132" s="247">
        <v>4035</v>
      </c>
      <c r="M132" s="247">
        <v>4137.3999999999996</v>
      </c>
      <c r="N132" s="247">
        <v>3884.4</v>
      </c>
      <c r="O132" s="247">
        <v>4324</v>
      </c>
      <c r="P132" s="247">
        <v>4545</v>
      </c>
      <c r="Q132" s="247">
        <v>4463</v>
      </c>
      <c r="R132" s="247">
        <v>4378.5</v>
      </c>
      <c r="S132" s="247"/>
      <c r="T132" s="247"/>
      <c r="U132" s="247"/>
      <c r="V132" s="247"/>
      <c r="W132" s="247">
        <v>5521</v>
      </c>
      <c r="X132" s="247">
        <v>5599</v>
      </c>
      <c r="Y132" s="247">
        <v>5589</v>
      </c>
      <c r="Z132" s="247">
        <v>5746</v>
      </c>
      <c r="AA132" s="247">
        <v>6010.6</v>
      </c>
      <c r="AB132" s="247">
        <v>6112</v>
      </c>
      <c r="AC132" s="247">
        <v>6414.399082150001</v>
      </c>
      <c r="AD132" s="247">
        <v>6735.9594690499998</v>
      </c>
      <c r="AE132" s="247">
        <v>6918</v>
      </c>
      <c r="AF132" s="247">
        <v>6667.8836656399999</v>
      </c>
      <c r="AG132" s="247">
        <v>6790</v>
      </c>
      <c r="AH132" s="247">
        <v>7394</v>
      </c>
      <c r="AI132" s="247">
        <v>7258</v>
      </c>
      <c r="AJ132" s="247">
        <v>7064.5647360624998</v>
      </c>
      <c r="AK132" s="247">
        <v>6967</v>
      </c>
      <c r="AL132" s="247">
        <v>7087.0275146566255</v>
      </c>
      <c r="AM132" s="243">
        <v>7371</v>
      </c>
      <c r="AN132" s="243">
        <v>7375</v>
      </c>
      <c r="AO132" s="243">
        <v>7488</v>
      </c>
      <c r="AV132" s="243">
        <v>8210</v>
      </c>
      <c r="AY132" s="243">
        <v>8052</v>
      </c>
      <c r="AZ132" s="243">
        <v>7656</v>
      </c>
      <c r="BD132" s="243">
        <v>7438</v>
      </c>
      <c r="DZ132" s="247">
        <v>15919.8</v>
      </c>
      <c r="EA132" s="247">
        <v>17710.5</v>
      </c>
      <c r="EB132" s="247">
        <v>19825</v>
      </c>
      <c r="EC132" s="247">
        <v>22455</v>
      </c>
      <c r="ED132" s="247">
        <v>25273</v>
      </c>
      <c r="EE132" s="247">
        <v>27770</v>
      </c>
      <c r="EF132" s="247">
        <v>28376</v>
      </c>
    </row>
    <row r="133" spans="2:153" ht="12.75" customHeight="1" x14ac:dyDescent="0.2">
      <c r="B133" t="s">
        <v>1212</v>
      </c>
      <c r="K133" s="247"/>
      <c r="L133" s="247"/>
      <c r="M133" s="247"/>
      <c r="N133" s="247"/>
      <c r="O133" s="247"/>
      <c r="P133" s="247"/>
      <c r="Q133" s="247"/>
      <c r="R133" s="247"/>
      <c r="S133" s="247"/>
      <c r="T133" s="247"/>
      <c r="U133" s="247"/>
      <c r="V133" s="247"/>
      <c r="W133" s="247"/>
      <c r="X133" s="247"/>
      <c r="Y133" s="247"/>
      <c r="Z133" s="247"/>
      <c r="AA133" s="247"/>
      <c r="AB133" s="247"/>
      <c r="AC133" s="247"/>
      <c r="AD133" s="247"/>
      <c r="AE133" s="247"/>
      <c r="AF133" s="247"/>
      <c r="AG133" s="247"/>
      <c r="AH133" s="247"/>
      <c r="AI133" s="247"/>
      <c r="AJ133" s="247"/>
      <c r="AK133" s="247"/>
      <c r="AL133" s="247"/>
      <c r="AM133" s="243"/>
      <c r="AN133" s="243"/>
      <c r="AO133" s="243"/>
      <c r="AV133" s="243">
        <v>4547</v>
      </c>
      <c r="AY133" s="243"/>
      <c r="AZ133" s="243">
        <v>3972</v>
      </c>
      <c r="BD133" s="243">
        <v>3832</v>
      </c>
      <c r="DZ133" s="247"/>
      <c r="EA133" s="247"/>
      <c r="EB133" s="247"/>
      <c r="EC133" s="247"/>
      <c r="ED133" s="247"/>
      <c r="EE133" s="247"/>
      <c r="EF133" s="247"/>
    </row>
    <row r="134" spans="2:153" ht="12.75" customHeight="1" x14ac:dyDescent="0.2">
      <c r="B134" t="s">
        <v>1213</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1280</v>
      </c>
      <c r="AY134" s="243"/>
      <c r="AZ134" s="243">
        <v>1215</v>
      </c>
      <c r="BD134" s="243">
        <v>1375</v>
      </c>
      <c r="DZ134" s="247"/>
      <c r="EA134" s="247"/>
      <c r="EB134" s="247"/>
      <c r="EC134" s="247"/>
      <c r="ED134" s="247"/>
      <c r="EE134" s="247"/>
      <c r="EF134" s="247"/>
    </row>
    <row r="135" spans="2:153" ht="12.75" customHeight="1" x14ac:dyDescent="0.2">
      <c r="B135" t="s">
        <v>1214</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2413</v>
      </c>
      <c r="AY135" s="243"/>
      <c r="AZ135" s="243">
        <v>2396</v>
      </c>
      <c r="BD135" s="243">
        <v>2685</v>
      </c>
      <c r="DZ135" s="247"/>
      <c r="EA135" s="247"/>
      <c r="EB135" s="247"/>
      <c r="EC135" s="247"/>
      <c r="ED135" s="247"/>
      <c r="EE135" s="247"/>
      <c r="EF135" s="247"/>
    </row>
    <row r="136" spans="2:153" ht="12.75" customHeight="1" x14ac:dyDescent="0.2">
      <c r="B136" t="s">
        <v>365</v>
      </c>
      <c r="K136" s="247">
        <v>2996</v>
      </c>
      <c r="L136" s="247">
        <v>3064</v>
      </c>
      <c r="M136" s="247">
        <v>2948</v>
      </c>
      <c r="N136" s="247">
        <v>3080</v>
      </c>
      <c r="O136" s="247">
        <v>3116</v>
      </c>
      <c r="P136" s="247">
        <v>3125</v>
      </c>
      <c r="Q136" s="247">
        <v>2975</v>
      </c>
      <c r="R136" s="247">
        <v>2919.5</v>
      </c>
      <c r="S136" s="247"/>
      <c r="T136" s="247"/>
      <c r="U136" s="247"/>
      <c r="V136" s="247"/>
      <c r="W136" s="247">
        <v>3222</v>
      </c>
      <c r="X136" s="247">
        <v>3474</v>
      </c>
      <c r="Y136" s="247">
        <v>3490</v>
      </c>
      <c r="Z136" s="247">
        <v>3657</v>
      </c>
      <c r="AA136" s="247">
        <v>3809.6</v>
      </c>
      <c r="AB136" s="247">
        <v>4220</v>
      </c>
      <c r="AC136" s="247">
        <v>4039.55</v>
      </c>
      <c r="AD136" s="247">
        <v>4516.3999999999996</v>
      </c>
      <c r="AE136" s="247">
        <v>4641</v>
      </c>
      <c r="AF136" s="247">
        <v>4816.3999999999996</v>
      </c>
      <c r="AG136" s="247">
        <v>4763</v>
      </c>
      <c r="AH136" s="247">
        <v>5358</v>
      </c>
      <c r="AI136" s="247">
        <v>5574</v>
      </c>
      <c r="AJ136" s="247">
        <v>5697</v>
      </c>
      <c r="AK136" s="247">
        <v>5343</v>
      </c>
      <c r="AL136" s="247">
        <v>5523</v>
      </c>
      <c r="AM136" s="243">
        <v>5621</v>
      </c>
      <c r="AN136" s="243">
        <v>5988</v>
      </c>
      <c r="AO136" s="243">
        <v>5799</v>
      </c>
      <c r="AV136" s="243">
        <v>8240</v>
      </c>
      <c r="AY136" s="243">
        <v>6974</v>
      </c>
      <c r="AZ136" s="243">
        <v>7583</v>
      </c>
      <c r="BD136" s="243">
        <v>7892</v>
      </c>
      <c r="DZ136" s="247">
        <v>12088</v>
      </c>
      <c r="EA136" s="247">
        <v>12135.5</v>
      </c>
      <c r="EB136" s="247">
        <v>12492</v>
      </c>
      <c r="EC136" s="247">
        <v>13843</v>
      </c>
      <c r="ED136" s="247">
        <v>16586</v>
      </c>
      <c r="EE136" s="247">
        <v>19578</v>
      </c>
      <c r="EF136" s="247">
        <v>22137</v>
      </c>
    </row>
    <row r="137" spans="2:153" ht="12.75" customHeight="1" x14ac:dyDescent="0.2">
      <c r="B137" t="s">
        <v>366</v>
      </c>
      <c r="AK137" s="288"/>
      <c r="AM137" s="288">
        <v>6.0999999999999999E-2</v>
      </c>
      <c r="AO137" s="288">
        <v>6.7000000000000004E-2</v>
      </c>
      <c r="AV137" s="288">
        <v>3.9E-2</v>
      </c>
      <c r="AY137" s="288">
        <v>0.03</v>
      </c>
      <c r="AZ137" s="288">
        <v>3.9E-2</v>
      </c>
      <c r="BB137" s="288">
        <v>6.4000000000000001E-2</v>
      </c>
      <c r="BD137" s="288">
        <v>0.03</v>
      </c>
      <c r="BH137" s="288"/>
      <c r="BI137" s="288">
        <v>8.3000000000000004E-2</v>
      </c>
      <c r="EJ137" s="288">
        <v>3.9E-2</v>
      </c>
    </row>
    <row r="138" spans="2:153" ht="12.75" customHeight="1" x14ac:dyDescent="0.2">
      <c r="B138" t="s">
        <v>367</v>
      </c>
      <c r="AK138" s="288"/>
      <c r="AM138" s="288">
        <v>-5.2999999999999999E-2</v>
      </c>
      <c r="AO138" s="288">
        <v>1.2E-2</v>
      </c>
      <c r="AV138" s="288">
        <v>-0.11899999999999999</v>
      </c>
      <c r="AY138" s="288">
        <v>-0.126</v>
      </c>
      <c r="AZ138" s="288">
        <v>-0.11899999999999999</v>
      </c>
      <c r="BB138" s="288">
        <v>9.1999999999999998E-2</v>
      </c>
      <c r="BD138" s="288">
        <v>1.0999999999999999E-2</v>
      </c>
      <c r="BH138" s="288"/>
      <c r="BI138" s="288">
        <v>8.1000000000000003E-2</v>
      </c>
      <c r="EJ138" s="288">
        <v>-5.2999999999999999E-2</v>
      </c>
    </row>
    <row r="140" spans="2:153" ht="12.75" customHeight="1" x14ac:dyDescent="0.2">
      <c r="B140" t="s">
        <v>368</v>
      </c>
      <c r="AM140" s="76">
        <v>116000</v>
      </c>
      <c r="AO140" s="76">
        <v>115700</v>
      </c>
      <c r="AZ140" s="243">
        <v>117000</v>
      </c>
      <c r="CX140" s="243">
        <v>144300</v>
      </c>
      <c r="CY140" s="243"/>
      <c r="CZ140" s="243"/>
      <c r="DA140" s="243"/>
      <c r="DB140" s="243">
        <v>155800</v>
      </c>
      <c r="EF140" s="76">
        <v>115600</v>
      </c>
      <c r="EV140" s="79">
        <f>CX140</f>
        <v>144300</v>
      </c>
      <c r="EW140" s="79">
        <f>DB140</f>
        <v>155800</v>
      </c>
    </row>
    <row r="141" spans="2:153" ht="12.75" customHeight="1" x14ac:dyDescent="0.2">
      <c r="AZ141" s="243"/>
      <c r="CX141" s="243"/>
      <c r="CY141" s="243"/>
      <c r="CZ141" s="243"/>
      <c r="DA141" s="243"/>
      <c r="DB141" s="294">
        <f>DB140/CX140-1</f>
        <v>7.9695079695079718E-2</v>
      </c>
    </row>
    <row r="142" spans="2:153" ht="12.75" customHeight="1" x14ac:dyDescent="0.2">
      <c r="B142" t="s">
        <v>369</v>
      </c>
      <c r="EG142" s="243">
        <v>14200</v>
      </c>
      <c r="EH142" s="243">
        <v>15022</v>
      </c>
      <c r="EI142" s="243">
        <v>14972</v>
      </c>
      <c r="EJ142" s="243">
        <v>16571</v>
      </c>
    </row>
    <row r="143" spans="2:153" ht="12.75" customHeight="1" x14ac:dyDescent="0.2">
      <c r="B143" t="s">
        <v>370</v>
      </c>
      <c r="EG143" s="243">
        <v>11600</v>
      </c>
      <c r="EH143" s="243">
        <f>+EH142-2942</f>
        <v>12080</v>
      </c>
      <c r="EI143" s="243">
        <f>+EI142-3066</f>
        <v>11906</v>
      </c>
      <c r="EJ143" s="243">
        <f>+EJ142-2365</f>
        <v>14206</v>
      </c>
    </row>
    <row r="144" spans="2:153" ht="12.75" customHeight="1" x14ac:dyDescent="0.2">
      <c r="B144" t="s">
        <v>1234</v>
      </c>
      <c r="AP144" s="243">
        <f t="shared" ref="AP144:AY144" si="906">+AP148-AP160-AP167</f>
        <v>-2493</v>
      </c>
      <c r="AQ144" s="243">
        <f t="shared" si="906"/>
        <v>-1489</v>
      </c>
      <c r="AR144" s="243">
        <f t="shared" si="906"/>
        <v>-495</v>
      </c>
      <c r="AS144" s="243">
        <f t="shared" si="906"/>
        <v>431</v>
      </c>
      <c r="AT144" s="243">
        <f t="shared" si="906"/>
        <v>-220</v>
      </c>
      <c r="AU144" s="243">
        <f t="shared" si="906"/>
        <v>-269</v>
      </c>
      <c r="AV144" s="243">
        <f t="shared" si="906"/>
        <v>-865</v>
      </c>
      <c r="AW144" s="243">
        <f t="shared" si="906"/>
        <v>161</v>
      </c>
      <c r="AX144" s="243">
        <f t="shared" si="906"/>
        <v>961</v>
      </c>
      <c r="AY144" s="243">
        <f t="shared" si="906"/>
        <v>-124</v>
      </c>
      <c r="AZ144" s="243">
        <f t="shared" ref="AZ144:BF144" si="907">+AZ148-AZ160-AZ167</f>
        <v>1120</v>
      </c>
      <c r="BA144" s="243">
        <f t="shared" si="907"/>
        <v>2756</v>
      </c>
      <c r="BB144" s="243">
        <f t="shared" si="907"/>
        <v>4884</v>
      </c>
      <c r="BC144" s="243">
        <f t="shared" si="907"/>
        <v>5907</v>
      </c>
      <c r="BD144" s="243">
        <f t="shared" si="907"/>
        <v>7249</v>
      </c>
      <c r="BE144" s="243">
        <f t="shared" si="907"/>
        <v>10101</v>
      </c>
      <c r="BF144" s="243">
        <f t="shared" si="907"/>
        <v>10885</v>
      </c>
      <c r="BG144" s="243">
        <f t="shared" ref="BG144:BH144" si="908">+BG148-BG160-BG167</f>
        <v>9037</v>
      </c>
      <c r="BH144" s="243">
        <f t="shared" si="908"/>
        <v>10956</v>
      </c>
      <c r="BI144" s="243">
        <f t="shared" ref="BI144:BP144" si="909">+BI148-BI160-BI167</f>
        <v>12570</v>
      </c>
      <c r="BJ144" s="243">
        <f t="shared" si="909"/>
        <v>12634</v>
      </c>
      <c r="BK144" s="243">
        <f t="shared" si="909"/>
        <v>14398</v>
      </c>
      <c r="BL144" s="243">
        <f>+BL148-BL160-BL167</f>
        <v>-650</v>
      </c>
      <c r="BM144" s="243">
        <f t="shared" si="909"/>
        <v>2920</v>
      </c>
      <c r="BN144" s="243">
        <f t="shared" si="909"/>
        <v>4924</v>
      </c>
      <c r="BO144" s="243">
        <f t="shared" si="909"/>
        <v>5776</v>
      </c>
      <c r="BP144" s="243">
        <f t="shared" si="909"/>
        <v>10147</v>
      </c>
      <c r="BQ144" s="243">
        <f t="shared" ref="BQ144:BR144" si="910">+BQ148-BQ160-BQ167</f>
        <v>10121</v>
      </c>
      <c r="BR144" s="243">
        <f t="shared" si="910"/>
        <v>11026</v>
      </c>
      <c r="EJ144" s="243">
        <f>EJ148-EJ160-EJ167</f>
        <v>4884</v>
      </c>
    </row>
    <row r="145" spans="2:166" ht="12.75" customHeight="1" x14ac:dyDescent="0.2">
      <c r="B145" t="s">
        <v>383</v>
      </c>
      <c r="AM145" s="243"/>
      <c r="AN145" s="243"/>
      <c r="AO145" s="243"/>
      <c r="AP145" s="243">
        <f t="shared" ref="AP145:BR145" si="911">(AP149/AP63)*91.25</f>
        <v>58.103347463821081</v>
      </c>
      <c r="AQ145" s="243">
        <f t="shared" si="911"/>
        <v>56.206419433949755</v>
      </c>
      <c r="AR145" s="243">
        <f t="shared" si="911"/>
        <v>57.068914278166687</v>
      </c>
      <c r="AS145" s="243">
        <f t="shared" si="911"/>
        <v>57.059372292929972</v>
      </c>
      <c r="AT145" s="243">
        <f t="shared" si="911"/>
        <v>54.005452152660276</v>
      </c>
      <c r="AU145" s="243">
        <f t="shared" si="911"/>
        <v>58.511794491787086</v>
      </c>
      <c r="AV145" s="243">
        <f t="shared" si="911"/>
        <v>58.461018237082065</v>
      </c>
      <c r="AW145" s="243">
        <f t="shared" si="911"/>
        <v>58.208341184598957</v>
      </c>
      <c r="AX145" s="243">
        <f t="shared" si="911"/>
        <v>58.415146225793706</v>
      </c>
      <c r="AY145" s="243">
        <f t="shared" si="911"/>
        <v>59.701766937308669</v>
      </c>
      <c r="AZ145" s="243">
        <f t="shared" si="911"/>
        <v>60.675651289454684</v>
      </c>
      <c r="BA145" s="243">
        <f t="shared" si="911"/>
        <v>62.194731781712086</v>
      </c>
      <c r="BB145" s="243">
        <f t="shared" si="911"/>
        <v>53.180925623829374</v>
      </c>
      <c r="BC145" s="243">
        <f t="shared" si="911"/>
        <v>58.482662657539507</v>
      </c>
      <c r="BD145" s="243">
        <f t="shared" si="911"/>
        <v>57.09573396581974</v>
      </c>
      <c r="BE145" s="243">
        <f t="shared" si="911"/>
        <v>62.672707248698437</v>
      </c>
      <c r="BF145" s="243">
        <f t="shared" si="911"/>
        <v>57.010834824852978</v>
      </c>
      <c r="BG145" s="243">
        <f t="shared" si="911"/>
        <v>58.414844394671704</v>
      </c>
      <c r="BH145" s="243">
        <f t="shared" si="911"/>
        <v>60.378833524130869</v>
      </c>
      <c r="BI145" s="243">
        <f t="shared" si="911"/>
        <v>60.160574820368637</v>
      </c>
      <c r="BJ145" s="243">
        <f t="shared" si="911"/>
        <v>51.29994421125339</v>
      </c>
      <c r="BK145" s="243">
        <f t="shared" si="911"/>
        <v>62.092291963566517</v>
      </c>
      <c r="BL145" s="243">
        <f t="shared" si="911"/>
        <v>60.328401299169975</v>
      </c>
      <c r="BM145" s="243">
        <f t="shared" si="911"/>
        <v>59.317011808504446</v>
      </c>
      <c r="BN145" s="243">
        <f t="shared" si="911"/>
        <v>58.003836209319317</v>
      </c>
      <c r="BO145" s="243">
        <f t="shared" si="911"/>
        <v>59.878262480054708</v>
      </c>
      <c r="BP145" s="243">
        <f t="shared" si="911"/>
        <v>59.096498076172416</v>
      </c>
      <c r="BQ145" s="243">
        <f t="shared" si="911"/>
        <v>62.218025398265212</v>
      </c>
      <c r="BR145" s="243">
        <f t="shared" si="911"/>
        <v>57.927009376185573</v>
      </c>
      <c r="EF145" s="243"/>
      <c r="EG145" s="243"/>
      <c r="EJ145" s="243">
        <f>EJ149/EJ63*365</f>
        <v>56.881432056480932</v>
      </c>
    </row>
    <row r="146" spans="2:166" ht="12.75" customHeight="1" x14ac:dyDescent="0.2">
      <c r="AM146" s="243"/>
      <c r="AN146" s="243"/>
      <c r="AO146" s="243"/>
      <c r="AP146" s="243"/>
      <c r="AQ146" s="243"/>
      <c r="AR146" s="243"/>
      <c r="AS146" s="243"/>
      <c r="AT146" s="243"/>
      <c r="AU146" s="243"/>
      <c r="AV146" s="243"/>
      <c r="AW146" s="243"/>
      <c r="AX146" s="243"/>
      <c r="AY146" s="243"/>
      <c r="AZ146" s="243"/>
      <c r="BA146" s="243"/>
      <c r="BB146" s="243"/>
      <c r="BC146" s="243"/>
      <c r="BD146" s="243"/>
      <c r="BE146" s="243"/>
      <c r="BF146" s="243"/>
      <c r="BG146" s="243"/>
      <c r="BH146" s="243"/>
      <c r="BI146" s="243"/>
      <c r="BJ146" s="243"/>
      <c r="BK146" s="243"/>
      <c r="BL146" s="243"/>
      <c r="BM146" s="243"/>
      <c r="BN146" s="243"/>
      <c r="BO146" s="243"/>
      <c r="BP146" s="243"/>
      <c r="BQ146" s="243"/>
      <c r="BR146" s="243"/>
      <c r="EF146" s="243"/>
      <c r="EG146" s="243"/>
      <c r="EJ146" s="243"/>
    </row>
    <row r="147" spans="2:166" ht="12.75" customHeight="1" x14ac:dyDescent="0.2">
      <c r="B147" t="s">
        <v>1234</v>
      </c>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CX147" s="243">
        <f t="shared" ref="CX147:DN147" si="912">+CX148-CX160-CX167</f>
        <v>-2143</v>
      </c>
      <c r="CY147" s="243">
        <f t="shared" si="912"/>
        <v>-2760</v>
      </c>
      <c r="CZ147" s="243">
        <f t="shared" si="912"/>
        <v>-29</v>
      </c>
      <c r="DA147" s="243">
        <f t="shared" si="912"/>
        <v>2052</v>
      </c>
      <c r="DB147" s="243">
        <f t="shared" si="912"/>
        <v>-16140</v>
      </c>
      <c r="DC147" s="243">
        <f t="shared" si="912"/>
        <v>-20599</v>
      </c>
      <c r="DD147" s="243">
        <f t="shared" si="912"/>
        <v>-17097</v>
      </c>
      <c r="DE147" s="243">
        <f t="shared" si="912"/>
        <v>0</v>
      </c>
      <c r="DF147" s="243">
        <f t="shared" si="912"/>
        <v>0</v>
      </c>
      <c r="DG147" s="243">
        <f>+DG148-DG160-DG167</f>
        <v>-7414</v>
      </c>
      <c r="DH147" s="243">
        <f>+DH148-DH160-DH167</f>
        <v>-16016</v>
      </c>
      <c r="DI147" s="243">
        <f t="shared" si="912"/>
        <v>0</v>
      </c>
      <c r="DJ147" s="243">
        <f t="shared" si="912"/>
        <v>0</v>
      </c>
      <c r="DK147" s="243">
        <f t="shared" si="912"/>
        <v>0</v>
      </c>
      <c r="DL147" s="243">
        <f t="shared" si="912"/>
        <v>0</v>
      </c>
      <c r="DM147" s="243">
        <f t="shared" si="912"/>
        <v>0</v>
      </c>
      <c r="DN147" s="243">
        <f t="shared" si="912"/>
        <v>0</v>
      </c>
      <c r="EF147" s="243"/>
      <c r="EG147" s="243"/>
      <c r="EJ147" s="243"/>
      <c r="EW147" s="79">
        <f>DB147</f>
        <v>-16140</v>
      </c>
    </row>
    <row r="148" spans="2:166" ht="12.75" customHeight="1" x14ac:dyDescent="0.2">
      <c r="B148" t="s">
        <v>371</v>
      </c>
      <c r="AM148" s="243">
        <f>16822+363+20</f>
        <v>17205</v>
      </c>
      <c r="AN148" s="243"/>
      <c r="AO148" s="243"/>
      <c r="AP148" s="243">
        <f>4083+1+16</f>
        <v>4100</v>
      </c>
      <c r="AQ148" s="243">
        <f>5175+16+14</f>
        <v>5205</v>
      </c>
      <c r="AR148" s="243">
        <f>5571+400+17</f>
        <v>5988</v>
      </c>
      <c r="AS148" s="243">
        <f>6640+1680+8</f>
        <v>8328</v>
      </c>
      <c r="AT148" s="243">
        <f>7770+1545+2</f>
        <v>9317</v>
      </c>
      <c r="AU148" s="243">
        <f>10539+605+3</f>
        <v>11147</v>
      </c>
      <c r="AV148" s="243">
        <f>12646+412+3</f>
        <v>13061</v>
      </c>
      <c r="AW148" s="243">
        <f>14018+781+2</f>
        <v>14801</v>
      </c>
      <c r="AX148" s="243">
        <f>10768+2041+4</f>
        <v>12813</v>
      </c>
      <c r="AY148" s="243">
        <f>12589+1344+17</f>
        <v>13950</v>
      </c>
      <c r="AZ148" s="243">
        <f>11686+3030+18</f>
        <v>14734</v>
      </c>
      <c r="BA148" s="243">
        <f>11856+2481+19</f>
        <v>14356</v>
      </c>
      <c r="BB148" s="243">
        <f>15810+3615</f>
        <v>19425</v>
      </c>
      <c r="BC148" s="243">
        <f>13743+4267</f>
        <v>18010</v>
      </c>
      <c r="BD148" s="243">
        <f>12713+6188</f>
        <v>18901</v>
      </c>
      <c r="BE148" s="243">
        <f>14338+7788</f>
        <v>22126</v>
      </c>
      <c r="BF148" s="243">
        <f>19355+8303</f>
        <v>27658</v>
      </c>
      <c r="BG148" s="243">
        <f>22356+4511</f>
        <v>26867</v>
      </c>
      <c r="BH148" s="243">
        <f>14974+14708</f>
        <v>29682</v>
      </c>
      <c r="BI148" s="243">
        <f>15617+15310</f>
        <v>30927</v>
      </c>
      <c r="BJ148" s="243">
        <f>24542+7719</f>
        <v>32261</v>
      </c>
      <c r="BK148" s="243">
        <f>30267+3580</f>
        <v>33847</v>
      </c>
      <c r="BL148" s="243">
        <f>14042+2873</f>
        <v>16915</v>
      </c>
      <c r="BM148" s="243">
        <f>15486+4285</f>
        <v>19771</v>
      </c>
      <c r="BN148" s="243">
        <f>14911+6178</f>
        <v>21089</v>
      </c>
      <c r="BO148" s="243">
        <f>14855+6813</f>
        <v>21668</v>
      </c>
      <c r="BP148" s="243">
        <f>17307+7822</f>
        <v>25129</v>
      </c>
      <c r="BQ148" s="243">
        <f>17204+8024</f>
        <v>25228</v>
      </c>
      <c r="BR148" s="243">
        <f>20927+8279</f>
        <v>29206</v>
      </c>
      <c r="CX148" s="243">
        <f>14487+17121</f>
        <v>31608</v>
      </c>
      <c r="CY148" s="243">
        <f>10463+19925</f>
        <v>30388</v>
      </c>
      <c r="CZ148" s="243">
        <f>10983+21585</f>
        <v>32568</v>
      </c>
      <c r="DA148" s="243">
        <f>11355+22724</f>
        <v>34079</v>
      </c>
      <c r="DB148" s="243">
        <f>14127+9392</f>
        <v>23519</v>
      </c>
      <c r="DC148" s="243">
        <f>19170+7695+5443</f>
        <v>32308</v>
      </c>
      <c r="DD148" s="243">
        <f>21183+7322</f>
        <v>28505</v>
      </c>
      <c r="DG148" s="243">
        <f>25473+745</f>
        <v>26218</v>
      </c>
      <c r="DH148" s="243">
        <f>24878+597</f>
        <v>25475</v>
      </c>
      <c r="EF148" s="243">
        <f>16055+83</f>
        <v>16138</v>
      </c>
      <c r="EG148" s="243">
        <f>4083+1+16</f>
        <v>4100</v>
      </c>
      <c r="EH148" s="243">
        <v>150</v>
      </c>
      <c r="EI148" s="243">
        <v>50</v>
      </c>
      <c r="EJ148" s="243">
        <f>15810+3615</f>
        <v>19425</v>
      </c>
      <c r="EK148" s="243">
        <f t="shared" ref="EK148" si="913">EJ148+EK74</f>
        <v>32572</v>
      </c>
      <c r="EL148" s="243"/>
      <c r="EM148" s="243"/>
      <c r="EN148" s="243"/>
      <c r="EO148" s="243"/>
      <c r="EP148" s="243"/>
      <c r="EQ148" s="243"/>
      <c r="ER148" s="243"/>
      <c r="ES148" s="243"/>
      <c r="ET148" s="243"/>
      <c r="EU148" s="243"/>
      <c r="EV148" s="243"/>
      <c r="EW148" s="243"/>
      <c r="EX148" s="243"/>
      <c r="EY148" s="243"/>
      <c r="EZ148" s="243"/>
      <c r="FA148" s="243"/>
      <c r="FB148" s="243"/>
      <c r="FC148" s="243"/>
      <c r="FD148" s="243"/>
      <c r="FE148" s="243"/>
      <c r="FF148" s="243"/>
      <c r="FG148" s="243"/>
      <c r="FH148" s="243"/>
      <c r="FI148" s="243"/>
      <c r="FJ148" s="243"/>
    </row>
    <row r="149" spans="2:166" ht="12.75" customHeight="1" x14ac:dyDescent="0.2">
      <c r="B149" t="s">
        <v>372</v>
      </c>
      <c r="AM149" s="243">
        <v>7671</v>
      </c>
      <c r="AN149" s="243"/>
      <c r="AO149" s="243"/>
      <c r="AP149" s="243">
        <v>8712</v>
      </c>
      <c r="AQ149" s="243">
        <v>9293</v>
      </c>
      <c r="AR149" s="243">
        <v>9470</v>
      </c>
      <c r="AS149" s="243">
        <v>9384</v>
      </c>
      <c r="AT149" s="243">
        <v>9444</v>
      </c>
      <c r="AU149" s="243">
        <v>10384</v>
      </c>
      <c r="AV149" s="243">
        <v>10539</v>
      </c>
      <c r="AW149" s="243">
        <v>10156</v>
      </c>
      <c r="AX149" s="243">
        <v>9719</v>
      </c>
      <c r="AY149" s="243">
        <v>9831</v>
      </c>
      <c r="AZ149" s="243">
        <v>10133</v>
      </c>
      <c r="BA149" s="243">
        <v>10279</v>
      </c>
      <c r="BB149" s="243">
        <v>9646</v>
      </c>
      <c r="BC149" s="243">
        <v>10018</v>
      </c>
      <c r="BD149" s="243">
        <v>9629</v>
      </c>
      <c r="BE149" s="243">
        <v>10290</v>
      </c>
      <c r="BF149" s="243">
        <v>9774</v>
      </c>
      <c r="BG149" s="243">
        <v>10861</v>
      </c>
      <c r="BH149" s="243">
        <v>10982</v>
      </c>
      <c r="BI149" s="243">
        <v>10552</v>
      </c>
      <c r="BJ149" s="243">
        <v>10581</v>
      </c>
      <c r="BK149" s="243">
        <v>10982</v>
      </c>
      <c r="BL149" s="243">
        <v>10992</v>
      </c>
      <c r="BM149" s="243">
        <v>11175</v>
      </c>
      <c r="BN149" s="243">
        <v>11309</v>
      </c>
      <c r="BO149" s="243">
        <v>11515</v>
      </c>
      <c r="BP149" s="243">
        <v>11614</v>
      </c>
      <c r="BQ149" s="243">
        <v>12027</v>
      </c>
      <c r="BR149" s="243">
        <v>11713</v>
      </c>
      <c r="CX149" s="243">
        <v>15283</v>
      </c>
      <c r="CY149" s="243">
        <v>15594</v>
      </c>
      <c r="CZ149" s="243">
        <v>16139</v>
      </c>
      <c r="DA149" s="243">
        <v>15890</v>
      </c>
      <c r="DB149" s="243">
        <v>16160</v>
      </c>
      <c r="DC149" s="243">
        <v>16350</v>
      </c>
      <c r="DD149" s="243">
        <v>16777</v>
      </c>
      <c r="DG149" s="243">
        <v>14946</v>
      </c>
      <c r="DH149" s="243">
        <v>15794</v>
      </c>
      <c r="EF149" s="243"/>
      <c r="EG149" s="243">
        <v>8712</v>
      </c>
      <c r="EJ149" s="243">
        <v>9646</v>
      </c>
    </row>
    <row r="150" spans="2:166" ht="12.75" customHeight="1" x14ac:dyDescent="0.2">
      <c r="B150" t="s">
        <v>373</v>
      </c>
      <c r="AM150" s="243">
        <v>4240</v>
      </c>
      <c r="AN150" s="243"/>
      <c r="AO150" s="243"/>
      <c r="AP150" s="243">
        <v>4889</v>
      </c>
      <c r="AQ150" s="243">
        <v>5047</v>
      </c>
      <c r="AR150" s="243">
        <v>5155</v>
      </c>
      <c r="AS150" s="243">
        <v>5414</v>
      </c>
      <c r="AT150" s="243">
        <v>5110</v>
      </c>
      <c r="AU150" s="243">
        <v>5575</v>
      </c>
      <c r="AV150" s="243">
        <v>5700</v>
      </c>
      <c r="AW150" s="243">
        <v>5473</v>
      </c>
      <c r="AX150" s="243">
        <v>5052</v>
      </c>
      <c r="AY150" s="243">
        <v>5359</v>
      </c>
      <c r="AZ150" s="243">
        <v>5472</v>
      </c>
      <c r="BA150" s="243">
        <v>5568</v>
      </c>
      <c r="BB150" s="243">
        <v>5180</v>
      </c>
      <c r="BC150" s="243">
        <v>5308</v>
      </c>
      <c r="BD150" s="243">
        <v>5071</v>
      </c>
      <c r="BE150" s="243">
        <v>5409</v>
      </c>
      <c r="BF150" s="243">
        <v>5378</v>
      </c>
      <c r="BG150" s="243">
        <v>6200</v>
      </c>
      <c r="BH150" s="243">
        <v>6413</v>
      </c>
      <c r="BI150" s="243">
        <v>6428</v>
      </c>
      <c r="BJ150" s="243">
        <v>6285</v>
      </c>
      <c r="BK150" s="243">
        <v>6800</v>
      </c>
      <c r="BL150" s="243">
        <v>7697</v>
      </c>
      <c r="BM150" s="243">
        <v>7809</v>
      </c>
      <c r="BN150" s="243">
        <v>7495</v>
      </c>
      <c r="BO150" s="243">
        <v>7691</v>
      </c>
      <c r="BP150" s="243">
        <v>7822</v>
      </c>
      <c r="BQ150" s="243">
        <v>8124</v>
      </c>
      <c r="BR150" s="243">
        <v>7878</v>
      </c>
      <c r="CX150" s="243">
        <v>10387</v>
      </c>
      <c r="CY150" s="243">
        <v>10990</v>
      </c>
      <c r="CZ150" s="243">
        <v>11437</v>
      </c>
      <c r="DA150" s="243">
        <v>11675</v>
      </c>
      <c r="DB150" s="243">
        <v>12483</v>
      </c>
      <c r="DC150" s="243">
        <v>12809</v>
      </c>
      <c r="DD150" s="243">
        <v>12888</v>
      </c>
      <c r="DG150" s="243">
        <v>11383</v>
      </c>
      <c r="DH150" s="243">
        <v>12169</v>
      </c>
      <c r="EF150" s="243"/>
      <c r="EG150" s="243">
        <v>4889</v>
      </c>
      <c r="EJ150" s="243">
        <v>5180</v>
      </c>
    </row>
    <row r="151" spans="2:166" ht="12.75" customHeight="1" x14ac:dyDescent="0.2">
      <c r="B151" t="s">
        <v>374</v>
      </c>
      <c r="AM151" s="243">
        <v>1995</v>
      </c>
      <c r="AN151" s="243"/>
      <c r="AO151" s="243"/>
      <c r="AP151" s="243">
        <v>2094</v>
      </c>
      <c r="AQ151" s="243">
        <v>2088</v>
      </c>
      <c r="AR151" s="243">
        <v>2194</v>
      </c>
      <c r="AS151" s="243">
        <v>2594</v>
      </c>
      <c r="AT151" s="243">
        <v>2609</v>
      </c>
      <c r="AU151" s="243">
        <v>2602</v>
      </c>
      <c r="AV151" s="243">
        <v>2612</v>
      </c>
      <c r="AW151" s="243">
        <v>2584</v>
      </c>
      <c r="AX151" s="243">
        <v>3430</v>
      </c>
      <c r="AY151" s="243">
        <v>2342</v>
      </c>
      <c r="AZ151" s="243">
        <v>2454</v>
      </c>
      <c r="BA151" s="243">
        <v>2650</v>
      </c>
      <c r="BB151" s="243">
        <v>2793</v>
      </c>
      <c r="BC151" s="243">
        <v>2232</v>
      </c>
      <c r="BD151" s="243">
        <v>2250</v>
      </c>
      <c r="BE151" s="243">
        <v>2418</v>
      </c>
      <c r="BF151" s="243">
        <v>2224</v>
      </c>
      <c r="BG151" s="243">
        <v>2272</v>
      </c>
      <c r="BH151" s="243">
        <v>2306</v>
      </c>
      <c r="BI151" s="243">
        <v>2480</v>
      </c>
      <c r="BJ151" s="243">
        <v>2556</v>
      </c>
      <c r="BK151" s="243">
        <v>2695</v>
      </c>
      <c r="BL151" s="243">
        <v>3117</v>
      </c>
      <c r="BM151" s="243">
        <v>3247</v>
      </c>
      <c r="BN151" s="243">
        <v>3139</v>
      </c>
      <c r="BO151" s="243">
        <v>3094</v>
      </c>
      <c r="BP151" s="243">
        <v>3283</v>
      </c>
      <c r="BQ151" s="243">
        <v>3485</v>
      </c>
      <c r="BR151" s="243">
        <v>3607</v>
      </c>
      <c r="CX151" s="243">
        <v>0</v>
      </c>
      <c r="CY151" s="243">
        <v>0</v>
      </c>
      <c r="CZ151" s="243">
        <v>0</v>
      </c>
      <c r="DA151" s="243">
        <v>0</v>
      </c>
      <c r="DB151" s="243">
        <v>0</v>
      </c>
      <c r="DC151" s="243">
        <v>0</v>
      </c>
      <c r="DD151" s="243">
        <v>0</v>
      </c>
      <c r="DG151" s="243">
        <v>0</v>
      </c>
      <c r="DH151" s="243">
        <v>0</v>
      </c>
      <c r="EF151" s="243"/>
      <c r="EG151" s="243">
        <v>2094</v>
      </c>
      <c r="EJ151" s="243">
        <v>2793</v>
      </c>
    </row>
    <row r="152" spans="2:166" ht="12.75" customHeight="1" x14ac:dyDescent="0.2">
      <c r="B152" t="s">
        <v>375</v>
      </c>
      <c r="AM152" s="243">
        <v>2661</v>
      </c>
      <c r="AN152" s="243"/>
      <c r="AO152" s="243"/>
      <c r="AP152" s="243">
        <v>3196</v>
      </c>
      <c r="AQ152" s="243">
        <v>3054</v>
      </c>
      <c r="AR152" s="243">
        <v>3014</v>
      </c>
      <c r="AS152" s="243">
        <v>3229</v>
      </c>
      <c r="AT152" s="243">
        <v>3467</v>
      </c>
      <c r="AU152" s="243">
        <v>4413</v>
      </c>
      <c r="AV152" s="243">
        <v>3908</v>
      </c>
      <c r="AW152" s="243">
        <v>3578</v>
      </c>
      <c r="AX152" s="243">
        <v>3367</v>
      </c>
      <c r="AY152" s="243">
        <v>3374</v>
      </c>
      <c r="AZ152" s="243">
        <v>2719</v>
      </c>
      <c r="BA152" s="243">
        <v>2768</v>
      </c>
      <c r="BB152" s="243">
        <v>2497</v>
      </c>
      <c r="BC152" s="243">
        <v>3293</v>
      </c>
      <c r="BD152" s="243">
        <v>3172</v>
      </c>
      <c r="BE152" s="243">
        <v>2474</v>
      </c>
      <c r="BF152" s="243">
        <v>2273</v>
      </c>
      <c r="BG152" s="243">
        <v>3021</v>
      </c>
      <c r="BH152" s="243">
        <v>3290</v>
      </c>
      <c r="BI152" s="243">
        <v>3056</v>
      </c>
      <c r="BJ152" s="243">
        <v>2633</v>
      </c>
      <c r="BK152" s="243">
        <v>2683</v>
      </c>
      <c r="BL152" s="243">
        <v>2894</v>
      </c>
      <c r="BM152" s="243">
        <v>2789</v>
      </c>
      <c r="BN152" s="243">
        <v>3084</v>
      </c>
      <c r="BO152" s="243">
        <v>3260</v>
      </c>
      <c r="BP152" s="243">
        <v>3425</v>
      </c>
      <c r="BQ152" s="243">
        <v>3312</v>
      </c>
      <c r="BR152" s="243">
        <v>4003</v>
      </c>
      <c r="CX152" s="243">
        <v>3701</v>
      </c>
      <c r="CY152" s="243">
        <v>3452</v>
      </c>
      <c r="CZ152" s="243">
        <v>3703</v>
      </c>
      <c r="DA152" s="243">
        <v>3592</v>
      </c>
      <c r="DB152" s="243">
        <v>3132</v>
      </c>
      <c r="DC152" s="243">
        <v>2921</v>
      </c>
      <c r="DD152" s="243">
        <v>2397</v>
      </c>
      <c r="DG152" s="243">
        <v>4455</v>
      </c>
      <c r="DH152" s="243">
        <v>4379</v>
      </c>
      <c r="EF152" s="243"/>
      <c r="EG152" s="243">
        <v>3196</v>
      </c>
      <c r="EJ152" s="243">
        <v>2497</v>
      </c>
    </row>
    <row r="153" spans="2:166" ht="12.75" customHeight="1" x14ac:dyDescent="0.2">
      <c r="B153" t="s">
        <v>376</v>
      </c>
      <c r="AM153" s="243">
        <f>SUM(AM148:AM152)</f>
        <v>33772</v>
      </c>
      <c r="AN153" s="243"/>
      <c r="AO153" s="243"/>
      <c r="AP153" s="243">
        <v>22975</v>
      </c>
      <c r="AQ153" s="243">
        <v>24673</v>
      </c>
      <c r="AR153" s="243">
        <v>28941</v>
      </c>
      <c r="AS153" s="243">
        <v>28941</v>
      </c>
      <c r="AT153" s="243">
        <v>29945</v>
      </c>
      <c r="AU153" s="243">
        <v>33818</v>
      </c>
      <c r="AV153" s="243">
        <v>35817</v>
      </c>
      <c r="AW153" s="243">
        <f t="shared" ref="AW153:BB153" si="914">SUM(AW148:AW152)</f>
        <v>36592</v>
      </c>
      <c r="AX153" s="243">
        <f t="shared" si="914"/>
        <v>34381</v>
      </c>
      <c r="AY153" s="243">
        <f t="shared" si="914"/>
        <v>34856</v>
      </c>
      <c r="AZ153" s="243">
        <f t="shared" si="914"/>
        <v>35512</v>
      </c>
      <c r="BA153" s="243">
        <f t="shared" si="914"/>
        <v>35621</v>
      </c>
      <c r="BB153" s="243">
        <f t="shared" si="914"/>
        <v>39541</v>
      </c>
      <c r="BC153" s="243">
        <f t="shared" ref="BC153:BF153" si="915">SUM(BC148:BC152)</f>
        <v>38861</v>
      </c>
      <c r="BD153" s="243">
        <f t="shared" ref="BD153" si="916">SUM(BD148:BD152)</f>
        <v>39023</v>
      </c>
      <c r="BE153" s="243">
        <f t="shared" si="915"/>
        <v>42717</v>
      </c>
      <c r="BF153" s="243">
        <f t="shared" si="915"/>
        <v>47307</v>
      </c>
      <c r="BG153" s="243">
        <f t="shared" ref="BG153:BH153" si="917">SUM(BG148:BG152)</f>
        <v>49221</v>
      </c>
      <c r="BH153" s="243">
        <f t="shared" si="917"/>
        <v>52673</v>
      </c>
      <c r="BI153" s="243">
        <f>SUM(BI148:BI152)</f>
        <v>53443</v>
      </c>
      <c r="BJ153" s="243">
        <f t="shared" ref="BJ153:BM153" si="918">SUM(BJ148:BJ152)</f>
        <v>54316</v>
      </c>
      <c r="BK153" s="243">
        <f t="shared" si="918"/>
        <v>57007</v>
      </c>
      <c r="BL153" s="243">
        <f t="shared" si="918"/>
        <v>41615</v>
      </c>
      <c r="BM153" s="243">
        <f t="shared" si="918"/>
        <v>44791</v>
      </c>
      <c r="BN153" s="243">
        <f>SUM(BN148:BN152)</f>
        <v>46116</v>
      </c>
      <c r="BO153" s="243">
        <f>SUM(BO148:BO152)</f>
        <v>47228</v>
      </c>
      <c r="BP153" s="243">
        <f>SUM(BP148:BP152)</f>
        <v>51273</v>
      </c>
      <c r="BQ153" s="243">
        <f>SUM(BQ148:BQ152)</f>
        <v>52176</v>
      </c>
      <c r="BR153" s="243">
        <f>SUM(BR148:BR152)</f>
        <v>56407</v>
      </c>
      <c r="CX153" s="243">
        <f t="shared" ref="CX153:DD153" si="919">SUM(CX148:CX152)</f>
        <v>60979</v>
      </c>
      <c r="CY153" s="243">
        <f t="shared" si="919"/>
        <v>60424</v>
      </c>
      <c r="CZ153" s="243">
        <f t="shared" si="919"/>
        <v>63847</v>
      </c>
      <c r="DA153" s="243">
        <f t="shared" si="919"/>
        <v>65236</v>
      </c>
      <c r="DB153" s="243">
        <f t="shared" si="919"/>
        <v>55294</v>
      </c>
      <c r="DC153" s="243">
        <f t="shared" si="919"/>
        <v>64388</v>
      </c>
      <c r="DD153" s="243">
        <f t="shared" si="919"/>
        <v>60567</v>
      </c>
      <c r="DG153" s="243">
        <f>SUM(DG148:DG152)</f>
        <v>57002</v>
      </c>
      <c r="DH153" s="243">
        <f>SUM(DH148:DH152)</f>
        <v>57817</v>
      </c>
      <c r="EF153" s="243"/>
      <c r="EG153" s="243">
        <f>SUM(EG148:EG152)</f>
        <v>22991</v>
      </c>
      <c r="EJ153" s="243">
        <f>SUM(EJ148:EJ152)</f>
        <v>39541</v>
      </c>
    </row>
    <row r="154" spans="2:166" ht="12.75" customHeight="1" x14ac:dyDescent="0.2">
      <c r="B154" t="s">
        <v>377</v>
      </c>
      <c r="AM154" s="243">
        <v>10951</v>
      </c>
      <c r="AN154" s="243"/>
      <c r="AO154" s="243"/>
      <c r="AP154" s="243">
        <v>13044</v>
      </c>
      <c r="AQ154" s="243">
        <v>13180</v>
      </c>
      <c r="AR154" s="243">
        <v>13385</v>
      </c>
      <c r="AS154" s="243">
        <v>13613</v>
      </c>
      <c r="AT154" s="243">
        <v>14185</v>
      </c>
      <c r="AU154" s="243">
        <v>14486</v>
      </c>
      <c r="AV154" s="243">
        <v>14627</v>
      </c>
      <c r="AW154" s="243">
        <v>14355</v>
      </c>
      <c r="AX154" s="243">
        <v>14365</v>
      </c>
      <c r="AY154" s="243">
        <v>14253</v>
      </c>
      <c r="AZ154" s="243">
        <v>14502</v>
      </c>
      <c r="BA154" s="243">
        <v>14815</v>
      </c>
      <c r="BB154" s="243">
        <v>14759</v>
      </c>
      <c r="BC154" s="243">
        <v>14277</v>
      </c>
      <c r="BD154" s="243">
        <v>13881</v>
      </c>
      <c r="BE154" s="243">
        <v>14360</v>
      </c>
      <c r="BF154" s="243">
        <v>14553</v>
      </c>
      <c r="BG154" s="243">
        <v>15084</v>
      </c>
      <c r="BH154" s="243">
        <v>14974</v>
      </c>
      <c r="BI154" s="243">
        <v>14635</v>
      </c>
      <c r="BJ154" s="243">
        <v>14739</v>
      </c>
      <c r="BK154" s="243">
        <v>14824</v>
      </c>
      <c r="BL154" s="243">
        <v>15622</v>
      </c>
      <c r="BM154" s="243">
        <v>15845</v>
      </c>
      <c r="BN154" s="243">
        <v>16097</v>
      </c>
      <c r="BO154" s="243">
        <v>15721</v>
      </c>
      <c r="BP154" s="243">
        <v>15794</v>
      </c>
      <c r="BQ154" s="243">
        <v>16127</v>
      </c>
      <c r="BR154" s="243">
        <v>16710</v>
      </c>
      <c r="CX154" s="243">
        <v>18962</v>
      </c>
      <c r="CY154" s="243">
        <v>18701</v>
      </c>
      <c r="CZ154" s="243">
        <v>18354</v>
      </c>
      <c r="DA154" s="243">
        <v>18152</v>
      </c>
      <c r="DB154" s="243">
        <v>19803</v>
      </c>
      <c r="DC154" s="243">
        <v>20174</v>
      </c>
      <c r="DD154" s="243">
        <v>20576</v>
      </c>
      <c r="DG154" s="243">
        <v>19632</v>
      </c>
      <c r="DH154" s="243">
        <v>19748</v>
      </c>
      <c r="EF154" s="243"/>
      <c r="EG154" s="243">
        <v>13044</v>
      </c>
      <c r="EJ154" s="243">
        <v>14759</v>
      </c>
    </row>
    <row r="155" spans="2:166" ht="12.75" customHeight="1" x14ac:dyDescent="0.2">
      <c r="B155" t="s">
        <v>378</v>
      </c>
      <c r="AM155" s="243">
        <f>6438+6460</f>
        <v>12898</v>
      </c>
      <c r="AN155" s="243"/>
      <c r="AO155" s="243"/>
      <c r="AP155" s="243">
        <f>15348+13340</f>
        <v>28688</v>
      </c>
      <c r="AQ155" s="243">
        <f>15568+13663</f>
        <v>29231</v>
      </c>
      <c r="AR155" s="243">
        <f>15412+13754</f>
        <v>29166</v>
      </c>
      <c r="AS155" s="243">
        <f>15468+14040</f>
        <v>29508</v>
      </c>
      <c r="AT155" s="243">
        <f>14640+14123</f>
        <v>28763</v>
      </c>
      <c r="AU155" s="243">
        <f>14818+14615</f>
        <v>29433</v>
      </c>
      <c r="AV155" s="243">
        <f>14675+14526</f>
        <v>29201</v>
      </c>
      <c r="AW155" s="243">
        <f>14296+14275</f>
        <v>28571</v>
      </c>
      <c r="AX155" s="243">
        <f>13976+13719</f>
        <v>27695</v>
      </c>
      <c r="AY155" s="243">
        <f>14840+14083</f>
        <v>28923</v>
      </c>
      <c r="AZ155" s="243">
        <f>14720+14152</f>
        <v>28872</v>
      </c>
      <c r="BA155" s="243">
        <f>16636+15017</f>
        <v>31653</v>
      </c>
      <c r="BB155" s="243">
        <f>16323+14862</f>
        <v>31185</v>
      </c>
      <c r="BC155" s="243">
        <f>16799+14977</f>
        <v>31776</v>
      </c>
      <c r="BD155" s="243">
        <f>16459+14628</f>
        <v>31087</v>
      </c>
      <c r="BE155" s="243">
        <f>17068+15375</f>
        <v>32443</v>
      </c>
      <c r="BF155" s="243">
        <f>16716+15294</f>
        <v>32010</v>
      </c>
      <c r="BG155" s="243">
        <f>18687+16126</f>
        <v>34813</v>
      </c>
      <c r="BH155" s="243">
        <f>18378+16243</f>
        <v>34621</v>
      </c>
      <c r="BI155" s="243">
        <f>18225+16049</f>
        <v>34274</v>
      </c>
      <c r="BJ155" s="243">
        <f>18138+16138</f>
        <v>34276</v>
      </c>
      <c r="BK155" s="243">
        <f>18157+16339</f>
        <v>34496</v>
      </c>
      <c r="BL155" s="243">
        <f>29199+21412</f>
        <v>50611</v>
      </c>
      <c r="BM155" s="243">
        <f>28790+21777</f>
        <v>50567</v>
      </c>
      <c r="BN155" s="243">
        <f>28752+22424</f>
        <v>51176</v>
      </c>
      <c r="BO155" s="243">
        <f>28009+22349</f>
        <v>50358</v>
      </c>
      <c r="BP155" s="243">
        <f>27704+22337</f>
        <v>50041</v>
      </c>
      <c r="BQ155" s="243">
        <f>28467+22852</f>
        <v>51319</v>
      </c>
      <c r="BR155" s="243">
        <f>27947+22798</f>
        <v>50745</v>
      </c>
      <c r="CX155" s="243">
        <f>46392+35246</f>
        <v>81638</v>
      </c>
      <c r="CY155" s="243">
        <f>44420+34935</f>
        <v>79355</v>
      </c>
      <c r="CZ155" s="243">
        <f>42408+34166</f>
        <v>76574</v>
      </c>
      <c r="DA155" s="243">
        <f>40336+33383</f>
        <v>73719</v>
      </c>
      <c r="DB155" s="243">
        <f>48325+45231</f>
        <v>93556</v>
      </c>
      <c r="DC155" s="243">
        <f>47448+45575</f>
        <v>93023</v>
      </c>
      <c r="DD155" s="243">
        <f>46246+45440</f>
        <v>91686</v>
      </c>
      <c r="DG155" s="243">
        <f>34286+36616</f>
        <v>70902</v>
      </c>
      <c r="DH155" s="243">
        <f>39725+44250</f>
        <v>83975</v>
      </c>
      <c r="EF155" s="243"/>
      <c r="EG155" s="243">
        <f>15348+13340</f>
        <v>28688</v>
      </c>
      <c r="EJ155" s="243">
        <f>16323+14862</f>
        <v>31185</v>
      </c>
    </row>
    <row r="156" spans="2:166" ht="12.75" customHeight="1" x14ac:dyDescent="0.2">
      <c r="B156" t="s">
        <v>374</v>
      </c>
      <c r="AM156" s="243">
        <v>1269</v>
      </c>
      <c r="AN156" s="243"/>
      <c r="AO156" s="243"/>
      <c r="AP156" s="243">
        <v>3210</v>
      </c>
      <c r="AQ156" s="243">
        <v>3273</v>
      </c>
      <c r="AR156" s="243">
        <v>3575</v>
      </c>
      <c r="AS156" s="243">
        <v>3808</v>
      </c>
      <c r="AT156" s="243">
        <v>4889</v>
      </c>
      <c r="AU156" s="243">
        <v>5129</v>
      </c>
      <c r="AV156" s="243">
        <v>5422</v>
      </c>
      <c r="AW156" s="243">
        <v>5191</v>
      </c>
      <c r="AX156" s="243">
        <v>5841</v>
      </c>
      <c r="AY156" s="243">
        <v>5479</v>
      </c>
      <c r="AZ156" s="243">
        <v>5870</v>
      </c>
      <c r="BA156" s="243">
        <v>5888</v>
      </c>
      <c r="BB156" s="243">
        <v>5507</v>
      </c>
      <c r="BC156" s="243">
        <v>4905</v>
      </c>
      <c r="BD156" s="243">
        <v>5109</v>
      </c>
      <c r="BE156" s="243">
        <v>5175</v>
      </c>
      <c r="BF156" s="243">
        <v>5096</v>
      </c>
      <c r="BG156" s="243">
        <v>5327</v>
      </c>
      <c r="BH156" s="243">
        <v>5653</v>
      </c>
      <c r="BI156" s="243">
        <v>5564</v>
      </c>
      <c r="BJ156" s="243">
        <v>6540</v>
      </c>
      <c r="BK156" s="243">
        <v>5911</v>
      </c>
      <c r="BL156" s="243">
        <v>4011</v>
      </c>
      <c r="BM156" s="243">
        <v>4227</v>
      </c>
      <c r="BN156" s="243">
        <v>4541</v>
      </c>
      <c r="BO156" s="243">
        <v>4506</v>
      </c>
      <c r="BP156" s="243">
        <v>4740</v>
      </c>
      <c r="BQ156" s="243">
        <v>4596</v>
      </c>
      <c r="BR156" s="243">
        <v>3872</v>
      </c>
      <c r="CX156" s="243">
        <v>10223</v>
      </c>
      <c r="CY156" s="243">
        <v>9936</v>
      </c>
      <c r="CZ156" s="243">
        <v>9514</v>
      </c>
      <c r="DA156" s="243">
        <v>9392</v>
      </c>
      <c r="DB156" s="243">
        <v>9123</v>
      </c>
      <c r="DC156" s="243">
        <v>8817</v>
      </c>
      <c r="DD156" s="243">
        <v>8779</v>
      </c>
      <c r="DG156" s="243">
        <v>10305</v>
      </c>
      <c r="DH156" s="243">
        <v>9004</v>
      </c>
      <c r="EF156" s="243"/>
      <c r="EG156" s="243">
        <v>3210</v>
      </c>
      <c r="EJ156" s="243">
        <v>5507</v>
      </c>
    </row>
    <row r="157" spans="2:166" ht="12.75" customHeight="1" x14ac:dyDescent="0.2">
      <c r="B157" t="s">
        <v>379</v>
      </c>
      <c r="AM157" s="243">
        <v>3243</v>
      </c>
      <c r="AN157" s="243"/>
      <c r="AO157" s="243"/>
      <c r="AP157" s="243">
        <v>2623</v>
      </c>
      <c r="AQ157" s="243">
        <v>2695</v>
      </c>
      <c r="AR157" s="243">
        <v>2736</v>
      </c>
      <c r="AS157" s="243">
        <v>2787</v>
      </c>
      <c r="AT157" s="243">
        <v>3170</v>
      </c>
      <c r="AU157" s="243">
        <v>3126</v>
      </c>
      <c r="AV157" s="243">
        <v>3043</v>
      </c>
      <c r="AW157" s="243">
        <v>3015</v>
      </c>
      <c r="AX157" s="243">
        <v>2630</v>
      </c>
      <c r="AY157" s="243">
        <v>2589</v>
      </c>
      <c r="AZ157" s="243">
        <v>2682</v>
      </c>
      <c r="BA157" s="243">
        <v>3581</v>
      </c>
      <c r="BB157" s="243">
        <v>3690</v>
      </c>
      <c r="BC157" s="243">
        <v>3622</v>
      </c>
      <c r="BD157" s="243">
        <v>3200</v>
      </c>
      <c r="BE157" s="243">
        <v>3552</v>
      </c>
      <c r="BF157" s="243">
        <v>3942</v>
      </c>
      <c r="BG157" s="243">
        <v>3705</v>
      </c>
      <c r="BH157" s="243">
        <v>4193</v>
      </c>
      <c r="BI157" s="243">
        <v>3905</v>
      </c>
      <c r="BJ157" s="243">
        <v>3773</v>
      </c>
      <c r="BK157" s="243">
        <v>3956</v>
      </c>
      <c r="BL157" s="243">
        <v>3891</v>
      </c>
      <c r="BM157" s="243">
        <v>3521</v>
      </c>
      <c r="BN157" s="243">
        <v>3417</v>
      </c>
      <c r="BO157" s="243">
        <v>3723</v>
      </c>
      <c r="BP157" s="243">
        <v>2477</v>
      </c>
      <c r="BQ157" s="243">
        <v>2715</v>
      </c>
      <c r="BR157" s="243">
        <v>4949</v>
      </c>
      <c r="CX157" s="243">
        <v>10216</v>
      </c>
      <c r="CY157" s="243">
        <v>9939</v>
      </c>
      <c r="CZ157" s="243">
        <v>9435</v>
      </c>
      <c r="DA157" s="243">
        <v>8625</v>
      </c>
      <c r="DB157" s="243">
        <v>9602</v>
      </c>
      <c r="DC157" s="243">
        <v>9567</v>
      </c>
      <c r="DD157" s="243">
        <v>10078</v>
      </c>
      <c r="DG157" s="243">
        <v>14125</v>
      </c>
      <c r="DH157" s="243">
        <v>10544</v>
      </c>
      <c r="EF157" s="243"/>
      <c r="EG157" s="243">
        <v>2623</v>
      </c>
      <c r="EJ157" s="243">
        <v>3690</v>
      </c>
    </row>
    <row r="158" spans="2:166" ht="12.75" customHeight="1" x14ac:dyDescent="0.2">
      <c r="B158" t="s">
        <v>1446</v>
      </c>
      <c r="AM158" s="243">
        <f>SUM(AM153:AM157)</f>
        <v>62133</v>
      </c>
      <c r="AN158" s="243"/>
      <c r="AO158" s="243"/>
      <c r="AP158" s="243">
        <v>70556</v>
      </c>
      <c r="AQ158" s="243">
        <v>73066</v>
      </c>
      <c r="AR158" s="243">
        <v>74683</v>
      </c>
      <c r="AS158" s="243">
        <v>78665</v>
      </c>
      <c r="AT158" s="243">
        <v>80954</v>
      </c>
      <c r="AU158" s="243">
        <v>85995</v>
      </c>
      <c r="AV158" s="243">
        <v>88113</v>
      </c>
      <c r="AW158" s="243">
        <f t="shared" ref="AW158:BB158" si="920">SUM(AW153:AW157)</f>
        <v>87724</v>
      </c>
      <c r="AX158" s="243">
        <f t="shared" si="920"/>
        <v>84912</v>
      </c>
      <c r="AY158" s="243">
        <f t="shared" si="920"/>
        <v>86100</v>
      </c>
      <c r="AZ158" s="243">
        <f t="shared" si="920"/>
        <v>87438</v>
      </c>
      <c r="BA158" s="243">
        <f t="shared" si="920"/>
        <v>91558</v>
      </c>
      <c r="BB158" s="243">
        <f t="shared" si="920"/>
        <v>94682</v>
      </c>
      <c r="BC158" s="243">
        <f t="shared" ref="BC158:BF158" si="921">SUM(BC153:BC157)</f>
        <v>93441</v>
      </c>
      <c r="BD158" s="243">
        <f t="shared" ref="BD158" si="922">SUM(BD153:BD157)</f>
        <v>92300</v>
      </c>
      <c r="BE158" s="243">
        <f t="shared" si="921"/>
        <v>98247</v>
      </c>
      <c r="BF158" s="243">
        <f t="shared" si="921"/>
        <v>102908</v>
      </c>
      <c r="BG158" s="243">
        <f t="shared" ref="BG158:BH158" si="923">SUM(BG153:BG157)</f>
        <v>108150</v>
      </c>
      <c r="BH158" s="243">
        <f t="shared" si="923"/>
        <v>112114</v>
      </c>
      <c r="BI158" s="243">
        <f t="shared" ref="BI158:BJ158" si="924">SUM(BI153:BI157)</f>
        <v>111821</v>
      </c>
      <c r="BJ158" s="243">
        <f t="shared" si="924"/>
        <v>113644</v>
      </c>
      <c r="BK158" s="243">
        <f t="shared" ref="BK158:BL158" si="925">SUM(BK153:BK157)</f>
        <v>116194</v>
      </c>
      <c r="BL158" s="243">
        <f t="shared" si="925"/>
        <v>115750</v>
      </c>
      <c r="BM158" s="243">
        <f t="shared" ref="BM158:BN158" si="926">SUM(BM153:BM157)</f>
        <v>118951</v>
      </c>
      <c r="BN158" s="243">
        <f t="shared" si="926"/>
        <v>121347</v>
      </c>
      <c r="BO158" s="243">
        <f t="shared" ref="BO158:BQ158" si="927">SUM(BO153:BO157)</f>
        <v>121536</v>
      </c>
      <c r="BP158" s="243">
        <f t="shared" si="927"/>
        <v>124325</v>
      </c>
      <c r="BQ158" s="243">
        <f t="shared" si="927"/>
        <v>126933</v>
      </c>
      <c r="BR158" s="243">
        <f t="shared" ref="BR158" si="928">SUM(BR153:BR157)</f>
        <v>132683</v>
      </c>
      <c r="CX158" s="243">
        <f t="shared" ref="CX158:DD158" si="929">SUM(CX153:CX157)</f>
        <v>182018</v>
      </c>
      <c r="CY158" s="243">
        <f t="shared" si="929"/>
        <v>178355</v>
      </c>
      <c r="CZ158" s="243">
        <f t="shared" si="929"/>
        <v>177724</v>
      </c>
      <c r="DA158" s="243">
        <f t="shared" si="929"/>
        <v>175124</v>
      </c>
      <c r="DB158" s="243">
        <f t="shared" si="929"/>
        <v>187378</v>
      </c>
      <c r="DC158" s="243">
        <f t="shared" si="929"/>
        <v>195969</v>
      </c>
      <c r="DD158" s="243">
        <f t="shared" si="929"/>
        <v>191686</v>
      </c>
      <c r="DG158" s="243">
        <f>SUM(DG153:DG157)</f>
        <v>171966</v>
      </c>
      <c r="DH158" s="243">
        <f>SUM(DH153:DH157)</f>
        <v>181088</v>
      </c>
      <c r="EF158" s="243"/>
      <c r="EG158" s="243">
        <f>SUM(EG153:EG157)</f>
        <v>70556</v>
      </c>
      <c r="EJ158" s="243">
        <f>SUM(EJ153:EJ157)</f>
        <v>94682</v>
      </c>
    </row>
    <row r="159" spans="2:166" ht="12.75" customHeight="1" x14ac:dyDescent="0.2">
      <c r="AM159" s="243"/>
      <c r="AN159" s="243"/>
      <c r="AO159" s="243"/>
      <c r="AP159" s="243"/>
      <c r="AQ159" s="243"/>
      <c r="AR159" s="243"/>
      <c r="AS159" s="243"/>
      <c r="AT159" s="243"/>
      <c r="AU159" s="243"/>
      <c r="AV159" s="243"/>
      <c r="AW159" s="243"/>
      <c r="AX159" s="243"/>
      <c r="AY159" s="243"/>
      <c r="AZ159" s="243"/>
      <c r="BA159" s="243"/>
      <c r="BB159" s="243"/>
      <c r="BC159" s="243"/>
      <c r="BD159" s="243"/>
      <c r="BE159" s="243"/>
      <c r="BF159" s="243"/>
      <c r="BG159" s="243"/>
      <c r="BH159" s="243"/>
      <c r="BI159" s="243"/>
      <c r="BJ159" s="243"/>
      <c r="BK159" s="243"/>
      <c r="BL159" s="243"/>
      <c r="BM159" s="243"/>
      <c r="BN159" s="243"/>
      <c r="BO159" s="243"/>
      <c r="BP159" s="243"/>
      <c r="BQ159" s="243"/>
      <c r="BR159" s="243"/>
      <c r="CY159" s="243"/>
      <c r="DB159" s="243"/>
      <c r="DC159" s="243"/>
      <c r="DD159" s="243"/>
      <c r="DG159" s="243"/>
      <c r="EF159" s="243"/>
      <c r="EG159" s="243"/>
      <c r="EJ159" s="243"/>
    </row>
    <row r="160" spans="2:166" ht="12.75" customHeight="1" x14ac:dyDescent="0.2">
      <c r="B160" t="s">
        <v>380</v>
      </c>
      <c r="AM160" s="243">
        <v>828</v>
      </c>
      <c r="AN160" s="243"/>
      <c r="AO160" s="243"/>
      <c r="AP160" s="243">
        <v>4579</v>
      </c>
      <c r="AQ160" s="243">
        <v>4682</v>
      </c>
      <c r="AR160" s="243">
        <v>4470</v>
      </c>
      <c r="AS160" s="243">
        <v>3264</v>
      </c>
      <c r="AT160" s="243">
        <v>2463</v>
      </c>
      <c r="AU160" s="243">
        <v>4250</v>
      </c>
      <c r="AV160" s="243">
        <v>5156</v>
      </c>
      <c r="AW160" s="243">
        <v>6245</v>
      </c>
      <c r="AX160" s="243">
        <v>3732</v>
      </c>
      <c r="AY160" s="243">
        <v>6022</v>
      </c>
      <c r="AZ160" s="243">
        <v>5435</v>
      </c>
      <c r="BA160" s="243">
        <v>3341</v>
      </c>
      <c r="BB160" s="243">
        <v>6318</v>
      </c>
      <c r="BC160" s="243">
        <v>4044</v>
      </c>
      <c r="BD160" s="243">
        <v>3715</v>
      </c>
      <c r="BE160" s="243">
        <v>2843</v>
      </c>
      <c r="BF160" s="243">
        <v>7617</v>
      </c>
      <c r="BG160" s="243">
        <v>8575</v>
      </c>
      <c r="BH160" s="243">
        <v>5046</v>
      </c>
      <c r="BI160" s="243">
        <v>5326</v>
      </c>
      <c r="BJ160" s="243">
        <v>6658</v>
      </c>
      <c r="BK160" s="243">
        <v>6439</v>
      </c>
      <c r="BL160" s="243">
        <v>6040</v>
      </c>
      <c r="BM160" s="243">
        <v>5423</v>
      </c>
      <c r="BN160" s="243">
        <v>4676</v>
      </c>
      <c r="BO160" s="243">
        <v>4529</v>
      </c>
      <c r="BP160" s="243">
        <v>5339</v>
      </c>
      <c r="BQ160" s="243">
        <v>5359</v>
      </c>
      <c r="BR160" s="243">
        <v>4852</v>
      </c>
      <c r="CX160" s="243">
        <v>3766</v>
      </c>
      <c r="CY160" s="243">
        <v>4297</v>
      </c>
      <c r="CZ160" s="243">
        <v>4305</v>
      </c>
      <c r="DA160" s="243">
        <v>4424</v>
      </c>
      <c r="DB160" s="243">
        <v>12771</v>
      </c>
      <c r="DC160" s="243">
        <v>17979</v>
      </c>
      <c r="DD160" s="243">
        <v>11701</v>
      </c>
      <c r="DE160" s="243"/>
      <c r="DG160" s="243">
        <v>8550</v>
      </c>
      <c r="DH160" s="243">
        <v>9855</v>
      </c>
      <c r="EF160" s="243"/>
      <c r="EG160" s="243">
        <v>4579</v>
      </c>
      <c r="EJ160" s="243">
        <v>6318</v>
      </c>
    </row>
    <row r="161" spans="2:140" ht="12.75" customHeight="1" x14ac:dyDescent="0.2">
      <c r="B161" t="s">
        <v>381</v>
      </c>
      <c r="AM161" s="243">
        <v>3939</v>
      </c>
      <c r="AN161" s="243"/>
      <c r="AO161" s="243"/>
      <c r="AP161" s="243">
        <v>5691</v>
      </c>
      <c r="AQ161" s="243">
        <v>5643</v>
      </c>
      <c r="AR161" s="243">
        <v>5458</v>
      </c>
      <c r="AS161" s="243">
        <v>5963</v>
      </c>
      <c r="AT161" s="243">
        <v>6909</v>
      </c>
      <c r="AU161" s="243">
        <v>7487</v>
      </c>
      <c r="AV161" s="243">
        <v>6623</v>
      </c>
      <c r="AW161" s="243">
        <v>6384</v>
      </c>
      <c r="AX161" s="243">
        <v>7503</v>
      </c>
      <c r="AY161" s="243">
        <v>6395</v>
      </c>
      <c r="AZ161" s="243">
        <v>5832</v>
      </c>
      <c r="BA161" s="243">
        <v>6419</v>
      </c>
      <c r="BB161" s="243">
        <v>5541</v>
      </c>
      <c r="BC161" s="243">
        <v>5126</v>
      </c>
      <c r="BD161" s="243">
        <v>4871</v>
      </c>
      <c r="BE161" s="243">
        <v>5477</v>
      </c>
      <c r="BF161" s="243">
        <v>5623</v>
      </c>
      <c r="BG161" s="243">
        <v>5701</v>
      </c>
      <c r="BH161" s="243">
        <v>5689</v>
      </c>
      <c r="BI161" s="243">
        <v>5730</v>
      </c>
      <c r="BJ161" s="243">
        <v>5725</v>
      </c>
      <c r="BK161" s="243">
        <v>5085</v>
      </c>
      <c r="BL161" s="243">
        <v>5145</v>
      </c>
      <c r="BM161" s="243">
        <v>5344</v>
      </c>
      <c r="BN161" s="243">
        <v>5831</v>
      </c>
      <c r="BO161" s="243">
        <v>5372</v>
      </c>
      <c r="BP161" s="243">
        <v>5687</v>
      </c>
      <c r="BQ161" s="243">
        <v>6055</v>
      </c>
      <c r="BR161" s="243">
        <v>6266</v>
      </c>
      <c r="CX161" s="243">
        <v>11055</v>
      </c>
      <c r="CY161" s="243">
        <v>9309</v>
      </c>
      <c r="CZ161" s="243">
        <v>9765</v>
      </c>
      <c r="DA161" s="243">
        <v>10153</v>
      </c>
      <c r="DB161" s="243">
        <v>11703</v>
      </c>
      <c r="DC161" s="243">
        <v>9909</v>
      </c>
      <c r="DD161" s="243">
        <v>10443</v>
      </c>
      <c r="DG161" s="243">
        <v>8174</v>
      </c>
      <c r="DH161" s="243">
        <v>8848</v>
      </c>
      <c r="EF161" s="243"/>
      <c r="EG161" s="243">
        <v>5691</v>
      </c>
      <c r="EJ161" s="243">
        <v>5541</v>
      </c>
    </row>
    <row r="162" spans="2:140" ht="12.75" customHeight="1" x14ac:dyDescent="0.2">
      <c r="B162" t="s">
        <v>382</v>
      </c>
      <c r="AM162" s="243">
        <v>3520</v>
      </c>
      <c r="AN162" s="243"/>
      <c r="AO162" s="243"/>
      <c r="AP162" s="243">
        <v>4587</v>
      </c>
      <c r="AQ162" s="243">
        <v>4483</v>
      </c>
      <c r="AR162" s="243">
        <v>4585</v>
      </c>
      <c r="AS162" s="243">
        <v>5076</v>
      </c>
      <c r="AT162" s="243">
        <v>6412</v>
      </c>
      <c r="AU162" s="243">
        <v>5751</v>
      </c>
      <c r="AV162" s="243">
        <v>5631</v>
      </c>
      <c r="AW162" s="243">
        <v>5521</v>
      </c>
      <c r="AX162" s="243">
        <v>5531</v>
      </c>
      <c r="AY162" s="243">
        <v>4561</v>
      </c>
      <c r="AZ162" s="243">
        <v>4765</v>
      </c>
      <c r="BA162" s="243">
        <v>4862</v>
      </c>
      <c r="BB162" s="243">
        <v>5796</v>
      </c>
      <c r="BC162" s="243">
        <v>4415</v>
      </c>
      <c r="BD162" s="243">
        <v>4186</v>
      </c>
      <c r="BE162" s="243">
        <v>4333</v>
      </c>
      <c r="BF162" s="243">
        <v>4100</v>
      </c>
      <c r="BG162" s="243">
        <v>4093</v>
      </c>
      <c r="BH162" s="243">
        <v>4405</v>
      </c>
      <c r="BI162" s="243">
        <v>4136</v>
      </c>
      <c r="BJ162" s="243">
        <v>4608</v>
      </c>
      <c r="BK162" s="243">
        <v>4369</v>
      </c>
      <c r="BL162" s="243">
        <v>6533</v>
      </c>
      <c r="BM162" s="243">
        <v>6498</v>
      </c>
      <c r="BN162" s="243">
        <v>7299</v>
      </c>
      <c r="BO162" s="243">
        <v>6904</v>
      </c>
      <c r="BP162" s="243">
        <v>6646</v>
      </c>
      <c r="BQ162" s="243">
        <v>6921</v>
      </c>
      <c r="BR162" s="243">
        <v>7685</v>
      </c>
      <c r="CX162" s="243">
        <v>13612</v>
      </c>
      <c r="CY162" s="243">
        <v>13006</v>
      </c>
      <c r="CZ162" s="243">
        <v>12607</v>
      </c>
      <c r="DA162" s="243">
        <v>11953</v>
      </c>
      <c r="DB162" s="243">
        <v>11456</v>
      </c>
      <c r="DC162" s="243">
        <v>11204</v>
      </c>
      <c r="DD162" s="243">
        <v>10605</v>
      </c>
      <c r="DG162" s="243">
        <v>10323</v>
      </c>
      <c r="DH162" s="243">
        <v>10539</v>
      </c>
      <c r="EF162" s="243"/>
      <c r="EG162" s="243">
        <v>4587</v>
      </c>
      <c r="EJ162" s="243">
        <v>5796</v>
      </c>
    </row>
    <row r="163" spans="2:140" ht="12.75" customHeight="1" x14ac:dyDescent="0.2">
      <c r="B163" t="s">
        <v>384</v>
      </c>
      <c r="AM163" s="243">
        <v>2026</v>
      </c>
      <c r="AN163" s="243"/>
      <c r="AO163" s="243"/>
      <c r="AP163" s="243">
        <v>2189</v>
      </c>
      <c r="AQ163" s="243">
        <v>2352</v>
      </c>
      <c r="AR163" s="243">
        <v>2447</v>
      </c>
      <c r="AS163" s="243">
        <v>2519</v>
      </c>
      <c r="AT163" s="243">
        <v>2318</v>
      </c>
      <c r="AU163" s="243">
        <v>2659</v>
      </c>
      <c r="AV163" s="243">
        <v>2693</v>
      </c>
      <c r="AW163" s="243">
        <v>2609</v>
      </c>
      <c r="AX163" s="243">
        <v>2237</v>
      </c>
      <c r="AY163" s="243">
        <v>2489</v>
      </c>
      <c r="AZ163" s="243">
        <v>2153</v>
      </c>
      <c r="BA163" s="243">
        <v>2123</v>
      </c>
      <c r="BB163" s="243">
        <v>2028</v>
      </c>
      <c r="BC163" s="243">
        <v>2487</v>
      </c>
      <c r="BD163" s="243">
        <v>2404</v>
      </c>
      <c r="BE163" s="243">
        <v>2666</v>
      </c>
      <c r="BF163" s="243">
        <v>2512</v>
      </c>
      <c r="BG163" s="243">
        <v>2858</v>
      </c>
      <c r="BH163" s="243">
        <v>2933</v>
      </c>
      <c r="BI163" s="243">
        <v>2895</v>
      </c>
      <c r="BJ163" s="243">
        <v>2637</v>
      </c>
      <c r="BK163" s="243">
        <v>2865</v>
      </c>
      <c r="BL163" s="243">
        <v>2960</v>
      </c>
      <c r="BM163" s="243">
        <v>3040</v>
      </c>
      <c r="BN163" s="243">
        <v>2969</v>
      </c>
      <c r="BO163" s="243">
        <v>2910</v>
      </c>
      <c r="BP163" s="243">
        <v>3138</v>
      </c>
      <c r="BQ163" s="243">
        <v>3465</v>
      </c>
      <c r="BR163" s="243">
        <v>3308</v>
      </c>
      <c r="CX163" s="243">
        <v>12095</v>
      </c>
      <c r="CY163" s="243">
        <v>12972</v>
      </c>
      <c r="CZ163" s="243">
        <v>13447</v>
      </c>
      <c r="DA163" s="243">
        <v>14021</v>
      </c>
      <c r="DB163" s="243">
        <v>14417</v>
      </c>
      <c r="DC163" s="243">
        <v>14784</v>
      </c>
      <c r="DD163" s="243">
        <v>15672</v>
      </c>
      <c r="DG163" s="243">
        <v>16182</v>
      </c>
      <c r="DH163" s="243">
        <v>17539</v>
      </c>
      <c r="EF163" s="243"/>
      <c r="EG163" s="243">
        <v>2189</v>
      </c>
      <c r="EJ163" s="243">
        <v>2028</v>
      </c>
    </row>
    <row r="164" spans="2:140" ht="12.75" customHeight="1" x14ac:dyDescent="0.2">
      <c r="B164" t="s">
        <v>385</v>
      </c>
      <c r="AM164" s="243">
        <v>939</v>
      </c>
      <c r="AN164" s="243"/>
      <c r="AO164" s="243"/>
      <c r="AP164" s="243">
        <v>1391</v>
      </c>
      <c r="AQ164" s="243">
        <v>1125</v>
      </c>
      <c r="AR164" s="243">
        <v>1140</v>
      </c>
      <c r="AS164" s="243">
        <v>1474</v>
      </c>
      <c r="AT164" s="243">
        <v>1512</v>
      </c>
      <c r="AU164" s="243">
        <v>1222</v>
      </c>
      <c r="AV164" s="243">
        <v>1292</v>
      </c>
      <c r="AW164" s="243">
        <v>1513</v>
      </c>
      <c r="AX164" s="243">
        <v>1432</v>
      </c>
      <c r="AY164" s="243">
        <v>1153</v>
      </c>
      <c r="AZ164" s="243">
        <v>1191</v>
      </c>
      <c r="BA164" s="243">
        <v>1471</v>
      </c>
      <c r="BB164" s="243">
        <v>1606</v>
      </c>
      <c r="BC164" s="243">
        <v>1054</v>
      </c>
      <c r="BD164" s="243">
        <v>1197</v>
      </c>
      <c r="BE164" s="243">
        <v>1314</v>
      </c>
      <c r="BF164" s="243">
        <v>2642</v>
      </c>
      <c r="BG164" s="243">
        <v>1777</v>
      </c>
      <c r="BH164" s="243">
        <v>2104</v>
      </c>
      <c r="BI164" s="243">
        <v>2263</v>
      </c>
      <c r="BJ164" s="243">
        <v>2329</v>
      </c>
      <c r="BK164" s="243">
        <v>1526</v>
      </c>
      <c r="BL164" s="243">
        <v>1911</v>
      </c>
      <c r="BM164" s="243">
        <v>2128</v>
      </c>
      <c r="BN164" s="243">
        <v>2423</v>
      </c>
      <c r="BO164" s="243">
        <v>1631</v>
      </c>
      <c r="BP164" s="243">
        <v>2001</v>
      </c>
      <c r="BQ164" s="243">
        <v>2324</v>
      </c>
      <c r="BR164" s="243">
        <v>2794</v>
      </c>
      <c r="CX164" s="243">
        <v>3586</v>
      </c>
      <c r="CY164" s="243">
        <v>2098</v>
      </c>
      <c r="CZ164" s="243">
        <v>2717</v>
      </c>
      <c r="DA164" s="243">
        <v>3006</v>
      </c>
      <c r="DB164" s="243">
        <v>3328</v>
      </c>
      <c r="DC164" s="243">
        <v>2231</v>
      </c>
      <c r="DD164" s="243">
        <v>3062</v>
      </c>
      <c r="DG164" s="243">
        <v>2178</v>
      </c>
      <c r="DH164" s="243">
        <v>2843</v>
      </c>
      <c r="EF164" s="243"/>
      <c r="EG164" s="243">
        <v>1391</v>
      </c>
      <c r="EJ164" s="243">
        <v>1606</v>
      </c>
    </row>
    <row r="165" spans="2:140" ht="12.75" customHeight="1" x14ac:dyDescent="0.2">
      <c r="B165" t="s">
        <v>386</v>
      </c>
      <c r="AM165" s="243">
        <v>1940</v>
      </c>
      <c r="AN165" s="243"/>
      <c r="AO165" s="243"/>
      <c r="AP165" s="243">
        <v>724</v>
      </c>
      <c r="AQ165" s="243">
        <v>1378</v>
      </c>
      <c r="AR165" s="243">
        <v>883</v>
      </c>
      <c r="AS165" s="243">
        <v>1032</v>
      </c>
      <c r="AT165" s="243">
        <v>253</v>
      </c>
      <c r="AU165" s="243">
        <v>702</v>
      </c>
      <c r="AV165" s="243">
        <v>385</v>
      </c>
      <c r="AW165" s="243">
        <v>458</v>
      </c>
      <c r="AX165" s="243">
        <v>417</v>
      </c>
      <c r="AY165" s="243">
        <v>705</v>
      </c>
      <c r="AZ165" s="243">
        <v>510</v>
      </c>
      <c r="BA165" s="243">
        <v>1029</v>
      </c>
      <c r="BB165" s="243">
        <v>442</v>
      </c>
      <c r="BC165" s="243">
        <v>1373</v>
      </c>
      <c r="BD165" s="243">
        <v>791</v>
      </c>
      <c r="BE165" s="243">
        <v>781</v>
      </c>
      <c r="BF165" s="243">
        <v>578</v>
      </c>
      <c r="BG165" s="243">
        <v>1007</v>
      </c>
      <c r="BH165" s="243">
        <v>808</v>
      </c>
      <c r="BI165" s="243">
        <v>1336</v>
      </c>
      <c r="BJ165" s="243">
        <v>854</v>
      </c>
      <c r="BK165" s="243">
        <v>914</v>
      </c>
      <c r="BL165" s="243">
        <v>1259</v>
      </c>
      <c r="BM165" s="243">
        <v>1502</v>
      </c>
      <c r="BN165" s="243">
        <v>1064</v>
      </c>
      <c r="BO165" s="243">
        <v>1178</v>
      </c>
      <c r="BP165" s="243">
        <v>956</v>
      </c>
      <c r="BQ165" s="243">
        <v>1711</v>
      </c>
      <c r="BR165" s="243">
        <v>770</v>
      </c>
      <c r="CX165" s="243">
        <v>1112</v>
      </c>
      <c r="CY165" s="243">
        <v>1708</v>
      </c>
      <c r="CZ165" s="243">
        <v>1980</v>
      </c>
      <c r="DA165" s="243">
        <v>1986</v>
      </c>
      <c r="DB165" s="243">
        <v>2127</v>
      </c>
      <c r="DC165" s="243">
        <v>4266</v>
      </c>
      <c r="DD165" s="243">
        <v>2687</v>
      </c>
      <c r="DG165" s="243">
        <v>3318</v>
      </c>
      <c r="DH165" s="243">
        <v>4309</v>
      </c>
      <c r="EF165" s="243"/>
      <c r="EG165" s="243">
        <v>724</v>
      </c>
      <c r="EJ165" s="243">
        <v>442</v>
      </c>
    </row>
    <row r="166" spans="2:140" ht="12.75" customHeight="1" x14ac:dyDescent="0.2">
      <c r="B166" t="s">
        <v>376</v>
      </c>
      <c r="AM166" s="243">
        <f>SUM(AM160:AM165)</f>
        <v>13192</v>
      </c>
      <c r="AN166" s="243"/>
      <c r="AO166" s="243"/>
      <c r="AP166" s="243">
        <v>19161</v>
      </c>
      <c r="AQ166" s="243">
        <v>19663</v>
      </c>
      <c r="AR166" s="243">
        <v>18983</v>
      </c>
      <c r="AS166" s="243">
        <v>19328</v>
      </c>
      <c r="AT166" s="243">
        <v>19837</v>
      </c>
      <c r="AU166" s="243">
        <v>22071</v>
      </c>
      <c r="AV166" s="243">
        <v>21780</v>
      </c>
      <c r="AW166" s="243">
        <f t="shared" ref="AW166:BB166" si="930">SUM(AW160:AW165)</f>
        <v>22730</v>
      </c>
      <c r="AX166" s="243">
        <f t="shared" si="930"/>
        <v>20852</v>
      </c>
      <c r="AY166" s="243">
        <f t="shared" si="930"/>
        <v>21325</v>
      </c>
      <c r="AZ166" s="243">
        <f t="shared" si="930"/>
        <v>19886</v>
      </c>
      <c r="BA166" s="243">
        <f t="shared" si="930"/>
        <v>19245</v>
      </c>
      <c r="BB166" s="243">
        <f t="shared" si="930"/>
        <v>21731</v>
      </c>
      <c r="BC166" s="243">
        <f t="shared" ref="BC166:BF166" si="931">SUM(BC160:BC165)</f>
        <v>18499</v>
      </c>
      <c r="BD166" s="243">
        <f t="shared" ref="BD166" si="932">SUM(BD160:BD165)</f>
        <v>17164</v>
      </c>
      <c r="BE166" s="243">
        <f t="shared" si="931"/>
        <v>17414</v>
      </c>
      <c r="BF166" s="243">
        <f t="shared" si="931"/>
        <v>23072</v>
      </c>
      <c r="BG166" s="243">
        <f t="shared" ref="BG166" si="933">SUM(BG160:BG165)</f>
        <v>24011</v>
      </c>
      <c r="BH166" s="243">
        <f>SUM(BH160:BH165)</f>
        <v>20985</v>
      </c>
      <c r="BI166" s="243">
        <f t="shared" ref="BI166:BJ166" si="934">SUM(BI160:BI165)</f>
        <v>21686</v>
      </c>
      <c r="BJ166" s="243">
        <f t="shared" si="934"/>
        <v>22811</v>
      </c>
      <c r="BK166" s="243">
        <f t="shared" ref="BK166:BL166" si="935">SUM(BK160:BK165)</f>
        <v>21198</v>
      </c>
      <c r="BL166" s="243">
        <f t="shared" si="935"/>
        <v>23848</v>
      </c>
      <c r="BM166" s="243">
        <f t="shared" ref="BM166:BN166" si="936">SUM(BM160:BM165)</f>
        <v>23935</v>
      </c>
      <c r="BN166" s="243">
        <f t="shared" si="936"/>
        <v>24262</v>
      </c>
      <c r="BO166" s="243">
        <f t="shared" ref="BO166:BQ166" si="937">SUM(BO160:BO165)</f>
        <v>22524</v>
      </c>
      <c r="BP166" s="243">
        <f t="shared" si="937"/>
        <v>23767</v>
      </c>
      <c r="BQ166" s="243">
        <f t="shared" si="937"/>
        <v>25835</v>
      </c>
      <c r="BR166" s="243">
        <f t="shared" ref="BR166" si="938">SUM(BR160:BR165)</f>
        <v>25675</v>
      </c>
      <c r="CX166" s="243">
        <f t="shared" ref="CX166" si="939">SUM(CX160:CX165)</f>
        <v>45226</v>
      </c>
      <c r="CY166" s="243">
        <f t="shared" ref="CY166:DD166" si="940">SUM(CY160:CY165)</f>
        <v>43390</v>
      </c>
      <c r="CZ166" s="243">
        <f t="shared" si="940"/>
        <v>44821</v>
      </c>
      <c r="DA166" s="243">
        <f t="shared" si="940"/>
        <v>45543</v>
      </c>
      <c r="DB166" s="243">
        <f t="shared" si="940"/>
        <v>55802</v>
      </c>
      <c r="DC166" s="243">
        <f t="shared" si="940"/>
        <v>60373</v>
      </c>
      <c r="DD166" s="243">
        <f t="shared" si="940"/>
        <v>54170</v>
      </c>
      <c r="DG166" s="243">
        <f t="shared" ref="DG166:DH166" si="941">SUM(DG160:DG165)</f>
        <v>48725</v>
      </c>
      <c r="DH166" s="243">
        <f t="shared" si="941"/>
        <v>53933</v>
      </c>
      <c r="EF166" s="243"/>
      <c r="EG166" s="243">
        <f>SUM(EG160:EG165)</f>
        <v>19161</v>
      </c>
      <c r="EJ166" s="243">
        <f>SUM(EJ160:EJ165)</f>
        <v>21731</v>
      </c>
    </row>
    <row r="167" spans="2:140" ht="12.75" customHeight="1" x14ac:dyDescent="0.2">
      <c r="B167" t="s">
        <v>727</v>
      </c>
      <c r="AM167" s="243">
        <v>1980</v>
      </c>
      <c r="AN167" s="243"/>
      <c r="AO167" s="243"/>
      <c r="AP167" s="243">
        <v>2014</v>
      </c>
      <c r="AQ167" s="243">
        <v>2012</v>
      </c>
      <c r="AR167" s="243">
        <v>2013</v>
      </c>
      <c r="AS167" s="243">
        <v>4633</v>
      </c>
      <c r="AT167" s="243">
        <v>7074</v>
      </c>
      <c r="AU167" s="243">
        <v>7166</v>
      </c>
      <c r="AV167" s="243">
        <v>8770</v>
      </c>
      <c r="AW167" s="243">
        <v>8395</v>
      </c>
      <c r="AX167" s="243">
        <v>8120</v>
      </c>
      <c r="AY167" s="243">
        <v>8052</v>
      </c>
      <c r="AZ167" s="243">
        <v>8179</v>
      </c>
      <c r="BA167" s="243">
        <v>8259</v>
      </c>
      <c r="BB167" s="243">
        <v>8223</v>
      </c>
      <c r="BC167" s="243">
        <v>8059</v>
      </c>
      <c r="BD167" s="243">
        <v>7937</v>
      </c>
      <c r="BE167" s="243">
        <v>9182</v>
      </c>
      <c r="BF167" s="243">
        <v>9156</v>
      </c>
      <c r="BG167" s="243">
        <v>9255</v>
      </c>
      <c r="BH167" s="243">
        <v>13680</v>
      </c>
      <c r="BI167" s="243">
        <v>13031</v>
      </c>
      <c r="BJ167" s="243">
        <v>12969</v>
      </c>
      <c r="BK167" s="243">
        <v>13010</v>
      </c>
      <c r="BL167" s="243">
        <v>11525</v>
      </c>
      <c r="BM167" s="243">
        <v>11428</v>
      </c>
      <c r="BN167" s="243">
        <v>11489</v>
      </c>
      <c r="BO167" s="243">
        <v>11363</v>
      </c>
      <c r="BP167" s="243">
        <v>9643</v>
      </c>
      <c r="BQ167" s="243">
        <v>9748</v>
      </c>
      <c r="BR167" s="243">
        <v>13328</v>
      </c>
      <c r="CX167" s="243">
        <v>29985</v>
      </c>
      <c r="CY167" s="243">
        <v>28851</v>
      </c>
      <c r="CZ167" s="243">
        <v>28292</v>
      </c>
      <c r="DA167" s="243">
        <v>27603</v>
      </c>
      <c r="DB167" s="243">
        <v>26888</v>
      </c>
      <c r="DC167" s="243">
        <v>34928</v>
      </c>
      <c r="DD167" s="243">
        <v>33901</v>
      </c>
      <c r="DG167" s="243">
        <v>25082</v>
      </c>
      <c r="DH167" s="243">
        <v>31636</v>
      </c>
      <c r="EF167" s="243"/>
      <c r="EG167" s="243">
        <v>2014</v>
      </c>
      <c r="EJ167" s="243">
        <v>8223</v>
      </c>
    </row>
    <row r="168" spans="2:140" ht="12.75" customHeight="1" x14ac:dyDescent="0.2">
      <c r="B168" t="s">
        <v>374</v>
      </c>
      <c r="AM168" s="243">
        <v>294</v>
      </c>
      <c r="AN168" s="243"/>
      <c r="AO168" s="243"/>
      <c r="AP168" s="243">
        <v>1319</v>
      </c>
      <c r="AQ168" s="243">
        <v>1375</v>
      </c>
      <c r="AR168" s="243">
        <v>1361</v>
      </c>
      <c r="AS168" s="243">
        <v>1386</v>
      </c>
      <c r="AT168" s="243">
        <v>1493</v>
      </c>
      <c r="AU168" s="243">
        <v>1451</v>
      </c>
      <c r="AV168" s="243">
        <v>1454</v>
      </c>
      <c r="AW168" s="243">
        <v>1384</v>
      </c>
      <c r="AX168" s="243">
        <v>1432</v>
      </c>
      <c r="AY168" s="243">
        <v>1487</v>
      </c>
      <c r="AZ168" s="243">
        <v>1481</v>
      </c>
      <c r="BA168" s="243">
        <v>1505</v>
      </c>
      <c r="BB168" s="243">
        <v>1424</v>
      </c>
      <c r="BC168" s="243">
        <v>1672</v>
      </c>
      <c r="BD168" s="243">
        <v>1669</v>
      </c>
      <c r="BE168" s="243">
        <v>1725</v>
      </c>
      <c r="BF168" s="243">
        <v>1447</v>
      </c>
      <c r="BG168" s="243">
        <v>1895</v>
      </c>
      <c r="BH168" s="243">
        <v>1888</v>
      </c>
      <c r="BI168" s="243">
        <v>1889</v>
      </c>
      <c r="BJ168" s="243">
        <v>1800</v>
      </c>
      <c r="BK168" s="243">
        <v>1846</v>
      </c>
      <c r="BL168" s="243">
        <v>2276</v>
      </c>
      <c r="BM168" s="243">
        <v>2716</v>
      </c>
      <c r="BN168" s="243">
        <v>3136</v>
      </c>
      <c r="BO168" s="243">
        <v>3619</v>
      </c>
      <c r="BP168" s="243">
        <v>3685</v>
      </c>
      <c r="BQ168" s="243">
        <v>3613</v>
      </c>
      <c r="BR168" s="243">
        <v>3989</v>
      </c>
      <c r="CX168" s="243">
        <f>7487+5713</f>
        <v>13200</v>
      </c>
      <c r="CY168" s="243">
        <f>6424+5745</f>
        <v>12169</v>
      </c>
      <c r="CZ168" s="243">
        <f>5015+4162</f>
        <v>9177</v>
      </c>
      <c r="DA168" s="243">
        <v>4946</v>
      </c>
      <c r="DB168" s="243">
        <f>6374+4306</f>
        <v>10680</v>
      </c>
      <c r="DC168" s="243">
        <f>4417+4296</f>
        <v>8713</v>
      </c>
      <c r="DD168" s="243">
        <f>3627+2536</f>
        <v>6163</v>
      </c>
      <c r="DG168" s="243">
        <f>3172+2881</f>
        <v>6053</v>
      </c>
      <c r="DH168" s="243">
        <v>2635</v>
      </c>
      <c r="EF168" s="243"/>
      <c r="EG168" s="243">
        <v>1319</v>
      </c>
      <c r="EJ168" s="243">
        <v>1424</v>
      </c>
    </row>
    <row r="169" spans="2:140" ht="12.75" customHeight="1" x14ac:dyDescent="0.2">
      <c r="B169" t="s">
        <v>728</v>
      </c>
      <c r="AM169" s="243">
        <v>3284</v>
      </c>
      <c r="AN169" s="243"/>
      <c r="AO169" s="243"/>
      <c r="AP169" s="243">
        <v>5584</v>
      </c>
      <c r="AQ169" s="243">
        <v>5660</v>
      </c>
      <c r="AR169" s="243">
        <v>5654</v>
      </c>
      <c r="AS169" s="243">
        <v>6082</v>
      </c>
      <c r="AT169" s="243">
        <v>5402</v>
      </c>
      <c r="AU169" s="243">
        <v>5548</v>
      </c>
      <c r="AV169" s="243">
        <v>5572</v>
      </c>
      <c r="AW169" s="243">
        <v>5533</v>
      </c>
      <c r="AX169" s="243">
        <v>7791</v>
      </c>
      <c r="AY169" s="243">
        <v>7297</v>
      </c>
      <c r="AZ169" s="243">
        <v>7370</v>
      </c>
      <c r="BA169" s="243">
        <v>7111</v>
      </c>
      <c r="BB169" s="243">
        <v>6769</v>
      </c>
      <c r="BC169" s="243">
        <v>6254</v>
      </c>
      <c r="BD169" s="243">
        <v>6320</v>
      </c>
      <c r="BE169" s="243">
        <v>6409</v>
      </c>
      <c r="BF169" s="243">
        <v>6087</v>
      </c>
      <c r="BG169" s="243">
        <v>6125</v>
      </c>
      <c r="BH169" s="243">
        <v>6202</v>
      </c>
      <c r="BI169" s="243">
        <v>6215</v>
      </c>
      <c r="BJ169" s="243">
        <v>8353</v>
      </c>
      <c r="BK169" s="243">
        <v>8236</v>
      </c>
      <c r="BL169" s="243">
        <v>8180</v>
      </c>
      <c r="BM169" s="243">
        <v>7904</v>
      </c>
      <c r="BN169" s="243">
        <v>9082</v>
      </c>
      <c r="BO169" s="243">
        <v>8978</v>
      </c>
      <c r="BP169" s="243">
        <v>8996</v>
      </c>
      <c r="BQ169" s="243">
        <v>9038</v>
      </c>
      <c r="BR169" s="243">
        <v>7784</v>
      </c>
      <c r="CX169" s="243">
        <v>8898</v>
      </c>
      <c r="CY169" s="243">
        <v>8739</v>
      </c>
      <c r="CZ169" s="243">
        <v>8553</v>
      </c>
      <c r="DA169" s="243">
        <v>8353</v>
      </c>
      <c r="DB169" s="243">
        <v>6767</v>
      </c>
      <c r="DC169" s="243">
        <v>6665</v>
      </c>
      <c r="DD169" s="243">
        <v>6461</v>
      </c>
      <c r="DG169" s="243">
        <v>7019</v>
      </c>
      <c r="DH169" s="243">
        <v>6919</v>
      </c>
      <c r="EF169" s="243"/>
      <c r="EG169" s="243">
        <v>5584</v>
      </c>
      <c r="EJ169" s="243">
        <v>6769</v>
      </c>
    </row>
    <row r="170" spans="2:140" ht="12.75" customHeight="1" x14ac:dyDescent="0.2">
      <c r="B170" t="s">
        <v>379</v>
      </c>
      <c r="AM170" s="243">
        <v>2260</v>
      </c>
      <c r="AN170" s="243"/>
      <c r="AO170" s="243"/>
      <c r="AP170" s="243">
        <v>3160</v>
      </c>
      <c r="AQ170" s="243">
        <v>3428</v>
      </c>
      <c r="AR170" s="243">
        <v>3550</v>
      </c>
      <c r="AS170" s="243">
        <v>3663</v>
      </c>
      <c r="AT170" s="243">
        <v>3829</v>
      </c>
      <c r="AU170" s="243">
        <v>4134</v>
      </c>
      <c r="AV170" s="243">
        <v>4102</v>
      </c>
      <c r="AW170" s="243">
        <v>3948</v>
      </c>
      <c r="AX170" s="243">
        <v>4206</v>
      </c>
      <c r="AY170" s="243">
        <v>4148</v>
      </c>
      <c r="AZ170" s="243">
        <v>4275</v>
      </c>
      <c r="BA170" s="243">
        <v>5054</v>
      </c>
      <c r="BB170" s="243">
        <v>5947</v>
      </c>
      <c r="BC170" s="243">
        <v>6043</v>
      </c>
      <c r="BD170" s="243">
        <v>6359</v>
      </c>
      <c r="BE170" s="243">
        <v>6226</v>
      </c>
      <c r="BF170" s="243">
        <v>6567</v>
      </c>
      <c r="BG170" s="243">
        <v>7001</v>
      </c>
      <c r="BH170" s="243">
        <v>7227</v>
      </c>
      <c r="BI170" s="243">
        <v>7473</v>
      </c>
      <c r="BJ170" s="243">
        <v>10631</v>
      </c>
      <c r="BK170" s="243">
        <v>10538</v>
      </c>
      <c r="BL170" s="243">
        <v>9487</v>
      </c>
      <c r="BM170" s="243">
        <v>9207</v>
      </c>
      <c r="BN170" s="243">
        <v>8552</v>
      </c>
      <c r="BO170" s="243">
        <v>8197</v>
      </c>
      <c r="BP170" s="243">
        <v>8569</v>
      </c>
      <c r="BQ170" s="243">
        <v>8895</v>
      </c>
      <c r="BR170" s="243">
        <v>7854</v>
      </c>
      <c r="CX170" s="243">
        <v>10686</v>
      </c>
      <c r="CY170" s="243">
        <v>10497</v>
      </c>
      <c r="CZ170" s="243">
        <v>10524</v>
      </c>
      <c r="DA170" s="243">
        <f>4162+9918</f>
        <v>14080</v>
      </c>
      <c r="DB170" s="243">
        <v>10437</v>
      </c>
      <c r="DC170" s="243">
        <v>14421</v>
      </c>
      <c r="DD170" s="243">
        <v>14582</v>
      </c>
      <c r="DG170" s="243">
        <v>15067</v>
      </c>
      <c r="DH170" s="243">
        <f>341+14086</f>
        <v>14427</v>
      </c>
      <c r="EF170" s="243"/>
      <c r="EG170" s="243">
        <v>3160</v>
      </c>
      <c r="EJ170" s="243">
        <v>5947</v>
      </c>
    </row>
    <row r="171" spans="2:140" ht="12.75" customHeight="1" x14ac:dyDescent="0.2">
      <c r="B171" t="s">
        <v>1445</v>
      </c>
      <c r="AM171" s="243">
        <f>SUM(AM166:AM170)</f>
        <v>21010</v>
      </c>
      <c r="AN171" s="243"/>
      <c r="AO171" s="243"/>
      <c r="AP171" s="243">
        <v>31238</v>
      </c>
      <c r="AQ171" s="243">
        <v>32138</v>
      </c>
      <c r="AR171" s="243">
        <v>31561</v>
      </c>
      <c r="AS171" s="243">
        <v>35092</v>
      </c>
      <c r="AT171" s="243">
        <v>37635</v>
      </c>
      <c r="AU171" s="243">
        <v>40370</v>
      </c>
      <c r="AV171" s="243">
        <v>41678</v>
      </c>
      <c r="AW171" s="243">
        <f t="shared" ref="AW171:BB171" si="942">SUM(AW166:AW170)</f>
        <v>41990</v>
      </c>
      <c r="AX171" s="243">
        <f t="shared" si="942"/>
        <v>42401</v>
      </c>
      <c r="AY171" s="243">
        <f t="shared" si="942"/>
        <v>42309</v>
      </c>
      <c r="AZ171" s="243">
        <f t="shared" si="942"/>
        <v>41191</v>
      </c>
      <c r="BA171" s="243">
        <f t="shared" si="942"/>
        <v>41174</v>
      </c>
      <c r="BB171" s="243">
        <f t="shared" si="942"/>
        <v>44094</v>
      </c>
      <c r="BC171" s="243">
        <f t="shared" ref="BC171:BF171" si="943">SUM(BC166:BC170)</f>
        <v>40527</v>
      </c>
      <c r="BD171" s="243">
        <f t="shared" ref="BD171" si="944">SUM(BD166:BD170)</f>
        <v>39449</v>
      </c>
      <c r="BE171" s="243">
        <f t="shared" si="943"/>
        <v>40956</v>
      </c>
      <c r="BF171" s="243">
        <f t="shared" si="943"/>
        <v>46329</v>
      </c>
      <c r="BG171" s="243">
        <f t="shared" ref="BG171" si="945">SUM(BG166:BG170)</f>
        <v>48287</v>
      </c>
      <c r="BH171" s="243">
        <f>SUM(BH166:BH170)</f>
        <v>49982</v>
      </c>
      <c r="BI171" s="243">
        <f t="shared" ref="BI171:BJ171" si="946">SUM(BI166:BI170)</f>
        <v>50294</v>
      </c>
      <c r="BJ171" s="243">
        <f t="shared" si="946"/>
        <v>56564</v>
      </c>
      <c r="BK171" s="243">
        <f t="shared" ref="BK171:BL171" si="947">SUM(BK166:BK170)</f>
        <v>54828</v>
      </c>
      <c r="BL171" s="243">
        <f t="shared" si="947"/>
        <v>55316</v>
      </c>
      <c r="BM171" s="243">
        <f t="shared" ref="BM171:BN171" si="948">SUM(BM166:BM170)</f>
        <v>55190</v>
      </c>
      <c r="BN171" s="243">
        <f t="shared" si="948"/>
        <v>56521</v>
      </c>
      <c r="BO171" s="243">
        <f t="shared" ref="BO171:BP171" si="949">SUM(BO166:BO170)</f>
        <v>54681</v>
      </c>
      <c r="BP171" s="243">
        <f t="shared" si="949"/>
        <v>54660</v>
      </c>
      <c r="BQ171" s="243">
        <f t="shared" ref="BQ171:BR171" si="950">SUM(BQ166:BQ170)</f>
        <v>57129</v>
      </c>
      <c r="BR171" s="243">
        <f t="shared" si="950"/>
        <v>58630</v>
      </c>
      <c r="CX171" s="243">
        <f t="shared" ref="CX171" si="951">SUM(CX166:CX170)</f>
        <v>107995</v>
      </c>
      <c r="CY171" s="243">
        <f t="shared" ref="CY171:DD171" si="952">SUM(CY166:CY170)</f>
        <v>103646</v>
      </c>
      <c r="CZ171" s="243">
        <f t="shared" si="952"/>
        <v>101367</v>
      </c>
      <c r="DA171" s="243">
        <f t="shared" si="952"/>
        <v>100525</v>
      </c>
      <c r="DB171" s="243">
        <f t="shared" si="952"/>
        <v>110574</v>
      </c>
      <c r="DC171" s="243">
        <f t="shared" si="952"/>
        <v>125100</v>
      </c>
      <c r="DD171" s="243">
        <f t="shared" si="952"/>
        <v>115277</v>
      </c>
      <c r="DG171" s="243">
        <f t="shared" ref="DG171:DH171" si="953">SUM(DG166:DG170)</f>
        <v>101946</v>
      </c>
      <c r="DH171" s="243">
        <f t="shared" si="953"/>
        <v>109550</v>
      </c>
      <c r="EF171" s="243"/>
      <c r="EG171" s="243">
        <f>SUM(EG166:EG170)</f>
        <v>31238</v>
      </c>
      <c r="EJ171" s="243">
        <f>SUM(EJ166:EJ170)</f>
        <v>44094</v>
      </c>
    </row>
    <row r="172" spans="2:140" ht="12.75" customHeight="1" x14ac:dyDescent="0.2">
      <c r="B172" t="s">
        <v>1447</v>
      </c>
      <c r="AM172" s="243"/>
      <c r="AN172" s="243"/>
      <c r="AO172" s="243"/>
      <c r="AP172" s="243"/>
      <c r="AQ172" s="243"/>
      <c r="AR172" s="243"/>
      <c r="AS172" s="243"/>
      <c r="AT172" s="243"/>
      <c r="AU172" s="243"/>
      <c r="AV172" s="243"/>
      <c r="AW172" s="243"/>
      <c r="AX172" s="243"/>
      <c r="AY172" s="243"/>
      <c r="AZ172" s="243"/>
      <c r="BA172" s="243"/>
      <c r="BB172" s="243"/>
      <c r="BC172" s="243"/>
      <c r="BD172" s="243"/>
      <c r="BE172" s="243">
        <v>3120</v>
      </c>
      <c r="BF172" s="243">
        <v>3120</v>
      </c>
      <c r="BG172" s="243">
        <v>3120</v>
      </c>
      <c r="BH172" s="243">
        <v>3120</v>
      </c>
      <c r="BI172" s="243">
        <v>3120</v>
      </c>
      <c r="BJ172" s="243">
        <v>3120</v>
      </c>
      <c r="BK172" s="243">
        <v>3120</v>
      </c>
      <c r="BL172" s="243">
        <v>3120</v>
      </c>
      <c r="BM172" s="243">
        <v>3120</v>
      </c>
      <c r="BN172" s="243">
        <v>3120</v>
      </c>
      <c r="BO172" s="243">
        <v>3120</v>
      </c>
      <c r="BP172" s="243">
        <v>3120</v>
      </c>
      <c r="BQ172" s="243">
        <v>3120</v>
      </c>
      <c r="BR172" s="243">
        <v>3120</v>
      </c>
      <c r="CX172" s="243">
        <v>3120</v>
      </c>
      <c r="CY172" s="243">
        <v>3120</v>
      </c>
      <c r="CZ172" s="243">
        <v>3120</v>
      </c>
      <c r="DA172" s="243">
        <v>3120</v>
      </c>
      <c r="DB172" s="243">
        <v>3120</v>
      </c>
      <c r="DC172" s="243">
        <v>3120</v>
      </c>
      <c r="DD172" s="243">
        <v>3120</v>
      </c>
      <c r="DG172" s="243">
        <v>3120</v>
      </c>
      <c r="DH172" s="243">
        <v>3120</v>
      </c>
      <c r="EF172" s="243"/>
      <c r="EG172" s="243"/>
      <c r="EJ172" s="243"/>
    </row>
    <row r="173" spans="2:140" ht="12.75" customHeight="1" x14ac:dyDescent="0.2">
      <c r="B173" t="s">
        <v>1448</v>
      </c>
      <c r="AM173" s="243"/>
      <c r="AN173" s="243"/>
      <c r="AO173" s="243"/>
      <c r="AP173" s="243"/>
      <c r="AQ173" s="243"/>
      <c r="AR173" s="243"/>
      <c r="AS173" s="243"/>
      <c r="AT173" s="243"/>
      <c r="AU173" s="243"/>
      <c r="AV173" s="243"/>
      <c r="AW173" s="243"/>
      <c r="AX173" s="243"/>
      <c r="AY173" s="243"/>
      <c r="AZ173" s="243"/>
      <c r="BA173" s="243"/>
      <c r="BB173" s="243"/>
      <c r="BC173" s="243"/>
      <c r="BD173" s="243"/>
      <c r="BE173" s="243">
        <v>-2924</v>
      </c>
      <c r="BF173" s="243">
        <v>-3531</v>
      </c>
      <c r="BG173" s="243">
        <v>-2020</v>
      </c>
      <c r="BH173" s="243">
        <v>-1192</v>
      </c>
      <c r="BI173" s="243">
        <v>-3068</v>
      </c>
      <c r="BJ173" s="243">
        <v>-5632</v>
      </c>
      <c r="BK173" s="243">
        <v>-4540</v>
      </c>
      <c r="BL173" s="243">
        <v>-6204</v>
      </c>
      <c r="BM173" s="243">
        <v>-4925</v>
      </c>
      <c r="BN173" s="243">
        <v>-5810</v>
      </c>
      <c r="BO173" s="243">
        <v>-6689</v>
      </c>
      <c r="BP173" s="243">
        <v>-6810</v>
      </c>
      <c r="BQ173" s="243">
        <v>-5346</v>
      </c>
      <c r="BR173" s="243">
        <v>-2860</v>
      </c>
      <c r="CX173" s="243">
        <v>-13058</v>
      </c>
      <c r="CY173" s="243">
        <v>-13757</v>
      </c>
      <c r="CZ173" s="243">
        <v>-13843</v>
      </c>
      <c r="DA173" s="243">
        <v>-15292</v>
      </c>
      <c r="DB173" s="243">
        <v>-12967</v>
      </c>
      <c r="DC173" s="243">
        <v>-12626</v>
      </c>
      <c r="DD173" s="243">
        <v>-13135</v>
      </c>
      <c r="DG173" s="243">
        <v>-10768</v>
      </c>
      <c r="DH173" s="243">
        <v>-11253</v>
      </c>
      <c r="EF173" s="243"/>
      <c r="EG173" s="243"/>
      <c r="EJ173" s="243"/>
    </row>
    <row r="174" spans="2:140" ht="12.75" customHeight="1" x14ac:dyDescent="0.2">
      <c r="B174" t="s">
        <v>1449</v>
      </c>
      <c r="AM174" s="243"/>
      <c r="AN174" s="243"/>
      <c r="AO174" s="243"/>
      <c r="AP174" s="243"/>
      <c r="AQ174" s="243"/>
      <c r="AR174" s="243"/>
      <c r="AS174" s="243"/>
      <c r="AT174" s="243"/>
      <c r="AU174" s="243"/>
      <c r="AV174" s="243"/>
      <c r="AW174" s="243"/>
      <c r="AX174" s="243"/>
      <c r="AY174" s="243"/>
      <c r="AZ174" s="243"/>
      <c r="BA174" s="243"/>
      <c r="BB174" s="243"/>
      <c r="BC174" s="243"/>
      <c r="BD174" s="243"/>
      <c r="BE174" s="243">
        <v>77272</v>
      </c>
      <c r="BF174" s="243">
        <v>77773</v>
      </c>
      <c r="BG174" s="243">
        <v>79515</v>
      </c>
      <c r="BH174" s="243">
        <v>80836</v>
      </c>
      <c r="BI174" s="243">
        <v>82634</v>
      </c>
      <c r="BJ174" s="243">
        <v>81251</v>
      </c>
      <c r="BK174" s="243">
        <v>83103</v>
      </c>
      <c r="BL174" s="243">
        <v>83530</v>
      </c>
      <c r="BM174" s="243">
        <v>84880</v>
      </c>
      <c r="BN174" s="243">
        <v>85992</v>
      </c>
      <c r="BO174" s="243">
        <v>87242</v>
      </c>
      <c r="BP174" s="243">
        <v>89449</v>
      </c>
      <c r="BQ174" s="243">
        <v>87703</v>
      </c>
      <c r="BR174" s="243">
        <v>89493</v>
      </c>
      <c r="CX174" s="243">
        <v>123060</v>
      </c>
      <c r="CY174" s="243">
        <v>124380</v>
      </c>
      <c r="CZ174" s="243">
        <v>126216</v>
      </c>
      <c r="DA174" s="243">
        <v>127917</v>
      </c>
      <c r="DB174" s="243">
        <v>128345</v>
      </c>
      <c r="DC174" s="243">
        <v>124558</v>
      </c>
      <c r="DD174" s="243">
        <v>129381</v>
      </c>
      <c r="DG174" s="243">
        <v>153378</v>
      </c>
      <c r="DH174" s="243">
        <v>155360</v>
      </c>
      <c r="EF174" s="243"/>
      <c r="EG174" s="243"/>
      <c r="EJ174" s="243"/>
    </row>
    <row r="175" spans="2:140" ht="12.75" customHeight="1" x14ac:dyDescent="0.2">
      <c r="B175" t="s">
        <v>1450</v>
      </c>
      <c r="AM175" s="243"/>
      <c r="AN175" s="243"/>
      <c r="AO175" s="243"/>
      <c r="AP175" s="243"/>
      <c r="AQ175" s="243"/>
      <c r="AR175" s="243"/>
      <c r="AS175" s="243"/>
      <c r="AT175" s="243"/>
      <c r="AU175" s="243"/>
      <c r="AV175" s="243"/>
      <c r="AW175" s="243"/>
      <c r="AX175" s="243"/>
      <c r="AY175" s="243"/>
      <c r="AZ175" s="243"/>
      <c r="BA175" s="243"/>
      <c r="BB175" s="243"/>
      <c r="BC175" s="243"/>
      <c r="BD175" s="243"/>
      <c r="BE175" s="243">
        <v>-20177</v>
      </c>
      <c r="BF175" s="243">
        <v>-20783</v>
      </c>
      <c r="BG175" s="243">
        <v>-20752</v>
      </c>
      <c r="BH175" s="243">
        <v>-20632</v>
      </c>
      <c r="BI175" s="243">
        <v>-21159</v>
      </c>
      <c r="BJ175" s="243">
        <v>-21659</v>
      </c>
      <c r="BK175" s="243">
        <v>-20317</v>
      </c>
      <c r="BL175" s="243">
        <v>-20012</v>
      </c>
      <c r="BM175" s="243">
        <v>-19314</v>
      </c>
      <c r="BN175" s="243">
        <v>-18476</v>
      </c>
      <c r="BO175" s="243">
        <v>-16818</v>
      </c>
      <c r="BP175" s="243">
        <v>-16094</v>
      </c>
      <c r="BQ175" s="243">
        <v>-15673</v>
      </c>
      <c r="BR175" s="243">
        <v>-15700</v>
      </c>
      <c r="CX175" s="243">
        <v>39099</v>
      </c>
      <c r="CY175" s="243">
        <v>39034</v>
      </c>
      <c r="CZ175" s="243">
        <v>39136</v>
      </c>
      <c r="DA175" s="243">
        <v>41146</v>
      </c>
      <c r="DB175" s="243">
        <v>41694</v>
      </c>
      <c r="DC175" s="243">
        <v>44183</v>
      </c>
      <c r="DD175" s="243">
        <v>44217</v>
      </c>
      <c r="DG175" s="243">
        <v>75710</v>
      </c>
      <c r="DH175" s="243">
        <v>75689</v>
      </c>
      <c r="EF175" s="243"/>
      <c r="EG175" s="243"/>
      <c r="EJ175" s="243"/>
    </row>
    <row r="176" spans="2:140" ht="12.75" customHeight="1" x14ac:dyDescent="0.2">
      <c r="B176" t="s">
        <v>387</v>
      </c>
      <c r="AM176" s="243">
        <v>41123</v>
      </c>
      <c r="AN176" s="243"/>
      <c r="AO176" s="243"/>
      <c r="AP176" s="243">
        <v>39318</v>
      </c>
      <c r="AQ176" s="243">
        <v>40925</v>
      </c>
      <c r="AR176" s="243">
        <v>43122</v>
      </c>
      <c r="AS176" s="243">
        <v>43573</v>
      </c>
      <c r="AT176" s="243">
        <v>43319</v>
      </c>
      <c r="AU176" s="243">
        <v>45625</v>
      </c>
      <c r="AV176" s="243">
        <v>46435</v>
      </c>
      <c r="AW176" s="243">
        <v>45734</v>
      </c>
      <c r="AX176" s="243">
        <v>42511</v>
      </c>
      <c r="AY176" s="243">
        <v>43791</v>
      </c>
      <c r="AZ176" s="243">
        <v>46247</v>
      </c>
      <c r="BA176" s="243">
        <v>50384</v>
      </c>
      <c r="BB176" s="243">
        <v>50588</v>
      </c>
      <c r="BC176" s="243">
        <v>52914</v>
      </c>
      <c r="BD176" s="243">
        <v>52851</v>
      </c>
      <c r="BE176" s="243">
        <f t="shared" ref="BE176:BR176" si="954">SUM(BE172:BE175)</f>
        <v>57291</v>
      </c>
      <c r="BF176" s="243">
        <f t="shared" si="954"/>
        <v>56579</v>
      </c>
      <c r="BG176" s="243">
        <f t="shared" si="954"/>
        <v>59863</v>
      </c>
      <c r="BH176" s="243">
        <f t="shared" si="954"/>
        <v>62132</v>
      </c>
      <c r="BI176" s="243">
        <f t="shared" si="954"/>
        <v>61527</v>
      </c>
      <c r="BJ176" s="243">
        <f t="shared" si="954"/>
        <v>57080</v>
      </c>
      <c r="BK176" s="243">
        <f t="shared" si="954"/>
        <v>61366</v>
      </c>
      <c r="BL176" s="243">
        <f t="shared" si="954"/>
        <v>60434</v>
      </c>
      <c r="BM176" s="243">
        <f t="shared" si="954"/>
        <v>63761</v>
      </c>
      <c r="BN176" s="243">
        <f t="shared" si="954"/>
        <v>64826</v>
      </c>
      <c r="BO176" s="243">
        <f t="shared" si="954"/>
        <v>66855</v>
      </c>
      <c r="BP176" s="243">
        <f t="shared" si="954"/>
        <v>69665</v>
      </c>
      <c r="BQ176" s="243">
        <f t="shared" si="954"/>
        <v>69804</v>
      </c>
      <c r="BR176" s="243">
        <f t="shared" si="954"/>
        <v>74053</v>
      </c>
      <c r="CX176" s="243">
        <f t="shared" ref="CX176" si="955">+CX174-CX175+CX172+CX173</f>
        <v>74023</v>
      </c>
      <c r="CY176" s="243">
        <f>+CY174-CY175+CY172+CY173</f>
        <v>74709</v>
      </c>
      <c r="CZ176" s="243">
        <v>76357</v>
      </c>
      <c r="DA176" s="243">
        <v>74599</v>
      </c>
      <c r="DB176" s="243">
        <v>76804</v>
      </c>
      <c r="DC176" s="243">
        <v>70869</v>
      </c>
      <c r="DD176" s="243">
        <f>75149+1260</f>
        <v>76409</v>
      </c>
      <c r="DG176" s="243">
        <v>70020</v>
      </c>
      <c r="DH176" s="243">
        <v>71538</v>
      </c>
      <c r="EF176" s="243"/>
      <c r="EG176" s="243">
        <f>EG158-EG171</f>
        <v>39318</v>
      </c>
      <c r="EJ176" s="243">
        <v>50558</v>
      </c>
    </row>
    <row r="177" spans="2:169" ht="12.75" customHeight="1" x14ac:dyDescent="0.2">
      <c r="B177" t="s">
        <v>363</v>
      </c>
      <c r="AM177" s="243">
        <f>AM176+AM171</f>
        <v>62133</v>
      </c>
      <c r="AN177" s="243"/>
      <c r="AO177" s="243"/>
      <c r="AP177" s="243">
        <v>70556</v>
      </c>
      <c r="AQ177" s="243">
        <v>73066</v>
      </c>
      <c r="AR177" s="243">
        <v>74683</v>
      </c>
      <c r="AS177" s="243">
        <v>78665</v>
      </c>
      <c r="AT177" s="243">
        <v>80954</v>
      </c>
      <c r="AU177" s="243">
        <v>85995</v>
      </c>
      <c r="AV177" s="243">
        <v>88113</v>
      </c>
      <c r="AW177" s="243">
        <f t="shared" ref="AW177:BB177" si="956">AW176+AW171</f>
        <v>87724</v>
      </c>
      <c r="AX177" s="243">
        <f t="shared" si="956"/>
        <v>84912</v>
      </c>
      <c r="AY177" s="243">
        <f t="shared" si="956"/>
        <v>86100</v>
      </c>
      <c r="AZ177" s="243">
        <f t="shared" si="956"/>
        <v>87438</v>
      </c>
      <c r="BA177" s="243">
        <f t="shared" si="956"/>
        <v>91558</v>
      </c>
      <c r="BB177" s="243">
        <f t="shared" si="956"/>
        <v>94682</v>
      </c>
      <c r="BC177" s="243">
        <f>BC176+BC171</f>
        <v>93441</v>
      </c>
      <c r="BD177" s="243">
        <f t="shared" ref="BD177" si="957">BD176+BD171</f>
        <v>92300</v>
      </c>
      <c r="BE177" s="243">
        <f t="shared" ref="BE177:BR177" si="958">BE176+BE171</f>
        <v>98247</v>
      </c>
      <c r="BF177" s="243">
        <f t="shared" si="958"/>
        <v>102908</v>
      </c>
      <c r="BG177" s="243">
        <f t="shared" si="958"/>
        <v>108150</v>
      </c>
      <c r="BH177" s="243">
        <f t="shared" si="958"/>
        <v>112114</v>
      </c>
      <c r="BI177" s="243">
        <f t="shared" si="958"/>
        <v>111821</v>
      </c>
      <c r="BJ177" s="243">
        <f t="shared" si="958"/>
        <v>113644</v>
      </c>
      <c r="BK177" s="243">
        <f t="shared" si="958"/>
        <v>116194</v>
      </c>
      <c r="BL177" s="243">
        <f t="shared" si="958"/>
        <v>115750</v>
      </c>
      <c r="BM177" s="243">
        <f t="shared" si="958"/>
        <v>118951</v>
      </c>
      <c r="BN177" s="243">
        <f t="shared" si="958"/>
        <v>121347</v>
      </c>
      <c r="BO177" s="243">
        <f t="shared" si="958"/>
        <v>121536</v>
      </c>
      <c r="BP177" s="243">
        <f t="shared" si="958"/>
        <v>124325</v>
      </c>
      <c r="BQ177" s="243">
        <f t="shared" si="958"/>
        <v>126933</v>
      </c>
      <c r="BR177" s="243">
        <f t="shared" si="958"/>
        <v>132683</v>
      </c>
      <c r="CX177" s="243">
        <f t="shared" ref="CX177" si="959">+CX176+CX171</f>
        <v>182018</v>
      </c>
      <c r="CY177" s="243">
        <f t="shared" ref="CY177:DH177" si="960">+CY176+CY171</f>
        <v>178355</v>
      </c>
      <c r="CZ177" s="243">
        <f t="shared" si="960"/>
        <v>177724</v>
      </c>
      <c r="DA177" s="243">
        <f t="shared" si="960"/>
        <v>175124</v>
      </c>
      <c r="DB177" s="243">
        <f t="shared" si="960"/>
        <v>187378</v>
      </c>
      <c r="DC177" s="243">
        <f t="shared" si="960"/>
        <v>195969</v>
      </c>
      <c r="DD177" s="243">
        <f t="shared" si="960"/>
        <v>191686</v>
      </c>
      <c r="DE177" s="243">
        <f t="shared" si="960"/>
        <v>0</v>
      </c>
      <c r="DF177" s="243">
        <f t="shared" si="960"/>
        <v>0</v>
      </c>
      <c r="DG177" s="243">
        <f t="shared" si="960"/>
        <v>171966</v>
      </c>
      <c r="DH177" s="243">
        <f t="shared" si="960"/>
        <v>181088</v>
      </c>
      <c r="EF177" s="294"/>
      <c r="EG177" s="294">
        <f>EG74/EG176</f>
        <v>0.28315275446360444</v>
      </c>
      <c r="EJ177" s="294">
        <f>EJ74/EJ176</f>
        <v>0.33186637129633295</v>
      </c>
    </row>
    <row r="178" spans="2:169" ht="12.75" customHeight="1" x14ac:dyDescent="0.2">
      <c r="B178" t="s">
        <v>388</v>
      </c>
      <c r="AM178" s="294">
        <f>AM74/AM176*4</f>
        <v>0.32507355980837976</v>
      </c>
      <c r="AP178" s="294">
        <f t="shared" ref="AP178:BR178" si="961">AP74/AP176*4</f>
        <v>0.24263696017091407</v>
      </c>
      <c r="AQ178" s="294">
        <f t="shared" si="961"/>
        <v>0.33524740378741602</v>
      </c>
      <c r="AR178" s="294">
        <f t="shared" si="961"/>
        <v>0.28681415518760728</v>
      </c>
      <c r="AS178" s="294">
        <f t="shared" si="961"/>
        <v>0.28544447249443461</v>
      </c>
      <c r="AT178" s="294">
        <f t="shared" si="961"/>
        <v>0.26704429926821949</v>
      </c>
      <c r="AU178" s="294">
        <f t="shared" si="961"/>
        <v>0.31544109589041097</v>
      </c>
      <c r="AV178" s="294">
        <f t="shared" si="961"/>
        <v>0.2900398406374502</v>
      </c>
      <c r="AW178" s="294">
        <f t="shared" si="961"/>
        <v>0.28950015305899329</v>
      </c>
      <c r="AX178" s="294">
        <f t="shared" si="961"/>
        <v>0.2470889887323281</v>
      </c>
      <c r="AY178" s="294">
        <f t="shared" si="961"/>
        <v>0.32033979584846201</v>
      </c>
      <c r="AZ178" s="294">
        <f t="shared" si="961"/>
        <v>0.27746664648517744</v>
      </c>
      <c r="BA178" s="294">
        <f t="shared" si="961"/>
        <v>0.26556049539536358</v>
      </c>
      <c r="BB178" s="294">
        <f t="shared" si="961"/>
        <v>0.2280382699454416</v>
      </c>
      <c r="BC178" s="294">
        <f t="shared" si="961"/>
        <v>0.2733492081490721</v>
      </c>
      <c r="BD178" s="294">
        <f t="shared" si="961"/>
        <v>0.26043026622012827</v>
      </c>
      <c r="BE178" s="294">
        <f t="shared" si="961"/>
        <v>0.23857150337749386</v>
      </c>
      <c r="BF178" s="294">
        <f t="shared" si="961"/>
        <v>0.20247795118330122</v>
      </c>
      <c r="BG178" s="294">
        <f t="shared" si="961"/>
        <v>0.28525132385613816</v>
      </c>
      <c r="BH178" s="294">
        <f t="shared" si="961"/>
        <v>0.21663555011910127</v>
      </c>
      <c r="BI178" s="294">
        <f t="shared" si="961"/>
        <v>0.20816877143367951</v>
      </c>
      <c r="BJ178" s="294">
        <f t="shared" si="961"/>
        <v>0.39908899789768748</v>
      </c>
      <c r="BK178" s="294">
        <f t="shared" si="961"/>
        <v>0.254864257080468</v>
      </c>
      <c r="BL178" s="294">
        <f t="shared" si="961"/>
        <v>0.23966641294635471</v>
      </c>
      <c r="BM178" s="294">
        <f t="shared" si="961"/>
        <v>0.21624504007151707</v>
      </c>
      <c r="BN178" s="294">
        <f t="shared" si="961"/>
        <v>0.17616388486101256</v>
      </c>
      <c r="BO178" s="294">
        <f t="shared" si="961"/>
        <v>0.21563084286889536</v>
      </c>
      <c r="BP178" s="294">
        <f t="shared" si="961"/>
        <v>0.24947965262326849</v>
      </c>
      <c r="BQ178" s="294">
        <f t="shared" si="961"/>
        <v>0.22823906939430405</v>
      </c>
      <c r="BR178" s="294">
        <f t="shared" si="961"/>
        <v>0.19707803870201071</v>
      </c>
    </row>
    <row r="179" spans="2:169" ht="12.75" customHeight="1" x14ac:dyDescent="0.2">
      <c r="B179" t="s">
        <v>1440</v>
      </c>
      <c r="AM179" s="294"/>
      <c r="AP179" s="294"/>
      <c r="AQ179" s="294"/>
      <c r="AR179" s="294"/>
      <c r="AS179" s="294"/>
      <c r="AT179" s="294">
        <f t="shared" ref="AT179:BE179" si="962">AT176/AP176-1</f>
        <v>0.10176000813876596</v>
      </c>
      <c r="AU179" s="294">
        <f t="shared" si="962"/>
        <v>0.11484422724496035</v>
      </c>
      <c r="AV179" s="294">
        <f t="shared" si="962"/>
        <v>7.6828532999396959E-2</v>
      </c>
      <c r="AW179" s="294">
        <f t="shared" si="962"/>
        <v>4.9594932641773504E-2</v>
      </c>
      <c r="AX179" s="294">
        <f t="shared" si="962"/>
        <v>-1.8652323460837006E-2</v>
      </c>
      <c r="AY179" s="294">
        <f t="shared" si="962"/>
        <v>-4.0197260273972635E-2</v>
      </c>
      <c r="AZ179" s="294">
        <f t="shared" si="962"/>
        <v>-4.0486701841283557E-3</v>
      </c>
      <c r="BA179" s="294">
        <f t="shared" si="962"/>
        <v>0.10167490269821133</v>
      </c>
      <c r="BB179" s="294">
        <f t="shared" si="962"/>
        <v>0.18999788290089614</v>
      </c>
      <c r="BC179" s="294">
        <f t="shared" si="962"/>
        <v>0.20833047886552025</v>
      </c>
      <c r="BD179" s="294">
        <f t="shared" si="962"/>
        <v>0.14279845179146755</v>
      </c>
      <c r="BE179" s="294">
        <f t="shared" si="962"/>
        <v>0.13708717053032715</v>
      </c>
      <c r="BF179" s="294">
        <f t="shared" ref="BF179:BR179" si="963">BF176/BB176-1</f>
        <v>0.11842729501067439</v>
      </c>
      <c r="BG179" s="294">
        <f t="shared" si="963"/>
        <v>0.1313263030577918</v>
      </c>
      <c r="BH179" s="294">
        <f t="shared" si="963"/>
        <v>0.17560689485534797</v>
      </c>
      <c r="BI179" s="294">
        <f t="shared" si="963"/>
        <v>7.39383149185735E-2</v>
      </c>
      <c r="BJ179" s="294">
        <f t="shared" si="963"/>
        <v>8.8548754838366772E-3</v>
      </c>
      <c r="BK179" s="294">
        <f t="shared" si="963"/>
        <v>2.5107328399846418E-2</v>
      </c>
      <c r="BL179" s="294">
        <f t="shared" si="963"/>
        <v>-2.7328912637610281E-2</v>
      </c>
      <c r="BM179" s="294">
        <f t="shared" si="963"/>
        <v>3.630926260015932E-2</v>
      </c>
      <c r="BN179" s="294">
        <f t="shared" si="963"/>
        <v>0.13570427470217239</v>
      </c>
      <c r="BO179" s="294">
        <f t="shared" si="963"/>
        <v>8.9446925007333089E-2</v>
      </c>
      <c r="BP179" s="294">
        <f t="shared" si="963"/>
        <v>0.15274514346228951</v>
      </c>
      <c r="BQ179" s="294">
        <f t="shared" si="963"/>
        <v>9.4775803390787505E-2</v>
      </c>
      <c r="BR179" s="294">
        <f t="shared" si="963"/>
        <v>0.1423348656403296</v>
      </c>
      <c r="DB179" s="294">
        <f t="shared" ref="DB179:DG179" si="964">DB176/CX176-1</f>
        <v>3.75694041041299E-2</v>
      </c>
      <c r="DC179" s="294">
        <f t="shared" si="964"/>
        <v>-5.1399429787575834E-2</v>
      </c>
      <c r="DD179" s="294">
        <f t="shared" si="964"/>
        <v>6.8101156410027563E-4</v>
      </c>
      <c r="DE179" s="294">
        <f t="shared" si="964"/>
        <v>-1</v>
      </c>
      <c r="DF179" s="294">
        <f t="shared" si="964"/>
        <v>-1</v>
      </c>
      <c r="DG179" s="294">
        <f t="shared" si="964"/>
        <v>-1.197985014604408E-2</v>
      </c>
    </row>
    <row r="180" spans="2:169" ht="12.75" customHeight="1" x14ac:dyDescent="0.2">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N180" s="294"/>
      <c r="BO180" s="294"/>
      <c r="BP180" s="294"/>
      <c r="BQ180" s="294"/>
    </row>
    <row r="181" spans="2:169" ht="12.75" customHeight="1" x14ac:dyDescent="0.2">
      <c r="B181" t="s">
        <v>1563</v>
      </c>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J181" s="243">
        <v>3119.8429999999998</v>
      </c>
      <c r="BK181" s="243">
        <v>3119.8429999999998</v>
      </c>
      <c r="BL181" s="243">
        <v>3119.8429999999998</v>
      </c>
      <c r="BM181" s="243">
        <v>3119.8429999999998</v>
      </c>
      <c r="BN181" s="243">
        <v>3119.8429999999998</v>
      </c>
      <c r="BO181" s="243">
        <v>3119.8429999999998</v>
      </c>
      <c r="BP181" s="243">
        <v>3119.8429999999998</v>
      </c>
      <c r="BQ181" s="243">
        <v>3119.8429999999998</v>
      </c>
      <c r="BR181" s="243">
        <v>3119.8429999999998</v>
      </c>
      <c r="DB181" s="243">
        <v>3119.8429999999998</v>
      </c>
      <c r="DC181" s="243">
        <v>3119.8429999999998</v>
      </c>
      <c r="DD181" s="243">
        <v>3119.8429999999998</v>
      </c>
      <c r="DG181" s="243">
        <v>3119.8429999999998</v>
      </c>
    </row>
    <row r="182" spans="2:169" ht="12.75" customHeight="1" x14ac:dyDescent="0.2">
      <c r="B182" t="s">
        <v>1450</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395.48</v>
      </c>
      <c r="BK182" s="243">
        <v>374.12200000000001</v>
      </c>
      <c r="BL182" s="243">
        <v>369.28399999999999</v>
      </c>
      <c r="BM182" s="243">
        <v>357.28500000000003</v>
      </c>
      <c r="BN182" s="243">
        <v>341.35399999999998</v>
      </c>
      <c r="BO182" s="243">
        <v>316.67899999999997</v>
      </c>
      <c r="BP182" s="243">
        <v>305.65499999999997</v>
      </c>
      <c r="BQ182" s="243">
        <v>299.18400000000003</v>
      </c>
      <c r="BR182" s="243">
        <v>299.21499999999997</v>
      </c>
      <c r="DB182" s="336">
        <v>506.24599999999998</v>
      </c>
      <c r="DC182" s="336">
        <v>521.51900000000001</v>
      </c>
      <c r="DD182" s="243">
        <v>521.70000000000005</v>
      </c>
      <c r="DG182" s="243">
        <v>713.12</v>
      </c>
    </row>
    <row r="183" spans="2:169" ht="12.75" customHeight="1" x14ac:dyDescent="0.2">
      <c r="B183" t="s">
        <v>1564</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f t="shared" ref="BJ183:BR183" si="965">+BJ181-BJ182</f>
        <v>2724.3629999999998</v>
      </c>
      <c r="BK183" s="243">
        <f t="shared" si="965"/>
        <v>2745.721</v>
      </c>
      <c r="BL183" s="243">
        <f t="shared" si="965"/>
        <v>2750.5589999999997</v>
      </c>
      <c r="BM183" s="243">
        <f t="shared" si="965"/>
        <v>2762.558</v>
      </c>
      <c r="BN183" s="243">
        <f t="shared" si="965"/>
        <v>2778.489</v>
      </c>
      <c r="BO183" s="243">
        <f t="shared" si="965"/>
        <v>2803.1639999999998</v>
      </c>
      <c r="BP183" s="243">
        <f t="shared" si="965"/>
        <v>2814.1880000000001</v>
      </c>
      <c r="BQ183" s="243">
        <f t="shared" si="965"/>
        <v>2820.6589999999997</v>
      </c>
      <c r="BR183" s="243">
        <f t="shared" si="965"/>
        <v>2820.6279999999997</v>
      </c>
      <c r="DB183" s="243">
        <f>DB181-DB182</f>
        <v>2613.5969999999998</v>
      </c>
      <c r="DC183" s="243">
        <f>DC181-DC182</f>
        <v>2598.3239999999996</v>
      </c>
      <c r="DD183" s="243">
        <f>DD181-DD182</f>
        <v>2598.143</v>
      </c>
      <c r="DG183" s="243">
        <f>DG181-DG182</f>
        <v>2406.723</v>
      </c>
    </row>
    <row r="184" spans="2:169" ht="12.75" customHeight="1" x14ac:dyDescent="0.2">
      <c r="AM184" s="243"/>
    </row>
    <row r="185" spans="2:169" ht="12.75" customHeight="1" x14ac:dyDescent="0.2">
      <c r="B185" t="s">
        <v>1489</v>
      </c>
      <c r="AM185" s="243"/>
      <c r="BD185" s="243">
        <f t="shared" ref="BD185:BG185" si="966">SUM(BA186:BD186)</f>
        <v>17908</v>
      </c>
      <c r="BE185" s="243">
        <f t="shared" si="966"/>
        <v>17848</v>
      </c>
      <c r="BF185" s="243">
        <f t="shared" si="966"/>
        <v>16385</v>
      </c>
      <c r="BG185" s="243">
        <f t="shared" si="966"/>
        <v>15011</v>
      </c>
      <c r="BH185" s="243">
        <f>SUM(BE186:BH186)</f>
        <v>15083</v>
      </c>
      <c r="BI185" s="243">
        <f>SUM(BF186:BI186)</f>
        <v>14671</v>
      </c>
      <c r="BJ185" s="243">
        <f t="shared" ref="BJ185:BR185" si="967">SUM(BG186:BJ186)</f>
        <v>10847</v>
      </c>
      <c r="BK185" s="243">
        <f t="shared" si="967"/>
        <v>8531</v>
      </c>
      <c r="BL185" s="243">
        <f t="shared" si="967"/>
        <v>4622</v>
      </c>
      <c r="BM185" s="243">
        <f t="shared" si="967"/>
        <v>0</v>
      </c>
      <c r="BN185" s="243">
        <f t="shared" si="967"/>
        <v>0</v>
      </c>
      <c r="BO185" s="243">
        <f t="shared" si="967"/>
        <v>2277</v>
      </c>
      <c r="BP185" s="243">
        <f t="shared" si="967"/>
        <v>7328</v>
      </c>
      <c r="BQ185" s="243">
        <f t="shared" si="967"/>
        <v>13275</v>
      </c>
      <c r="BR185" s="243">
        <f t="shared" si="967"/>
        <v>17414</v>
      </c>
    </row>
    <row r="186" spans="2:169" ht="12.75" customHeight="1" x14ac:dyDescent="0.2">
      <c r="B186" t="s">
        <v>389</v>
      </c>
      <c r="AI186" s="243">
        <f>SUM(AI188:AI202)</f>
        <v>2635</v>
      </c>
      <c r="AM186" s="243">
        <f>SUM(AM188:AM202)</f>
        <v>3474</v>
      </c>
      <c r="AQ186" s="243">
        <v>3837</v>
      </c>
      <c r="AR186" s="243">
        <f>6734-AQ186</f>
        <v>2897</v>
      </c>
      <c r="AS186" s="243">
        <f>10925-AR186-AQ186</f>
        <v>4191</v>
      </c>
      <c r="AT186" s="243">
        <f>15249-AS186-AR186-AQ186</f>
        <v>4324</v>
      </c>
      <c r="AU186" s="243">
        <v>3236</v>
      </c>
      <c r="AV186" s="243">
        <f>6078-AU186</f>
        <v>2842</v>
      </c>
      <c r="AW186" s="243">
        <f>10971-AV186-AU186</f>
        <v>4893</v>
      </c>
      <c r="AX186" s="243">
        <f>14972-AW186-AV186-AU186</f>
        <v>4001</v>
      </c>
      <c r="AY186" s="243">
        <v>2827</v>
      </c>
      <c r="AZ186" s="243">
        <v>3363</v>
      </c>
      <c r="BA186" s="243">
        <v>5094</v>
      </c>
      <c r="BB186" s="243">
        <v>5287</v>
      </c>
      <c r="BC186" s="243">
        <v>3690</v>
      </c>
      <c r="BD186" s="243">
        <v>3837</v>
      </c>
      <c r="BE186" s="243">
        <v>5034</v>
      </c>
      <c r="BF186" s="243">
        <f>16385-BE186-BD186-BC186</f>
        <v>3824</v>
      </c>
      <c r="BG186" s="243">
        <v>2316</v>
      </c>
      <c r="BH186" s="243">
        <f>6225-BG186</f>
        <v>3909</v>
      </c>
      <c r="BI186" s="243">
        <f>10847-BH186-BG186</f>
        <v>4622</v>
      </c>
      <c r="BO186" s="243">
        <v>2277</v>
      </c>
      <c r="BP186" s="243">
        <f>7328-BO186</f>
        <v>5051</v>
      </c>
      <c r="BQ186" s="243">
        <f>13275-BP186-BO186</f>
        <v>5947</v>
      </c>
      <c r="BR186" s="243">
        <f>17414-BQ186-BP186-BO186</f>
        <v>4139</v>
      </c>
      <c r="DO186" s="300"/>
    </row>
    <row r="187" spans="2:169" ht="12.75" customHeight="1" x14ac:dyDescent="0.2">
      <c r="B187" t="s">
        <v>370</v>
      </c>
      <c r="AI187" s="243">
        <f>AI186+AI205</f>
        <v>2238</v>
      </c>
      <c r="AM187" s="243">
        <f>AM186+AM205</f>
        <v>3028</v>
      </c>
      <c r="AQ187" s="243">
        <f t="shared" ref="AQ187:AW187" si="968">AQ186+AQ205</f>
        <v>3391</v>
      </c>
      <c r="AR187" s="243">
        <f t="shared" si="968"/>
        <v>2298</v>
      </c>
      <c r="AS187" s="243">
        <f t="shared" si="968"/>
        <v>3532</v>
      </c>
      <c r="AT187" s="243">
        <f t="shared" si="968"/>
        <v>3086</v>
      </c>
      <c r="AU187" s="243">
        <f t="shared" si="968"/>
        <v>2757</v>
      </c>
      <c r="AV187" s="243">
        <f t="shared" si="968"/>
        <v>2155</v>
      </c>
      <c r="AW187" s="243">
        <f t="shared" si="968"/>
        <v>4121</v>
      </c>
      <c r="AX187" s="243">
        <f>AX186+AX205</f>
        <v>2873</v>
      </c>
      <c r="AY187" s="243">
        <f t="shared" ref="AY187:BB187" si="969">AY186+AY205</f>
        <v>2392</v>
      </c>
      <c r="AZ187" s="243">
        <f t="shared" si="969"/>
        <v>2796</v>
      </c>
      <c r="BA187" s="243">
        <f t="shared" si="969"/>
        <v>4575</v>
      </c>
      <c r="BB187" s="243">
        <f t="shared" si="969"/>
        <v>4443</v>
      </c>
      <c r="BC187" s="243">
        <f>BC186+BC205</f>
        <v>3293</v>
      </c>
      <c r="BD187" s="243">
        <f t="shared" ref="BD187:BE187" si="970">BD186+BD205</f>
        <v>3337</v>
      </c>
      <c r="BE187" s="243">
        <f t="shared" si="970"/>
        <v>4506</v>
      </c>
      <c r="BF187" s="243">
        <f>BF186+BF205</f>
        <v>2865</v>
      </c>
      <c r="BG187" s="243">
        <f>BG186+BG205</f>
        <v>2001</v>
      </c>
      <c r="BH187" s="243">
        <f t="shared" ref="BH187:BR187" si="971">BH186+BH205</f>
        <v>3313</v>
      </c>
      <c r="BI187" s="243">
        <f t="shared" si="971"/>
        <v>4489</v>
      </c>
      <c r="BJ187" s="243">
        <f t="shared" si="971"/>
        <v>0</v>
      </c>
      <c r="BK187" s="243">
        <f t="shared" si="971"/>
        <v>0</v>
      </c>
      <c r="BL187" s="243">
        <f t="shared" si="971"/>
        <v>0</v>
      </c>
      <c r="BM187" s="243">
        <f t="shared" si="971"/>
        <v>0</v>
      </c>
      <c r="BN187" s="243">
        <f t="shared" si="971"/>
        <v>0</v>
      </c>
      <c r="BO187" s="243">
        <f t="shared" si="971"/>
        <v>1691</v>
      </c>
      <c r="BP187" s="243">
        <f t="shared" si="971"/>
        <v>4280</v>
      </c>
      <c r="BQ187" s="243">
        <f t="shared" si="971"/>
        <v>5138</v>
      </c>
      <c r="BR187" s="243">
        <f t="shared" si="971"/>
        <v>2710</v>
      </c>
      <c r="DO187" s="300"/>
    </row>
    <row r="188" spans="2:169" ht="12.75" customHeight="1" x14ac:dyDescent="0.2">
      <c r="B188" t="s">
        <v>1319</v>
      </c>
      <c r="AI188" s="243"/>
      <c r="AM188" s="243"/>
      <c r="AP188" s="243"/>
      <c r="AQ188" s="243">
        <f t="shared" ref="AQ188:AZ188" si="972">+AQ144-AP144</f>
        <v>1004</v>
      </c>
      <c r="AR188" s="243">
        <f t="shared" si="972"/>
        <v>994</v>
      </c>
      <c r="AS188" s="243">
        <f t="shared" si="972"/>
        <v>926</v>
      </c>
      <c r="AT188" s="243">
        <f t="shared" si="972"/>
        <v>-651</v>
      </c>
      <c r="AU188" s="243">
        <f t="shared" si="972"/>
        <v>-49</v>
      </c>
      <c r="AV188" s="243">
        <f t="shared" si="972"/>
        <v>-596</v>
      </c>
      <c r="AW188" s="243">
        <f t="shared" si="972"/>
        <v>1026</v>
      </c>
      <c r="AX188" s="243">
        <f t="shared" si="972"/>
        <v>800</v>
      </c>
      <c r="AY188" s="243">
        <f t="shared" si="972"/>
        <v>-1085</v>
      </c>
      <c r="AZ188" s="243">
        <f t="shared" si="972"/>
        <v>1244</v>
      </c>
      <c r="BA188" s="243">
        <f t="shared" ref="BA188:BI188" si="973">+BA144-AZ144</f>
        <v>1636</v>
      </c>
      <c r="BB188" s="243">
        <f t="shared" si="973"/>
        <v>2128</v>
      </c>
      <c r="BC188" s="243">
        <f t="shared" si="973"/>
        <v>1023</v>
      </c>
      <c r="BD188" s="243">
        <f t="shared" si="973"/>
        <v>1342</v>
      </c>
      <c r="BE188" s="243">
        <f t="shared" si="973"/>
        <v>2852</v>
      </c>
      <c r="BF188" s="243">
        <f t="shared" si="973"/>
        <v>784</v>
      </c>
      <c r="BG188" s="243">
        <f t="shared" si="973"/>
        <v>-1848</v>
      </c>
      <c r="BH188" s="243">
        <f t="shared" si="973"/>
        <v>1919</v>
      </c>
      <c r="BI188" s="243">
        <f t="shared" si="973"/>
        <v>1614</v>
      </c>
      <c r="BJ188" s="243">
        <f t="shared" ref="BJ188" si="974">+BJ144-BI144</f>
        <v>64</v>
      </c>
      <c r="BK188" s="243">
        <f t="shared" ref="BK188" si="975">+BK144-BJ144</f>
        <v>1764</v>
      </c>
      <c r="BL188" s="243">
        <f t="shared" ref="BL188" si="976">+BL144-BK144</f>
        <v>-15048</v>
      </c>
      <c r="BM188" s="243">
        <f t="shared" ref="BM188" si="977">+BM144-BL144</f>
        <v>3570</v>
      </c>
      <c r="BN188" s="243">
        <f t="shared" ref="BN188" si="978">+BN144-BM144</f>
        <v>2004</v>
      </c>
      <c r="BO188" s="243">
        <f t="shared" ref="BO188" si="979">+BO144-BN144</f>
        <v>852</v>
      </c>
      <c r="BP188" s="243">
        <f t="shared" ref="BP188" si="980">+BP144-BO144</f>
        <v>4371</v>
      </c>
      <c r="BQ188" s="243">
        <f t="shared" ref="BQ188" si="981">+BQ144-BP144</f>
        <v>-26</v>
      </c>
      <c r="BR188" s="243">
        <f t="shared" ref="BR188" si="982">+BR144-BQ144</f>
        <v>905</v>
      </c>
    </row>
    <row r="189" spans="2:169" ht="12.75" customHeight="1" x14ac:dyDescent="0.2">
      <c r="AM189" s="243"/>
      <c r="AQ189" s="243"/>
      <c r="AR189" s="243"/>
      <c r="AS189" s="243"/>
      <c r="AT189" s="243"/>
      <c r="AU189" s="243"/>
      <c r="AV189" s="243"/>
    </row>
    <row r="190" spans="2:169" s="1" customFormat="1" ht="12.75" customHeight="1" x14ac:dyDescent="0.2">
      <c r="B190" s="1" t="s">
        <v>1320</v>
      </c>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278">
        <v>2839</v>
      </c>
      <c r="AJ190" s="166"/>
      <c r="AK190" s="166"/>
      <c r="AL190" s="166"/>
      <c r="AM190" s="278">
        <v>3305</v>
      </c>
      <c r="AN190" s="166"/>
      <c r="AO190" s="166"/>
      <c r="AP190" s="166"/>
      <c r="AQ190" s="278">
        <f t="shared" ref="AQ190:BR190" si="983">AQ74</f>
        <v>3430</v>
      </c>
      <c r="AR190" s="278">
        <f t="shared" si="983"/>
        <v>3092</v>
      </c>
      <c r="AS190" s="278">
        <f t="shared" si="983"/>
        <v>3109.4179999999997</v>
      </c>
      <c r="AT190" s="278">
        <f t="shared" si="983"/>
        <v>2892.0230000000001</v>
      </c>
      <c r="AU190" s="278">
        <f t="shared" si="983"/>
        <v>3598</v>
      </c>
      <c r="AV190" s="278">
        <f t="shared" si="983"/>
        <v>3367</v>
      </c>
      <c r="AW190" s="278">
        <f t="shared" si="983"/>
        <v>3310</v>
      </c>
      <c r="AX190" s="278">
        <f t="shared" si="983"/>
        <v>2626</v>
      </c>
      <c r="AY190" s="278">
        <f t="shared" si="983"/>
        <v>3507</v>
      </c>
      <c r="AZ190" s="278">
        <f t="shared" si="983"/>
        <v>3208</v>
      </c>
      <c r="BA190" s="278">
        <f t="shared" si="983"/>
        <v>3345</v>
      </c>
      <c r="BB190" s="278">
        <f t="shared" si="983"/>
        <v>2884</v>
      </c>
      <c r="BC190" s="278">
        <f t="shared" si="983"/>
        <v>3616</v>
      </c>
      <c r="BD190" s="278">
        <f t="shared" si="983"/>
        <v>3441</v>
      </c>
      <c r="BE190" s="278">
        <f t="shared" si="983"/>
        <v>3417</v>
      </c>
      <c r="BF190" s="278">
        <f t="shared" si="983"/>
        <v>2864</v>
      </c>
      <c r="BG190" s="278">
        <f t="shared" si="983"/>
        <v>4269</v>
      </c>
      <c r="BH190" s="278">
        <f t="shared" si="983"/>
        <v>3365</v>
      </c>
      <c r="BI190" s="278">
        <f t="shared" si="983"/>
        <v>3202</v>
      </c>
      <c r="BJ190" s="278">
        <f t="shared" si="983"/>
        <v>5695</v>
      </c>
      <c r="BK190" s="278">
        <f t="shared" si="983"/>
        <v>3910</v>
      </c>
      <c r="BL190" s="278">
        <f t="shared" si="983"/>
        <v>3621</v>
      </c>
      <c r="BM190" s="278">
        <f t="shared" si="983"/>
        <v>3447</v>
      </c>
      <c r="BN190" s="278">
        <f t="shared" si="983"/>
        <v>2855</v>
      </c>
      <c r="BO190" s="278">
        <f t="shared" si="983"/>
        <v>3604</v>
      </c>
      <c r="BP190" s="278">
        <f t="shared" si="983"/>
        <v>4345</v>
      </c>
      <c r="BQ190" s="278">
        <f t="shared" si="983"/>
        <v>3983</v>
      </c>
      <c r="BR190" s="278">
        <f t="shared" si="983"/>
        <v>3648.5549999999998</v>
      </c>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c r="CS190" s="166"/>
      <c r="CT190" s="166"/>
      <c r="CU190" s="166"/>
      <c r="CV190" s="166"/>
      <c r="CW190" s="166"/>
      <c r="CX190" s="166"/>
      <c r="CY190" s="278">
        <f>+CY74</f>
        <v>5927</v>
      </c>
      <c r="CZ190" s="278">
        <f t="shared" ref="CZ190:DH190" si="984">+CZ74</f>
        <v>7021</v>
      </c>
      <c r="DA190" s="278">
        <f t="shared" si="984"/>
        <v>11179</v>
      </c>
      <c r="DB190" s="278">
        <f t="shared" si="984"/>
        <v>6391</v>
      </c>
      <c r="DC190" s="278">
        <f t="shared" si="984"/>
        <v>5036</v>
      </c>
      <c r="DD190" s="278">
        <f t="shared" si="984"/>
        <v>5383</v>
      </c>
      <c r="DE190" s="278">
        <f t="shared" si="984"/>
        <v>4671</v>
      </c>
      <c r="DF190" s="278">
        <f t="shared" si="984"/>
        <v>5772</v>
      </c>
      <c r="DG190" s="278">
        <f t="shared" si="984"/>
        <v>6579</v>
      </c>
      <c r="DH190" s="278">
        <f t="shared" si="984"/>
        <v>4873</v>
      </c>
      <c r="DI190" s="166"/>
      <c r="DJ190" s="166"/>
      <c r="DK190" s="166"/>
      <c r="DL190" s="166"/>
      <c r="DM190" s="166"/>
      <c r="DN190" s="166"/>
      <c r="DO190" s="301"/>
      <c r="DP190" s="166"/>
      <c r="DQ190" s="166"/>
      <c r="DR190" s="166"/>
      <c r="DS190" s="166"/>
      <c r="DT190" s="166"/>
      <c r="DU190" s="166"/>
      <c r="DV190" s="166"/>
      <c r="DW190" s="166"/>
      <c r="DX190" s="166"/>
      <c r="DY190" s="166"/>
      <c r="DZ190" s="166"/>
      <c r="EA190" s="166"/>
      <c r="EB190" s="166"/>
      <c r="EC190" s="166"/>
      <c r="ED190" s="166"/>
      <c r="EE190" s="166"/>
      <c r="EF190" s="166"/>
      <c r="EG190" s="166"/>
      <c r="EH190" s="166"/>
      <c r="EI190" s="166"/>
      <c r="EJ190" s="166"/>
      <c r="EK190" s="166"/>
      <c r="EL190" s="166"/>
      <c r="EM190" s="166"/>
      <c r="EN190" s="166"/>
      <c r="EO190" s="166"/>
      <c r="EP190" s="166"/>
      <c r="EQ190" s="166"/>
      <c r="ER190" s="166"/>
      <c r="ES190" s="166"/>
      <c r="ET190" s="166"/>
      <c r="EU190" s="166"/>
      <c r="FM190" s="301"/>
    </row>
    <row r="191" spans="2:169" s="1" customFormat="1" ht="12.75" customHeight="1" x14ac:dyDescent="0.2">
      <c r="B191" s="1" t="s">
        <v>343</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c r="AJ191" s="166"/>
      <c r="AK191" s="166"/>
      <c r="AL191" s="166"/>
      <c r="AM191" s="278"/>
      <c r="AN191" s="166"/>
      <c r="AO191" s="166"/>
      <c r="AP191" s="166"/>
      <c r="AQ191" s="278"/>
      <c r="AR191" s="278"/>
      <c r="AS191" s="278"/>
      <c r="AT191" s="278"/>
      <c r="AU191" s="278"/>
      <c r="AV191" s="278"/>
      <c r="AW191" s="278"/>
      <c r="AX191" s="278"/>
      <c r="AY191" s="278">
        <v>3507</v>
      </c>
      <c r="AZ191" s="278">
        <f>6715-AY191</f>
        <v>3208</v>
      </c>
      <c r="BA191" s="278">
        <f>10060-AZ191-AY191</f>
        <v>3345</v>
      </c>
      <c r="BB191" s="278">
        <f>12266-BA191-AZ191-AY191</f>
        <v>2206</v>
      </c>
      <c r="BC191" s="278">
        <v>4526</v>
      </c>
      <c r="BD191" s="278">
        <f>7975-BC191</f>
        <v>3449</v>
      </c>
      <c r="BE191" s="278">
        <f>11392-BD191-BC191</f>
        <v>3417</v>
      </c>
      <c r="BF191" s="278">
        <f>13334-BE191-BD191-BC191</f>
        <v>1942</v>
      </c>
      <c r="BG191" s="278">
        <v>3476</v>
      </c>
      <c r="BH191" s="278">
        <f>6252-BG191</f>
        <v>2776</v>
      </c>
      <c r="BI191" s="278">
        <f>9454-BH191-BG191</f>
        <v>3202</v>
      </c>
      <c r="BJ191" s="166"/>
      <c r="BK191" s="166"/>
      <c r="BL191" s="166"/>
      <c r="BM191" s="166"/>
      <c r="BN191" s="166"/>
      <c r="BO191" s="278">
        <v>3497</v>
      </c>
      <c r="BP191" s="278">
        <f>7330-BO191</f>
        <v>3833</v>
      </c>
      <c r="BQ191" s="278">
        <f>10312-BP191-BO191</f>
        <v>2982</v>
      </c>
      <c r="BR191" s="278">
        <f>13831-BQ191-BP191-BO191</f>
        <v>3519</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v>5149</v>
      </c>
      <c r="CZ191" s="278">
        <f>9963-CY191</f>
        <v>4814</v>
      </c>
      <c r="DA191" s="166"/>
      <c r="DB191" s="278">
        <f>17941-DA191-CZ191-CY191</f>
        <v>7978</v>
      </c>
      <c r="DC191" s="278">
        <v>-68</v>
      </c>
      <c r="DD191" s="278">
        <f>5076-DC191</f>
        <v>5144</v>
      </c>
      <c r="DE191" s="166"/>
      <c r="DF191" s="166"/>
      <c r="DG191" s="278">
        <v>3255</v>
      </c>
      <c r="DH191" s="166"/>
      <c r="DI191" s="166"/>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ht="12.75" customHeight="1" x14ac:dyDescent="0.2">
      <c r="B192" t="s">
        <v>390</v>
      </c>
      <c r="AI192" s="76">
        <v>515</v>
      </c>
      <c r="AM192" s="76">
        <v>521</v>
      </c>
      <c r="AQ192" s="243">
        <v>622</v>
      </c>
      <c r="AR192" s="243">
        <f>1305-AQ192</f>
        <v>683</v>
      </c>
      <c r="AS192" s="243">
        <f>1902-AR192-AQ192</f>
        <v>597</v>
      </c>
      <c r="AT192" s="243">
        <f>2777-AS192-AR192-AQ192</f>
        <v>875</v>
      </c>
      <c r="AU192" s="243">
        <v>666</v>
      </c>
      <c r="AV192" s="243">
        <f>1349-AU192</f>
        <v>683</v>
      </c>
      <c r="AW192" s="243">
        <f>2117-AV192-AU192</f>
        <v>768</v>
      </c>
      <c r="AX192" s="243">
        <f>2832-AW192-AV192-AU192</f>
        <v>715</v>
      </c>
      <c r="AY192" s="243">
        <v>676</v>
      </c>
      <c r="AZ192" s="243">
        <f>1355-AY192</f>
        <v>679</v>
      </c>
      <c r="BA192" s="243">
        <f>2030-AZ192-AY192</f>
        <v>675</v>
      </c>
      <c r="BB192" s="243">
        <f>2774-BA192-AZ192-AY192</f>
        <v>744</v>
      </c>
      <c r="BC192" s="243">
        <v>734</v>
      </c>
      <c r="BD192" s="243">
        <f>1445-BC192</f>
        <v>711</v>
      </c>
      <c r="BE192" s="243">
        <f>2170-BD192-BC192</f>
        <v>725</v>
      </c>
      <c r="BF192" s="243">
        <f>2939-BE192-BD192-BC192</f>
        <v>769</v>
      </c>
      <c r="BG192" s="243">
        <v>755</v>
      </c>
      <c r="BH192" s="243">
        <f>1532-BG192</f>
        <v>777</v>
      </c>
      <c r="BI192" s="243">
        <f>2315-BH192-BG192</f>
        <v>783</v>
      </c>
      <c r="BO192" s="243">
        <v>1036</v>
      </c>
      <c r="BP192" s="243">
        <f>2026-BO192</f>
        <v>990</v>
      </c>
      <c r="BQ192" s="243">
        <f>3002-BP192-BO192</f>
        <v>976</v>
      </c>
      <c r="BR192" s="243">
        <f>4104-BQ192-BP192-BO192</f>
        <v>1102</v>
      </c>
      <c r="CY192" s="243">
        <v>1769</v>
      </c>
      <c r="CZ192" s="243">
        <f>3513-CY192</f>
        <v>1744</v>
      </c>
      <c r="DB192" s="243">
        <f>6970-DA192-CZ192-CY192</f>
        <v>3457</v>
      </c>
      <c r="DC192" s="243">
        <v>1880</v>
      </c>
      <c r="DD192" s="243">
        <f>3814-DC192</f>
        <v>1934</v>
      </c>
      <c r="DG192" s="243">
        <v>1815</v>
      </c>
    </row>
    <row r="193" spans="2:151" ht="12.75" customHeight="1" x14ac:dyDescent="0.2">
      <c r="B193" t="s">
        <v>391</v>
      </c>
      <c r="AI193" s="76">
        <v>135</v>
      </c>
      <c r="AM193" s="243">
        <v>153</v>
      </c>
      <c r="AQ193" s="243">
        <v>164</v>
      </c>
      <c r="AR193" s="243">
        <f>360-AQ193</f>
        <v>196</v>
      </c>
      <c r="AS193" s="243">
        <f>537-AR193-AQ193</f>
        <v>177</v>
      </c>
      <c r="AT193" s="243">
        <f>698-AS193-AR193-AQ193</f>
        <v>161</v>
      </c>
      <c r="AU193" s="243">
        <v>163</v>
      </c>
      <c r="AV193" s="243">
        <f>356-AU193</f>
        <v>193</v>
      </c>
      <c r="AW193" s="243">
        <f>524-AV193-AU193</f>
        <v>168</v>
      </c>
      <c r="AX193" s="243">
        <f>627-AW193-AV193-AU193</f>
        <v>103</v>
      </c>
      <c r="AY193" s="243">
        <v>159</v>
      </c>
      <c r="AZ193" s="243">
        <f>341-AY193</f>
        <v>182</v>
      </c>
      <c r="BA193" s="243">
        <f>499-AZ193-AY193</f>
        <v>158</v>
      </c>
      <c r="BB193" s="243">
        <f>628-BA193-AZ193-AY193</f>
        <v>129</v>
      </c>
      <c r="BC193" s="243">
        <v>157</v>
      </c>
      <c r="BD193" s="243">
        <f>305-BC193</f>
        <v>148</v>
      </c>
      <c r="BE193" s="243">
        <f>474-BD193-BC193</f>
        <v>169</v>
      </c>
      <c r="BF193" s="243">
        <f>614-BE193-BD193-BC193</f>
        <v>140</v>
      </c>
      <c r="BG193" s="243">
        <v>152</v>
      </c>
      <c r="BH193" s="243">
        <f>339-BG193</f>
        <v>187</v>
      </c>
      <c r="BI193" s="243">
        <f>484-BH193-BG193</f>
        <v>145</v>
      </c>
      <c r="BO193" s="243">
        <v>194</v>
      </c>
      <c r="BP193" s="243">
        <f>423-BO193</f>
        <v>229</v>
      </c>
      <c r="BQ193" s="243">
        <f>584-BP193-BO193</f>
        <v>161</v>
      </c>
      <c r="BR193" s="243">
        <f>728-BQ193-BP193-BO193</f>
        <v>144</v>
      </c>
      <c r="CY193" s="243">
        <v>278</v>
      </c>
      <c r="CZ193" s="243">
        <f>644-CY193</f>
        <v>366</v>
      </c>
      <c r="DB193" s="243">
        <f>1138-DA193-CZ193-CY193</f>
        <v>494</v>
      </c>
      <c r="DC193" s="243">
        <v>306</v>
      </c>
      <c r="DD193" s="243">
        <f>688-DC193</f>
        <v>382</v>
      </c>
      <c r="DG193" s="243">
        <v>302</v>
      </c>
    </row>
    <row r="194" spans="2:151" ht="12.75" customHeight="1" x14ac:dyDescent="0.2">
      <c r="B194" t="s">
        <v>392</v>
      </c>
      <c r="AI194" s="76">
        <v>0</v>
      </c>
      <c r="AM194" s="243">
        <v>37</v>
      </c>
      <c r="AQ194" s="243">
        <v>807</v>
      </c>
      <c r="AR194" s="243">
        <f>807-AQ194</f>
        <v>0</v>
      </c>
      <c r="AS194" s="243">
        <f>807-AR194-AQ194</f>
        <v>0</v>
      </c>
      <c r="AT194" s="243">
        <f>807-AS194-AR194-AQ194</f>
        <v>0</v>
      </c>
      <c r="AU194" s="243">
        <v>0</v>
      </c>
      <c r="AV194" s="243">
        <f>40-AU194</f>
        <v>40</v>
      </c>
      <c r="AW194" s="243">
        <v>0</v>
      </c>
      <c r="AX194" s="243">
        <f>181-AW194-AV194-AU194</f>
        <v>141</v>
      </c>
      <c r="AY194" s="243">
        <v>0</v>
      </c>
      <c r="AZ194" s="243">
        <v>0</v>
      </c>
      <c r="BA194" s="76">
        <v>0</v>
      </c>
      <c r="BB194" s="76">
        <v>0</v>
      </c>
      <c r="BC194" s="76">
        <v>960</v>
      </c>
      <c r="BD194" s="76">
        <f>0-BC194</f>
        <v>-960</v>
      </c>
      <c r="BE194" s="76">
        <f>0-BD194-BC194</f>
        <v>0</v>
      </c>
      <c r="BF194" s="76">
        <f>0-BE194-BD194-BC194</f>
        <v>0</v>
      </c>
      <c r="BG194" s="76">
        <v>0</v>
      </c>
      <c r="BH194" s="76">
        <v>0</v>
      </c>
      <c r="BI194" s="76">
        <v>0</v>
      </c>
      <c r="BO194" s="76">
        <f>108+69</f>
        <v>177</v>
      </c>
      <c r="BP194" s="76">
        <f>108+69-BO194-401</f>
        <v>-401</v>
      </c>
      <c r="BQ194" s="76">
        <f>108+247-380-BP194-BO194</f>
        <v>199</v>
      </c>
      <c r="BR194" s="76">
        <f>108+739-417-BQ194-BP194-BO194</f>
        <v>455</v>
      </c>
      <c r="CY194" s="243">
        <v>610</v>
      </c>
      <c r="CZ194" s="243">
        <f>747-CY194</f>
        <v>137</v>
      </c>
      <c r="DB194" s="243">
        <f>1216-DA194-CZ194-CY194</f>
        <v>469</v>
      </c>
      <c r="DC194" s="243">
        <v>426</v>
      </c>
      <c r="DD194" s="243">
        <f>388-DC194</f>
        <v>-38</v>
      </c>
      <c r="DG194" s="243">
        <v>185</v>
      </c>
    </row>
    <row r="195" spans="2:151" ht="12.75" customHeight="1" x14ac:dyDescent="0.2">
      <c r="B195" t="s">
        <v>1887</v>
      </c>
      <c r="AM195" s="243"/>
      <c r="AQ195" s="243"/>
      <c r="AR195" s="243"/>
      <c r="AS195" s="243"/>
      <c r="AT195" s="243"/>
      <c r="AU195" s="243"/>
      <c r="AV195" s="243"/>
      <c r="AW195" s="243"/>
      <c r="AX195" s="243"/>
      <c r="AY195" s="243"/>
      <c r="AZ195" s="243"/>
      <c r="CY195" s="243">
        <v>-168</v>
      </c>
      <c r="CZ195" s="243">
        <f>-213-CY195</f>
        <v>-45</v>
      </c>
      <c r="DB195" s="243">
        <f>-380-DA195-CZ195-CY195</f>
        <v>-167</v>
      </c>
      <c r="DC195" s="243">
        <v>-8</v>
      </c>
      <c r="DD195" s="243">
        <f>-47-DC195</f>
        <v>-39</v>
      </c>
      <c r="DG195" s="243">
        <v>0</v>
      </c>
    </row>
    <row r="196" spans="2:151" ht="12.75" customHeight="1" x14ac:dyDescent="0.2">
      <c r="B196" t="s">
        <v>393</v>
      </c>
      <c r="AI196" s="76">
        <v>53</v>
      </c>
      <c r="AM196" s="243">
        <v>-153</v>
      </c>
      <c r="AQ196" s="243">
        <v>-5</v>
      </c>
      <c r="AR196" s="243">
        <f>-405-AQ196</f>
        <v>-400</v>
      </c>
      <c r="AS196" s="243">
        <f>-900-AR196-AQ196</f>
        <v>-495</v>
      </c>
      <c r="AT196" s="243">
        <f>-1762-AS196-AR196-AQ196</f>
        <v>-862</v>
      </c>
      <c r="AU196" s="243">
        <v>-27</v>
      </c>
      <c r="AV196" s="243">
        <f>-322-AU196</f>
        <v>-295</v>
      </c>
      <c r="AW196" s="243">
        <f>-354-AU196-AV196</f>
        <v>-32</v>
      </c>
      <c r="AX196" s="243">
        <f>22-AW196-AV196-AU196</f>
        <v>376</v>
      </c>
      <c r="AY196" s="243">
        <v>1212</v>
      </c>
      <c r="AZ196" s="243">
        <f>645-AY196</f>
        <v>-567</v>
      </c>
      <c r="BA196" s="243">
        <f>541-AZ196-AY196</f>
        <v>-104</v>
      </c>
      <c r="BB196" s="243">
        <f>-436-BA196-AZ196-AY196</f>
        <v>-977</v>
      </c>
      <c r="BC196" s="243">
        <v>78</v>
      </c>
      <c r="BD196" s="243">
        <f>604-BC196</f>
        <v>526</v>
      </c>
      <c r="BE196" s="243">
        <f>644-BD196-BC196</f>
        <v>40</v>
      </c>
      <c r="BF196" s="243">
        <f>356-BE196-BD196-BC196</f>
        <v>-288</v>
      </c>
      <c r="BG196" s="243">
        <v>-4</v>
      </c>
      <c r="BH196" s="243">
        <f>-504-BG196</f>
        <v>-500</v>
      </c>
      <c r="BI196" s="243">
        <f>-849-BH196-BG196</f>
        <v>-345</v>
      </c>
      <c r="BO196" s="243">
        <v>365</v>
      </c>
      <c r="BP196" s="243">
        <f>92-BO196</f>
        <v>-273</v>
      </c>
      <c r="BQ196" s="243">
        <f>-224-BP196-BO196</f>
        <v>-316</v>
      </c>
      <c r="BR196" s="243">
        <f>-607-BQ196-BP196-BO196</f>
        <v>-383</v>
      </c>
      <c r="CY196" s="243">
        <v>-926</v>
      </c>
      <c r="CZ196" s="243">
        <f>-2349-CY196</f>
        <v>-1423</v>
      </c>
      <c r="DB196" s="243">
        <f>-1663-DA196-CZ196-CY196</f>
        <v>686</v>
      </c>
      <c r="DC196" s="243">
        <v>-1543</v>
      </c>
      <c r="DD196" s="243">
        <f>-2342-DC196</f>
        <v>-799</v>
      </c>
      <c r="DG196" s="243">
        <v>-1562</v>
      </c>
    </row>
    <row r="197" spans="2:151" ht="12.75" customHeight="1" x14ac:dyDescent="0.2">
      <c r="B197" t="s">
        <v>394</v>
      </c>
      <c r="AI197" s="76">
        <v>22</v>
      </c>
      <c r="AM197" s="243">
        <v>-4</v>
      </c>
      <c r="AQ197" s="243">
        <v>3</v>
      </c>
      <c r="AR197" s="243">
        <f>1-AQ197</f>
        <v>-2</v>
      </c>
      <c r="AS197" s="243">
        <f>13-AR197-AQ197</f>
        <v>12</v>
      </c>
      <c r="AT197" s="243">
        <f>22-AS197-AR197-AQ197</f>
        <v>9</v>
      </c>
      <c r="AU197" s="243">
        <v>12</v>
      </c>
      <c r="AV197" s="243">
        <f>15-AU197</f>
        <v>3</v>
      </c>
      <c r="AW197" s="243">
        <f>62-AV197-AU197</f>
        <v>47</v>
      </c>
      <c r="AX197" s="243">
        <f>86-AW197-AV197-AU197</f>
        <v>24</v>
      </c>
      <c r="AY197" s="243">
        <v>22</v>
      </c>
      <c r="AZ197" s="243">
        <f>52-AY197</f>
        <v>30</v>
      </c>
      <c r="BA197" s="243">
        <f>39-AZ197-AY197</f>
        <v>-13</v>
      </c>
      <c r="BB197" s="243">
        <f>58-BA197-AZ197-AY197</f>
        <v>19</v>
      </c>
      <c r="BC197" s="243">
        <v>-529</v>
      </c>
      <c r="BD197" s="243">
        <f>46-BC197</f>
        <v>575</v>
      </c>
      <c r="BE197" s="243">
        <f>30-BD197-BC197</f>
        <v>-16</v>
      </c>
      <c r="BF197" s="243">
        <f>12-BE197-BD197-BC197</f>
        <v>-18</v>
      </c>
      <c r="BG197" s="243">
        <v>-16</v>
      </c>
      <c r="BH197" s="243">
        <f>-33-BG197</f>
        <v>-17</v>
      </c>
      <c r="BI197" s="243">
        <f>-21-BH197-BG197</f>
        <v>12</v>
      </c>
      <c r="BO197" s="243">
        <v>-11</v>
      </c>
      <c r="BP197" s="243">
        <f>-29-BO197</f>
        <v>-18</v>
      </c>
      <c r="BQ197" s="243">
        <f>-32-BP197-BO197</f>
        <v>-3</v>
      </c>
      <c r="BR197" s="243">
        <f>-131-BQ197-BP197-BO197</f>
        <v>-99</v>
      </c>
      <c r="CY197" s="243">
        <v>6</v>
      </c>
      <c r="CZ197" s="243">
        <f>-3-CY197</f>
        <v>-9</v>
      </c>
      <c r="DB197" s="243">
        <f>-17-DA197-CZ197-CY197</f>
        <v>-14</v>
      </c>
      <c r="DC197" s="243">
        <v>1</v>
      </c>
      <c r="DD197" s="243">
        <f>0-DC197</f>
        <v>-1</v>
      </c>
      <c r="DG197" s="243">
        <v>0</v>
      </c>
    </row>
    <row r="198" spans="2:151" ht="12.75" customHeight="1" x14ac:dyDescent="0.2">
      <c r="B198" t="s">
        <v>395</v>
      </c>
      <c r="AI198" s="76">
        <v>-639</v>
      </c>
      <c r="AM198" s="243">
        <v>-568</v>
      </c>
      <c r="AQ198" s="243">
        <v>-562</v>
      </c>
      <c r="AR198" s="243">
        <f>-659-AQ198</f>
        <v>-97</v>
      </c>
      <c r="AS198" s="243">
        <f>-407-AR198-AQ198</f>
        <v>252</v>
      </c>
      <c r="AT198" s="243">
        <f>-416-AS198-AR198-AQ198</f>
        <v>-9</v>
      </c>
      <c r="AU198" s="243">
        <v>-517</v>
      </c>
      <c r="AV198" s="243">
        <f>-732-AU198</f>
        <v>-215</v>
      </c>
      <c r="AW198" s="243">
        <f>-790-AU198-AV198</f>
        <v>-58</v>
      </c>
      <c r="AX198" s="243">
        <f>-736-AW198-AV198-AU198</f>
        <v>54</v>
      </c>
      <c r="AY198" s="243">
        <v>-86</v>
      </c>
      <c r="AZ198" s="243">
        <f>-225-AY198</f>
        <v>-139</v>
      </c>
      <c r="BA198" s="243">
        <f>-61-AZ198-AY198</f>
        <v>164</v>
      </c>
      <c r="BB198" s="243">
        <f>453-BA198-AZ198-AY198</f>
        <v>514</v>
      </c>
      <c r="BC198" s="243">
        <v>-193</v>
      </c>
      <c r="BD198" s="243">
        <f>-555-BC198</f>
        <v>-362</v>
      </c>
      <c r="BE198" s="243">
        <f>-585-BD198-BC198</f>
        <v>-30</v>
      </c>
      <c r="BF198" s="243">
        <f>-207-BE198-BD198-BC198</f>
        <v>378</v>
      </c>
      <c r="BG198" s="243">
        <v>-609</v>
      </c>
      <c r="BH198" s="243">
        <f>-576-BG198</f>
        <v>33</v>
      </c>
      <c r="BI198" s="243">
        <f>-489-BH198-BG198</f>
        <v>87</v>
      </c>
      <c r="BO198" s="243">
        <v>-434</v>
      </c>
      <c r="BP198" s="243">
        <f>-647-BO198</f>
        <v>-213</v>
      </c>
      <c r="BQ198" s="243">
        <f>-971-BP198-BO198</f>
        <v>-324</v>
      </c>
      <c r="BR198" s="243">
        <f>-632-BQ198-BP198-BO198</f>
        <v>339</v>
      </c>
      <c r="CY198" s="243">
        <v>-427</v>
      </c>
      <c r="CZ198" s="243">
        <f>-1386-CY198</f>
        <v>-959</v>
      </c>
      <c r="DB198" s="243">
        <f>-1290-DA198-CZ198-CY198</f>
        <v>96</v>
      </c>
      <c r="DC198" s="243">
        <v>-54</v>
      </c>
      <c r="DD198" s="243">
        <f>-599-DC198</f>
        <v>-545</v>
      </c>
      <c r="DG198" s="243">
        <v>-279</v>
      </c>
    </row>
    <row r="199" spans="2:151" ht="12.75" customHeight="1" x14ac:dyDescent="0.2">
      <c r="B199" t="s">
        <v>463</v>
      </c>
      <c r="AI199" s="76">
        <v>-140</v>
      </c>
      <c r="AM199" s="243">
        <v>-219</v>
      </c>
      <c r="AQ199" s="243">
        <v>-120</v>
      </c>
      <c r="AR199" s="243">
        <f>-190-AQ199</f>
        <v>-70</v>
      </c>
      <c r="AS199" s="243">
        <f>-309-AR199-AQ199</f>
        <v>-119</v>
      </c>
      <c r="AT199" s="243">
        <f>14-AS199-AR199-AQ199</f>
        <v>323</v>
      </c>
      <c r="AU199" s="243">
        <v>-259</v>
      </c>
      <c r="AV199" s="243">
        <f>-379-AU199</f>
        <v>-120</v>
      </c>
      <c r="AW199" s="243">
        <f>-348-AV199-AU199</f>
        <v>31</v>
      </c>
      <c r="AX199" s="243">
        <f>-101-AW199-AV199-AU199</f>
        <v>247</v>
      </c>
      <c r="AY199" s="243">
        <v>-336</v>
      </c>
      <c r="AZ199" s="243">
        <f>-339-AY199</f>
        <v>-3</v>
      </c>
      <c r="BA199" s="243">
        <f>-250-AZ199-AY199</f>
        <v>89</v>
      </c>
      <c r="BB199" s="243">
        <f>95-BA199-AZ199-AY199</f>
        <v>345</v>
      </c>
      <c r="BC199" s="243">
        <v>-1651</v>
      </c>
      <c r="BD199" s="243">
        <f>-88-BC199</f>
        <v>1563</v>
      </c>
      <c r="BE199" s="243">
        <f>-197-BD199-BC199</f>
        <v>-109</v>
      </c>
      <c r="BF199" s="243">
        <f>-196-BE199-BD199-BC199</f>
        <v>1</v>
      </c>
      <c r="BG199" s="243">
        <v>-452</v>
      </c>
      <c r="BH199" s="243">
        <f>-620-BG199</f>
        <v>-168</v>
      </c>
      <c r="BI199" s="243">
        <f>-787-BH199-BG199</f>
        <v>-167</v>
      </c>
      <c r="BO199" s="243">
        <v>-288</v>
      </c>
      <c r="BP199" s="243">
        <f>-547-BO199</f>
        <v>-259</v>
      </c>
      <c r="BQ199" s="243">
        <f>-799-BP199-BO199</f>
        <v>-252</v>
      </c>
      <c r="BR199" s="243">
        <f>-622-BQ199-BP199-BO199</f>
        <v>177</v>
      </c>
      <c r="CY199" s="243">
        <v>-600</v>
      </c>
      <c r="CZ199" s="243">
        <f>-1257-CY199</f>
        <v>-657</v>
      </c>
      <c r="DB199" s="243">
        <f>-2527-DA199-CZ199-CY199</f>
        <v>-1270</v>
      </c>
      <c r="DC199" s="243">
        <v>-524</v>
      </c>
      <c r="DD199" s="243">
        <f>-741-DC199</f>
        <v>-217</v>
      </c>
      <c r="DG199" s="243">
        <v>-348</v>
      </c>
    </row>
    <row r="200" spans="2:151" ht="12.75" customHeight="1" x14ac:dyDescent="0.2">
      <c r="B200" t="s">
        <v>464</v>
      </c>
      <c r="AI200" s="76">
        <v>-1509</v>
      </c>
      <c r="AM200" s="243">
        <v>-633</v>
      </c>
      <c r="AQ200" s="243">
        <v>-229</v>
      </c>
      <c r="AR200" s="243">
        <f>-306-AQ200</f>
        <v>-77</v>
      </c>
      <c r="AS200" s="243">
        <f>933-AR200-AQ200</f>
        <v>1239</v>
      </c>
      <c r="AT200" s="243">
        <f>2642-AS200-AR200-AQ200</f>
        <v>1709</v>
      </c>
      <c r="AU200" s="243">
        <v>-273</v>
      </c>
      <c r="AV200" s="243">
        <f>-1160-AU200</f>
        <v>-887</v>
      </c>
      <c r="AW200" s="243">
        <f>-1103-AV200-AU200</f>
        <v>57</v>
      </c>
      <c r="AX200" s="243">
        <f>-272-AW200-AV200-AU200</f>
        <v>831</v>
      </c>
      <c r="AY200" s="243">
        <v>-2155</v>
      </c>
      <c r="AZ200" s="243">
        <f>-1897-AY200</f>
        <v>258</v>
      </c>
      <c r="BA200" s="243">
        <f>-1830-AZ200-AY200</f>
        <v>67</v>
      </c>
      <c r="BB200" s="243">
        <f>-507-BA200-AZ200-AY200</f>
        <v>1323</v>
      </c>
      <c r="BC200" s="243">
        <v>-1088</v>
      </c>
      <c r="BD200" s="243">
        <f>-1719-BC200</f>
        <v>-631</v>
      </c>
      <c r="BE200" s="243">
        <f>-1552-BD200-BC200</f>
        <v>167</v>
      </c>
      <c r="BF200" s="243">
        <f>20-BE200-BD200-BC200</f>
        <v>1572</v>
      </c>
      <c r="BG200" s="243">
        <v>-1127</v>
      </c>
      <c r="BH200" s="243">
        <f>-444-BG200</f>
        <v>683</v>
      </c>
      <c r="BI200" s="243">
        <f>-100-BH200-BG200</f>
        <v>344</v>
      </c>
      <c r="BO200" s="243">
        <v>-1459</v>
      </c>
      <c r="BP200" s="243">
        <f>-715-BO200</f>
        <v>744</v>
      </c>
      <c r="BQ200" s="243">
        <f>589-BP200-BO200</f>
        <v>1304</v>
      </c>
      <c r="BR200" s="243">
        <f>1821-BQ200-BP200-BO200</f>
        <v>1232</v>
      </c>
      <c r="CY200" s="243">
        <v>-2817</v>
      </c>
      <c r="CZ200" s="243">
        <f>-1170-CY200</f>
        <v>1647</v>
      </c>
      <c r="DB200" s="243">
        <f>1098-DA200-CZ200-CY200</f>
        <v>2268</v>
      </c>
      <c r="DC200" s="243">
        <v>-2572</v>
      </c>
      <c r="DD200" s="243">
        <f>-1061-DC200</f>
        <v>1511</v>
      </c>
      <c r="DG200" s="243">
        <v>-2483</v>
      </c>
    </row>
    <row r="201" spans="2:151" ht="12.75" customHeight="1" x14ac:dyDescent="0.2">
      <c r="B201" t="s">
        <v>465</v>
      </c>
      <c r="AI201" s="76">
        <v>235</v>
      </c>
      <c r="AM201" s="243">
        <v>-207</v>
      </c>
      <c r="AQ201" s="243">
        <v>-373</v>
      </c>
      <c r="AR201" s="243">
        <f>-424-AQ201</f>
        <v>-51</v>
      </c>
      <c r="AS201" s="243">
        <f>-1007-AR201-AQ201</f>
        <v>-583</v>
      </c>
      <c r="AT201" s="243">
        <f>-1351-AS201-AR201-AQ201</f>
        <v>-344</v>
      </c>
      <c r="AU201" s="243">
        <v>-1112</v>
      </c>
      <c r="AV201" s="243">
        <f>-756-AU201</f>
        <v>356</v>
      </c>
      <c r="AW201" s="243">
        <f>-2-AV201-AU201</f>
        <v>754</v>
      </c>
      <c r="AX201" s="243">
        <f>-1600-AW201-AV201-AU201</f>
        <v>-1598</v>
      </c>
      <c r="AY201" s="243">
        <v>-39</v>
      </c>
      <c r="AZ201" s="243">
        <f>-28-AY201</f>
        <v>11</v>
      </c>
      <c r="BA201" s="243">
        <f>-35-AZ201-AY201</f>
        <v>-7</v>
      </c>
      <c r="BB201" s="243">
        <f>1209-BA201-AZ201-AY201</f>
        <v>1244</v>
      </c>
      <c r="BC201" s="243">
        <v>696</v>
      </c>
      <c r="BD201" s="243">
        <f>-704-BC201</f>
        <v>-1400</v>
      </c>
      <c r="BE201" s="243">
        <f>-310-BD201-BC201</f>
        <v>394</v>
      </c>
      <c r="BF201" s="243">
        <f>-574-BE201-BD201-BC201</f>
        <v>-264</v>
      </c>
      <c r="BG201" s="243">
        <v>-970</v>
      </c>
      <c r="BH201" s="243">
        <f>-920-BG201</f>
        <v>50</v>
      </c>
      <c r="BI201" s="243">
        <f>-906-BH201-BG201</f>
        <v>14</v>
      </c>
      <c r="BO201" s="243">
        <v>-608</v>
      </c>
      <c r="BP201" s="243">
        <f>-437-BO201</f>
        <v>171</v>
      </c>
      <c r="BQ201" s="243">
        <f>-403-BP201-BO201</f>
        <v>34</v>
      </c>
      <c r="BR201" s="243">
        <f>-1806-BQ201-BP201-BO201</f>
        <v>-1403</v>
      </c>
      <c r="CY201" s="243">
        <v>995</v>
      </c>
      <c r="CZ201" s="243">
        <f>3527-CY201</f>
        <v>2532</v>
      </c>
      <c r="DB201" s="243">
        <f>687-DA201-CZ201-CY201</f>
        <v>-2840</v>
      </c>
      <c r="DC201" s="243">
        <v>-915</v>
      </c>
      <c r="DD201" s="243">
        <f>-1144-DC201</f>
        <v>-229</v>
      </c>
      <c r="DG201" s="243">
        <v>3199</v>
      </c>
    </row>
    <row r="202" spans="2:151" ht="12.75" customHeight="1" x14ac:dyDescent="0.2">
      <c r="B202" t="s">
        <v>466</v>
      </c>
      <c r="AI202" s="76">
        <v>1124</v>
      </c>
      <c r="AM202" s="243">
        <v>1242</v>
      </c>
      <c r="AQ202" s="243">
        <v>957</v>
      </c>
      <c r="AR202" s="243">
        <f>591-AQ202</f>
        <v>-366</v>
      </c>
      <c r="AS202" s="243">
        <f>1154-AR202-AQ202</f>
        <v>563</v>
      </c>
      <c r="AT202" s="243">
        <f>564-AS202-AR202-AQ202</f>
        <v>-590</v>
      </c>
      <c r="AU202" s="243">
        <v>985</v>
      </c>
      <c r="AV202" s="243">
        <f>742-AU202</f>
        <v>-243</v>
      </c>
      <c r="AW202" s="243">
        <f>590-AV202-AU202</f>
        <v>-152</v>
      </c>
      <c r="AX202" s="243">
        <f>984-AW202-AV202-AU202</f>
        <v>394</v>
      </c>
      <c r="AY202" s="243">
        <v>-133</v>
      </c>
      <c r="AZ202" s="243">
        <f>-429-AY202</f>
        <v>-296</v>
      </c>
      <c r="BA202" s="243">
        <f>291-AZ202-AY202</f>
        <v>720</v>
      </c>
      <c r="BB202" s="243">
        <f>31-BA202-AZ202-AY202</f>
        <v>-260</v>
      </c>
      <c r="BC202" s="243">
        <v>0</v>
      </c>
      <c r="BD202" s="243">
        <f>218-BC202</f>
        <v>218</v>
      </c>
      <c r="BE202" s="243">
        <f>495-BD202-BC202</f>
        <v>277</v>
      </c>
      <c r="BF202" s="243">
        <f>87-BE202-BD202-BC202</f>
        <v>-408</v>
      </c>
      <c r="BG202" s="243">
        <v>1111</v>
      </c>
      <c r="BH202" s="243">
        <f>1199-BG202</f>
        <v>88</v>
      </c>
      <c r="BI202" s="243">
        <f>1746-BH202-BG202</f>
        <v>547</v>
      </c>
      <c r="BO202" s="243">
        <v>-192</v>
      </c>
      <c r="BP202" s="243">
        <f>56-BO202</f>
        <v>248</v>
      </c>
      <c r="BQ202" s="243">
        <f>1242-BP202-BO202</f>
        <v>1186</v>
      </c>
      <c r="BR202" s="243">
        <f>298-BQ202-BP202-BO202</f>
        <v>-944</v>
      </c>
      <c r="CY202" s="243">
        <v>110</v>
      </c>
      <c r="CZ202" s="243">
        <f>-2456-CY202</f>
        <v>-2566</v>
      </c>
      <c r="DB202" s="243">
        <f>-1979-DA202-CZ202-CY202</f>
        <v>477</v>
      </c>
      <c r="DC202" s="243">
        <v>6328</v>
      </c>
      <c r="DD202" s="243">
        <f>3407-DC202</f>
        <v>-2921</v>
      </c>
      <c r="DG202" s="243">
        <v>-427</v>
      </c>
    </row>
    <row r="203" spans="2:151" s="1" customFormat="1" ht="12.75" customHeight="1" x14ac:dyDescent="0.2">
      <c r="B203" s="1" t="s">
        <v>389</v>
      </c>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278"/>
      <c r="AN203" s="166"/>
      <c r="AO203" s="166"/>
      <c r="AP203" s="166"/>
      <c r="AQ203" s="278"/>
      <c r="AR203" s="278"/>
      <c r="AS203" s="278"/>
      <c r="AT203" s="278"/>
      <c r="AU203" s="278"/>
      <c r="AV203" s="278"/>
      <c r="AW203" s="278"/>
      <c r="AX203" s="278"/>
      <c r="AY203" s="278">
        <f t="shared" ref="AY203:BI203" si="985">SUM(AY191:AY202)</f>
        <v>2827</v>
      </c>
      <c r="AZ203" s="278">
        <f t="shared" si="985"/>
        <v>3363</v>
      </c>
      <c r="BA203" s="278">
        <f t="shared" si="985"/>
        <v>5094</v>
      </c>
      <c r="BB203" s="278">
        <f t="shared" si="985"/>
        <v>5287</v>
      </c>
      <c r="BC203" s="278">
        <f t="shared" si="985"/>
        <v>3690</v>
      </c>
      <c r="BD203" s="278">
        <f t="shared" si="985"/>
        <v>3837</v>
      </c>
      <c r="BE203" s="278">
        <f t="shared" si="985"/>
        <v>5034</v>
      </c>
      <c r="BF203" s="278">
        <f t="shared" si="985"/>
        <v>3824</v>
      </c>
      <c r="BG203" s="278">
        <f t="shared" si="985"/>
        <v>2316</v>
      </c>
      <c r="BH203" s="278">
        <f t="shared" si="985"/>
        <v>3909</v>
      </c>
      <c r="BI203" s="278">
        <f t="shared" si="985"/>
        <v>4622</v>
      </c>
      <c r="BJ203" s="278"/>
      <c r="BK203" s="166"/>
      <c r="BL203" s="166"/>
      <c r="BM203" s="166"/>
      <c r="BN203" s="166"/>
      <c r="BO203" s="278">
        <f t="shared" ref="BO203:BP203" si="986">SUM(BO191:BO202)</f>
        <v>2277</v>
      </c>
      <c r="BP203" s="278">
        <f t="shared" si="986"/>
        <v>5051</v>
      </c>
      <c r="BQ203" s="278">
        <f t="shared" ref="BQ203:BR203" si="987">SUM(BQ191:BQ202)</f>
        <v>5947</v>
      </c>
      <c r="BR203" s="278">
        <f t="shared" si="987"/>
        <v>4139</v>
      </c>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c r="CS203" s="166"/>
      <c r="CT203" s="166"/>
      <c r="CU203" s="166"/>
      <c r="CV203" s="166"/>
      <c r="CW203" s="166"/>
      <c r="CX203" s="166"/>
      <c r="CY203" s="278">
        <f>SUM(CY191:CY202)</f>
        <v>3979</v>
      </c>
      <c r="CZ203" s="278">
        <f t="shared" ref="CZ203:DG203" si="988">SUM(CZ191:CZ202)</f>
        <v>5581</v>
      </c>
      <c r="DA203" s="278">
        <f t="shared" si="988"/>
        <v>0</v>
      </c>
      <c r="DB203" s="278">
        <f t="shared" si="988"/>
        <v>11634</v>
      </c>
      <c r="DC203" s="278">
        <f t="shared" si="988"/>
        <v>3257</v>
      </c>
      <c r="DD203" s="278">
        <f t="shared" si="988"/>
        <v>4182</v>
      </c>
      <c r="DE203" s="278">
        <f t="shared" si="988"/>
        <v>0</v>
      </c>
      <c r="DF203" s="278">
        <f t="shared" si="988"/>
        <v>0</v>
      </c>
      <c r="DG203" s="278">
        <f t="shared" si="988"/>
        <v>3657</v>
      </c>
      <c r="DH203" s="166"/>
      <c r="DI203" s="166"/>
      <c r="DJ203" s="166"/>
      <c r="DK203" s="166"/>
      <c r="DL203" s="166"/>
      <c r="DM203" s="166"/>
      <c r="DN203" s="166"/>
      <c r="DP203" s="166"/>
      <c r="DQ203" s="166"/>
      <c r="DR203" s="166"/>
      <c r="DS203" s="166"/>
      <c r="DT203" s="166"/>
      <c r="DU203" s="166"/>
      <c r="DV203" s="166"/>
      <c r="DW203" s="166"/>
      <c r="DX203" s="166"/>
      <c r="DY203" s="166"/>
      <c r="DZ203" s="166"/>
      <c r="EA203" s="166"/>
      <c r="EB203" s="166"/>
      <c r="EC203" s="166"/>
      <c r="ED203" s="166"/>
      <c r="EE203" s="166"/>
      <c r="EF203" s="166"/>
      <c r="EG203" s="166"/>
      <c r="EH203" s="166"/>
      <c r="EI203" s="166"/>
      <c r="EJ203" s="166"/>
      <c r="EK203" s="166"/>
      <c r="EL203" s="166"/>
      <c r="EM203" s="166"/>
      <c r="EN203" s="166"/>
      <c r="EO203" s="166"/>
      <c r="EP203" s="166"/>
      <c r="EQ203" s="166"/>
      <c r="ER203" s="166"/>
      <c r="ES203" s="166"/>
      <c r="ET203" s="166"/>
      <c r="EU203" s="166"/>
    </row>
    <row r="204" spans="2:151" s="1" customFormat="1" ht="12.75" customHeight="1" x14ac:dyDescent="0.2">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c r="AZ204" s="278"/>
      <c r="BA204" s="278"/>
      <c r="BB204" s="278"/>
      <c r="BC204" s="278"/>
      <c r="BD204" s="278"/>
      <c r="BE204" s="278"/>
      <c r="BF204" s="278"/>
      <c r="BG204" s="278"/>
      <c r="BH204" s="278"/>
      <c r="BI204" s="278"/>
      <c r="BJ204" s="278"/>
      <c r="BK204" s="166"/>
      <c r="BL204" s="166"/>
      <c r="BM204" s="166"/>
      <c r="BN204" s="166"/>
      <c r="BO204" s="278"/>
      <c r="BP204" s="278"/>
      <c r="BQ204" s="278"/>
      <c r="BR204" s="278"/>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c r="CZ204" s="166"/>
      <c r="DA204" s="166"/>
      <c r="DB204" s="166"/>
      <c r="DC204" s="166"/>
      <c r="DD204" s="166"/>
      <c r="DE204" s="166"/>
      <c r="DF204" s="166"/>
      <c r="DG204" s="166"/>
      <c r="DH204" s="166"/>
      <c r="DI204" s="166"/>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79" customFormat="1" ht="12.75" customHeight="1" x14ac:dyDescent="0.2">
      <c r="B205" s="79" t="s">
        <v>467</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v>-397</v>
      </c>
      <c r="AJ205" s="243"/>
      <c r="AK205" s="243"/>
      <c r="AL205" s="243"/>
      <c r="AM205" s="243">
        <v>-446</v>
      </c>
      <c r="AN205" s="243"/>
      <c r="AO205" s="243"/>
      <c r="AP205" s="243"/>
      <c r="AQ205" s="243">
        <v>-446</v>
      </c>
      <c r="AR205" s="243">
        <f>-1045-AQ205</f>
        <v>-599</v>
      </c>
      <c r="AS205" s="243">
        <f>-1704-AR205-AQ205</f>
        <v>-659</v>
      </c>
      <c r="AT205" s="243">
        <f>-2942-AS205-AR205-AQ205</f>
        <v>-1238</v>
      </c>
      <c r="AU205" s="243">
        <v>-479</v>
      </c>
      <c r="AV205" s="243">
        <f>-1166-AU205</f>
        <v>-687</v>
      </c>
      <c r="AW205" s="243">
        <f>-1938-AV205-AU205</f>
        <v>-772</v>
      </c>
      <c r="AX205" s="243">
        <f>-3066-AW205-AV205-AU205</f>
        <v>-1128</v>
      </c>
      <c r="AY205" s="243">
        <v>-435</v>
      </c>
      <c r="AZ205" s="243">
        <f>-1002-AY205</f>
        <v>-567</v>
      </c>
      <c r="BA205" s="243">
        <f>-1521-AZ205-AY205</f>
        <v>-519</v>
      </c>
      <c r="BB205" s="243">
        <f>-2365-BA205-AZ205-AY205</f>
        <v>-844</v>
      </c>
      <c r="BC205" s="243">
        <v>-397</v>
      </c>
      <c r="BD205" s="243">
        <f>-897-BC205</f>
        <v>-500</v>
      </c>
      <c r="BE205" s="243">
        <f>-1425-BD205-BC205</f>
        <v>-528</v>
      </c>
      <c r="BF205" s="243">
        <f>-2384-BE205-BD205-BC205</f>
        <v>-959</v>
      </c>
      <c r="BG205" s="243">
        <f>-436+121</f>
        <v>-315</v>
      </c>
      <c r="BH205" s="243">
        <f>-1054-BG205+143</f>
        <v>-596</v>
      </c>
      <c r="BI205" s="243">
        <f>-1765-BH205-BG205+721</f>
        <v>-133</v>
      </c>
      <c r="BJ205" s="243"/>
      <c r="BK205" s="243"/>
      <c r="BL205" s="243"/>
      <c r="BM205" s="243"/>
      <c r="BN205" s="243"/>
      <c r="BO205" s="243">
        <v>-586</v>
      </c>
      <c r="BP205" s="243">
        <f>-1357-BO205</f>
        <v>-771</v>
      </c>
      <c r="BQ205" s="243">
        <f>-2166-BP205-BO205</f>
        <v>-809</v>
      </c>
      <c r="BR205" s="243">
        <f>-3595-BQ205-BP205-BO205</f>
        <v>-1429</v>
      </c>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v>-607</v>
      </c>
      <c r="CZ205" s="243">
        <f>-1470-CY205</f>
        <v>-863</v>
      </c>
      <c r="DA205" s="243"/>
      <c r="DB205" s="243">
        <f>-4009+543-DA205-CZ205-CY205</f>
        <v>-1996</v>
      </c>
      <c r="DC205" s="243">
        <v>-863</v>
      </c>
      <c r="DD205" s="243">
        <f>-1987-DC205</f>
        <v>-1124</v>
      </c>
      <c r="DE205" s="243"/>
      <c r="DF205" s="243"/>
      <c r="DG205" s="243">
        <v>-807</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s="79" customFormat="1" ht="12.75" customHeight="1" x14ac:dyDescent="0.2">
      <c r="B206" s="79" t="s">
        <v>1943</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c r="AR206" s="243"/>
      <c r="AS206" s="243"/>
      <c r="AT206" s="243"/>
      <c r="AU206" s="243"/>
      <c r="AV206" s="243"/>
      <c r="AW206" s="243"/>
      <c r="AX206" s="243"/>
      <c r="AY206" s="243"/>
      <c r="AZ206" s="243"/>
      <c r="BA206" s="243"/>
      <c r="BB206" s="243"/>
      <c r="BC206" s="243"/>
      <c r="BD206" s="243"/>
      <c r="BE206" s="243"/>
      <c r="BF206" s="243"/>
      <c r="BG206" s="243"/>
      <c r="BH206" s="243"/>
      <c r="BI206" s="243"/>
      <c r="BJ206" s="243"/>
      <c r="BK206" s="243"/>
      <c r="BL206" s="243"/>
      <c r="BM206" s="243"/>
      <c r="BN206" s="243"/>
      <c r="BO206" s="243"/>
      <c r="BP206" s="243"/>
      <c r="BQ206" s="243"/>
      <c r="BR206" s="243"/>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c r="CZ206" s="243">
        <v>314</v>
      </c>
      <c r="DA206" s="243"/>
      <c r="DB206" s="243"/>
      <c r="DC206" s="243">
        <f>40</f>
        <v>40</v>
      </c>
      <c r="DD206" s="243">
        <f t="shared" ref="DD206" si="989">116-DC206</f>
        <v>76</v>
      </c>
      <c r="DE206" s="243"/>
      <c r="DF206" s="243"/>
      <c r="DG206" s="243">
        <v>210</v>
      </c>
      <c r="DH206" s="243"/>
      <c r="DI206" s="243"/>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247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v>-1368</v>
      </c>
      <c r="AR207" s="243">
        <v>0</v>
      </c>
      <c r="AS207" s="243">
        <f>-1378-AR207-AQ207</f>
        <v>-10</v>
      </c>
      <c r="AT207" s="243">
        <f>-1388-AS207-AR207-AQ207</f>
        <v>-10</v>
      </c>
      <c r="AU207" s="243">
        <f>34-8</f>
        <v>26</v>
      </c>
      <c r="AV207" s="243">
        <f>47-46-AU207</f>
        <v>-25</v>
      </c>
      <c r="AW207" s="243">
        <f>-400+56-AU207-AV207</f>
        <v>-345</v>
      </c>
      <c r="AX207" s="243">
        <f>-1214+785-AW207-AV207-AU207</f>
        <v>-85</v>
      </c>
      <c r="AY207" s="243">
        <v>-1291</v>
      </c>
      <c r="AZ207" s="243">
        <f>-1291-AY207</f>
        <v>0</v>
      </c>
      <c r="BA207" s="243">
        <f>-2337-AZ207-AY207</f>
        <v>-1046</v>
      </c>
      <c r="BB207" s="243">
        <f>-2470-BA207-AZ207-AY207</f>
        <v>-133</v>
      </c>
      <c r="BC207" s="243">
        <v>-772</v>
      </c>
      <c r="BD207" s="243">
        <f>-6695-BC207</f>
        <v>-5923</v>
      </c>
      <c r="BE207" s="243">
        <f>-1269-BD207-BC207</f>
        <v>5426</v>
      </c>
      <c r="BF207" s="243">
        <f>-1269-BE207-BD207-BC207</f>
        <v>0</v>
      </c>
      <c r="BG207" s="243">
        <v>-2049</v>
      </c>
      <c r="BH207" s="243">
        <f>-2049-BG207</f>
        <v>0</v>
      </c>
      <c r="BI207" s="243">
        <f>-2469-BH207-BG207</f>
        <v>-420</v>
      </c>
      <c r="BJ207" s="243"/>
      <c r="BK207" s="243"/>
      <c r="BL207" s="243"/>
      <c r="BM207" s="243"/>
      <c r="BN207" s="243"/>
      <c r="BO207" s="243">
        <v>-168</v>
      </c>
      <c r="BP207" s="243">
        <f>-174-BO207</f>
        <v>-6</v>
      </c>
      <c r="BQ207" s="243">
        <f>-819-BP207-BO207</f>
        <v>-645</v>
      </c>
      <c r="BR207" s="243">
        <f>-835-BQ207-BP207-BO207</f>
        <v>-16</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f>248-252</f>
        <v>-4</v>
      </c>
      <c r="CZ207" s="243">
        <f>-523-CY207</f>
        <v>-519</v>
      </c>
      <c r="DA207" s="243"/>
      <c r="DB207" s="243">
        <f>-17652-DA207-CZ207-CY207</f>
        <v>-17129</v>
      </c>
      <c r="DC207" s="243">
        <v>0</v>
      </c>
      <c r="DD207" s="243">
        <v>0</v>
      </c>
      <c r="DE207" s="243"/>
      <c r="DF207" s="243"/>
      <c r="DG207" s="243">
        <v>-1811</v>
      </c>
      <c r="DH207" s="243"/>
      <c r="DI207" s="243"/>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1888</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-9018+6303</f>
        <v>-2715</v>
      </c>
      <c r="CZ208" s="243">
        <f>-22048+17634-CY208</f>
        <v>-1699</v>
      </c>
      <c r="DA208" s="243"/>
      <c r="DB208" s="243">
        <f>-32384+41609-DA208-CZ208-CY208</f>
        <v>13639</v>
      </c>
      <c r="DC208" s="243">
        <f>-3774+7766</f>
        <v>3992</v>
      </c>
      <c r="DD208" s="243">
        <f>-9688-DC208+11877</f>
        <v>-1803</v>
      </c>
      <c r="DE208" s="243"/>
      <c r="DF208" s="243"/>
      <c r="DG208" s="243">
        <f>-630+979</f>
        <v>349</v>
      </c>
      <c r="DH208" s="243"/>
      <c r="DI208" s="243"/>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ht="12.75" customHeight="1" x14ac:dyDescent="0.2">
      <c r="B209" s="79" t="s">
        <v>1889</v>
      </c>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v>-249</v>
      </c>
      <c r="CZ209" s="76">
        <f>-10-CY209</f>
        <v>239</v>
      </c>
      <c r="DB209" s="76">
        <f>-249-DA209-CZ209-CY209</f>
        <v>-239</v>
      </c>
      <c r="DC209" s="76">
        <v>158</v>
      </c>
      <c r="DD209" s="76">
        <f>-798-DC209</f>
        <v>-956</v>
      </c>
      <c r="DG209" s="76">
        <v>1600</v>
      </c>
    </row>
    <row r="210" spans="2:151" ht="12.75" customHeight="1" x14ac:dyDescent="0.2">
      <c r="B210" s="79" t="s">
        <v>1890</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-59</v>
      </c>
      <c r="CZ210" s="76">
        <f>-170-CY210</f>
        <v>-111</v>
      </c>
      <c r="DB210" s="76">
        <f>-229--DA210-CZ210-CY210</f>
        <v>-59</v>
      </c>
      <c r="DC210" s="76">
        <v>-12</v>
      </c>
      <c r="DD210" s="76">
        <f>19-DC210</f>
        <v>31</v>
      </c>
      <c r="DG210" s="76">
        <v>-5</v>
      </c>
    </row>
    <row r="211" spans="2:151" ht="12.75" customHeight="1" x14ac:dyDescent="0.2">
      <c r="B211" s="79" t="s">
        <v>1891</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243">
        <f>SUM(CY205:CY210)</f>
        <v>-3634</v>
      </c>
      <c r="CZ211" s="243">
        <f t="shared" ref="CZ211:DD211" si="990">SUM(CZ205:CZ210)</f>
        <v>-2639</v>
      </c>
      <c r="DA211" s="243">
        <f t="shared" si="990"/>
        <v>0</v>
      </c>
      <c r="DB211" s="243">
        <f t="shared" si="990"/>
        <v>-5784</v>
      </c>
      <c r="DC211" s="243">
        <f t="shared" si="990"/>
        <v>3315</v>
      </c>
      <c r="DD211" s="243">
        <f t="shared" si="990"/>
        <v>-3776</v>
      </c>
      <c r="DG211" s="243">
        <f t="shared" ref="DG211" si="991">SUM(DG205:DG210)</f>
        <v>-464</v>
      </c>
    </row>
    <row r="212" spans="2:151" ht="12.75" customHeight="1" x14ac:dyDescent="0.2">
      <c r="B212" s="79"/>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row>
    <row r="213" spans="2:151" s="79" customFormat="1" ht="12.75" customHeight="1" x14ac:dyDescent="0.2">
      <c r="B213" s="79" t="s">
        <v>1235</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v>-1085</v>
      </c>
      <c r="AR213" s="243">
        <f>-2287-AQ213</f>
        <v>-1202</v>
      </c>
      <c r="AS213" s="243">
        <f>-3486-AR213-AQ213</f>
        <v>-1199</v>
      </c>
      <c r="AT213" s="243">
        <f>-4670-AS213-AR213-AQ213</f>
        <v>-1184</v>
      </c>
      <c r="AU213" s="243">
        <v>-1174</v>
      </c>
      <c r="AV213" s="243">
        <f>-2466-AU213</f>
        <v>-1292</v>
      </c>
      <c r="AW213" s="243">
        <f>-3750-AV213-AU213</f>
        <v>-1284</v>
      </c>
      <c r="AX213" s="243">
        <f>-5024-AW213-AV213-AU213</f>
        <v>-1274</v>
      </c>
      <c r="AY213" s="243">
        <v>-1273</v>
      </c>
      <c r="AZ213" s="243">
        <f>-2623-AY213</f>
        <v>-1350</v>
      </c>
      <c r="BA213" s="243">
        <f>-3974-AZ213-AY213</f>
        <v>-1351</v>
      </c>
      <c r="BB213" s="243">
        <f>-5327-BA213-AZ213-AY213</f>
        <v>-1353</v>
      </c>
      <c r="BC213" s="243">
        <v>-1350</v>
      </c>
      <c r="BD213" s="243">
        <f>-2839-BC213</f>
        <v>-1489</v>
      </c>
      <c r="BE213" s="243">
        <f>-4323-BD213-BC213</f>
        <v>-1484</v>
      </c>
      <c r="BF213" s="243">
        <f>-5804-BE213-BD213-BC213</f>
        <v>-1481</v>
      </c>
      <c r="BG213" s="243">
        <v>-1480</v>
      </c>
      <c r="BH213" s="243">
        <f>-3043-BG213</f>
        <v>-1563</v>
      </c>
      <c r="BI213" s="243">
        <f>-4601-BH213-BG213</f>
        <v>-1558</v>
      </c>
      <c r="BJ213" s="243"/>
      <c r="BK213" s="243"/>
      <c r="BL213" s="243"/>
      <c r="BM213" s="243"/>
      <c r="BN213" s="243"/>
      <c r="BO213" s="243">
        <v>-1706</v>
      </c>
      <c r="BP213" s="243">
        <f>-3562-BO213</f>
        <v>-1856</v>
      </c>
      <c r="BQ213" s="243">
        <f>-5424-BP213-BO213</f>
        <v>-1862</v>
      </c>
      <c r="BR213" s="243">
        <f>-7286-BQ213-BP213-BO213</f>
        <v>-1862</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v>-2787</v>
      </c>
      <c r="CZ213" s="243">
        <f>-5758-CY213</f>
        <v>-2971</v>
      </c>
      <c r="DA213" s="243"/>
      <c r="DB213" s="243">
        <f>-11682-DA213-CZ213-CY213</f>
        <v>-5924</v>
      </c>
      <c r="DC213" s="243">
        <v>-2942</v>
      </c>
      <c r="DD213" s="243">
        <f>-6034-DC213</f>
        <v>-3092</v>
      </c>
      <c r="DE213" s="243"/>
      <c r="DF213" s="243"/>
      <c r="DG213" s="243">
        <v>-2869</v>
      </c>
      <c r="DH213" s="243"/>
      <c r="DI213" s="243"/>
      <c r="DJ213" s="243"/>
      <c r="DK213" s="243"/>
      <c r="DL213" s="243"/>
      <c r="DM213" s="243"/>
      <c r="DN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c r="ER213" s="243"/>
      <c r="ES213" s="243"/>
      <c r="ET213" s="243"/>
      <c r="EU213" s="243"/>
    </row>
    <row r="214" spans="2:151" s="79" customFormat="1" ht="12.75" customHeight="1" x14ac:dyDescent="0.2">
      <c r="B214" s="79" t="s">
        <v>468</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v>654</v>
      </c>
      <c r="AJ214" s="243"/>
      <c r="AK214" s="243"/>
      <c r="AL214" s="243"/>
      <c r="AM214" s="243">
        <v>401</v>
      </c>
      <c r="AN214" s="243"/>
      <c r="AO214" s="243"/>
      <c r="AP214" s="243"/>
      <c r="AQ214" s="243">
        <v>-295</v>
      </c>
      <c r="AR214" s="243">
        <f>-739-AQ214</f>
        <v>-444</v>
      </c>
      <c r="AS214" s="243">
        <f>-2581-AR214-AQ214</f>
        <v>-1842</v>
      </c>
      <c r="AT214" s="243">
        <f>-5607-AS214-AR214-AQ214</f>
        <v>-3026</v>
      </c>
      <c r="AU214" s="243">
        <v>-1779</v>
      </c>
      <c r="AV214" s="243">
        <f>-3617-AU214</f>
        <v>-1838</v>
      </c>
      <c r="AW214" s="243">
        <f>-5773-AV214-AU214</f>
        <v>-2156</v>
      </c>
      <c r="AX214" s="243">
        <f>-6651-AW214-AV214-AU214</f>
        <v>-878</v>
      </c>
      <c r="AY214" s="243">
        <v>-834</v>
      </c>
      <c r="AZ214" s="243">
        <f>-1123-AY214</f>
        <v>-289</v>
      </c>
      <c r="BA214" s="243">
        <f>-1172-AZ214-AY214</f>
        <v>-49</v>
      </c>
      <c r="BB214" s="243">
        <f>-2130-BA214-AZ214-AY214</f>
        <v>-958</v>
      </c>
      <c r="BC214" s="243">
        <v>-383</v>
      </c>
      <c r="BD214" s="243">
        <f>-780-BC214</f>
        <v>-397</v>
      </c>
      <c r="BE214" s="243">
        <f>-1512-BD214-BC214</f>
        <v>-732</v>
      </c>
      <c r="BF214" s="243">
        <f>-2797-BE214-BD214-BC214</f>
        <v>-1285</v>
      </c>
      <c r="BG214" s="243">
        <v>-435</v>
      </c>
      <c r="BH214" s="243">
        <f>-929-BG214</f>
        <v>-494</v>
      </c>
      <c r="BI214" s="243">
        <f>-1672-BH214-BG214</f>
        <v>-743</v>
      </c>
      <c r="BJ214" s="243"/>
      <c r="BK214" s="243"/>
      <c r="BL214" s="243"/>
      <c r="BM214" s="243"/>
      <c r="BN214" s="243"/>
      <c r="BO214" s="243">
        <v>0</v>
      </c>
      <c r="BP214" s="243">
        <v>0</v>
      </c>
      <c r="BQ214" s="243">
        <f>-3050-BP214-BO214</f>
        <v>-3050</v>
      </c>
      <c r="BR214" s="243">
        <f>-3538-BQ214-BP214-BO214</f>
        <v>-488</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-1577</v>
      </c>
      <c r="CZ214" s="243">
        <f>-2550-CY214</f>
        <v>-973</v>
      </c>
      <c r="DA214" s="243"/>
      <c r="DB214" s="243">
        <f>-6035-DA214-CZ214-CY214</f>
        <v>-3485</v>
      </c>
      <c r="DC214" s="243">
        <v>-3537</v>
      </c>
      <c r="DD214" s="243">
        <f>-3918-DC214</f>
        <v>-381</v>
      </c>
      <c r="DE214" s="243"/>
      <c r="DF214" s="243"/>
      <c r="DG214" s="243">
        <v>-1475</v>
      </c>
      <c r="DH214" s="243"/>
      <c r="DI214" s="243"/>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ht="12.75" customHeight="1" x14ac:dyDescent="0.2">
      <c r="B215" s="79" t="s">
        <v>263</v>
      </c>
      <c r="AM215" s="243"/>
      <c r="AQ215" s="243"/>
      <c r="AR215" s="243"/>
      <c r="AS215" s="243"/>
      <c r="AT215" s="243"/>
      <c r="AU215" s="243"/>
      <c r="AV215" s="243"/>
      <c r="AW215" s="243"/>
      <c r="AX215" s="243"/>
      <c r="AY215" s="243"/>
      <c r="AZ215" s="243"/>
      <c r="BA215" s="243"/>
      <c r="BB215" s="243"/>
      <c r="BC215" s="243"/>
      <c r="BD215" s="243"/>
      <c r="BE215" s="243"/>
      <c r="BF215" s="243"/>
      <c r="BG215" s="243"/>
      <c r="BH215" s="243"/>
      <c r="BI215" s="243"/>
      <c r="BO215" s="243"/>
      <c r="BP215" s="243"/>
      <c r="BQ215" s="243"/>
      <c r="BR215" s="243"/>
      <c r="CY215" s="76">
        <f>3019-856-2132</f>
        <v>31</v>
      </c>
      <c r="CZ215" s="76">
        <f>4371-2201+2-2132-CY215</f>
        <v>9</v>
      </c>
      <c r="DB215" s="243">
        <f>16134-6550+2-2134-DA215-CZ215-CY215</f>
        <v>7412</v>
      </c>
      <c r="DC215" s="243">
        <f>11094-5388+7674</f>
        <v>13380</v>
      </c>
      <c r="DD215" s="243">
        <f>12221-13611+7674-501-DC215</f>
        <v>-7597</v>
      </c>
      <c r="DG215" s="243">
        <f>5263-890+2-1</f>
        <v>4374</v>
      </c>
    </row>
    <row r="216" spans="2:151" ht="12.75" customHeight="1" x14ac:dyDescent="0.2">
      <c r="B216" s="79" t="s">
        <v>379</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76">
        <f>321-235-138</f>
        <v>-52</v>
      </c>
      <c r="CZ216" s="76">
        <f>820+813-11-CY216</f>
        <v>1674</v>
      </c>
      <c r="DB216" s="243">
        <f>1329-DA216-CZ216-CY216-28+93</f>
        <v>-228</v>
      </c>
      <c r="DC216" s="243">
        <f>-500-11-13-239</f>
        <v>-763</v>
      </c>
      <c r="DD216" s="243">
        <f>254-126+4241-53-DC216</f>
        <v>5079</v>
      </c>
      <c r="DG216" s="243">
        <f>195+228+93</f>
        <v>516</v>
      </c>
    </row>
    <row r="217" spans="2:151" ht="12.75" customHeight="1" x14ac:dyDescent="0.2">
      <c r="B217" t="s">
        <v>1893</v>
      </c>
      <c r="CY217" s="243">
        <f>SUM(CY213:CY216)</f>
        <v>-4385</v>
      </c>
      <c r="CZ217" s="243">
        <f t="shared" ref="CZ217:DC217" si="992">SUM(CZ213:CZ216)</f>
        <v>-2261</v>
      </c>
      <c r="DA217" s="243">
        <f t="shared" si="992"/>
        <v>0</v>
      </c>
      <c r="DB217" s="243">
        <f t="shared" si="992"/>
        <v>-2225</v>
      </c>
      <c r="DC217" s="243">
        <f t="shared" si="992"/>
        <v>6138</v>
      </c>
      <c r="DD217" s="243">
        <f>SUM(DD213:DD216)</f>
        <v>-5991</v>
      </c>
      <c r="DE217" s="243">
        <f>SUM(DE213:DE216)</f>
        <v>0</v>
      </c>
      <c r="DF217" s="243">
        <f>SUM(DF213:DF216)</f>
        <v>0</v>
      </c>
      <c r="DG217" s="243">
        <f>SUM(DG213:DG216)</f>
        <v>546</v>
      </c>
    </row>
    <row r="218" spans="2:151" ht="12.75" customHeight="1" x14ac:dyDescent="0.2">
      <c r="B218" t="s">
        <v>1892</v>
      </c>
      <c r="CY218" s="243">
        <v>16</v>
      </c>
      <c r="CZ218" s="243">
        <f>-145-CY218</f>
        <v>-161</v>
      </c>
      <c r="DA218" s="243"/>
      <c r="DB218" s="243">
        <f>-312-DA218-CZ218-CY218</f>
        <v>-167</v>
      </c>
      <c r="DC218" s="76">
        <v>28</v>
      </c>
      <c r="DD218" s="76">
        <f>-69-DC218</f>
        <v>-97</v>
      </c>
      <c r="DG218" s="243">
        <v>-125</v>
      </c>
    </row>
    <row r="219" spans="2:151" ht="12.75" customHeight="1" x14ac:dyDescent="0.2">
      <c r="B219" t="s">
        <v>1319</v>
      </c>
      <c r="CY219" s="243">
        <f t="shared" ref="CY219:DG219" si="993">+CY203+CY211+CY217+CY218</f>
        <v>-4024</v>
      </c>
      <c r="CZ219" s="243">
        <f t="shared" si="993"/>
        <v>520</v>
      </c>
      <c r="DA219" s="243">
        <f t="shared" si="993"/>
        <v>0</v>
      </c>
      <c r="DB219" s="243">
        <f t="shared" si="993"/>
        <v>3458</v>
      </c>
      <c r="DC219" s="243">
        <f t="shared" si="993"/>
        <v>12738</v>
      </c>
      <c r="DD219" s="243">
        <f t="shared" si="993"/>
        <v>-5682</v>
      </c>
      <c r="DE219" s="243">
        <f t="shared" si="993"/>
        <v>0</v>
      </c>
      <c r="DF219" s="243">
        <f t="shared" si="993"/>
        <v>0</v>
      </c>
      <c r="DG219" s="243">
        <f t="shared" si="993"/>
        <v>3614</v>
      </c>
    </row>
    <row r="220" spans="2:151" s="79" customFormat="1" ht="12.75" customHeight="1" x14ac:dyDescent="0.2">
      <c r="B220" s="79" t="s">
        <v>370</v>
      </c>
      <c r="C220" s="243"/>
      <c r="D220" s="243"/>
      <c r="E220" s="243"/>
      <c r="F220" s="243"/>
      <c r="G220" s="243"/>
      <c r="H220" s="243"/>
      <c r="I220" s="243"/>
      <c r="J220" s="243"/>
      <c r="K220" s="243"/>
      <c r="L220" s="243"/>
      <c r="M220" s="243"/>
      <c r="N220" s="243"/>
      <c r="O220" s="243"/>
      <c r="P220" s="243"/>
      <c r="Q220" s="243"/>
      <c r="R220" s="243"/>
      <c r="S220" s="243"/>
      <c r="T220" s="243"/>
      <c r="U220" s="243"/>
      <c r="V220" s="243"/>
      <c r="W220" s="243"/>
      <c r="X220" s="243"/>
      <c r="Y220" s="243"/>
      <c r="Z220" s="243"/>
      <c r="AA220" s="243"/>
      <c r="AB220" s="243"/>
      <c r="AC220" s="243"/>
      <c r="AD220" s="243"/>
      <c r="AE220" s="243"/>
      <c r="AF220" s="243"/>
      <c r="AG220" s="243"/>
      <c r="AH220" s="243"/>
      <c r="AI220" s="243"/>
      <c r="AJ220" s="243"/>
      <c r="AK220" s="243"/>
      <c r="AL220" s="243"/>
      <c r="AM220" s="243"/>
      <c r="AN220" s="243"/>
      <c r="AO220" s="243"/>
      <c r="AP220" s="243"/>
      <c r="AQ220" s="243"/>
      <c r="AR220" s="243"/>
      <c r="AS220" s="243"/>
      <c r="AT220" s="243"/>
      <c r="AU220" s="243"/>
      <c r="AV220" s="243"/>
      <c r="AW220" s="243"/>
      <c r="AX220" s="243"/>
      <c r="AY220" s="243">
        <f t="shared" ref="AY220:BI220" si="994">+AY205+AY203</f>
        <v>2392</v>
      </c>
      <c r="AZ220" s="243">
        <f t="shared" si="994"/>
        <v>2796</v>
      </c>
      <c r="BA220" s="243">
        <f t="shared" si="994"/>
        <v>4575</v>
      </c>
      <c r="BB220" s="243">
        <f t="shared" si="994"/>
        <v>4443</v>
      </c>
      <c r="BC220" s="243">
        <f t="shared" si="994"/>
        <v>3293</v>
      </c>
      <c r="BD220" s="243">
        <f t="shared" si="994"/>
        <v>3337</v>
      </c>
      <c r="BE220" s="243">
        <f t="shared" si="994"/>
        <v>4506</v>
      </c>
      <c r="BF220" s="243">
        <f t="shared" si="994"/>
        <v>2865</v>
      </c>
      <c r="BG220" s="243">
        <f t="shared" si="994"/>
        <v>2001</v>
      </c>
      <c r="BH220" s="243">
        <f t="shared" si="994"/>
        <v>3313</v>
      </c>
      <c r="BI220" s="243">
        <f t="shared" si="994"/>
        <v>4489</v>
      </c>
      <c r="BJ220" s="243"/>
      <c r="BK220" s="243"/>
      <c r="BL220" s="243"/>
      <c r="BM220" s="243"/>
      <c r="BN220" s="243"/>
      <c r="BO220" s="243">
        <f>+BO205+BO203</f>
        <v>1691</v>
      </c>
      <c r="BP220" s="243">
        <f>+BP205+BP203</f>
        <v>4280</v>
      </c>
      <c r="BQ220" s="243">
        <f>+BQ205+BQ203</f>
        <v>5138</v>
      </c>
      <c r="BR220" s="243">
        <f>+BR205+BR203</f>
        <v>2710</v>
      </c>
      <c r="BS220" s="243"/>
      <c r="BT220" s="243"/>
      <c r="BU220" s="243"/>
      <c r="BV220" s="243"/>
      <c r="BW220" s="243"/>
      <c r="BX220" s="243"/>
      <c r="BY220" s="243"/>
      <c r="BZ220" s="243"/>
      <c r="CA220" s="243"/>
      <c r="CB220" s="243"/>
      <c r="CC220" s="243"/>
      <c r="CD220" s="243"/>
      <c r="CE220" s="243"/>
      <c r="CF220" s="243"/>
      <c r="CG220" s="243"/>
      <c r="CH220" s="243"/>
      <c r="CI220" s="243"/>
      <c r="CJ220" s="243"/>
      <c r="CK220" s="243"/>
      <c r="CL220" s="243"/>
      <c r="CM220" s="243"/>
      <c r="CN220" s="243"/>
      <c r="CO220" s="243"/>
      <c r="CP220" s="243"/>
      <c r="CQ220" s="243"/>
      <c r="CR220" s="243"/>
      <c r="CS220" s="243"/>
      <c r="CT220" s="243"/>
      <c r="CU220" s="243"/>
      <c r="CV220" s="243"/>
      <c r="CW220" s="243"/>
      <c r="CX220" s="243"/>
      <c r="CY220" s="243"/>
      <c r="CZ220" s="243"/>
      <c r="DA220" s="243"/>
      <c r="DB220" s="243"/>
      <c r="DC220" s="243"/>
      <c r="DD220" s="243"/>
      <c r="DE220" s="243"/>
      <c r="DF220" s="243"/>
      <c r="DG220" s="243"/>
      <c r="DH220" s="243"/>
      <c r="DI220" s="243"/>
      <c r="DJ220" s="243"/>
      <c r="DK220" s="243"/>
      <c r="DL220" s="243"/>
      <c r="DM220" s="243"/>
      <c r="DN220" s="243"/>
      <c r="DP220" s="243"/>
      <c r="DQ220" s="243"/>
      <c r="DR220" s="243"/>
      <c r="DS220" s="243"/>
      <c r="DT220" s="243"/>
      <c r="DU220" s="243"/>
      <c r="DV220" s="243"/>
      <c r="DW220" s="243"/>
      <c r="DX220" s="243"/>
      <c r="DY220" s="243"/>
      <c r="DZ220" s="243"/>
      <c r="EA220" s="243"/>
      <c r="EB220" s="243"/>
      <c r="EC220" s="243"/>
      <c r="ED220" s="243"/>
      <c r="EE220" s="243"/>
      <c r="EF220" s="243"/>
      <c r="EG220" s="243"/>
      <c r="EH220" s="243"/>
      <c r="EI220" s="243"/>
      <c r="EJ220" s="243"/>
      <c r="EK220" s="243"/>
      <c r="EL220" s="243"/>
      <c r="EM220" s="243"/>
      <c r="EN220" s="243"/>
      <c r="EO220" s="243"/>
      <c r="EP220" s="243"/>
      <c r="EQ220" s="243"/>
      <c r="ER220" s="243"/>
      <c r="ES220" s="243"/>
      <c r="ET220" s="243"/>
      <c r="EU220" s="243"/>
    </row>
    <row r="221" spans="2:151" ht="12.75" customHeight="1" x14ac:dyDescent="0.2">
      <c r="DA221" s="243"/>
    </row>
    <row r="222" spans="2:151" s="302" customFormat="1" ht="12.75" customHeight="1" x14ac:dyDescent="0.2">
      <c r="B222" s="302" t="s">
        <v>469</v>
      </c>
      <c r="C222" s="303"/>
      <c r="D222" s="303"/>
      <c r="E222" s="303"/>
      <c r="F222" s="303"/>
      <c r="G222" s="303"/>
      <c r="H222" s="303"/>
      <c r="I222" s="303"/>
      <c r="J222" s="303"/>
      <c r="K222" s="303"/>
      <c r="L222" s="303"/>
      <c r="M222" s="303"/>
      <c r="N222" s="303"/>
      <c r="O222" s="303"/>
      <c r="P222" s="303"/>
      <c r="Q222" s="303"/>
      <c r="R222" s="303"/>
      <c r="S222" s="303"/>
      <c r="T222" s="303"/>
      <c r="U222" s="303"/>
      <c r="V222" s="303"/>
      <c r="W222" s="303"/>
      <c r="X222" s="303"/>
      <c r="Y222" s="303"/>
      <c r="Z222" s="303"/>
      <c r="AA222" s="303"/>
      <c r="AB222" s="303"/>
      <c r="AC222" s="303"/>
      <c r="AD222" s="303"/>
      <c r="AE222" s="303"/>
      <c r="AF222" s="303"/>
      <c r="AG222" s="303"/>
      <c r="AH222" s="303"/>
      <c r="AI222" s="303"/>
      <c r="AJ222" s="303"/>
      <c r="AK222" s="303"/>
      <c r="AL222" s="303"/>
      <c r="AM222" s="303"/>
      <c r="AN222" s="303"/>
      <c r="AO222" s="303"/>
      <c r="AP222" s="303"/>
      <c r="AQ222" s="303"/>
      <c r="AR222" s="303"/>
      <c r="AS222" s="303">
        <v>1</v>
      </c>
      <c r="AT222" s="303"/>
      <c r="AU222" s="303"/>
      <c r="AV222" s="303"/>
      <c r="AW222" s="303"/>
      <c r="AX222" s="303"/>
      <c r="AY222" s="303"/>
      <c r="AZ222" s="303"/>
      <c r="BA222" s="303"/>
      <c r="BB222" s="303"/>
      <c r="BC222" s="303"/>
      <c r="BD222" s="303"/>
      <c r="BE222" s="303"/>
      <c r="BF222" s="303"/>
      <c r="BG222" s="303"/>
      <c r="BH222" s="303"/>
      <c r="BI222" s="303"/>
      <c r="BJ222" s="303"/>
      <c r="BK222" s="303"/>
      <c r="BL222" s="303"/>
      <c r="BM222" s="303"/>
      <c r="BN222" s="303"/>
      <c r="BO222" s="303"/>
      <c r="BP222" s="303"/>
      <c r="BQ222" s="303"/>
      <c r="BR222" s="303"/>
      <c r="BS222" s="303"/>
      <c r="BT222" s="303"/>
      <c r="BU222" s="303"/>
      <c r="BV222" s="303"/>
      <c r="BW222" s="303"/>
      <c r="BX222" s="303"/>
      <c r="BY222" s="303"/>
      <c r="BZ222" s="303"/>
      <c r="CA222" s="303"/>
      <c r="CB222" s="303"/>
      <c r="CC222" s="303"/>
      <c r="CD222" s="303"/>
      <c r="CE222" s="303"/>
      <c r="CF222" s="303"/>
      <c r="CG222" s="303"/>
      <c r="CH222" s="303"/>
      <c r="CI222" s="303"/>
      <c r="CJ222" s="303"/>
      <c r="CK222" s="303"/>
      <c r="CL222" s="303"/>
      <c r="CM222" s="303"/>
      <c r="CN222" s="303"/>
      <c r="CO222" s="303"/>
      <c r="CP222" s="303"/>
      <c r="CQ222" s="303"/>
      <c r="CR222" s="303"/>
      <c r="CS222" s="303"/>
      <c r="CT222" s="303"/>
      <c r="CU222" s="303"/>
      <c r="CV222" s="303"/>
      <c r="CW222" s="303"/>
      <c r="CX222" s="303"/>
      <c r="CY222" s="303"/>
      <c r="CZ222" s="303"/>
      <c r="DA222" s="303"/>
      <c r="DB222" s="303"/>
      <c r="DC222" s="303"/>
      <c r="DD222" s="303"/>
      <c r="DE222" s="303"/>
      <c r="DF222" s="303"/>
      <c r="DG222" s="303"/>
      <c r="DH222" s="303"/>
      <c r="DI222" s="303"/>
      <c r="DJ222" s="303"/>
      <c r="DK222" s="303"/>
      <c r="DL222" s="303"/>
      <c r="DM222" s="303"/>
      <c r="DN222" s="303"/>
      <c r="DP222" s="303"/>
      <c r="DQ222" s="303"/>
      <c r="DR222" s="303"/>
      <c r="DS222" s="303"/>
      <c r="DT222" s="303"/>
      <c r="DU222" s="303"/>
      <c r="DV222" s="303"/>
      <c r="DW222" s="303"/>
      <c r="DX222" s="303"/>
      <c r="DY222" s="303"/>
      <c r="DZ222" s="303"/>
      <c r="EA222" s="303"/>
      <c r="EB222" s="303"/>
      <c r="EC222" s="303"/>
      <c r="ED222" s="303"/>
      <c r="EE222" s="303"/>
      <c r="EF222" s="303"/>
      <c r="EG222" s="303"/>
      <c r="EH222" s="303"/>
      <c r="EI222" s="303"/>
      <c r="EJ222" s="303"/>
      <c r="EK222" s="303"/>
      <c r="EL222" s="303"/>
      <c r="EM222" s="303"/>
      <c r="EN222" s="303"/>
      <c r="EO222" s="303"/>
      <c r="EP222" s="303"/>
      <c r="EQ222" s="303"/>
      <c r="ER222" s="303"/>
      <c r="ES222" s="303"/>
      <c r="ET222" s="303"/>
      <c r="EU222" s="303"/>
    </row>
    <row r="223" spans="2:151" ht="12.75" customHeight="1" x14ac:dyDescent="0.2">
      <c r="B223" t="s">
        <v>470</v>
      </c>
      <c r="AS223" s="243">
        <v>14850</v>
      </c>
    </row>
    <row r="224" spans="2:151" ht="12.75" customHeight="1" x14ac:dyDescent="0.2">
      <c r="AS224" s="76" t="s">
        <v>471</v>
      </c>
    </row>
    <row r="225" spans="2:151" ht="12.75" customHeight="1" x14ac:dyDescent="0.2">
      <c r="B225" t="s">
        <v>472</v>
      </c>
    </row>
    <row r="226" spans="2:151" ht="12.75" customHeight="1" x14ac:dyDescent="0.2">
      <c r="B226" t="s">
        <v>473</v>
      </c>
      <c r="DS226" s="294">
        <v>0.85</v>
      </c>
      <c r="DT226" s="294">
        <v>0.85</v>
      </c>
      <c r="DU226" s="294">
        <v>0.85</v>
      </c>
      <c r="DV226" s="294">
        <v>0.85</v>
      </c>
      <c r="DW226" s="294">
        <v>0.85</v>
      </c>
      <c r="DX226" s="294">
        <v>0.85</v>
      </c>
      <c r="DY226" s="294">
        <v>0.85</v>
      </c>
      <c r="DZ226" s="294">
        <v>0.85</v>
      </c>
      <c r="EA226" s="294">
        <v>0.85</v>
      </c>
      <c r="EB226" s="294">
        <v>0.85</v>
      </c>
      <c r="EC226" s="294">
        <v>0.85</v>
      </c>
      <c r="ED226" s="294">
        <v>0.85</v>
      </c>
      <c r="EE226" s="294">
        <v>0.85</v>
      </c>
      <c r="EF226" s="294">
        <v>0.85</v>
      </c>
      <c r="EG226" s="294">
        <v>0.85</v>
      </c>
      <c r="EH226" s="294">
        <v>0.85</v>
      </c>
      <c r="EI226" s="294">
        <v>0.85</v>
      </c>
      <c r="EJ226" s="294">
        <v>0.88</v>
      </c>
      <c r="EK226" s="294">
        <v>0.85</v>
      </c>
      <c r="EL226" s="294">
        <v>0.88</v>
      </c>
      <c r="EM226" s="294">
        <v>0.85</v>
      </c>
      <c r="EN226" s="294">
        <v>0.88</v>
      </c>
      <c r="EO226" s="294">
        <v>0.88</v>
      </c>
      <c r="EP226" s="294">
        <v>0.88</v>
      </c>
      <c r="EQ226" s="294">
        <v>0.88</v>
      </c>
      <c r="ER226" s="294"/>
      <c r="ES226" s="294"/>
      <c r="ET226" s="294"/>
      <c r="EU226" s="294"/>
    </row>
    <row r="227" spans="2:151" ht="12.75" customHeight="1" x14ac:dyDescent="0.2">
      <c r="B227" t="s">
        <v>474</v>
      </c>
      <c r="DS227" s="243">
        <f t="shared" ref="DS227:EQ227" si="995">DS226*DS105</f>
        <v>3689</v>
      </c>
      <c r="DT227" s="243">
        <f t="shared" si="995"/>
        <v>3816.5</v>
      </c>
      <c r="DU227" s="243">
        <f t="shared" si="995"/>
        <v>4384.3</v>
      </c>
      <c r="DV227" s="243">
        <f t="shared" si="995"/>
        <v>5332.9</v>
      </c>
      <c r="DW227" s="243">
        <f t="shared" si="995"/>
        <v>6109.8</v>
      </c>
      <c r="DX227" s="243">
        <f t="shared" si="995"/>
        <v>6541.5999999999995</v>
      </c>
      <c r="DY227" s="243">
        <f t="shared" si="995"/>
        <v>7277.7</v>
      </c>
      <c r="DZ227" s="243">
        <f t="shared" si="995"/>
        <v>9089.9</v>
      </c>
      <c r="EA227" s="243">
        <f t="shared" si="995"/>
        <v>10160.9</v>
      </c>
      <c r="EB227" s="243">
        <f t="shared" si="995"/>
        <v>12623.35</v>
      </c>
      <c r="EC227" s="243">
        <f t="shared" si="995"/>
        <v>14578.35</v>
      </c>
      <c r="ED227" s="243">
        <f t="shared" si="995"/>
        <v>16589.45</v>
      </c>
      <c r="EE227" s="243">
        <f t="shared" si="995"/>
        <v>18808.8</v>
      </c>
      <c r="EF227" s="243">
        <f t="shared" si="995"/>
        <v>18973.7</v>
      </c>
      <c r="EG227" s="243">
        <f t="shared" si="995"/>
        <v>19776.95</v>
      </c>
      <c r="EH227" s="243">
        <f t="shared" si="995"/>
        <v>21136.1</v>
      </c>
      <c r="EI227" s="243">
        <f t="shared" si="995"/>
        <v>20881.95</v>
      </c>
      <c r="EJ227" s="243">
        <f t="shared" si="995"/>
        <v>19817.599999999999</v>
      </c>
      <c r="EK227" s="243">
        <f t="shared" si="995"/>
        <v>18924.399999999998</v>
      </c>
      <c r="EL227" s="243">
        <f t="shared" si="995"/>
        <v>21443.84</v>
      </c>
      <c r="EM227" s="243">
        <f t="shared" si="995"/>
        <v>21992.899999999998</v>
      </c>
      <c r="EN227" s="243">
        <f t="shared" si="995"/>
        <v>24750</v>
      </c>
      <c r="EO227" s="243">
        <f t="shared" si="995"/>
        <v>27612.288</v>
      </c>
      <c r="EP227" s="243">
        <f t="shared" si="995"/>
        <v>27722.490399999999</v>
      </c>
      <c r="EQ227" s="243">
        <f t="shared" si="995"/>
        <v>22149.421975999998</v>
      </c>
      <c r="ER227" s="243"/>
      <c r="ES227" s="243"/>
      <c r="ET227" s="243"/>
      <c r="EU227" s="243"/>
    </row>
    <row r="228" spans="2:151" ht="12.75" customHeight="1" x14ac:dyDescent="0.2">
      <c r="B228" t="s">
        <v>475</v>
      </c>
      <c r="DS228" s="294">
        <v>0.68</v>
      </c>
      <c r="DT228" s="294">
        <v>0.68</v>
      </c>
      <c r="DU228" s="294">
        <v>0.68</v>
      </c>
      <c r="DV228" s="294">
        <v>0.68</v>
      </c>
      <c r="DW228" s="294">
        <v>0.68</v>
      </c>
      <c r="DX228" s="294">
        <v>0.68</v>
      </c>
      <c r="DY228" s="294">
        <v>0.68</v>
      </c>
      <c r="DZ228" s="294">
        <v>0.68</v>
      </c>
      <c r="EA228" s="294">
        <v>0.68</v>
      </c>
      <c r="EB228" s="294">
        <v>0.68</v>
      </c>
      <c r="EC228" s="294">
        <v>0.68</v>
      </c>
      <c r="ED228" s="294">
        <v>0.68</v>
      </c>
      <c r="EE228" s="294">
        <v>0.68</v>
      </c>
      <c r="EF228" s="294">
        <v>0.68</v>
      </c>
      <c r="EG228" s="294">
        <v>0.68</v>
      </c>
      <c r="EH228" s="294">
        <v>0.68</v>
      </c>
      <c r="EI228" s="294">
        <v>0.68</v>
      </c>
      <c r="EJ228" s="294">
        <v>0.69</v>
      </c>
      <c r="EK228" s="294">
        <v>0.69</v>
      </c>
      <c r="EL228" s="294">
        <v>0.69</v>
      </c>
      <c r="EM228" s="294">
        <v>0.66</v>
      </c>
      <c r="EN228" s="294">
        <v>0.69</v>
      </c>
      <c r="EO228" s="294">
        <v>0.69</v>
      </c>
      <c r="EP228" s="294">
        <v>0.69</v>
      </c>
      <c r="EQ228" s="294">
        <v>0.69</v>
      </c>
      <c r="ER228" s="294"/>
      <c r="ES228" s="294"/>
      <c r="ET228" s="294"/>
      <c r="EU228" s="294"/>
    </row>
    <row r="229" spans="2:151" ht="12.75" customHeight="1" x14ac:dyDescent="0.2">
      <c r="B229" t="s">
        <v>476</v>
      </c>
      <c r="DS229" s="243">
        <f t="shared" ref="DS229:EQ229" si="996">DS228*DS112</f>
        <v>3150.44</v>
      </c>
      <c r="DT229" s="243">
        <f t="shared" si="996"/>
        <v>3280.32</v>
      </c>
      <c r="DU229" s="243">
        <f t="shared" si="996"/>
        <v>3621.0000000000005</v>
      </c>
      <c r="DV229" s="243">
        <f t="shared" si="996"/>
        <v>4581.1600000000008</v>
      </c>
      <c r="DW229" s="243">
        <f t="shared" si="996"/>
        <v>5486.2400000000007</v>
      </c>
      <c r="DX229" s="243">
        <f t="shared" si="996"/>
        <v>5735.8</v>
      </c>
      <c r="DY229" s="243">
        <f t="shared" si="996"/>
        <v>5826.92</v>
      </c>
      <c r="DZ229" s="243">
        <f t="shared" si="996"/>
        <v>6740.84</v>
      </c>
      <c r="EA229" s="243">
        <f t="shared" si="996"/>
        <v>6991.0800000000008</v>
      </c>
      <c r="EB229" s="243">
        <f t="shared" si="996"/>
        <v>7609.88</v>
      </c>
      <c r="EC229" s="243">
        <f t="shared" si="996"/>
        <v>8557.8000000000011</v>
      </c>
      <c r="ED229" s="243">
        <f t="shared" si="996"/>
        <v>10141.52</v>
      </c>
      <c r="EE229" s="243">
        <f t="shared" si="996"/>
        <v>11483.160000000002</v>
      </c>
      <c r="EF229" s="243">
        <f t="shared" si="996"/>
        <v>12985.28</v>
      </c>
      <c r="EG229" s="243">
        <f t="shared" si="996"/>
        <v>13792.44</v>
      </c>
      <c r="EH229" s="243">
        <f t="shared" si="996"/>
        <v>14780.480000000001</v>
      </c>
      <c r="EI229" s="243">
        <f t="shared" si="996"/>
        <v>15725.68</v>
      </c>
      <c r="EJ229" s="243">
        <f t="shared" si="996"/>
        <v>16266.06</v>
      </c>
      <c r="EK229" s="243">
        <f t="shared" si="996"/>
        <v>16974.689999999999</v>
      </c>
      <c r="EL229" s="243">
        <f t="shared" si="996"/>
        <v>17787.509999999998</v>
      </c>
      <c r="EM229" s="243">
        <f t="shared" si="996"/>
        <v>18101.16</v>
      </c>
      <c r="EN229" s="243">
        <f t="shared" si="996"/>
        <v>19658.099999999999</v>
      </c>
      <c r="EO229" s="243">
        <f t="shared" si="996"/>
        <v>19926.430649999998</v>
      </c>
      <c r="EP229" s="243">
        <f t="shared" si="996"/>
        <v>20202.036987749998</v>
      </c>
      <c r="EQ229" s="243">
        <f t="shared" si="996"/>
        <v>20485.113759281252</v>
      </c>
      <c r="ER229" s="243"/>
      <c r="ES229" s="243"/>
      <c r="ET229" s="243"/>
      <c r="EU229" s="243"/>
    </row>
    <row r="230" spans="2:151" ht="12.75" customHeight="1" x14ac:dyDescent="0.2">
      <c r="B230" t="s">
        <v>477</v>
      </c>
      <c r="DS230" s="294">
        <v>0.5</v>
      </c>
      <c r="DT230" s="294">
        <v>0.5</v>
      </c>
      <c r="DU230" s="294">
        <v>0.5</v>
      </c>
      <c r="DV230" s="294">
        <v>0.5</v>
      </c>
      <c r="DW230" s="294">
        <v>0.5</v>
      </c>
      <c r="DX230" s="294">
        <v>0.5</v>
      </c>
      <c r="DY230" s="294">
        <v>0.5</v>
      </c>
      <c r="DZ230" s="294">
        <v>0.5</v>
      </c>
      <c r="EA230" s="294">
        <v>0.5</v>
      </c>
      <c r="EB230" s="294">
        <v>0.5</v>
      </c>
      <c r="EC230" s="294">
        <v>0.5</v>
      </c>
      <c r="ED230" s="294">
        <v>0.5</v>
      </c>
      <c r="EE230" s="294">
        <v>0.5</v>
      </c>
      <c r="EF230" s="294">
        <v>0.5</v>
      </c>
      <c r="EG230" s="294">
        <v>0.5</v>
      </c>
      <c r="EH230" s="294">
        <v>0.5</v>
      </c>
      <c r="EI230" s="294">
        <v>0.5</v>
      </c>
      <c r="EJ230" s="294">
        <v>0.52</v>
      </c>
      <c r="EK230" s="294">
        <v>0.51</v>
      </c>
      <c r="EL230" s="294">
        <v>0.52</v>
      </c>
      <c r="EM230" s="294">
        <v>0.53</v>
      </c>
      <c r="EN230" s="294">
        <v>0.52</v>
      </c>
      <c r="EO230" s="294">
        <v>0.52</v>
      </c>
      <c r="EP230" s="294">
        <v>0.52</v>
      </c>
      <c r="EQ230" s="294">
        <v>0.52</v>
      </c>
      <c r="ER230" s="294"/>
      <c r="ES230" s="294"/>
      <c r="ET230" s="294"/>
      <c r="EU230" s="294"/>
    </row>
    <row r="231" spans="2:151" ht="12.75" customHeight="1" x14ac:dyDescent="0.2">
      <c r="B231" t="s">
        <v>478</v>
      </c>
      <c r="DS231" s="243">
        <f t="shared" ref="DS231:EQ231" si="997">DS230*DS119</f>
        <v>2390</v>
      </c>
      <c r="DT231" s="243">
        <f t="shared" si="997"/>
        <v>2412</v>
      </c>
      <c r="DU231" s="243">
        <f t="shared" si="997"/>
        <v>2625.5</v>
      </c>
      <c r="DV231" s="243">
        <f t="shared" si="997"/>
        <v>2915.5</v>
      </c>
      <c r="DW231" s="243">
        <f t="shared" si="997"/>
        <v>3182</v>
      </c>
      <c r="DX231" s="243">
        <f t="shared" si="997"/>
        <v>3249</v>
      </c>
      <c r="DY231" s="243">
        <f t="shared" si="997"/>
        <v>3263</v>
      </c>
      <c r="DZ231" s="243">
        <f t="shared" si="997"/>
        <v>3432</v>
      </c>
      <c r="EA231" s="243">
        <f t="shared" si="997"/>
        <v>3452</v>
      </c>
      <c r="EB231" s="243">
        <f t="shared" si="997"/>
        <v>3481</v>
      </c>
      <c r="EC231" s="243">
        <f t="shared" si="997"/>
        <v>3282</v>
      </c>
      <c r="ED231" s="243">
        <f t="shared" si="997"/>
        <v>3715.5</v>
      </c>
      <c r="EE231" s="243">
        <f t="shared" si="997"/>
        <v>4166.5</v>
      </c>
      <c r="EF231" s="243">
        <f t="shared" si="997"/>
        <v>4548</v>
      </c>
      <c r="EG231" s="243">
        <f t="shared" si="997"/>
        <v>4887</v>
      </c>
      <c r="EH231" s="243">
        <f t="shared" si="997"/>
        <v>7246.5</v>
      </c>
      <c r="EI231" s="243">
        <f t="shared" si="997"/>
        <v>8027</v>
      </c>
      <c r="EJ231" s="243">
        <f t="shared" si="997"/>
        <v>8217.56</v>
      </c>
      <c r="EK231" s="243">
        <f t="shared" si="997"/>
        <v>7440.9000000000005</v>
      </c>
      <c r="EL231" s="243">
        <f t="shared" si="997"/>
        <v>7739.16</v>
      </c>
      <c r="EM231" s="243">
        <f t="shared" si="997"/>
        <v>7656.9100000000008</v>
      </c>
      <c r="EN231" s="243">
        <f t="shared" si="997"/>
        <v>7642.4400000000005</v>
      </c>
      <c r="EO231" s="243">
        <f t="shared" si="997"/>
        <v>7795.2888000000003</v>
      </c>
      <c r="EP231" s="243">
        <f t="shared" si="997"/>
        <v>7951.1945760000008</v>
      </c>
      <c r="EQ231" s="243">
        <f t="shared" si="997"/>
        <v>8110.2184675200015</v>
      </c>
      <c r="ER231" s="243"/>
      <c r="ES231" s="243"/>
      <c r="ET231" s="243"/>
      <c r="EU231" s="243"/>
    </row>
    <row r="232" spans="2:151" ht="12.75" customHeight="1" x14ac:dyDescent="0.2">
      <c r="B232" t="s">
        <v>479</v>
      </c>
      <c r="DS232" s="243">
        <f t="shared" ref="DS232:EP232" si="998">DS231+DS229+DS227</f>
        <v>9229.44</v>
      </c>
      <c r="DT232" s="243">
        <f t="shared" si="998"/>
        <v>9508.82</v>
      </c>
      <c r="DU232" s="243">
        <f t="shared" si="998"/>
        <v>10630.8</v>
      </c>
      <c r="DV232" s="243">
        <f t="shared" si="998"/>
        <v>12829.560000000001</v>
      </c>
      <c r="DW232" s="243">
        <f t="shared" si="998"/>
        <v>14778.04</v>
      </c>
      <c r="DX232" s="243">
        <f t="shared" si="998"/>
        <v>15526.399999999998</v>
      </c>
      <c r="DY232" s="243">
        <f t="shared" si="998"/>
        <v>16367.619999999999</v>
      </c>
      <c r="DZ232" s="243">
        <f t="shared" si="998"/>
        <v>19262.739999999998</v>
      </c>
      <c r="EA232" s="243">
        <f t="shared" si="998"/>
        <v>20603.980000000003</v>
      </c>
      <c r="EB232" s="243">
        <f t="shared" si="998"/>
        <v>23714.230000000003</v>
      </c>
      <c r="EC232" s="243">
        <f t="shared" si="998"/>
        <v>26418.15</v>
      </c>
      <c r="ED232" s="243">
        <f t="shared" si="998"/>
        <v>30446.47</v>
      </c>
      <c r="EE232" s="243">
        <f t="shared" si="998"/>
        <v>34458.46</v>
      </c>
      <c r="EF232" s="243">
        <f t="shared" si="998"/>
        <v>36506.979999999996</v>
      </c>
      <c r="EG232" s="243">
        <f t="shared" si="998"/>
        <v>38456.39</v>
      </c>
      <c r="EH232" s="243">
        <f t="shared" si="998"/>
        <v>43163.08</v>
      </c>
      <c r="EI232" s="243">
        <f>EI231+EI229+EI227</f>
        <v>44634.630000000005</v>
      </c>
      <c r="EJ232" s="243">
        <f>EJ231+EJ229+EJ227</f>
        <v>44301.22</v>
      </c>
      <c r="EK232" s="243">
        <f t="shared" si="998"/>
        <v>43339.99</v>
      </c>
      <c r="EL232" s="243">
        <f t="shared" si="998"/>
        <v>46970.509999999995</v>
      </c>
      <c r="EM232" s="243">
        <f t="shared" si="998"/>
        <v>47750.97</v>
      </c>
      <c r="EN232" s="243">
        <f t="shared" si="998"/>
        <v>52050.54</v>
      </c>
      <c r="EO232" s="243">
        <f t="shared" si="998"/>
        <v>55334.007449999997</v>
      </c>
      <c r="EP232" s="243">
        <f t="shared" si="998"/>
        <v>55875.721963749995</v>
      </c>
      <c r="EQ232" s="243">
        <f>EQ231+EQ229+EQ227</f>
        <v>50744.754202801254</v>
      </c>
      <c r="ER232" s="243"/>
      <c r="ES232" s="243"/>
      <c r="ET232" s="243"/>
      <c r="EU232" s="243"/>
    </row>
    <row r="233" spans="2:151" ht="12.75" customHeight="1" x14ac:dyDescent="0.2">
      <c r="B233" t="s">
        <v>480</v>
      </c>
      <c r="DS233" s="243">
        <f t="shared" ref="DS233:EQ233" si="999">DS65</f>
        <v>9075</v>
      </c>
      <c r="DT233" s="243">
        <f t="shared" si="999"/>
        <v>9347</v>
      </c>
      <c r="DU233" s="243">
        <f t="shared" si="999"/>
        <v>10435</v>
      </c>
      <c r="DV233" s="243">
        <f t="shared" si="999"/>
        <v>12607</v>
      </c>
      <c r="DW233" s="243">
        <f t="shared" si="999"/>
        <v>14602</v>
      </c>
      <c r="DX233" s="243">
        <f t="shared" si="999"/>
        <v>15477</v>
      </c>
      <c r="DY233" s="243">
        <f t="shared" si="999"/>
        <v>16221</v>
      </c>
      <c r="DZ233" s="243">
        <f t="shared" si="999"/>
        <v>19029</v>
      </c>
      <c r="EA233" s="243">
        <f t="shared" si="999"/>
        <v>20278</v>
      </c>
      <c r="EB233" s="243">
        <f t="shared" si="999"/>
        <v>23468</v>
      </c>
      <c r="EC233" s="243">
        <f t="shared" si="999"/>
        <v>26464.9</v>
      </c>
      <c r="ED233" s="243">
        <f t="shared" si="999"/>
        <v>30189.4</v>
      </c>
      <c r="EE233" s="243">
        <f t="shared" si="999"/>
        <v>34695</v>
      </c>
      <c r="EF233" s="243">
        <f t="shared" si="999"/>
        <v>35544</v>
      </c>
      <c r="EG233" s="243">
        <f t="shared" si="999"/>
        <v>38267</v>
      </c>
      <c r="EH233" s="243">
        <f t="shared" si="999"/>
        <v>43344</v>
      </c>
      <c r="EI233" s="243">
        <f t="shared" si="999"/>
        <v>45236</v>
      </c>
      <c r="EJ233" s="243">
        <f t="shared" si="999"/>
        <v>43563</v>
      </c>
      <c r="EK233" s="243">
        <f t="shared" si="999"/>
        <v>42663</v>
      </c>
      <c r="EL233" s="243">
        <f t="shared" si="999"/>
        <v>48029</v>
      </c>
      <c r="EM233" s="243">
        <f t="shared" si="999"/>
        <v>46089</v>
      </c>
      <c r="EN233" s="243">
        <f t="shared" si="999"/>
        <v>48970</v>
      </c>
      <c r="EO233" s="243">
        <f t="shared" si="999"/>
        <v>51920.723249999995</v>
      </c>
      <c r="EP233" s="243">
        <f t="shared" si="999"/>
        <v>52489.613259749996</v>
      </c>
      <c r="EQ233" s="243">
        <f t="shared" si="999"/>
        <v>48613.910215721247</v>
      </c>
      <c r="ER233" s="243"/>
      <c r="ES233" s="243"/>
      <c r="ET233" s="243"/>
      <c r="EU233" s="243"/>
    </row>
    <row r="234" spans="2:151" ht="12.75" customHeight="1" x14ac:dyDescent="0.2">
      <c r="DS234" s="294">
        <f t="shared" ref="DS234:EQ234" si="1000">DS232/DS233-1</f>
        <v>1.7018181818181821E-2</v>
      </c>
      <c r="DT234" s="294">
        <f t="shared" si="1000"/>
        <v>1.7312506686637308E-2</v>
      </c>
      <c r="DU234" s="294">
        <f t="shared" si="1000"/>
        <v>1.8763775754671697E-2</v>
      </c>
      <c r="DV234" s="294">
        <f t="shared" si="1000"/>
        <v>1.7653684461013786E-2</v>
      </c>
      <c r="DW234" s="294">
        <f t="shared" si="1000"/>
        <v>1.205588275578684E-2</v>
      </c>
      <c r="DX234" s="294">
        <f t="shared" si="1000"/>
        <v>3.1918330425790842E-3</v>
      </c>
      <c r="DY234" s="294">
        <f t="shared" si="1000"/>
        <v>9.0389001911101996E-3</v>
      </c>
      <c r="DZ234" s="294">
        <f t="shared" si="1000"/>
        <v>1.2283356981449334E-2</v>
      </c>
      <c r="EA234" s="294">
        <f t="shared" si="1000"/>
        <v>1.6075549856988003E-2</v>
      </c>
      <c r="EB234" s="294">
        <f t="shared" si="1000"/>
        <v>1.0492159536390044E-2</v>
      </c>
      <c r="EC234" s="294">
        <f t="shared" si="1000"/>
        <v>-1.7664907103370764E-3</v>
      </c>
      <c r="ED234" s="294">
        <f t="shared" si="1000"/>
        <v>8.5152404486343869E-3</v>
      </c>
      <c r="EE234" s="294">
        <f t="shared" si="1000"/>
        <v>-6.8176970745064125E-3</v>
      </c>
      <c r="EF234" s="294">
        <f t="shared" si="1000"/>
        <v>2.7092617600720015E-2</v>
      </c>
      <c r="EG234" s="294">
        <f t="shared" si="1000"/>
        <v>4.9491729166122322E-3</v>
      </c>
      <c r="EH234" s="294">
        <f t="shared" si="1000"/>
        <v>-4.1740494647470872E-3</v>
      </c>
      <c r="EI234" s="294">
        <f>EI232/EI233-1</f>
        <v>-1.3294057830046779E-2</v>
      </c>
      <c r="EJ234" s="294">
        <f t="shared" si="1000"/>
        <v>1.694603218327484E-2</v>
      </c>
      <c r="EK234" s="294">
        <f t="shared" si="1000"/>
        <v>1.5868316808475669E-2</v>
      </c>
      <c r="EL234" s="294">
        <f t="shared" si="1000"/>
        <v>-2.2038560036644617E-2</v>
      </c>
      <c r="EM234" s="294">
        <f t="shared" si="1000"/>
        <v>3.6060014320119738E-2</v>
      </c>
      <c r="EN234" s="294">
        <f t="shared" si="1000"/>
        <v>6.2906677557688306E-2</v>
      </c>
      <c r="EO234" s="294">
        <f t="shared" si="1000"/>
        <v>6.5740305341374539E-2</v>
      </c>
      <c r="EP234" s="294">
        <f t="shared" si="1000"/>
        <v>6.4510071492497101E-2</v>
      </c>
      <c r="EQ234" s="294">
        <f t="shared" si="1000"/>
        <v>4.3831980962331984E-2</v>
      </c>
      <c r="ER234" s="294"/>
      <c r="ES234" s="294"/>
      <c r="ET234" s="294"/>
      <c r="EU234" s="294"/>
    </row>
    <row r="236" spans="2:151" ht="12.75" customHeight="1" x14ac:dyDescent="0.2">
      <c r="DQ236" s="294">
        <f>DQ238/DP238-1</f>
        <v>0.25562659846547309</v>
      </c>
      <c r="DR236" s="294">
        <f>DR238/DQ238-1</f>
        <v>0.42657093390365608</v>
      </c>
      <c r="DS236" s="294">
        <f t="shared" ref="DS236:EK236" si="1001">DS238/DR238-1</f>
        <v>0.10113332143494569</v>
      </c>
      <c r="DT236" s="294">
        <f t="shared" si="1001"/>
        <v>-0.14917377809113974</v>
      </c>
      <c r="DU236" s="294">
        <f t="shared" si="1001"/>
        <v>9.9994284952279466E-2</v>
      </c>
      <c r="DV236" s="294">
        <f t="shared" si="1001"/>
        <v>0.48981677115444544</v>
      </c>
      <c r="DW236" s="294">
        <f t="shared" si="1001"/>
        <v>0.41138041267073544</v>
      </c>
      <c r="DX236" s="294">
        <f t="shared" si="1001"/>
        <v>0.22817796959164505</v>
      </c>
      <c r="DY236" s="294">
        <f t="shared" si="1001"/>
        <v>0.25775560294531852</v>
      </c>
      <c r="DZ236" s="294">
        <f t="shared" si="1001"/>
        <v>0.25347366625078638</v>
      </c>
      <c r="EA236" s="294">
        <f t="shared" si="1001"/>
        <v>-5.0775434507048245E-2</v>
      </c>
      <c r="EB236" s="294">
        <f t="shared" si="1001"/>
        <v>0.16366952414667701</v>
      </c>
      <c r="EC236" s="294">
        <f t="shared" si="1001"/>
        <v>0.10976544298581725</v>
      </c>
      <c r="ED236" s="294">
        <f t="shared" si="1001"/>
        <v>-8.7398719572496786E-2</v>
      </c>
      <c r="EE236" s="294">
        <f t="shared" si="1001"/>
        <v>6.251758568506216E-2</v>
      </c>
      <c r="EF236" s="294">
        <f t="shared" si="1001"/>
        <v>0.15754186945319226</v>
      </c>
      <c r="EG236" s="294">
        <f t="shared" si="1001"/>
        <v>-3.8345903015332472E-2</v>
      </c>
      <c r="EH236" s="294">
        <f t="shared" si="1001"/>
        <v>2.8381984183115661E-2</v>
      </c>
      <c r="EI236" s="294">
        <f t="shared" si="1001"/>
        <v>1.4634786808528588E-2</v>
      </c>
      <c r="EJ236" s="294">
        <f t="shared" si="1001"/>
        <v>-0.10975444434174453</v>
      </c>
      <c r="EK236" s="294">
        <f t="shared" si="1001"/>
        <v>0.10686215811204125</v>
      </c>
      <c r="EL236" s="294">
        <f>RATE(20,0,DP238,-EK238)</f>
        <v>0.12326505798646253</v>
      </c>
    </row>
    <row r="237" spans="2:151" ht="12.75" customHeight="1" x14ac:dyDescent="0.2">
      <c r="B237" t="s">
        <v>1394</v>
      </c>
      <c r="DP237" s="283">
        <v>5.2266000000000004</v>
      </c>
      <c r="DQ237" s="283">
        <v>6.5</v>
      </c>
      <c r="DR237" s="283">
        <v>8.2030999999999992</v>
      </c>
      <c r="DS237" s="283">
        <v>10.7813</v>
      </c>
      <c r="DT237" s="283">
        <v>8.9062999999999999</v>
      </c>
      <c r="DU237" s="283">
        <v>9.1875</v>
      </c>
      <c r="DV237" s="283">
        <v>13.4375</v>
      </c>
      <c r="DW237" s="283">
        <v>20.9375</v>
      </c>
      <c r="DX237" s="283">
        <v>24.875</v>
      </c>
      <c r="DY237" s="283">
        <v>32</v>
      </c>
      <c r="DZ237" s="283">
        <v>39.031300000000002</v>
      </c>
      <c r="EA237" s="283">
        <v>34.25</v>
      </c>
      <c r="EB237" s="283">
        <v>41.625</v>
      </c>
      <c r="EC237" s="283">
        <v>41.85</v>
      </c>
      <c r="ED237" s="283">
        <v>48.73</v>
      </c>
      <c r="EE237" s="283">
        <v>49.5</v>
      </c>
      <c r="EF237" s="283">
        <v>60.04</v>
      </c>
      <c r="EG237" s="283">
        <v>56.8</v>
      </c>
      <c r="EH237" s="283">
        <v>59.77</v>
      </c>
      <c r="EI237" s="283">
        <v>55.33</v>
      </c>
      <c r="EJ237" s="283">
        <v>46.6</v>
      </c>
      <c r="EK237" s="283">
        <v>58.3</v>
      </c>
    </row>
    <row r="238" spans="2:151" ht="12.75" customHeight="1" x14ac:dyDescent="0.2">
      <c r="B238" t="s">
        <v>481</v>
      </c>
      <c r="DP238" s="283">
        <v>6.2560000000000002</v>
      </c>
      <c r="DQ238" s="283">
        <v>7.8552</v>
      </c>
      <c r="DR238" s="283">
        <v>11.206</v>
      </c>
      <c r="DS238" s="283">
        <v>12.3393</v>
      </c>
      <c r="DT238" s="283">
        <v>10.4986</v>
      </c>
      <c r="DU238" s="283">
        <v>11.548400000000001</v>
      </c>
      <c r="DV238" s="283">
        <v>17.204999999999998</v>
      </c>
      <c r="DW238" s="283">
        <v>24.282800000000002</v>
      </c>
      <c r="DX238" s="283">
        <v>29.823599999999999</v>
      </c>
      <c r="DY238" s="283">
        <v>37.510800000000003</v>
      </c>
      <c r="DZ238" s="283">
        <v>47.018799999999999</v>
      </c>
      <c r="EA238" s="283">
        <v>44.631399999999999</v>
      </c>
      <c r="EB238" s="283">
        <v>51.936199999999999</v>
      </c>
      <c r="EC238" s="283">
        <v>57.637</v>
      </c>
      <c r="ED238" s="283">
        <v>52.599600000000002</v>
      </c>
      <c r="EE238" s="283">
        <v>55.887999999999998</v>
      </c>
      <c r="EF238" s="283">
        <v>64.692700000000002</v>
      </c>
      <c r="EG238" s="283">
        <v>62.212000000000003</v>
      </c>
      <c r="EH238" s="283">
        <v>63.977699999999999</v>
      </c>
      <c r="EI238" s="283">
        <v>64.914000000000001</v>
      </c>
      <c r="EJ238" s="283">
        <v>57.789400000000001</v>
      </c>
      <c r="EK238" s="283">
        <v>63.9649</v>
      </c>
    </row>
    <row r="239" spans="2:151" ht="12.75" customHeight="1" x14ac:dyDescent="0.2">
      <c r="B239" t="s">
        <v>262</v>
      </c>
      <c r="DP239" s="243">
        <f t="shared" ref="DP239:EK239" si="1002">DP238*DP76</f>
        <v>16670.988800000003</v>
      </c>
      <c r="DQ239" s="243">
        <f t="shared" si="1002"/>
        <v>20772.29088</v>
      </c>
      <c r="DR239" s="243">
        <f t="shared" si="1002"/>
        <v>34395.965343999997</v>
      </c>
      <c r="DS239" s="243">
        <f t="shared" si="1002"/>
        <v>37875.0371352</v>
      </c>
      <c r="DT239" s="243">
        <f t="shared" si="1002"/>
        <v>32225.326716799998</v>
      </c>
      <c r="DU239" s="243">
        <f t="shared" si="1002"/>
        <v>35448.506703999999</v>
      </c>
      <c r="DV239" s="243">
        <f t="shared" si="1002"/>
        <v>52813.293839999998</v>
      </c>
      <c r="DW239" s="243">
        <f t="shared" si="1002"/>
        <v>74539.648454400012</v>
      </c>
      <c r="DX239" s="243">
        <f t="shared" si="1002"/>
        <v>91547.954092800006</v>
      </c>
      <c r="DY239" s="243">
        <f t="shared" si="1002"/>
        <v>115144.95219840002</v>
      </c>
      <c r="DZ239" s="243">
        <f t="shared" si="1002"/>
        <v>144339.8168416</v>
      </c>
      <c r="EA239" s="243">
        <f t="shared" si="1002"/>
        <v>137011.3462388</v>
      </c>
      <c r="EB239" s="243">
        <f t="shared" si="1002"/>
        <v>162032.73808040001</v>
      </c>
      <c r="EC239" s="243">
        <f t="shared" si="1002"/>
        <v>171083.618915</v>
      </c>
      <c r="ED239" s="243">
        <f t="shared" si="1002"/>
        <v>156114.1926108</v>
      </c>
      <c r="EE239" s="243">
        <f t="shared" si="1002"/>
        <v>166044.53342399999</v>
      </c>
      <c r="EF239" s="243">
        <f t="shared" si="1002"/>
        <v>192427.01291060002</v>
      </c>
      <c r="EG239" s="243">
        <f t="shared" si="1002"/>
        <v>184209.73200000002</v>
      </c>
      <c r="EH239" s="243">
        <f t="shared" si="1002"/>
        <v>186317.45738250003</v>
      </c>
      <c r="EI239" s="243">
        <f t="shared" si="1002"/>
        <v>184096.10400000002</v>
      </c>
      <c r="EJ239" s="243">
        <f t="shared" si="1002"/>
        <v>161251.207555</v>
      </c>
      <c r="EK239" s="243">
        <f t="shared" si="1002"/>
        <v>178482.85959250003</v>
      </c>
    </row>
    <row r="240" spans="2:151" ht="12.75" customHeight="1" x14ac:dyDescent="0.2">
      <c r="B240" t="s">
        <v>1395</v>
      </c>
      <c r="DP240" s="304">
        <f t="shared" ref="DP240:EK240" si="1003">DP237/DP75</f>
        <v>12.872313937153422</v>
      </c>
      <c r="DQ240" s="304">
        <f t="shared" si="1003"/>
        <v>13.783961507618285</v>
      </c>
      <c r="DR240" s="304">
        <f t="shared" si="1003"/>
        <v>17.233943883915124</v>
      </c>
      <c r="DS240" s="304">
        <f t="shared" si="1003"/>
        <v>20.364807521969229</v>
      </c>
      <c r="DT240" s="304">
        <f t="shared" si="1003"/>
        <v>15.298142682932287</v>
      </c>
      <c r="DU240" s="304">
        <f t="shared" si="1003"/>
        <v>14.058615403788634</v>
      </c>
      <c r="DV240" s="304">
        <f t="shared" si="1003"/>
        <v>17.165374531835209</v>
      </c>
      <c r="DW240" s="304">
        <f t="shared" si="1003"/>
        <v>22.262125043297541</v>
      </c>
      <c r="DX240" s="304">
        <f t="shared" si="1003"/>
        <v>23.117618528610354</v>
      </c>
      <c r="DY240" s="304">
        <f t="shared" si="1003"/>
        <v>25.607074035453596</v>
      </c>
      <c r="DZ240" s="304">
        <f t="shared" si="1003"/>
        <v>28.754387746964241</v>
      </c>
      <c r="EA240" s="304">
        <f t="shared" si="1003"/>
        <v>21.809186579547813</v>
      </c>
      <c r="EB240" s="304">
        <f t="shared" si="1003"/>
        <v>22.494963320630522</v>
      </c>
      <c r="EC240" s="304">
        <f t="shared" si="1003"/>
        <v>16.409005537998198</v>
      </c>
      <c r="ED240" s="304">
        <f t="shared" si="1003"/>
        <v>16.781458773090129</v>
      </c>
      <c r="EE240" s="304">
        <f t="shared" si="1003"/>
        <v>15.820313952237523</v>
      </c>
      <c r="EF240" s="304">
        <f t="shared" si="1003"/>
        <v>18.303541982166649</v>
      </c>
      <c r="EG240" s="304">
        <f t="shared" si="1003"/>
        <v>15.106871463217461</v>
      </c>
      <c r="EH240" s="304">
        <f t="shared" si="1003"/>
        <v>14.207609394682637</v>
      </c>
      <c r="EI240" s="304">
        <f t="shared" si="1003"/>
        <v>12.163078831098366</v>
      </c>
      <c r="EJ240" s="304">
        <f t="shared" si="1003"/>
        <v>7.7497478916470488</v>
      </c>
      <c r="EK240" s="304">
        <f t="shared" si="1003"/>
        <v>12.373617365178369</v>
      </c>
    </row>
    <row r="241" spans="2:141" ht="12.75" customHeight="1" x14ac:dyDescent="0.2">
      <c r="B241" t="s">
        <v>1396</v>
      </c>
      <c r="DP241" s="304">
        <f t="shared" ref="DP241:EK241" si="1004">DP239/DP74</f>
        <v>15.407568207024033</v>
      </c>
      <c r="DQ241" s="304">
        <f t="shared" si="1004"/>
        <v>16.65781145148356</v>
      </c>
      <c r="DR241" s="304">
        <f t="shared" si="1004"/>
        <v>23.542755197809718</v>
      </c>
      <c r="DS241" s="304">
        <f t="shared" si="1004"/>
        <v>23.307715160123077</v>
      </c>
      <c r="DT241" s="304">
        <f t="shared" si="1004"/>
        <v>18.033199058086176</v>
      </c>
      <c r="DU241" s="304">
        <f t="shared" si="1004"/>
        <v>17.671239633100697</v>
      </c>
      <c r="DV241" s="304">
        <f t="shared" si="1004"/>
        <v>21.978066516853932</v>
      </c>
      <c r="DW241" s="304">
        <f t="shared" si="1004"/>
        <v>25.819067701558716</v>
      </c>
      <c r="DX241" s="304">
        <f t="shared" si="1004"/>
        <v>27.716607354768396</v>
      </c>
      <c r="DY241" s="304">
        <f t="shared" si="1004"/>
        <v>30.016932272784153</v>
      </c>
      <c r="DZ241" s="304">
        <f t="shared" si="1004"/>
        <v>34.638784939188866</v>
      </c>
      <c r="EA241" s="304">
        <f t="shared" si="1004"/>
        <v>28.419694303837378</v>
      </c>
      <c r="EB241" s="304">
        <f t="shared" si="1004"/>
        <v>28.067337273583927</v>
      </c>
      <c r="EC241" s="304">
        <f t="shared" si="1004"/>
        <v>22.598945094231826</v>
      </c>
      <c r="ED241" s="304">
        <f t="shared" si="1004"/>
        <v>18.114057436507935</v>
      </c>
      <c r="EE241" s="304">
        <f t="shared" si="1004"/>
        <v>17.861933457831324</v>
      </c>
      <c r="EF241" s="304">
        <f t="shared" si="1004"/>
        <v>19.721944543466233</v>
      </c>
      <c r="EG241" s="304">
        <f t="shared" si="1004"/>
        <v>16.546279708973323</v>
      </c>
      <c r="EH241" s="304">
        <f t="shared" si="1004"/>
        <v>15.207799423961642</v>
      </c>
      <c r="EI241" s="304">
        <f t="shared" si="1004"/>
        <v>14.269909619409349</v>
      </c>
      <c r="EJ241" s="304">
        <f t="shared" si="1004"/>
        <v>9.6105854250975948</v>
      </c>
      <c r="EK241" s="304">
        <f t="shared" si="1004"/>
        <v>13.575938205864459</v>
      </c>
    </row>
    <row r="242" spans="2:141" ht="12.75" customHeight="1" x14ac:dyDescent="0.2">
      <c r="DP242" s="304"/>
      <c r="DQ242" s="304"/>
      <c r="DR242" s="304"/>
    </row>
    <row r="243" spans="2:141" ht="12.75" customHeight="1" x14ac:dyDescent="0.2">
      <c r="B243" t="s">
        <v>482</v>
      </c>
    </row>
    <row r="244" spans="2:141" ht="12.75" customHeight="1" x14ac:dyDescent="0.2">
      <c r="B244" t="s">
        <v>483</v>
      </c>
    </row>
    <row r="245" spans="2:141" ht="12.75" customHeight="1" x14ac:dyDescent="0.2">
      <c r="B245" t="s">
        <v>484</v>
      </c>
    </row>
    <row r="247" spans="2:141" ht="12.75" customHeight="1" x14ac:dyDescent="0.2">
      <c r="B247" t="s">
        <v>1046</v>
      </c>
      <c r="G247" s="247">
        <f>K247/1.35</f>
        <v>1220</v>
      </c>
      <c r="H247" s="247">
        <f>L247/1.47</f>
        <v>1256.4625850340137</v>
      </c>
      <c r="I247" s="247">
        <f>M247/1.53</f>
        <v>1232.2875816993464</v>
      </c>
      <c r="J247" s="247">
        <f>N247/1.21</f>
        <v>1301.9834710743803</v>
      </c>
      <c r="K247" s="247">
        <v>1647</v>
      </c>
      <c r="L247" s="247">
        <v>1847</v>
      </c>
      <c r="M247" s="247">
        <v>1885.4</v>
      </c>
      <c r="N247" s="247">
        <v>1575.4</v>
      </c>
      <c r="O247" s="247">
        <v>2070</v>
      </c>
      <c r="P247" s="247">
        <v>2283</v>
      </c>
      <c r="Q247" s="247">
        <v>2134</v>
      </c>
      <c r="R247" s="247">
        <v>1957.5</v>
      </c>
      <c r="S247" s="247">
        <v>2356</v>
      </c>
      <c r="T247" s="247">
        <v>2722</v>
      </c>
      <c r="U247" s="247">
        <v>2511</v>
      </c>
      <c r="V247" s="247">
        <v>2651</v>
      </c>
      <c r="W247" s="247">
        <v>2958</v>
      </c>
      <c r="X247" s="247">
        <v>2934</v>
      </c>
      <c r="Y247" s="247">
        <v>2939</v>
      </c>
      <c r="Z247" s="247">
        <v>3088</v>
      </c>
      <c r="AA247" s="247">
        <v>3263</v>
      </c>
      <c r="AB247" s="247">
        <v>3278</v>
      </c>
      <c r="AC247" s="247">
        <v>3284.6990821500003</v>
      </c>
      <c r="AD247" s="247">
        <v>3445.9594690500003</v>
      </c>
      <c r="AE247" s="247">
        <v>3643</v>
      </c>
      <c r="AF247" s="247">
        <v>3642.9836656400007</v>
      </c>
      <c r="AG247" s="247">
        <v>3694</v>
      </c>
      <c r="AH247" s="247">
        <v>3980</v>
      </c>
      <c r="AI247" s="247">
        <v>3783</v>
      </c>
      <c r="AJ247" s="247">
        <v>3594.5647360624998</v>
      </c>
      <c r="AK247" s="247">
        <v>3526.6955764586251</v>
      </c>
      <c r="AL247" s="247">
        <v>3573.027514656625</v>
      </c>
      <c r="AM247" s="247">
        <v>3701</v>
      </c>
      <c r="AN247" s="247">
        <v>3682</v>
      </c>
      <c r="AU247" s="247">
        <v>4070</v>
      </c>
      <c r="AV247" s="247">
        <v>3793</v>
      </c>
      <c r="AY247" s="247">
        <v>3674</v>
      </c>
      <c r="AZ247" s="247">
        <v>3172</v>
      </c>
      <c r="DY247" s="247">
        <v>6106</v>
      </c>
      <c r="DZ247" s="247">
        <v>6955</v>
      </c>
      <c r="EA247" s="247">
        <v>8445</v>
      </c>
      <c r="EB247" s="247">
        <v>10240</v>
      </c>
      <c r="EC247" s="247">
        <v>11919</v>
      </c>
      <c r="ED247" s="247">
        <v>13272</v>
      </c>
      <c r="EE247" s="247">
        <v>14960</v>
      </c>
      <c r="EF247" s="247">
        <v>14477</v>
      </c>
    </row>
    <row r="248" spans="2:141" ht="12.75" customHeight="1" x14ac:dyDescent="0.2">
      <c r="B248" t="s">
        <v>1047</v>
      </c>
      <c r="G248" s="247">
        <f>K248/1.13</f>
        <v>929.2035398230089</v>
      </c>
      <c r="H248" s="247">
        <f>L248/1.12</f>
        <v>991.07142857142844</v>
      </c>
      <c r="I248" s="247">
        <f>M248/1.1</f>
        <v>955.45454545454538</v>
      </c>
      <c r="J248" s="247">
        <f>N248/1.05</f>
        <v>1013.3333333333333</v>
      </c>
      <c r="K248" s="247">
        <v>1050</v>
      </c>
      <c r="L248" s="247">
        <v>1110</v>
      </c>
      <c r="M248" s="247">
        <v>1051</v>
      </c>
      <c r="N248" s="247">
        <v>1064</v>
      </c>
      <c r="O248" s="247">
        <v>1093</v>
      </c>
      <c r="P248" s="247">
        <v>1100</v>
      </c>
      <c r="Q248" s="247">
        <v>1034</v>
      </c>
      <c r="R248" s="247">
        <v>989.5</v>
      </c>
      <c r="S248" s="247">
        <v>1133</v>
      </c>
      <c r="T248" s="247">
        <v>1142</v>
      </c>
      <c r="U248" s="247">
        <v>1166</v>
      </c>
      <c r="V248" s="247">
        <v>1169</v>
      </c>
      <c r="W248" s="247">
        <v>1223</v>
      </c>
      <c r="X248" s="247">
        <v>1324</v>
      </c>
      <c r="Y248" s="247">
        <v>1338</v>
      </c>
      <c r="Z248" s="247">
        <v>1347</v>
      </c>
      <c r="AA248" s="247">
        <v>1403</v>
      </c>
      <c r="AB248" s="247">
        <v>1606</v>
      </c>
      <c r="AC248" s="247">
        <v>1548.85</v>
      </c>
      <c r="AD248" s="247">
        <v>1686.4</v>
      </c>
      <c r="AE248" s="247">
        <v>1733</v>
      </c>
      <c r="AF248" s="247">
        <v>1784</v>
      </c>
      <c r="AG248" s="247">
        <v>1791</v>
      </c>
      <c r="AH248" s="247">
        <v>1860</v>
      </c>
      <c r="AI248" s="247">
        <v>1972</v>
      </c>
      <c r="AJ248" s="247">
        <v>2033</v>
      </c>
      <c r="AK248" s="247">
        <v>1930</v>
      </c>
      <c r="AL248" s="247">
        <v>1909</v>
      </c>
      <c r="AM248" s="247">
        <v>1925</v>
      </c>
      <c r="AN248" s="247">
        <v>2128</v>
      </c>
      <c r="AU248" s="247">
        <v>2359</v>
      </c>
      <c r="AV248" s="247">
        <v>2547</v>
      </c>
      <c r="AY248" s="247">
        <v>2106</v>
      </c>
      <c r="AZ248" s="247">
        <v>2326</v>
      </c>
      <c r="DY248" s="247">
        <v>3886</v>
      </c>
      <c r="DZ248" s="247">
        <v>4275</v>
      </c>
      <c r="EA248" s="247">
        <v>4217</v>
      </c>
      <c r="EB248" s="247">
        <v>4611</v>
      </c>
      <c r="EC248" s="247">
        <v>5232</v>
      </c>
      <c r="ED248" s="247">
        <v>6244</v>
      </c>
      <c r="EE248" s="247">
        <v>7168</v>
      </c>
      <c r="EF248" s="247">
        <v>7844</v>
      </c>
    </row>
    <row r="249" spans="2:141" ht="12.75" customHeight="1" x14ac:dyDescent="0.2">
      <c r="B249" t="s">
        <v>1048</v>
      </c>
      <c r="G249" s="247">
        <f>G248+G247</f>
        <v>2149.2035398230091</v>
      </c>
      <c r="H249" s="247">
        <f>H248+H247</f>
        <v>2247.5340136054419</v>
      </c>
      <c r="I249" s="247">
        <f>I248+I247</f>
        <v>2187.7421271538919</v>
      </c>
      <c r="J249" s="247">
        <f>J248+J247</f>
        <v>2315.3168044077138</v>
      </c>
      <c r="K249" s="247">
        <v>2697</v>
      </c>
      <c r="L249" s="247">
        <v>2957</v>
      </c>
      <c r="M249" s="247">
        <v>2936.4</v>
      </c>
      <c r="N249" s="247">
        <v>2639.4</v>
      </c>
      <c r="O249" s="247">
        <v>3163</v>
      </c>
      <c r="P249" s="247">
        <v>3383</v>
      </c>
      <c r="Q249" s="247">
        <v>3168</v>
      </c>
      <c r="R249" s="247">
        <v>2947</v>
      </c>
      <c r="S249" s="247">
        <f t="shared" ref="S249:AN249" si="1005">S105</f>
        <v>3489</v>
      </c>
      <c r="T249" s="247">
        <f t="shared" si="1005"/>
        <v>3864.4</v>
      </c>
      <c r="U249" s="247">
        <f t="shared" si="1005"/>
        <v>3677.4</v>
      </c>
      <c r="V249" s="247">
        <f t="shared" si="1005"/>
        <v>3820</v>
      </c>
      <c r="W249" s="247">
        <f t="shared" si="1005"/>
        <v>4181</v>
      </c>
      <c r="X249" s="247">
        <f t="shared" si="1005"/>
        <v>4258</v>
      </c>
      <c r="Y249" s="247">
        <f t="shared" si="1005"/>
        <v>4277</v>
      </c>
      <c r="Z249" s="247">
        <f t="shared" si="1005"/>
        <v>4435</v>
      </c>
      <c r="AA249" s="247">
        <f t="shared" si="1005"/>
        <v>4666</v>
      </c>
      <c r="AB249" s="247">
        <f t="shared" si="1005"/>
        <v>4884</v>
      </c>
      <c r="AC249" s="247">
        <f t="shared" si="1005"/>
        <v>4835</v>
      </c>
      <c r="AD249" s="247">
        <f t="shared" si="1005"/>
        <v>5134</v>
      </c>
      <c r="AE249" s="247">
        <f t="shared" si="1005"/>
        <v>5376</v>
      </c>
      <c r="AF249" s="247">
        <f t="shared" si="1005"/>
        <v>5296</v>
      </c>
      <c r="AG249" s="247">
        <f t="shared" si="1005"/>
        <v>4940</v>
      </c>
      <c r="AH249" s="247">
        <f t="shared" si="1005"/>
        <v>5242</v>
      </c>
      <c r="AI249" s="247">
        <f t="shared" si="1005"/>
        <v>5178</v>
      </c>
      <c r="AJ249" s="247">
        <f t="shared" si="1005"/>
        <v>4986</v>
      </c>
      <c r="AK249" s="247">
        <f t="shared" si="1005"/>
        <v>4833</v>
      </c>
      <c r="AL249" s="247">
        <f t="shared" si="1005"/>
        <v>4790</v>
      </c>
      <c r="AM249" s="247">
        <f t="shared" si="1005"/>
        <v>5626</v>
      </c>
      <c r="AN249" s="247">
        <f t="shared" si="1005"/>
        <v>5810</v>
      </c>
      <c r="AU249" s="247">
        <f>AU105</f>
        <v>6363</v>
      </c>
      <c r="AV249" s="247">
        <f>AV105</f>
        <v>6340</v>
      </c>
      <c r="AY249" s="247">
        <f>AY105</f>
        <v>5780</v>
      </c>
      <c r="AZ249" s="247">
        <f>AZ105</f>
        <v>5498</v>
      </c>
      <c r="DY249" s="243">
        <f t="shared" ref="DY249:EF249" si="1006">DY248+DY247</f>
        <v>9992</v>
      </c>
      <c r="DZ249" s="247">
        <f t="shared" si="1006"/>
        <v>11230</v>
      </c>
      <c r="EA249" s="247">
        <f t="shared" si="1006"/>
        <v>12662</v>
      </c>
      <c r="EB249" s="247">
        <f t="shared" si="1006"/>
        <v>14851</v>
      </c>
      <c r="EC249" s="247">
        <f t="shared" si="1006"/>
        <v>17151</v>
      </c>
      <c r="ED249" s="247">
        <f t="shared" si="1006"/>
        <v>19516</v>
      </c>
      <c r="EE249" s="247">
        <f t="shared" si="1006"/>
        <v>22128</v>
      </c>
      <c r="EF249" s="247">
        <f t="shared" si="1006"/>
        <v>22321</v>
      </c>
    </row>
    <row r="250" spans="2:141" ht="12.75" customHeight="1" x14ac:dyDescent="0.2">
      <c r="B250" t="s">
        <v>1049</v>
      </c>
      <c r="K250" s="247">
        <v>1289</v>
      </c>
      <c r="L250" s="247">
        <v>1315</v>
      </c>
      <c r="M250" s="247">
        <v>1331</v>
      </c>
      <c r="N250" s="247">
        <v>1361</v>
      </c>
      <c r="O250" s="247">
        <v>1311</v>
      </c>
      <c r="P250" s="247">
        <v>1360</v>
      </c>
      <c r="Q250" s="247">
        <v>1390</v>
      </c>
      <c r="R250" s="247">
        <v>1445</v>
      </c>
      <c r="S250" s="247">
        <v>1463.2</v>
      </c>
      <c r="T250" s="247">
        <v>1530</v>
      </c>
      <c r="U250" s="247">
        <v>1569</v>
      </c>
      <c r="V250" s="247">
        <v>1574</v>
      </c>
      <c r="W250" s="247">
        <v>1663</v>
      </c>
      <c r="X250" s="247">
        <v>1758</v>
      </c>
      <c r="Y250" s="247">
        <v>1740</v>
      </c>
      <c r="Z250" s="247">
        <v>1770</v>
      </c>
      <c r="AA250" s="247">
        <v>1747.6</v>
      </c>
      <c r="AB250" s="247">
        <v>1903</v>
      </c>
      <c r="AC250" s="247">
        <v>2145.4</v>
      </c>
      <c r="AD250" s="247">
        <v>2237</v>
      </c>
      <c r="AE250" s="247">
        <v>2194</v>
      </c>
      <c r="AF250" s="247">
        <v>2037.9</v>
      </c>
      <c r="AG250" s="247">
        <v>2073</v>
      </c>
      <c r="AH250" s="247">
        <v>2280</v>
      </c>
      <c r="AI250" s="247">
        <v>2361</v>
      </c>
      <c r="AJ250" s="247">
        <v>2378</v>
      </c>
      <c r="AK250" s="247">
        <v>2365</v>
      </c>
      <c r="AL250" s="247">
        <v>2390</v>
      </c>
      <c r="AM250" s="247">
        <v>2520</v>
      </c>
      <c r="AN250" s="247">
        <v>2590</v>
      </c>
      <c r="AU250" s="247">
        <v>2588</v>
      </c>
      <c r="AV250" s="247">
        <v>2723</v>
      </c>
      <c r="AY250" s="247">
        <v>2652</v>
      </c>
      <c r="AZ250" s="247">
        <v>2776</v>
      </c>
      <c r="DZ250" s="247">
        <v>5296</v>
      </c>
      <c r="EA250" s="247">
        <v>5506</v>
      </c>
      <c r="EB250" s="247">
        <v>6136</v>
      </c>
      <c r="EC250" s="247">
        <v>6931</v>
      </c>
      <c r="ED250" s="247">
        <v>8033</v>
      </c>
      <c r="EE250" s="247">
        <v>8585</v>
      </c>
      <c r="EF250" s="247">
        <v>9494</v>
      </c>
    </row>
    <row r="251" spans="2:141" ht="12.75" customHeight="1" x14ac:dyDescent="0.2">
      <c r="B251" t="s">
        <v>1050</v>
      </c>
      <c r="K251" s="247">
        <v>1145</v>
      </c>
      <c r="L251" s="247">
        <v>1140</v>
      </c>
      <c r="M251" s="247">
        <v>1114</v>
      </c>
      <c r="N251" s="247">
        <v>1220</v>
      </c>
      <c r="O251" s="247">
        <v>1214</v>
      </c>
      <c r="P251" s="247">
        <v>1220</v>
      </c>
      <c r="Q251" s="247">
        <v>1158</v>
      </c>
      <c r="R251" s="247">
        <v>1183</v>
      </c>
      <c r="S251" s="247">
        <v>1272</v>
      </c>
      <c r="T251" s="247">
        <v>1255</v>
      </c>
      <c r="U251" s="247">
        <v>1202</v>
      </c>
      <c r="V251" s="247">
        <v>1281</v>
      </c>
      <c r="W251" s="247">
        <v>1295</v>
      </c>
      <c r="X251" s="247">
        <v>1408</v>
      </c>
      <c r="Y251" s="247">
        <v>1401</v>
      </c>
      <c r="Z251" s="247">
        <v>1548</v>
      </c>
      <c r="AA251" s="247">
        <v>1615.6</v>
      </c>
      <c r="AB251" s="247">
        <v>1726</v>
      </c>
      <c r="AC251" s="247">
        <v>1634</v>
      </c>
      <c r="AD251" s="247">
        <v>1904</v>
      </c>
      <c r="AE251" s="247">
        <v>1942</v>
      </c>
      <c r="AF251" s="247">
        <v>2019.4</v>
      </c>
      <c r="AG251" s="247">
        <v>1971</v>
      </c>
      <c r="AH251" s="247">
        <v>2370</v>
      </c>
      <c r="AI251" s="247">
        <v>2436</v>
      </c>
      <c r="AJ251" s="247">
        <v>2478</v>
      </c>
      <c r="AK251" s="247">
        <v>2257</v>
      </c>
      <c r="AL251" s="247">
        <v>2431</v>
      </c>
      <c r="AM251" s="247">
        <v>2491</v>
      </c>
      <c r="AN251" s="247">
        <v>2565</v>
      </c>
      <c r="AU251" s="247">
        <v>3113</v>
      </c>
      <c r="AV251" s="247">
        <v>3351</v>
      </c>
      <c r="AY251" s="247">
        <v>2883</v>
      </c>
      <c r="AZ251" s="247">
        <v>3111</v>
      </c>
      <c r="DZ251" s="247">
        <v>4619</v>
      </c>
      <c r="EA251" s="247">
        <v>4775</v>
      </c>
      <c r="EB251" s="247">
        <v>5010</v>
      </c>
      <c r="EC251" s="247">
        <v>5652</v>
      </c>
      <c r="ED251" s="247">
        <v>6880</v>
      </c>
      <c r="EE251" s="247">
        <v>8302</v>
      </c>
      <c r="EF251" s="247">
        <v>9602</v>
      </c>
    </row>
    <row r="252" spans="2:141" ht="12.75" customHeight="1" x14ac:dyDescent="0.2">
      <c r="B252" t="s">
        <v>101</v>
      </c>
      <c r="K252" s="247">
        <v>2434</v>
      </c>
      <c r="L252" s="247">
        <v>2455</v>
      </c>
      <c r="M252" s="247">
        <v>2445</v>
      </c>
      <c r="N252" s="247">
        <v>2581</v>
      </c>
      <c r="O252" s="247">
        <v>2525</v>
      </c>
      <c r="P252" s="247">
        <v>2580</v>
      </c>
      <c r="Q252" s="247">
        <v>2548</v>
      </c>
      <c r="R252" s="247">
        <v>2628</v>
      </c>
      <c r="S252" s="243">
        <f t="shared" ref="S252:AN252" si="1007">S112</f>
        <v>2735.2</v>
      </c>
      <c r="T252" s="243">
        <f t="shared" si="1007"/>
        <v>2785</v>
      </c>
      <c r="U252" s="243">
        <f t="shared" si="1007"/>
        <v>2771</v>
      </c>
      <c r="V252" s="243">
        <f t="shared" si="1007"/>
        <v>2855</v>
      </c>
      <c r="W252" s="243">
        <f t="shared" si="1007"/>
        <v>2958</v>
      </c>
      <c r="X252" s="243">
        <f t="shared" si="1007"/>
        <v>3166</v>
      </c>
      <c r="Y252" s="243">
        <f t="shared" si="1007"/>
        <v>3141</v>
      </c>
      <c r="Z252" s="243">
        <f t="shared" si="1007"/>
        <v>3318</v>
      </c>
      <c r="AA252" s="243">
        <f t="shared" si="1007"/>
        <v>3364</v>
      </c>
      <c r="AB252" s="243">
        <f t="shared" si="1007"/>
        <v>3629</v>
      </c>
      <c r="AC252" s="243">
        <f t="shared" si="1007"/>
        <v>3779</v>
      </c>
      <c r="AD252" s="243">
        <f t="shared" si="1007"/>
        <v>4141</v>
      </c>
      <c r="AE252" s="243">
        <f t="shared" si="1007"/>
        <v>4136</v>
      </c>
      <c r="AF252" s="243">
        <f t="shared" si="1007"/>
        <v>4057</v>
      </c>
      <c r="AG252" s="243">
        <f t="shared" si="1007"/>
        <v>4044</v>
      </c>
      <c r="AH252" s="243">
        <f t="shared" si="1007"/>
        <v>4650</v>
      </c>
      <c r="AI252" s="243">
        <f t="shared" si="1007"/>
        <v>4797</v>
      </c>
      <c r="AJ252" s="243">
        <f t="shared" si="1007"/>
        <v>4856</v>
      </c>
      <c r="AK252" s="243">
        <f t="shared" si="1007"/>
        <v>4622</v>
      </c>
      <c r="AL252" s="243">
        <f t="shared" si="1007"/>
        <v>4821</v>
      </c>
      <c r="AM252" s="243">
        <f t="shared" si="1007"/>
        <v>5011</v>
      </c>
      <c r="AN252" s="243">
        <f t="shared" si="1007"/>
        <v>5155</v>
      </c>
      <c r="AU252" s="243">
        <f>AU112</f>
        <v>5701</v>
      </c>
      <c r="AV252" s="243">
        <f>AV112</f>
        <v>6074</v>
      </c>
      <c r="AY252" s="243">
        <f>AY112</f>
        <v>5535</v>
      </c>
      <c r="AZ252" s="243">
        <f>AZ112</f>
        <v>5887</v>
      </c>
      <c r="DZ252" s="247">
        <v>9915</v>
      </c>
      <c r="EA252" s="247">
        <v>10281</v>
      </c>
      <c r="EB252" s="247">
        <f>EB251+EB250</f>
        <v>11146</v>
      </c>
      <c r="EC252" s="247">
        <f>EC251+EC250</f>
        <v>12583</v>
      </c>
      <c r="ED252" s="247">
        <f>ED251+ED250</f>
        <v>14913</v>
      </c>
      <c r="EE252" s="247">
        <f>EE251+EE250</f>
        <v>16887</v>
      </c>
      <c r="EF252" s="247">
        <f>EF251+EF250</f>
        <v>19096</v>
      </c>
    </row>
    <row r="253" spans="2:141" ht="12.75" customHeight="1" x14ac:dyDescent="0.2">
      <c r="B253" t="s">
        <v>1051</v>
      </c>
      <c r="K253" s="247">
        <v>927</v>
      </c>
      <c r="L253" s="247">
        <v>873</v>
      </c>
      <c r="M253" s="247">
        <v>921</v>
      </c>
      <c r="N253" s="247">
        <v>948</v>
      </c>
      <c r="O253" s="247">
        <v>943</v>
      </c>
      <c r="P253" s="247">
        <v>902</v>
      </c>
      <c r="Q253" s="247">
        <v>939</v>
      </c>
      <c r="R253" s="247">
        <v>976</v>
      </c>
      <c r="S253" s="247">
        <v>896</v>
      </c>
      <c r="T253" s="247">
        <v>808</v>
      </c>
      <c r="U253" s="247">
        <v>896</v>
      </c>
      <c r="V253" s="247">
        <v>848.5</v>
      </c>
      <c r="W253" s="247">
        <v>900</v>
      </c>
      <c r="X253" s="247">
        <v>907</v>
      </c>
      <c r="Y253" s="247">
        <v>910</v>
      </c>
      <c r="Z253" s="247">
        <v>888</v>
      </c>
      <c r="AA253" s="247">
        <v>1000</v>
      </c>
      <c r="AB253" s="247">
        <v>931</v>
      </c>
      <c r="AC253" s="247">
        <v>984.3</v>
      </c>
      <c r="AD253" s="247">
        <v>1053</v>
      </c>
      <c r="AE253" s="247">
        <v>1081</v>
      </c>
      <c r="AF253" s="247">
        <v>987</v>
      </c>
      <c r="AG253" s="247">
        <v>1023</v>
      </c>
      <c r="AH253" s="247">
        <v>1134</v>
      </c>
      <c r="AI253" s="247">
        <v>1114</v>
      </c>
      <c r="AJ253" s="247">
        <v>1092</v>
      </c>
      <c r="AK253" s="247">
        <v>1075</v>
      </c>
      <c r="AL253" s="247">
        <v>1124</v>
      </c>
      <c r="AM253" s="247">
        <v>1150</v>
      </c>
      <c r="AN253" s="247">
        <v>1103</v>
      </c>
      <c r="AO253" s="247"/>
      <c r="AP253" s="247"/>
      <c r="AQ253" s="247"/>
      <c r="AR253" s="247"/>
      <c r="AS253" s="247"/>
      <c r="AT253" s="247"/>
      <c r="AU253" s="247">
        <v>1819</v>
      </c>
      <c r="AV253" s="247">
        <v>1694</v>
      </c>
      <c r="AW253" s="247"/>
      <c r="AX253" s="247"/>
      <c r="AY253" s="247">
        <v>1726</v>
      </c>
      <c r="AZ253" s="247">
        <v>1708</v>
      </c>
      <c r="DZ253" s="247">
        <v>3669</v>
      </c>
      <c r="EA253" s="247">
        <v>3760</v>
      </c>
      <c r="EB253" s="247">
        <v>3449</v>
      </c>
      <c r="EC253" s="247">
        <v>3605</v>
      </c>
      <c r="ED253" s="247">
        <v>3968</v>
      </c>
      <c r="EE253" s="247">
        <v>4225</v>
      </c>
      <c r="EF253" s="247">
        <v>4405</v>
      </c>
    </row>
    <row r="254" spans="2:141" ht="12.75" customHeight="1" x14ac:dyDescent="0.2">
      <c r="B254" t="s">
        <v>1052</v>
      </c>
      <c r="K254" s="247">
        <v>801</v>
      </c>
      <c r="L254" s="247">
        <v>814</v>
      </c>
      <c r="M254" s="247">
        <v>783</v>
      </c>
      <c r="N254" s="247">
        <v>796</v>
      </c>
      <c r="O254" s="247">
        <v>809</v>
      </c>
      <c r="P254" s="247">
        <v>805</v>
      </c>
      <c r="Q254" s="247">
        <v>783</v>
      </c>
      <c r="R254" s="247">
        <v>747</v>
      </c>
      <c r="S254" s="247">
        <v>735</v>
      </c>
      <c r="T254" s="247">
        <v>722</v>
      </c>
      <c r="U254" s="247">
        <v>713</v>
      </c>
      <c r="V254" s="247">
        <v>701.5</v>
      </c>
      <c r="W254" s="247">
        <v>704</v>
      </c>
      <c r="X254" s="247">
        <v>742</v>
      </c>
      <c r="Y254" s="247">
        <v>751</v>
      </c>
      <c r="Z254" s="247">
        <v>762</v>
      </c>
      <c r="AA254" s="247">
        <v>791</v>
      </c>
      <c r="AB254" s="247">
        <v>888</v>
      </c>
      <c r="AC254" s="247">
        <v>856.7</v>
      </c>
      <c r="AD254" s="247">
        <v>926</v>
      </c>
      <c r="AE254" s="247">
        <v>966</v>
      </c>
      <c r="AF254" s="247">
        <v>1013</v>
      </c>
      <c r="AG254" s="247">
        <v>1001</v>
      </c>
      <c r="AH254" s="247">
        <v>1128</v>
      </c>
      <c r="AI254" s="247">
        <v>1166</v>
      </c>
      <c r="AJ254" s="247">
        <v>1186</v>
      </c>
      <c r="AK254" s="247">
        <v>1156</v>
      </c>
      <c r="AL254" s="247">
        <v>1183</v>
      </c>
      <c r="AM254" s="247">
        <v>1205</v>
      </c>
      <c r="AN254" s="247">
        <v>1295</v>
      </c>
      <c r="AO254" s="247"/>
      <c r="AP254" s="247"/>
      <c r="AQ254" s="247"/>
      <c r="AR254" s="247"/>
      <c r="AS254" s="247"/>
      <c r="AT254" s="247"/>
      <c r="AU254" s="247">
        <v>2245</v>
      </c>
      <c r="AV254" s="247">
        <v>2342</v>
      </c>
      <c r="AW254" s="247"/>
      <c r="AX254" s="247"/>
      <c r="AY254" s="247">
        <v>1982</v>
      </c>
      <c r="AZ254" s="247">
        <v>2146</v>
      </c>
      <c r="DZ254" s="247">
        <v>3194</v>
      </c>
      <c r="EA254" s="247">
        <v>3144</v>
      </c>
      <c r="EB254" s="247">
        <v>2872</v>
      </c>
      <c r="EC254" s="247">
        <v>2959</v>
      </c>
      <c r="ED254" s="247">
        <v>3462</v>
      </c>
      <c r="EE254" s="247">
        <v>4108</v>
      </c>
      <c r="EF254" s="247">
        <v>4691</v>
      </c>
    </row>
    <row r="255" spans="2:141" ht="12.75" customHeight="1" x14ac:dyDescent="0.2">
      <c r="B255" t="s">
        <v>1015</v>
      </c>
      <c r="K255" s="247">
        <v>1728</v>
      </c>
      <c r="L255" s="247">
        <v>1687</v>
      </c>
      <c r="M255" s="247">
        <v>1704</v>
      </c>
      <c r="N255" s="247">
        <v>1744</v>
      </c>
      <c r="O255" s="247">
        <v>1752</v>
      </c>
      <c r="P255" s="247">
        <v>1707</v>
      </c>
      <c r="Q255" s="247">
        <v>1722</v>
      </c>
      <c r="R255" s="247">
        <v>1723</v>
      </c>
      <c r="S255" s="247">
        <v>1631</v>
      </c>
      <c r="T255" s="247">
        <v>1530</v>
      </c>
      <c r="U255" s="247">
        <v>1609</v>
      </c>
      <c r="V255" s="247">
        <v>1550</v>
      </c>
      <c r="W255" s="247">
        <v>1604</v>
      </c>
      <c r="X255" s="247">
        <v>1649</v>
      </c>
      <c r="Y255" s="247">
        <v>1661</v>
      </c>
      <c r="Z255" s="247">
        <v>1650</v>
      </c>
      <c r="AA255" s="247">
        <v>1791</v>
      </c>
      <c r="AB255" s="247">
        <v>1819</v>
      </c>
      <c r="AC255" s="247">
        <v>1841</v>
      </c>
      <c r="AD255" s="247">
        <v>1979</v>
      </c>
      <c r="AE255" s="247">
        <v>2047</v>
      </c>
      <c r="AF255" s="247">
        <v>2000</v>
      </c>
      <c r="AG255" s="247">
        <v>2024</v>
      </c>
      <c r="AH255" s="247">
        <v>2262</v>
      </c>
      <c r="AI255" s="247">
        <v>2280</v>
      </c>
      <c r="AJ255" s="247">
        <v>2278</v>
      </c>
      <c r="AK255" s="247">
        <v>2231</v>
      </c>
      <c r="AL255" s="247">
        <v>2307</v>
      </c>
      <c r="AM255" s="247">
        <v>2355</v>
      </c>
      <c r="AN255" s="247">
        <v>2398</v>
      </c>
      <c r="AO255" s="247">
        <f t="shared" ref="AO255:BB255" si="1008">AO119</f>
        <v>2456</v>
      </c>
      <c r="AP255" s="247">
        <f t="shared" si="1008"/>
        <v>2565</v>
      </c>
      <c r="AQ255" s="247">
        <f t="shared" si="1008"/>
        <v>3496</v>
      </c>
      <c r="AR255" s="247">
        <f t="shared" si="1008"/>
        <v>3564</v>
      </c>
      <c r="AS255" s="247">
        <f t="shared" si="1008"/>
        <v>3623</v>
      </c>
      <c r="AT255" s="247">
        <f t="shared" si="1008"/>
        <v>3810</v>
      </c>
      <c r="AU255" s="247">
        <f t="shared" si="1008"/>
        <v>4064</v>
      </c>
      <c r="AV255" s="247">
        <f t="shared" si="1008"/>
        <v>4036</v>
      </c>
      <c r="AW255" s="247">
        <f t="shared" si="1008"/>
        <v>4099</v>
      </c>
      <c r="AX255" s="247">
        <f t="shared" si="1008"/>
        <v>3855</v>
      </c>
      <c r="AY255" s="247">
        <f t="shared" si="1008"/>
        <v>3711</v>
      </c>
      <c r="AZ255" s="247">
        <f t="shared" si="1008"/>
        <v>3854</v>
      </c>
      <c r="BA255" s="247">
        <f t="shared" si="1008"/>
        <v>3989</v>
      </c>
      <c r="BB255" s="247">
        <f t="shared" si="1008"/>
        <v>4249</v>
      </c>
      <c r="BC255" s="247"/>
      <c r="BD255" s="247"/>
      <c r="BE255" s="247"/>
      <c r="BF255" s="247"/>
      <c r="BG255" s="247"/>
      <c r="BH255" s="247"/>
      <c r="BI255" s="247"/>
      <c r="BJ255" s="247"/>
      <c r="BK255" s="247"/>
      <c r="BL255" s="247"/>
      <c r="BM255" s="247"/>
      <c r="BN255" s="247"/>
      <c r="BO255" s="247"/>
      <c r="BP255" s="247"/>
      <c r="BQ255" s="247"/>
      <c r="BR255" s="247"/>
      <c r="BS255" s="247"/>
      <c r="BT255" s="247"/>
      <c r="BU255" s="247"/>
      <c r="BV255" s="247"/>
      <c r="BW255" s="247"/>
      <c r="BX255" s="247"/>
      <c r="BY255" s="247"/>
      <c r="BZ255" s="247"/>
      <c r="CA255" s="247"/>
      <c r="CB255" s="247"/>
      <c r="CC255" s="247"/>
      <c r="CD255" s="247"/>
      <c r="CE255" s="247"/>
      <c r="CF255" s="247"/>
      <c r="CG255" s="247"/>
      <c r="CH255" s="247"/>
      <c r="CI255" s="247"/>
      <c r="CJ255" s="247"/>
      <c r="CK255" s="247"/>
      <c r="CL255" s="247"/>
      <c r="CM255" s="247"/>
      <c r="CN255" s="247"/>
      <c r="CO255" s="247"/>
      <c r="CP255" s="247"/>
      <c r="CQ255" s="247"/>
      <c r="CR255" s="247"/>
      <c r="CS255" s="247"/>
      <c r="CT255" s="247"/>
      <c r="CU255" s="247"/>
      <c r="CV255" s="247"/>
      <c r="CW255" s="247"/>
      <c r="CX255" s="247"/>
      <c r="CY255" s="247"/>
      <c r="CZ255" s="247"/>
      <c r="DA255" s="247"/>
      <c r="DB255" s="247"/>
      <c r="DC255" s="247"/>
      <c r="DD255" s="247"/>
      <c r="DE255" s="247"/>
      <c r="DF255" s="247"/>
      <c r="DG255" s="247"/>
      <c r="DH255" s="247"/>
      <c r="DI255" s="247"/>
      <c r="DJ255" s="247"/>
      <c r="DK255" s="247"/>
      <c r="DL255" s="247"/>
      <c r="DM255" s="247"/>
      <c r="DN255" s="247"/>
      <c r="DZ255" s="247">
        <v>6863</v>
      </c>
      <c r="EA255" s="247">
        <v>6904</v>
      </c>
      <c r="EB255" s="247">
        <f>EB254+EB253</f>
        <v>6321</v>
      </c>
      <c r="EC255" s="247">
        <f>EC254+EC253</f>
        <v>6564</v>
      </c>
      <c r="ED255" s="247">
        <f>ED254+ED253</f>
        <v>7430</v>
      </c>
      <c r="EE255" s="247">
        <f>EE254+EE253</f>
        <v>8333</v>
      </c>
      <c r="EF255" s="247">
        <f>EF254+EF253</f>
        <v>9096</v>
      </c>
    </row>
    <row r="258" spans="2:56" ht="12.75" customHeight="1" x14ac:dyDescent="0.2">
      <c r="B258" t="s">
        <v>1362</v>
      </c>
      <c r="AQ258" s="283">
        <v>1.3110999999999999</v>
      </c>
      <c r="AR258" s="283">
        <v>1.3483000000000001</v>
      </c>
      <c r="AS258" s="283">
        <v>1.3746</v>
      </c>
      <c r="AT258" s="283">
        <v>1.4483999999999999</v>
      </c>
      <c r="AU258" s="283">
        <v>1.4985999999999999</v>
      </c>
      <c r="AV258" s="283">
        <v>1.5633999999999999</v>
      </c>
      <c r="AW258" s="283">
        <v>1.5051000000000001</v>
      </c>
      <c r="AX258" s="283">
        <v>1.3214999999999999</v>
      </c>
      <c r="AY258" s="283">
        <v>1.3077000000000001</v>
      </c>
      <c r="AZ258" s="283">
        <v>1.3625</v>
      </c>
      <c r="BA258" s="283">
        <v>1.4298</v>
      </c>
      <c r="BB258" s="283">
        <v>1.4763999999999999</v>
      </c>
      <c r="BC258" s="283">
        <v>1.3844000000000001</v>
      </c>
      <c r="BD258" s="283">
        <v>1.3220000000000001</v>
      </c>
    </row>
    <row r="259" spans="2:56" ht="12.75" customHeight="1" x14ac:dyDescent="0.2">
      <c r="B259" t="s">
        <v>1361</v>
      </c>
      <c r="AU259" s="294">
        <f t="shared" ref="AU259:BC259" si="1009">AU258/AQ258-1</f>
        <v>0.14300968652276724</v>
      </c>
      <c r="AV259" s="294">
        <f t="shared" si="1009"/>
        <v>0.15953422828747299</v>
      </c>
      <c r="AW259" s="294">
        <f t="shared" si="1009"/>
        <v>9.4936708860759556E-2</v>
      </c>
      <c r="AX259" s="294">
        <f t="shared" si="1009"/>
        <v>-8.7613918806959457E-2</v>
      </c>
      <c r="AY259" s="294">
        <f t="shared" si="1009"/>
        <v>-0.12738555985586542</v>
      </c>
      <c r="AZ259" s="294">
        <f t="shared" si="1009"/>
        <v>-0.12850198285787373</v>
      </c>
      <c r="BA259" s="294">
        <f t="shared" si="1009"/>
        <v>-5.002989834562499E-2</v>
      </c>
      <c r="BB259" s="294">
        <f t="shared" si="1009"/>
        <v>0.11721528566023465</v>
      </c>
      <c r="BC259" s="294">
        <f t="shared" si="1009"/>
        <v>5.8652596161199E-2</v>
      </c>
      <c r="BD259" s="294">
        <f>BD258/AZ258-1</f>
        <v>-2.9724770642201803E-2</v>
      </c>
    </row>
    <row r="260" spans="2:56" ht="12.75" customHeight="1" x14ac:dyDescent="0.2">
      <c r="B260" t="s">
        <v>1189</v>
      </c>
      <c r="AU260" s="294">
        <f t="shared" ref="AU260:BC260" si="1010">+AU129</f>
        <v>5.0999999999999997E-2</v>
      </c>
      <c r="AV260" s="294">
        <f t="shared" si="1010"/>
        <v>5.6000000000000001E-2</v>
      </c>
      <c r="AW260" s="294">
        <f t="shared" si="1010"/>
        <v>3.1E-2</v>
      </c>
      <c r="AX260" s="294">
        <f t="shared" si="1010"/>
        <v>-3.9E-2</v>
      </c>
      <c r="AY260" s="294">
        <f t="shared" si="1010"/>
        <v>-0.06</v>
      </c>
      <c r="AZ260" s="294">
        <f t="shared" si="1010"/>
        <v>-0.06</v>
      </c>
      <c r="BA260" s="294">
        <f t="shared" si="1010"/>
        <v>-2.5000000000000001E-2</v>
      </c>
      <c r="BB260" s="294">
        <f t="shared" si="1010"/>
        <v>4.4999999999999998E-2</v>
      </c>
      <c r="BC260" s="294">
        <f t="shared" si="1010"/>
        <v>4.1000000000000002E-2</v>
      </c>
    </row>
    <row r="261" spans="2:56" ht="12.75" customHeight="1" x14ac:dyDescent="0.2">
      <c r="AU261" s="294"/>
      <c r="AV261" s="294"/>
      <c r="AW261" s="294"/>
      <c r="AX261" s="294"/>
      <c r="AY261" s="294"/>
      <c r="AZ261" s="294"/>
      <c r="BA261" s="294"/>
      <c r="BB261" s="294"/>
      <c r="BC261" s="294"/>
    </row>
    <row r="262" spans="2:56" ht="12.75" customHeight="1" x14ac:dyDescent="0.2">
      <c r="B262" t="s">
        <v>1363</v>
      </c>
      <c r="AQ262" s="243">
        <f t="shared" ref="AQ262:BD262" si="1011">AQ63</f>
        <v>15087</v>
      </c>
      <c r="AR262" s="243">
        <f t="shared" si="1011"/>
        <v>15142</v>
      </c>
      <c r="AS262" s="243">
        <f t="shared" si="1011"/>
        <v>15007</v>
      </c>
      <c r="AT262" s="243">
        <f t="shared" si="1011"/>
        <v>15957</v>
      </c>
      <c r="AU262" s="243">
        <f t="shared" si="1011"/>
        <v>16194</v>
      </c>
      <c r="AV262" s="243">
        <f t="shared" si="1011"/>
        <v>16450</v>
      </c>
      <c r="AW262" s="243">
        <f t="shared" si="1011"/>
        <v>15921</v>
      </c>
      <c r="AX262" s="243">
        <f t="shared" si="1011"/>
        <v>15182</v>
      </c>
      <c r="AY262" s="243">
        <f t="shared" si="1011"/>
        <v>15026</v>
      </c>
      <c r="AZ262" s="243">
        <f t="shared" si="1011"/>
        <v>15239</v>
      </c>
      <c r="BA262" s="243">
        <f t="shared" si="1011"/>
        <v>15081</v>
      </c>
      <c r="BB262" s="243">
        <f t="shared" si="1011"/>
        <v>16551</v>
      </c>
      <c r="BC262" s="243">
        <f t="shared" si="1011"/>
        <v>15631</v>
      </c>
      <c r="BD262" s="243">
        <f t="shared" si="1011"/>
        <v>15389</v>
      </c>
    </row>
    <row r="263" spans="2:56" ht="12.75" customHeight="1" x14ac:dyDescent="0.2">
      <c r="B263" t="s">
        <v>1364</v>
      </c>
      <c r="AU263" s="294">
        <f>AU262/AQ262-1</f>
        <v>7.3374428315768458E-2</v>
      </c>
      <c r="AV263" s="294">
        <f t="shared" ref="AV263:BD263" si="1012">AV262/AR262-1</f>
        <v>8.6382248051776411E-2</v>
      </c>
      <c r="AW263" s="294">
        <f t="shared" si="1012"/>
        <v>6.0904911041513854E-2</v>
      </c>
      <c r="AX263" s="294">
        <f t="shared" si="1012"/>
        <v>-4.8568026571410683E-2</v>
      </c>
      <c r="AY263" s="294">
        <f t="shared" si="1012"/>
        <v>-7.2125478572310775E-2</v>
      </c>
      <c r="AZ263" s="294">
        <f t="shared" si="1012"/>
        <v>-7.3617021276595751E-2</v>
      </c>
      <c r="BA263" s="294">
        <f t="shared" si="1012"/>
        <v>-5.27605049934049E-2</v>
      </c>
      <c r="BB263" s="294">
        <f t="shared" si="1012"/>
        <v>9.017257278355939E-2</v>
      </c>
      <c r="BC263" s="294">
        <f t="shared" si="1012"/>
        <v>4.026354319180081E-2</v>
      </c>
      <c r="BD263" s="294">
        <f t="shared" si="1012"/>
        <v>9.8431655620447867E-3</v>
      </c>
    </row>
    <row r="264" spans="2:56" ht="12.75" customHeight="1" x14ac:dyDescent="0.2">
      <c r="B264" t="s">
        <v>1365</v>
      </c>
      <c r="AQ264" s="294">
        <f t="shared" ref="AQ264:AY264" si="1013">+AQ127</f>
        <v>0</v>
      </c>
      <c r="AR264" s="294">
        <f t="shared" si="1013"/>
        <v>0.108</v>
      </c>
      <c r="AS264" s="294">
        <f t="shared" si="1013"/>
        <v>9.7000000000000003E-2</v>
      </c>
      <c r="AT264" s="294">
        <f t="shared" si="1013"/>
        <v>0.11899999999999999</v>
      </c>
      <c r="AU264" s="294">
        <f t="shared" si="1013"/>
        <v>2.5999999999999999E-2</v>
      </c>
      <c r="AV264" s="294">
        <f t="shared" si="1013"/>
        <v>3.038224805177641E-2</v>
      </c>
      <c r="AW264" s="294">
        <f t="shared" si="1013"/>
        <v>2.9904911041513854E-2</v>
      </c>
      <c r="AX264" s="294">
        <f t="shared" si="1013"/>
        <v>-0.01</v>
      </c>
      <c r="AY264" s="294">
        <f t="shared" si="1013"/>
        <v>-1.2E-2</v>
      </c>
      <c r="AZ264" s="294">
        <f>+AZ127</f>
        <v>-1.3617021276595753E-2</v>
      </c>
      <c r="BA264" s="294">
        <f>+BA127</f>
        <v>-2.7760504993404898E-2</v>
      </c>
      <c r="BB264" s="294">
        <f>+BB127</f>
        <v>4.5172572783559392E-2</v>
      </c>
      <c r="BC264" s="294">
        <f>+BC127</f>
        <v>-1E-3</v>
      </c>
      <c r="BD264"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1802</v>
      </c>
    </row>
    <row r="6" spans="1:3" x14ac:dyDescent="0.2">
      <c r="B6" t="s">
        <v>159</v>
      </c>
      <c r="C6" t="s">
        <v>1792</v>
      </c>
    </row>
    <row r="7" spans="1:3" x14ac:dyDescent="0.2">
      <c r="C7" t="s">
        <v>1793</v>
      </c>
    </row>
    <row r="8" spans="1:3" x14ac:dyDescent="0.2">
      <c r="B8" t="s">
        <v>163</v>
      </c>
      <c r="C8" t="s">
        <v>1940</v>
      </c>
    </row>
    <row r="9" spans="1:3" x14ac:dyDescent="0.2">
      <c r="C9" t="s">
        <v>1941</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1939</v>
      </c>
    </row>
    <row r="14" spans="1:3" x14ac:dyDescent="0.2">
      <c r="B14" t="s">
        <v>165</v>
      </c>
      <c r="C14" t="s">
        <v>1936</v>
      </c>
    </row>
    <row r="15" spans="1:3" x14ac:dyDescent="0.2">
      <c r="C15" t="s">
        <v>1937</v>
      </c>
    </row>
    <row r="16" spans="1:3" x14ac:dyDescent="0.2">
      <c r="C16" t="s">
        <v>1938</v>
      </c>
    </row>
    <row r="17" spans="2:3" x14ac:dyDescent="0.2">
      <c r="B17" t="s">
        <v>531</v>
      </c>
    </row>
    <row r="18" spans="2:3" x14ac:dyDescent="0.2">
      <c r="C18" s="184" t="s">
        <v>1805</v>
      </c>
    </row>
    <row r="19" spans="2:3" x14ac:dyDescent="0.2">
      <c r="C19" t="s">
        <v>1806</v>
      </c>
    </row>
    <row r="20" spans="2:3" x14ac:dyDescent="0.2">
      <c r="C20" t="s">
        <v>1803</v>
      </c>
    </row>
    <row r="21" spans="2:3" x14ac:dyDescent="0.2">
      <c r="C21" t="s">
        <v>1804</v>
      </c>
    </row>
    <row r="23" spans="2:3" x14ac:dyDescent="0.2">
      <c r="C23" s="184" t="s">
        <v>1810</v>
      </c>
    </row>
    <row r="24" spans="2:3" x14ac:dyDescent="0.2">
      <c r="C24" t="s">
        <v>1807</v>
      </c>
    </row>
    <row r="25" spans="2:3" x14ac:dyDescent="0.2">
      <c r="C25" t="s">
        <v>1808</v>
      </c>
    </row>
    <row r="26" spans="2:3" x14ac:dyDescent="0.2">
      <c r="C26" t="s">
        <v>1809</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2024-10-28T15:14:16Z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