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0293ED8-8535-4917-81BD-160F8439E3A6}" xr6:coauthVersionLast="47" xr6:coauthVersionMax="47" xr10:uidLastSave="{00000000-0000-0000-0000-000000000000}"/>
  <bookViews>
    <workbookView xWindow="73395" yWindow="345" windowWidth="29325" windowHeight="20460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I53" i="1"/>
  <c r="F53" i="1" s="1"/>
  <c r="H53" i="1" l="1"/>
  <c r="H55" i="1" l="1"/>
  <c r="I52" i="1"/>
  <c r="F52" i="1" s="1"/>
  <c r="G52" i="1"/>
  <c r="H52" i="1" s="1"/>
  <c r="G28" i="1"/>
  <c r="I28" i="1"/>
  <c r="F28" i="1" s="1"/>
  <c r="G13" i="1"/>
  <c r="I13" i="1"/>
  <c r="F13" i="1" s="1"/>
  <c r="G12" i="1"/>
  <c r="I12" i="1"/>
  <c r="F12" i="1" s="1"/>
  <c r="H13" i="1" l="1"/>
  <c r="H12" i="1"/>
  <c r="G32" i="1"/>
  <c r="I32" i="1"/>
  <c r="F32" i="1" s="1"/>
  <c r="H32" i="1" s="1"/>
  <c r="G36" i="1" l="1"/>
  <c r="I36" i="1"/>
  <c r="F36" i="1" s="1"/>
  <c r="H36" i="1" l="1"/>
  <c r="H28" i="1"/>
  <c r="G29" i="1"/>
  <c r="I29" i="1"/>
  <c r="F29" i="1" s="1" a="1"/>
  <c r="F29" i="1" s="1"/>
  <c r="G35" i="1"/>
  <c r="I35" i="1"/>
  <c r="F35" i="1" s="1" a="1"/>
  <c r="F35" i="1" s="1"/>
  <c r="H35" i="1" s="1"/>
  <c r="G22" i="1"/>
  <c r="I22" i="1"/>
  <c r="F22" i="1" s="1"/>
  <c r="H29" i="1" l="1"/>
  <c r="H22" i="1"/>
  <c r="G30" i="1"/>
  <c r="I30" i="1"/>
  <c r="F30" i="1" s="1"/>
  <c r="H30" i="1" l="1"/>
  <c r="G33" i="1"/>
  <c r="I33" i="1" l="1"/>
  <c r="G152" i="1" l="1"/>
  <c r="I152" i="1"/>
  <c r="F152" i="1" s="1"/>
  <c r="I116" i="1"/>
  <c r="F116" i="1" s="1"/>
  <c r="G116" i="1"/>
  <c r="G117" i="1"/>
  <c r="I117" i="1"/>
  <c r="F117" i="1" s="1"/>
  <c r="H152" i="1" l="1"/>
  <c r="H117" i="1"/>
  <c r="H116" i="1"/>
  <c r="G25" i="1"/>
  <c r="G24" i="1"/>
  <c r="I25" i="1"/>
  <c r="F25" i="1" s="1"/>
  <c r="I24" i="1"/>
  <c r="F24" i="1" s="1"/>
  <c r="G20" i="1"/>
  <c r="G19" i="1"/>
  <c r="I19" i="1"/>
  <c r="I20" i="1" s="1"/>
  <c r="H25" i="1" l="1"/>
  <c r="H24" i="1"/>
  <c r="G167" i="1" l="1"/>
  <c r="I167" i="1"/>
  <c r="F167" i="1" s="1"/>
  <c r="B5" i="1"/>
  <c r="B6" i="1" s="1"/>
  <c r="B7" i="1" s="1"/>
  <c r="B8" i="1" s="1"/>
  <c r="B9" i="1" s="1"/>
  <c r="G118" i="1"/>
  <c r="I118" i="1"/>
  <c r="F118" i="1" s="1"/>
  <c r="B10" i="1" l="1"/>
  <c r="B11" i="1" s="1"/>
  <c r="H118" i="1"/>
  <c r="H167" i="1"/>
  <c r="G34" i="1"/>
  <c r="I34" i="1"/>
  <c r="F34" i="1" s="1"/>
  <c r="B12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H34" i="1"/>
  <c r="I31" i="1"/>
  <c r="F31" i="1" s="1"/>
  <c r="G31" i="1"/>
  <c r="I26" i="1"/>
  <c r="B25" i="1" l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H31" i="1"/>
  <c r="I23" i="1"/>
  <c r="F23" i="1" s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3" i="1" s="1"/>
  <c r="B54" i="1" s="1"/>
  <c r="B55" i="1" s="1"/>
  <c r="B56" i="1" s="1"/>
  <c r="B57" i="1" s="1"/>
  <c r="B52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G21" i="1"/>
  <c r="F21" i="1"/>
  <c r="B1" i="1" l="1"/>
  <c r="I17" i="1"/>
  <c r="I16" i="1" l="1"/>
  <c r="F16" i="1" s="1"/>
  <c r="G14" i="1" l="1"/>
  <c r="G15" i="1" l="1"/>
  <c r="I15" i="1"/>
  <c r="F15" i="1" s="1"/>
  <c r="I14" i="1" l="1"/>
  <c r="F14" i="1" l="1"/>
  <c r="F20" i="1" l="1"/>
  <c r="F19" i="1"/>
  <c r="K20" i="1"/>
  <c r="K2" i="1" s="1"/>
  <c r="G27" i="1" l="1"/>
  <c r="F33" i="1"/>
  <c r="I27" i="1"/>
  <c r="F27" i="1" s="1"/>
  <c r="H27" i="1" l="1"/>
  <c r="G162" i="1"/>
  <c r="I162" i="1"/>
  <c r="F162" i="1" s="1"/>
  <c r="G65" i="1"/>
  <c r="I65" i="1"/>
  <c r="F65" i="1" s="1"/>
  <c r="H65" i="1" l="1"/>
  <c r="H162" i="1"/>
  <c r="I18" i="1"/>
  <c r="F18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8" i="1" l="1"/>
  <c r="F8" i="1" s="1"/>
  <c r="I4" i="1" l="1"/>
  <c r="G64" i="1" l="1"/>
  <c r="I64" i="1"/>
  <c r="F64" i="1" s="1"/>
  <c r="H64" i="1" l="1"/>
  <c r="G151" i="1"/>
  <c r="F151" i="1"/>
  <c r="H151" i="1" l="1"/>
  <c r="G54" i="1"/>
  <c r="F54" i="1"/>
  <c r="H54" i="1" l="1"/>
  <c r="G115" i="1"/>
  <c r="F115" i="1"/>
  <c r="G150" i="1"/>
  <c r="F150" i="1"/>
  <c r="F26" i="1"/>
  <c r="G26" i="1"/>
  <c r="H115" i="1" l="1"/>
  <c r="H150" i="1"/>
  <c r="H26" i="1"/>
  <c r="G58" i="1"/>
  <c r="F58" i="1"/>
  <c r="G169" i="1"/>
  <c r="F169" i="1"/>
  <c r="H58" i="1" l="1"/>
  <c r="H33" i="1"/>
  <c r="H169" i="1"/>
  <c r="F63" i="1"/>
  <c r="G63" i="1"/>
  <c r="G18" i="1"/>
  <c r="H63" i="1" l="1"/>
  <c r="H18" i="1"/>
  <c r="F4" i="1"/>
  <c r="G62" i="1" l="1"/>
  <c r="F62" i="1"/>
  <c r="H62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3" i="1"/>
  <c r="G17" i="1"/>
  <c r="F17" i="1"/>
  <c r="G16" i="1"/>
  <c r="H9" i="1"/>
  <c r="G8" i="1"/>
  <c r="G4" i="1"/>
  <c r="H4" i="1" s="1"/>
  <c r="H23" i="1" l="1"/>
  <c r="H174" i="1"/>
  <c r="H20" i="1"/>
  <c r="H14" i="1"/>
  <c r="H11" i="1"/>
  <c r="H173" i="1"/>
  <c r="H175" i="1"/>
  <c r="H17" i="1"/>
  <c r="H170" i="1"/>
  <c r="H19" i="1"/>
  <c r="H171" i="1"/>
  <c r="H16" i="1"/>
  <c r="H8" i="1"/>
  <c r="H21" i="1"/>
  <c r="H166" i="1"/>
  <c r="H168" i="1"/>
  <c r="H7" i="1"/>
  <c r="H15" i="1"/>
  <c r="H172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<sst xmlns="http://schemas.openxmlformats.org/spreadsheetml/2006/main" count="561" uniqueCount="434">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</sst>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sheetMetadata" Target="metadata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5" Type="http://schemas.openxmlformats.org/officeDocument/2006/relationships/externalLink" Target="externalLinks/externalLink1.xml"/><Relationship Id="rId61" Type="http://schemas.openxmlformats.org/officeDocument/2006/relationships/styles" Target="styles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calcChain" Target="calcChain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2631.4018040000001</v>
          </cell>
        </row>
        <row r="5">
          <cell r="Q5">
            <v>30388</v>
          </cell>
        </row>
        <row r="6">
          <cell r="Q6">
            <v>33148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950.15955899999994</v>
          </cell>
        </row>
        <row r="5">
          <cell r="J5">
            <v>5295.6</v>
          </cell>
        </row>
        <row r="6">
          <cell r="J6">
            <v>16508.8</v>
          </cell>
        </row>
      </sheetData>
      <sheetData sheetId="2">
        <row r="66">
          <cell r="DC66">
            <v>10.453488289438305</v>
          </cell>
          <cell r="DD66">
            <v>10.36667078924344</v>
          </cell>
          <cell r="DE66">
            <v>20.384820100617208</v>
          </cell>
          <cell r="DF66">
            <v>23.432667692629824</v>
          </cell>
          <cell r="DG66">
            <v>27.490447248773627</v>
          </cell>
          <cell r="DH66">
            <v>28.457013407039554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232.39058800375966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2528.8050250000001</v>
          </cell>
        </row>
        <row r="5">
          <cell r="J5">
            <v>9244</v>
          </cell>
        </row>
        <row r="6">
          <cell r="J6">
            <v>31794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MGTX.xlsx" TargetMode="External"/><Relationship Id="rId39" Type="http://schemas.openxmlformats.org/officeDocument/2006/relationships/hyperlink" Target="../../AppData/Roaming/Microsoft/Excel/ALKS.xlsx" TargetMode="External"/><Relationship Id="rId21" Type="http://schemas.openxmlformats.org/officeDocument/2006/relationships/hyperlink" Target="../../AppData/Roaming/Microsoft/Excel/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..\..\AppData\Roaming\Microsoft\Excel\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8" Type="http://schemas.openxmlformats.org/officeDocument/2006/relationships/hyperlink" Target="..\..\AppData\Roaming\Microsoft\Excel\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20" Type="http://schemas.openxmlformats.org/officeDocument/2006/relationships/hyperlink" Target="../../AppData/Roaming/Microsoft/Excel/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A1:AC183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13" sqref="D13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7.85546875" style="1" customWidth="1"/>
    <col min="4" max="4" width="10.5703125" style="1" bestFit="1" customWidth="1"/>
    <col min="5" max="5" width="8.57031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RANDBETWEEN(1,B167)</f>
        <v>15</v>
      </c>
    </row>
    <row r="2" spans="1:29" x14ac:dyDescent="0.2">
      <c r="K2" s="9">
        <f>MIN(K4:K35)</f>
        <v>44813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169.99</v>
      </c>
      <c r="F4" s="6">
        <f>E4*[1]Main!$Q$3</f>
        <v>447311.99266196002</v>
      </c>
      <c r="G4" s="6">
        <f>+[1]Main!$Q$5-[1]Main!$Q$6</f>
        <v>-2760</v>
      </c>
      <c r="H4" s="6">
        <f>F4-G4</f>
        <v>450071.99266196002</v>
      </c>
      <c r="I4" s="6">
        <f>+[1]Main!$Q$3</f>
        <v>2631.4018040000001</v>
      </c>
      <c r="J4" s="3" t="s">
        <v>16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141.41999999999999</v>
      </c>
      <c r="F5" s="6">
        <f>+E5*I5</f>
        <v>250044.20632289999</v>
      </c>
      <c r="G5" s="6">
        <f>+[2]Main!$K$5-[2]Main!$K$6</f>
        <v>-62727</v>
      </c>
      <c r="H5" s="6">
        <f t="shared" ref="H5:H16" si="0">F5-G5</f>
        <v>312771.20632290002</v>
      </c>
      <c r="I5" s="6">
        <f>+[2]Main!$K$3</f>
        <v>1768.096495</v>
      </c>
      <c r="J5" s="3" t="s">
        <v>16</v>
      </c>
      <c r="K5" s="9">
        <v>44814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7" si="1">B5+1</f>
        <v>3</v>
      </c>
      <c r="C6" s="5" t="s">
        <v>19</v>
      </c>
      <c r="D6" s="1" t="s">
        <v>20</v>
      </c>
      <c r="E6" s="7">
        <v>290.89999999999998</v>
      </c>
      <c r="F6" s="6">
        <f>+E6*I6</f>
        <v>276401.41571309994</v>
      </c>
      <c r="G6" s="6">
        <f>+[3]Main!$J$5-[3]Main!$J$6</f>
        <v>-11213.199999999999</v>
      </c>
      <c r="H6" s="6">
        <f t="shared" si="0"/>
        <v>287614.61571309995</v>
      </c>
      <c r="I6" s="6">
        <f>+[3]Main!$J$3</f>
        <v>950.15955899999994</v>
      </c>
      <c r="J6" s="3" t="s">
        <v>16</v>
      </c>
      <c r="K6" s="9">
        <v>44816</v>
      </c>
      <c r="L6" s="7">
        <f>+[3]Model!$DM$83</f>
        <v>232.39058800375966</v>
      </c>
      <c r="M6" s="10">
        <f>L6/E6-1</f>
        <v>-0.20113238912423625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28.956973779108008</v>
      </c>
      <c r="R6" s="12">
        <f t="shared" si="2"/>
        <v>29.199479027689733</v>
      </c>
      <c r="S6" s="12">
        <f t="shared" si="2"/>
        <v>14.849352842133371</v>
      </c>
      <c r="T6" s="12">
        <f t="shared" si="2"/>
        <v>12.917922545911619</v>
      </c>
      <c r="U6" s="12">
        <f t="shared" si="2"/>
        <v>11.011148111130908</v>
      </c>
      <c r="V6" s="12">
        <f t="shared" si="2"/>
        <v>10.637145295879744</v>
      </c>
      <c r="W6" s="11">
        <f>+[3]Model!DC66</f>
        <v>10.453488289438305</v>
      </c>
      <c r="X6" s="11">
        <f>+[3]Model!DD66</f>
        <v>10.36667078924344</v>
      </c>
      <c r="Y6" s="11">
        <f>+[3]Model!DE66</f>
        <v>20.384820100617208</v>
      </c>
      <c r="Z6" s="11">
        <f>+[3]Model!DF66</f>
        <v>23.432667692629824</v>
      </c>
      <c r="AA6" s="11">
        <f>+[3]Model!DG66</f>
        <v>27.490447248773627</v>
      </c>
      <c r="AB6" s="11">
        <f>+[3]Model!DH66</f>
        <v>28.457013407039554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303.35000000000002</v>
      </c>
      <c r="F7" s="6">
        <f>+I7*E7</f>
        <v>242802.25005000003</v>
      </c>
      <c r="G7" s="6">
        <f>+[4]Main!$K$5-[4]Main!$K$6</f>
        <v>-18167</v>
      </c>
      <c r="H7" s="6">
        <f t="shared" si="0"/>
        <v>260969.25005000003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46.53</v>
      </c>
      <c r="F8" s="6">
        <f>+E8*I8</f>
        <v>267919.74</v>
      </c>
      <c r="G8" s="6">
        <f>([5]Main!$L$5-[5]Main!$L$6)*1000</f>
        <v>8332.9999999999909</v>
      </c>
      <c r="H8" s="6">
        <f t="shared" si="0"/>
        <v>259586.74</v>
      </c>
      <c r="I8" s="6">
        <f>+[5]Main!$L$3*1000</f>
        <v>5758</v>
      </c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([6]Main!$J$5-[6]Main!$J$6)/DKK</f>
        <v>-665.40001913640151</v>
      </c>
      <c r="H9" s="6">
        <f t="shared" si="0"/>
        <v>242695.20001913642</v>
      </c>
      <c r="I9" s="6">
        <f>+[6]Main!$J$3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>+B9</f>
        <v>6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([6]Main!$J$5-[6]Main!$J$6)/DKK</f>
        <v>-665.40001913640151</v>
      </c>
      <c r="H10" s="6">
        <f t="shared" si="0"/>
        <v>242543.70617422331</v>
      </c>
      <c r="I10" s="6">
        <f>+[6]Main!$J$3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7</v>
      </c>
      <c r="C11" s="5" t="s">
        <v>28</v>
      </c>
      <c r="D11" s="1" t="s">
        <v>29</v>
      </c>
      <c r="E11" s="3">
        <v>88.16</v>
      </c>
      <c r="F11" s="6">
        <f>+E11*I11</f>
        <v>222939.451004</v>
      </c>
      <c r="G11" s="6">
        <f>+[7]Main!$J$5-[7]Main!$J$6</f>
        <v>-22550</v>
      </c>
      <c r="H11" s="6">
        <f t="shared" si="0"/>
        <v>245489.451004</v>
      </c>
      <c r="I11" s="6">
        <f>+[7]Main!$J$3</f>
        <v>2528.8050250000001</v>
      </c>
      <c r="J11" s="3" t="s">
        <v>16</v>
      </c>
      <c r="K11" s="9">
        <v>44817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>F12-G12</f>
        <v>196195.4</v>
      </c>
      <c r="I12" s="6">
        <f>+[8]Main!$K$3</f>
        <v>1560</v>
      </c>
      <c r="J12" s="3" t="s">
        <v>310</v>
      </c>
      <c r="K12" s="9">
        <v>44849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7">
        <v>9860.5</v>
      </c>
      <c r="F13" s="6">
        <f>+E13*I13/100*GBP</f>
        <v>172282.65600000002</v>
      </c>
      <c r="G13" s="6">
        <f>+[8]Main!$K$5-[8]Main!$K$6</f>
        <v>-24689</v>
      </c>
      <c r="H13" s="6">
        <f>F13-G13</f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>F14-G14</f>
        <v>186455.84294328</v>
      </c>
      <c r="I14" s="6">
        <f>+[9]Main!$K$3</f>
        <v>2182.7885879999999</v>
      </c>
      <c r="J14" s="3" t="s">
        <v>310</v>
      </c>
      <c r="K14" s="9">
        <v>44834</v>
      </c>
    </row>
    <row r="15" spans="1:29" x14ac:dyDescent="0.2">
      <c r="A15" t="s">
        <v>344</v>
      </c>
      <c r="B15" s="1">
        <f t="shared" si="1"/>
        <v>10</v>
      </c>
      <c r="C15" s="5" t="s">
        <v>32</v>
      </c>
      <c r="D15" s="1" t="s">
        <v>33</v>
      </c>
      <c r="E15" s="3">
        <v>75.03</v>
      </c>
      <c r="F15" s="6">
        <f>+E15*I15</f>
        <v>160208.19450474001</v>
      </c>
      <c r="G15" s="6">
        <f>+[10]Main!$K$5-[10]Main!$K$6</f>
        <v>-28832</v>
      </c>
      <c r="H15" s="6">
        <f>F15-G15</f>
        <v>189040.19450474001</v>
      </c>
      <c r="I15" s="6">
        <f>+[10]Main!$K$3</f>
        <v>2135.2551579999999</v>
      </c>
      <c r="J15" s="3" t="s">
        <v>310</v>
      </c>
      <c r="K15" s="9">
        <v>44839</v>
      </c>
    </row>
    <row r="16" spans="1:29" x14ac:dyDescent="0.2">
      <c r="A16" t="s">
        <v>344</v>
      </c>
      <c r="B16" s="1">
        <f t="shared" si="1"/>
        <v>11</v>
      </c>
      <c r="C16" s="5" t="s">
        <v>34</v>
      </c>
      <c r="D16" s="1" t="s">
        <v>35</v>
      </c>
      <c r="E16" s="7">
        <v>230.55</v>
      </c>
      <c r="F16" s="6">
        <f>+E16*I16</f>
        <v>123328.3074675</v>
      </c>
      <c r="G16" s="6">
        <f>[11]Main!$J$5-[11]Main!$J$6</f>
        <v>-29339</v>
      </c>
      <c r="H16" s="6">
        <f t="shared" si="0"/>
        <v>152667.30746749998</v>
      </c>
      <c r="I16" s="6">
        <f>+[11]Main!$J$3</f>
        <v>534.93084999999996</v>
      </c>
      <c r="J16" s="3" t="s">
        <v>310</v>
      </c>
      <c r="K16" s="9">
        <v>44837</v>
      </c>
    </row>
    <row r="17" spans="1:11" x14ac:dyDescent="0.2">
      <c r="A17" t="s">
        <v>344</v>
      </c>
      <c r="B17" s="1">
        <f t="shared" si="1"/>
        <v>12</v>
      </c>
      <c r="C17" s="5" t="s">
        <v>36</v>
      </c>
      <c r="D17" s="1" t="s">
        <v>37</v>
      </c>
      <c r="E17" s="7">
        <v>49.2</v>
      </c>
      <c r="F17" s="6">
        <f>E17*[12]Main!$K$3*2</f>
        <v>123098.40000000001</v>
      </c>
      <c r="G17" s="6">
        <f>([12]Main!$K$5-[12]Main!$K$6)*EUR</f>
        <v>-12400.887000000001</v>
      </c>
      <c r="H17" s="6">
        <f t="shared" ref="H17:H31" si="3">F17-G17</f>
        <v>135499.28700000001</v>
      </c>
      <c r="I17" s="6">
        <f>+[12]Main!$K$3</f>
        <v>1251</v>
      </c>
      <c r="J17" s="3" t="s">
        <v>310</v>
      </c>
      <c r="K17" s="9">
        <v>44840</v>
      </c>
    </row>
    <row r="18" spans="1:11" x14ac:dyDescent="0.2">
      <c r="A18" t="s">
        <v>344</v>
      </c>
      <c r="B18" s="1">
        <f>+B17+1</f>
        <v>13</v>
      </c>
      <c r="C18" s="5" t="s">
        <v>46</v>
      </c>
      <c r="D18" s="1" t="s">
        <v>47</v>
      </c>
      <c r="E18" s="7">
        <v>60.9</v>
      </c>
      <c r="F18" s="6">
        <f>+E18*I18</f>
        <v>76330.07429460001</v>
      </c>
      <c r="G18" s="6">
        <f>+[13]Main!$J$5-[13]Main!$J$6</f>
        <v>-19216</v>
      </c>
      <c r="H18" s="6">
        <f t="shared" si="3"/>
        <v>95546.07429460001</v>
      </c>
      <c r="I18" s="6">
        <f>+[13]Main!$J$3</f>
        <v>1253.3673940000001</v>
      </c>
      <c r="J18" s="3" t="s">
        <v>310</v>
      </c>
      <c r="K18" s="9">
        <v>44819</v>
      </c>
    </row>
    <row r="19" spans="1:11" x14ac:dyDescent="0.2">
      <c r="A19" t="s">
        <v>344</v>
      </c>
      <c r="B19" s="1">
        <f t="shared" si="1"/>
        <v>14</v>
      </c>
      <c r="C19" s="5" t="s">
        <v>40</v>
      </c>
      <c r="D19" s="1" t="s">
        <v>41</v>
      </c>
      <c r="E19" s="3">
        <v>31.02</v>
      </c>
      <c r="F19" s="6">
        <f>+E19*I19/2</f>
        <v>62427.75</v>
      </c>
      <c r="G19" s="6">
        <f>+[14]Main!$J$6-[14]Main!$J$7</f>
        <v>-19400</v>
      </c>
      <c r="H19" s="6">
        <f>F19-G19</f>
        <v>81827.75</v>
      </c>
      <c r="I19" s="6">
        <f>+[14]Main!$J$4</f>
        <v>4025</v>
      </c>
      <c r="J19" s="3" t="s">
        <v>310</v>
      </c>
      <c r="K19" s="9">
        <v>44821</v>
      </c>
    </row>
    <row r="20" spans="1:11" x14ac:dyDescent="0.2">
      <c r="A20" t="s">
        <v>344</v>
      </c>
      <c r="B20" s="1">
        <f>+B19</f>
        <v>14</v>
      </c>
      <c r="C20" s="5" t="s">
        <v>40</v>
      </c>
      <c r="D20" s="1" t="s">
        <v>42</v>
      </c>
      <c r="E20" s="6">
        <v>1332.8</v>
      </c>
      <c r="F20" s="6">
        <f>+E20*I20/100*GBP</f>
        <v>60082.624000000003</v>
      </c>
      <c r="G20" s="6">
        <f>+[14]Main!$J$6-[14]Main!$J$7</f>
        <v>-19400</v>
      </c>
      <c r="H20" s="6">
        <f>F20-G20</f>
        <v>79482.624000000011</v>
      </c>
      <c r="I20" s="6">
        <f>+I19</f>
        <v>4025</v>
      </c>
      <c r="J20" s="3" t="s">
        <v>310</v>
      </c>
      <c r="K20" s="9">
        <f>+K19</f>
        <v>44821</v>
      </c>
    </row>
    <row r="21" spans="1:11" x14ac:dyDescent="0.2">
      <c r="A21" t="s">
        <v>344</v>
      </c>
      <c r="B21" s="1">
        <f t="shared" si="1"/>
        <v>15</v>
      </c>
      <c r="C21" s="5" t="s">
        <v>43</v>
      </c>
      <c r="D21" s="1" t="s">
        <v>44</v>
      </c>
      <c r="E21" s="7">
        <v>175.1</v>
      </c>
      <c r="F21" s="6">
        <f>+E21*I21</f>
        <v>76168.5</v>
      </c>
      <c r="G21" s="6">
        <f>([15]Main!$J$5-[15]Main!$J$6)*EUR</f>
        <v>-10341.057960000002</v>
      </c>
      <c r="H21" s="6">
        <f t="shared" si="3"/>
        <v>86509.557960000006</v>
      </c>
      <c r="I21" s="3">
        <v>435</v>
      </c>
      <c r="J21" s="3" t="s">
        <v>310</v>
      </c>
      <c r="K21" s="9">
        <v>44813</v>
      </c>
    </row>
    <row r="22" spans="1:11" x14ac:dyDescent="0.2">
      <c r="A22" s="1" t="s">
        <v>344</v>
      </c>
      <c r="B22" s="1">
        <f t="shared" si="1"/>
        <v>16</v>
      </c>
      <c r="C22" s="5" t="s">
        <v>263</v>
      </c>
      <c r="D22" t="s">
        <v>264</v>
      </c>
      <c r="E22" s="7">
        <v>47.814999999999998</v>
      </c>
      <c r="F22" s="6">
        <f>+E22*I22*EUR</f>
        <v>47787.06963279</v>
      </c>
      <c r="G22" s="6">
        <f>([16]Main!$J$5-[16]Main!$J$6)</f>
        <v>-36575</v>
      </c>
      <c r="H22" s="6">
        <f>+F22-G22</f>
        <v>84362.069632789993</v>
      </c>
      <c r="I22" s="6">
        <f>+[16]Main!$J$3</f>
        <v>982.42</v>
      </c>
      <c r="J22" s="3" t="s">
        <v>310</v>
      </c>
      <c r="K22" s="9">
        <v>44837</v>
      </c>
    </row>
    <row r="23" spans="1:11" x14ac:dyDescent="0.2">
      <c r="A23" t="s">
        <v>344</v>
      </c>
      <c r="B23" s="1">
        <f t="shared" si="1"/>
        <v>17</v>
      </c>
      <c r="C23" s="5" t="s">
        <v>45</v>
      </c>
      <c r="D23" s="1" t="s">
        <v>45</v>
      </c>
      <c r="E23" s="7">
        <v>255.99</v>
      </c>
      <c r="F23" s="6">
        <f>+E23*I23*AUD</f>
        <v>82472.633374629047</v>
      </c>
      <c r="G23" s="6">
        <f>[17]Main!$J$5-[17]Main!$J$6</f>
        <v>778.60000000000036</v>
      </c>
      <c r="H23" s="6">
        <f t="shared" si="3"/>
        <v>81694.033374629042</v>
      </c>
      <c r="I23" s="6">
        <f>+[17]Main!$J$3</f>
        <v>470.117188</v>
      </c>
      <c r="J23" s="3" t="s">
        <v>310</v>
      </c>
      <c r="K23" s="9">
        <v>44845</v>
      </c>
    </row>
    <row r="24" spans="1:11" x14ac:dyDescent="0.2">
      <c r="A24" t="s">
        <v>344</v>
      </c>
      <c r="B24" s="1">
        <f t="shared" si="1"/>
        <v>18</v>
      </c>
      <c r="C24" s="5" t="s">
        <v>62</v>
      </c>
      <c r="D24" s="1" t="s">
        <v>63</v>
      </c>
      <c r="E24" s="3">
        <v>13.12</v>
      </c>
      <c r="F24" s="6">
        <f>+E24*2*I24</f>
        <v>40559.315495039998</v>
      </c>
      <c r="G24" s="6">
        <f>([18]Main!$K$6-[18]Main!$K$7)/JPY</f>
        <v>-28305.661165656984</v>
      </c>
      <c r="H24" s="6">
        <f>+F24-G24</f>
        <v>68864.976660696979</v>
      </c>
      <c r="I24" s="6">
        <f>+[18]Main!$K$4</f>
        <v>1545.7056210000001</v>
      </c>
      <c r="J24" s="3" t="s">
        <v>310</v>
      </c>
      <c r="K24" s="9">
        <v>44824</v>
      </c>
    </row>
    <row r="25" spans="1:11" x14ac:dyDescent="0.2">
      <c r="A25" t="s">
        <v>344</v>
      </c>
      <c r="B25" s="1">
        <f>+B24</f>
        <v>18</v>
      </c>
      <c r="C25" s="5" t="s">
        <v>62</v>
      </c>
      <c r="D25" s="1" t="s">
        <v>345</v>
      </c>
      <c r="E25" s="6">
        <v>3842</v>
      </c>
      <c r="F25" s="6">
        <f>+E25*I25/JPY</f>
        <v>41352.280453185704</v>
      </c>
      <c r="G25" s="6">
        <f>([18]Main!$K$6-[18]Main!$K$7)/JPY</f>
        <v>-28305.661165656984</v>
      </c>
      <c r="H25" s="6">
        <f>+F25-G25</f>
        <v>69657.941618842684</v>
      </c>
      <c r="I25" s="6">
        <f>+[18]Main!$K$4</f>
        <v>1545.7056210000001</v>
      </c>
      <c r="J25" s="3" t="s">
        <v>310</v>
      </c>
      <c r="K25" s="9">
        <v>44824</v>
      </c>
    </row>
    <row r="26" spans="1:11" x14ac:dyDescent="0.2">
      <c r="A26" t="s">
        <v>344</v>
      </c>
      <c r="B26" s="1">
        <f t="shared" si="1"/>
        <v>19</v>
      </c>
      <c r="C26" s="5" t="s">
        <v>48</v>
      </c>
      <c r="D26" s="1" t="s">
        <v>49</v>
      </c>
      <c r="E26" s="7">
        <v>288</v>
      </c>
      <c r="F26" s="6">
        <f>+E26*[19]Main!$M$3</f>
        <v>73728</v>
      </c>
      <c r="G26" s="6">
        <f>+[19]Main!$M$5-[19]Main!$M$6</f>
        <v>9253.4</v>
      </c>
      <c r="H26" s="6">
        <f t="shared" si="3"/>
        <v>64474.6</v>
      </c>
      <c r="I26" s="6">
        <f>+[19]Main!$M$3</f>
        <v>256</v>
      </c>
      <c r="J26" s="3" t="s">
        <v>16</v>
      </c>
      <c r="K26" s="9">
        <v>44845</v>
      </c>
    </row>
    <row r="27" spans="1:11" x14ac:dyDescent="0.2">
      <c r="A27" t="s">
        <v>344</v>
      </c>
      <c r="B27" s="1">
        <f t="shared" si="1"/>
        <v>20</v>
      </c>
      <c r="C27" s="5" t="s">
        <v>52</v>
      </c>
      <c r="D27" s="1" t="s">
        <v>53</v>
      </c>
      <c r="E27" s="7">
        <v>700</v>
      </c>
      <c r="F27" s="6">
        <f>+E27*I27</f>
        <v>76662.702200000014</v>
      </c>
      <c r="G27" s="6">
        <f>+[20]Main!$J$5-[20]Main!$J$6</f>
        <v>12001.599999999999</v>
      </c>
      <c r="H27" s="6">
        <f t="shared" si="3"/>
        <v>64661.102200000016</v>
      </c>
      <c r="I27" s="6">
        <f>+[20]Main!$J$3</f>
        <v>109.51814600000002</v>
      </c>
      <c r="J27" s="3" t="s">
        <v>310</v>
      </c>
      <c r="K27" s="9">
        <v>44820</v>
      </c>
    </row>
    <row r="28" spans="1:11" x14ac:dyDescent="0.2">
      <c r="A28" s="1" t="s">
        <v>344</v>
      </c>
      <c r="B28" s="1">
        <f t="shared" si="1"/>
        <v>21</v>
      </c>
      <c r="C28" s="5" t="s">
        <v>84</v>
      </c>
      <c r="D28" s="1" t="s">
        <v>85</v>
      </c>
      <c r="E28" s="6">
        <v>4150</v>
      </c>
      <c r="F28" s="6">
        <f>+E28*I28/JPY</f>
        <v>55391.667404776817</v>
      </c>
      <c r="G28" s="6">
        <f>([21]Main!$M$5-[21]Main!$M$6)</f>
        <v>780.00599999999986</v>
      </c>
      <c r="H28" s="6">
        <f>+F28-G28</f>
        <v>54611.661404776816</v>
      </c>
      <c r="I28" s="6">
        <f>+[21]Main!$M$3</f>
        <v>1916.81864</v>
      </c>
      <c r="J28" s="3" t="s">
        <v>310</v>
      </c>
      <c r="K28" s="9">
        <v>44847</v>
      </c>
    </row>
    <row r="29" spans="1:11" x14ac:dyDescent="0.2">
      <c r="A29" s="1" t="s">
        <v>344</v>
      </c>
      <c r="B29" s="1">
        <f t="shared" si="1"/>
        <v>22</v>
      </c>
      <c r="C29" s="5" t="s">
        <v>265</v>
      </c>
      <c r="D29" t="s">
        <v>266</v>
      </c>
      <c r="E29" s="6">
        <v>807000</v>
      </c>
      <c r="F29" s="6" cm="1">
        <f t="array" ref="F29">+E29*I29/KRW</f>
        <v>40081.938590369857</v>
      </c>
      <c r="G29" s="6">
        <f>([22]Main!$M$5-[22]Main!$M$6)/KRW*1000</f>
        <v>648.63921842288903</v>
      </c>
      <c r="H29" s="6">
        <f>+F29-G29</f>
        <v>39433.299371946967</v>
      </c>
      <c r="I29" s="6">
        <f>+[22]Main!$M$3</f>
        <v>71.174000000000007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 t="shared" si="1"/>
        <v>23</v>
      </c>
      <c r="C30" s="14" t="s">
        <v>56</v>
      </c>
      <c r="D30" s="1" t="s">
        <v>57</v>
      </c>
      <c r="E30" s="6">
        <v>3626</v>
      </c>
      <c r="F30" s="6">
        <f>+E30*I30/JPY</f>
        <v>41524.161733486522</v>
      </c>
      <c r="G30" s="6">
        <f>([23]Main!$J$5-[23]Main!$J$6)/JPY</f>
        <v>4140.0320311955984</v>
      </c>
      <c r="H30" s="6">
        <f>+F30-G30</f>
        <v>37384.129702290928</v>
      </c>
      <c r="I30" s="6">
        <f>+[23]Main!$J$3</f>
        <v>1644.5904210000001</v>
      </c>
      <c r="J30" s="3" t="s">
        <v>310</v>
      </c>
      <c r="K30" s="9">
        <v>44834</v>
      </c>
    </row>
    <row r="31" spans="1:11" x14ac:dyDescent="0.2">
      <c r="A31" t="s">
        <v>344</v>
      </c>
      <c r="B31" s="1">
        <f t="shared" si="1"/>
        <v>24</v>
      </c>
      <c r="C31" s="14" t="s">
        <v>54</v>
      </c>
      <c r="D31" s="1" t="s">
        <v>55</v>
      </c>
      <c r="E31" s="7">
        <v>142</v>
      </c>
      <c r="F31" s="6">
        <f>+E31*I31</f>
        <v>55550.335248000003</v>
      </c>
      <c r="G31" s="6">
        <f>+[24]Main!$L$5-[24]Main!$L$6</f>
        <v>18059</v>
      </c>
      <c r="H31" s="6">
        <f t="shared" si="3"/>
        <v>37491.335248000003</v>
      </c>
      <c r="I31" s="6">
        <f>+[24]Main!$L$3</f>
        <v>391.199544</v>
      </c>
      <c r="J31" s="3" t="s">
        <v>310</v>
      </c>
      <c r="K31" s="9">
        <v>44814</v>
      </c>
    </row>
    <row r="32" spans="1:11" x14ac:dyDescent="0.2">
      <c r="A32" t="s">
        <v>344</v>
      </c>
      <c r="B32" s="1">
        <f t="shared" si="1"/>
        <v>25</v>
      </c>
      <c r="C32" s="5" t="s">
        <v>271</v>
      </c>
      <c r="D32" t="s">
        <v>272</v>
      </c>
      <c r="E32" s="7">
        <v>250</v>
      </c>
      <c r="F32" s="6">
        <f>+E32*I32</f>
        <v>36278.261749999998</v>
      </c>
      <c r="G32" s="6">
        <f>+[25]Main!$J$5-[25]Main!$J$6</f>
        <v>124.39999999999964</v>
      </c>
      <c r="H32" s="6">
        <f>+F32-G32</f>
        <v>36153.861749999996</v>
      </c>
      <c r="I32" s="6">
        <f>+[25]Main!$J$3</f>
        <v>145.11304699999999</v>
      </c>
      <c r="J32" s="3" t="s">
        <v>310</v>
      </c>
      <c r="K32" s="9">
        <v>44848</v>
      </c>
    </row>
    <row r="33" spans="1:29" x14ac:dyDescent="0.2">
      <c r="A33" s="1" t="s">
        <v>344</v>
      </c>
      <c r="B33" s="1">
        <f t="shared" si="1"/>
        <v>26</v>
      </c>
      <c r="C33" s="5" t="s">
        <v>76</v>
      </c>
      <c r="D33" s="1" t="s">
        <v>77</v>
      </c>
      <c r="E33" s="3">
        <v>8.69</v>
      </c>
      <c r="F33" s="6">
        <f>E33*[26]Main!$M$3</f>
        <v>10537.3283686</v>
      </c>
      <c r="G33" s="6">
        <f>[26]Main!$M$5-[26]Main!$M$6</f>
        <v>-18665.5</v>
      </c>
      <c r="H33" s="6">
        <f>F33-G33</f>
        <v>29202.8283686</v>
      </c>
      <c r="I33" s="6">
        <f>+[26]Main!$M$3</f>
        <v>1212.5809400000001</v>
      </c>
      <c r="J33" s="3" t="s">
        <v>310</v>
      </c>
      <c r="K33" s="9">
        <v>44828</v>
      </c>
    </row>
    <row r="34" spans="1:29" x14ac:dyDescent="0.2">
      <c r="A34" s="1" t="s">
        <v>344</v>
      </c>
      <c r="B34" s="1">
        <f t="shared" si="1"/>
        <v>27</v>
      </c>
      <c r="C34" s="5" t="s">
        <v>74</v>
      </c>
      <c r="D34" s="1" t="s">
        <v>75</v>
      </c>
      <c r="E34" s="7">
        <v>150.91</v>
      </c>
      <c r="F34" s="6">
        <f>+E34*I34</f>
        <v>36623.653864910004</v>
      </c>
      <c r="G34" s="6">
        <f>+[27]Main!$K$5-[27]Main!$K$6</f>
        <v>8320.9</v>
      </c>
      <c r="H34" s="6">
        <f>+F34-G34</f>
        <v>28302.753864910002</v>
      </c>
      <c r="I34" s="6">
        <f>+[27]Main!$K$3</f>
        <v>242.68540100000001</v>
      </c>
      <c r="J34" s="3" t="s">
        <v>310</v>
      </c>
      <c r="K34" s="9">
        <v>44815</v>
      </c>
    </row>
    <row r="35" spans="1:29" x14ac:dyDescent="0.2">
      <c r="A35" s="1" t="s">
        <v>344</v>
      </c>
      <c r="B35" s="1">
        <f t="shared" si="1"/>
        <v>28</v>
      </c>
      <c r="C35" s="5" t="s">
        <v>267</v>
      </c>
      <c r="D35" s="1" t="s">
        <v>268</v>
      </c>
      <c r="E35" s="7">
        <v>48.3</v>
      </c>
      <c r="F35" s="6" cm="1">
        <f t="array" ref="F35">+E35*I35/HKD</f>
        <v>26232.919453643313</v>
      </c>
      <c r="G35" s="6">
        <f>([28]Main!$J$5-[28]Main!$J$6)/HKD</f>
        <v>985.39847133757974</v>
      </c>
      <c r="H35" s="6">
        <f>+F35-G35</f>
        <v>25247.520982305734</v>
      </c>
      <c r="I35" s="6">
        <f>+[28]Main!$J$3</f>
        <v>4263.5283170000002</v>
      </c>
      <c r="J35" s="3" t="s">
        <v>310</v>
      </c>
      <c r="K35" s="9">
        <v>44838</v>
      </c>
      <c r="AC35" s="1">
        <v>2014</v>
      </c>
    </row>
    <row r="36" spans="1:29" x14ac:dyDescent="0.2">
      <c r="A36" s="1" t="s">
        <v>344</v>
      </c>
      <c r="B36" s="1">
        <f t="shared" si="1"/>
        <v>29</v>
      </c>
      <c r="C36" s="5" t="s">
        <v>72</v>
      </c>
      <c r="D36" s="1" t="s">
        <v>73</v>
      </c>
      <c r="E36" s="7">
        <v>133.4</v>
      </c>
      <c r="F36" s="6">
        <f>+E36*I36</f>
        <v>24603.689830399999</v>
      </c>
      <c r="G36" s="6">
        <f>+[29]Main!$K$5-[29]Main!$K$6</f>
        <v>1850.3220000000001</v>
      </c>
      <c r="H36" s="6">
        <f>+F36-G36</f>
        <v>22753.367830399999</v>
      </c>
      <c r="I36" s="6">
        <f>+[29]Main!$K$3</f>
        <v>184.43545599999999</v>
      </c>
      <c r="J36" s="3" t="s">
        <v>310</v>
      </c>
      <c r="K36" s="9">
        <v>44847</v>
      </c>
    </row>
    <row r="37" spans="1:29" x14ac:dyDescent="0.2">
      <c r="A37" t="s">
        <v>344</v>
      </c>
      <c r="B37" s="1">
        <f t="shared" si="1"/>
        <v>30</v>
      </c>
      <c r="C37" t="s">
        <v>269</v>
      </c>
      <c r="D37" t="s">
        <v>270</v>
      </c>
      <c r="K37" s="9"/>
    </row>
    <row r="38" spans="1:29" x14ac:dyDescent="0.2">
      <c r="A38" t="s">
        <v>344</v>
      </c>
      <c r="B38" s="1">
        <f t="shared" si="1"/>
        <v>31</v>
      </c>
      <c r="C38" s="1" t="s">
        <v>66</v>
      </c>
      <c r="D38" s="1" t="s">
        <v>67</v>
      </c>
      <c r="E38" s="3">
        <v>63.83</v>
      </c>
      <c r="K38" s="9"/>
    </row>
    <row r="39" spans="1:29" x14ac:dyDescent="0.2">
      <c r="A39" s="1" t="s">
        <v>344</v>
      </c>
      <c r="B39" s="1">
        <f t="shared" si="1"/>
        <v>32</v>
      </c>
      <c r="C39" s="1" t="s">
        <v>82</v>
      </c>
      <c r="D39" s="1" t="s">
        <v>83</v>
      </c>
      <c r="E39" s="6">
        <v>1978</v>
      </c>
      <c r="K39" s="9"/>
    </row>
    <row r="40" spans="1:29" x14ac:dyDescent="0.2">
      <c r="A40" t="s">
        <v>344</v>
      </c>
      <c r="B40" s="1">
        <f t="shared" si="1"/>
        <v>33</v>
      </c>
      <c r="C40" t="s">
        <v>275</v>
      </c>
      <c r="D40" t="s">
        <v>276</v>
      </c>
      <c r="E40" s="6"/>
      <c r="K40" s="9"/>
    </row>
    <row r="41" spans="1:29" x14ac:dyDescent="0.2">
      <c r="A41" s="1" t="s">
        <v>344</v>
      </c>
      <c r="B41" s="1">
        <f t="shared" si="1"/>
        <v>34</v>
      </c>
      <c r="C41" s="1" t="s">
        <v>78</v>
      </c>
      <c r="D41" s="1" t="s">
        <v>79</v>
      </c>
      <c r="E41" s="3">
        <v>39.35</v>
      </c>
      <c r="K41" s="9"/>
    </row>
    <row r="42" spans="1:29" x14ac:dyDescent="0.2">
      <c r="A42" t="s">
        <v>344</v>
      </c>
      <c r="B42" s="1">
        <f t="shared" si="1"/>
        <v>35</v>
      </c>
      <c r="C42" t="s">
        <v>273</v>
      </c>
      <c r="D42" t="s">
        <v>274</v>
      </c>
      <c r="K42" s="9"/>
    </row>
    <row r="43" spans="1:29" x14ac:dyDescent="0.2">
      <c r="A43" s="1" t="s">
        <v>344</v>
      </c>
      <c r="B43" s="1">
        <f t="shared" si="1"/>
        <v>36</v>
      </c>
      <c r="C43" t="s">
        <v>286</v>
      </c>
      <c r="D43" t="s">
        <v>287</v>
      </c>
      <c r="K43" s="9"/>
    </row>
    <row r="44" spans="1:29" x14ac:dyDescent="0.2">
      <c r="A44" t="s">
        <v>344</v>
      </c>
      <c r="B44" s="1">
        <f t="shared" si="1"/>
        <v>37</v>
      </c>
      <c r="C44" t="s">
        <v>417</v>
      </c>
      <c r="D44" t="s">
        <v>418</v>
      </c>
      <c r="K44" s="9"/>
    </row>
    <row r="45" spans="1:29" x14ac:dyDescent="0.2">
      <c r="A45" t="s">
        <v>344</v>
      </c>
      <c r="B45" s="1">
        <f t="shared" si="1"/>
        <v>38</v>
      </c>
      <c r="C45" t="s">
        <v>419</v>
      </c>
      <c r="D45" t="s">
        <v>420</v>
      </c>
      <c r="K45" s="9"/>
    </row>
    <row r="46" spans="1:29" x14ac:dyDescent="0.2">
      <c r="A46" t="s">
        <v>344</v>
      </c>
      <c r="B46" s="1">
        <f t="shared" si="1"/>
        <v>39</v>
      </c>
      <c r="C46" t="s">
        <v>421</v>
      </c>
      <c r="D46" t="s">
        <v>422</v>
      </c>
      <c r="K46" s="9"/>
    </row>
    <row r="47" spans="1:29" x14ac:dyDescent="0.2">
      <c r="A47" t="s">
        <v>344</v>
      </c>
      <c r="B47" s="1">
        <f t="shared" si="1"/>
        <v>40</v>
      </c>
      <c r="C47" t="s">
        <v>423</v>
      </c>
      <c r="D47" t="s">
        <v>424</v>
      </c>
      <c r="K47" s="9"/>
    </row>
    <row r="48" spans="1:29" x14ac:dyDescent="0.2">
      <c r="A48" t="s">
        <v>344</v>
      </c>
      <c r="B48" s="1">
        <f t="shared" si="1"/>
        <v>41</v>
      </c>
      <c r="C48" t="s">
        <v>425</v>
      </c>
      <c r="D48" t="s">
        <v>426</v>
      </c>
      <c r="K48" s="9"/>
    </row>
    <row r="49" spans="1:11" x14ac:dyDescent="0.2">
      <c r="A49" t="s">
        <v>344</v>
      </c>
      <c r="B49" s="1">
        <f t="shared" si="1"/>
        <v>42</v>
      </c>
      <c r="C49" t="s">
        <v>427</v>
      </c>
      <c r="D49" t="s">
        <v>428</v>
      </c>
      <c r="K49" s="9"/>
    </row>
    <row r="50" spans="1:11" x14ac:dyDescent="0.2">
      <c r="B50" s="1">
        <f t="shared" si="1"/>
        <v>43</v>
      </c>
      <c r="C50" s="1" t="s">
        <v>68</v>
      </c>
      <c r="D50" s="1" t="s">
        <v>69</v>
      </c>
      <c r="E50" s="6">
        <v>4360</v>
      </c>
      <c r="K50" s="9"/>
    </row>
    <row r="51" spans="1:11" x14ac:dyDescent="0.2">
      <c r="B51" s="1">
        <f t="shared" si="1"/>
        <v>44</v>
      </c>
      <c r="C51" t="s">
        <v>364</v>
      </c>
      <c r="D51" t="s">
        <v>365</v>
      </c>
      <c r="E51" s="6"/>
      <c r="K51" s="9"/>
    </row>
    <row r="52" spans="1:11" x14ac:dyDescent="0.2">
      <c r="B52" s="1">
        <f>B57+1</f>
        <v>50</v>
      </c>
      <c r="C52" s="5" t="s">
        <v>58</v>
      </c>
      <c r="D52" s="1" t="s">
        <v>59</v>
      </c>
      <c r="E52" s="7">
        <v>198</v>
      </c>
      <c r="F52" s="6">
        <f>+E52*I52</f>
        <v>23765.258682</v>
      </c>
      <c r="G52" s="6">
        <f>+[30]Main!$L$5-[30]Main!$L$6</f>
        <v>267.96899999999982</v>
      </c>
      <c r="H52" s="6">
        <f>F52-G52</f>
        <v>23497.289681999999</v>
      </c>
      <c r="I52" s="6">
        <f>+[30]Main!$L$3</f>
        <v>120.02655900000001</v>
      </c>
      <c r="J52" s="3" t="s">
        <v>310</v>
      </c>
      <c r="K52" s="9">
        <v>44857</v>
      </c>
    </row>
    <row r="53" spans="1:11" x14ac:dyDescent="0.2">
      <c r="B53" s="1">
        <f>B51+1</f>
        <v>45</v>
      </c>
      <c r="C53" s="5" t="s">
        <v>70</v>
      </c>
      <c r="D53" s="1" t="s">
        <v>71</v>
      </c>
      <c r="E53" s="7">
        <v>89</v>
      </c>
      <c r="F53" s="6">
        <f>+E53*I53</f>
        <v>16507.174163</v>
      </c>
      <c r="G53" s="6">
        <f>+[31]Main!$L$5-[31]Main!$L$6</f>
        <v>441.20299999999997</v>
      </c>
      <c r="H53" s="6">
        <f>F53-G53</f>
        <v>16065.971163</v>
      </c>
      <c r="I53" s="6">
        <f>+[31]Main!$L$3</f>
        <v>185.47386700000001</v>
      </c>
      <c r="J53" s="3" t="s">
        <v>310</v>
      </c>
      <c r="K53" s="9">
        <v>44858</v>
      </c>
    </row>
    <row r="54" spans="1:11" x14ac:dyDescent="0.2">
      <c r="B54" s="1">
        <f t="shared" si="1"/>
        <v>46</v>
      </c>
      <c r="C54" s="5" t="s">
        <v>50</v>
      </c>
      <c r="D54" s="1" t="s">
        <v>51</v>
      </c>
      <c r="E54" s="3">
        <v>71.27</v>
      </c>
      <c r="F54" s="6">
        <f>+E54*[32]Main!$K$3</f>
        <v>15786.66213397</v>
      </c>
      <c r="G54" s="6">
        <f>+[32]Main!$K$5-[32]Main!$K$6</f>
        <v>2721</v>
      </c>
      <c r="H54" s="6">
        <f>F54-G54</f>
        <v>13065.66213397</v>
      </c>
      <c r="J54" s="3" t="s">
        <v>16</v>
      </c>
      <c r="K54" s="9"/>
    </row>
    <row r="55" spans="1:11" x14ac:dyDescent="0.2">
      <c r="B55" s="1">
        <f t="shared" si="1"/>
        <v>47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>F55-G55</f>
        <v>9508.0312223400015</v>
      </c>
      <c r="I55" s="6">
        <v>95.639320999999995</v>
      </c>
      <c r="J55" s="3" t="s">
        <v>310</v>
      </c>
      <c r="K55" s="9">
        <v>44848</v>
      </c>
    </row>
    <row r="56" spans="1:11" x14ac:dyDescent="0.2">
      <c r="B56" s="1">
        <f t="shared" si="1"/>
        <v>48</v>
      </c>
      <c r="C56" s="5" t="s">
        <v>60</v>
      </c>
      <c r="D56" s="1" t="s">
        <v>61</v>
      </c>
      <c r="E56" s="3">
        <v>28.54</v>
      </c>
    </row>
    <row r="57" spans="1:11" x14ac:dyDescent="0.2">
      <c r="B57" s="1">
        <f t="shared" si="1"/>
        <v>49</v>
      </c>
      <c r="C57" s="1" t="s">
        <v>64</v>
      </c>
      <c r="D57" s="1" t="s">
        <v>65</v>
      </c>
      <c r="E57" s="3">
        <v>349.96</v>
      </c>
    </row>
    <row r="58" spans="1:11" x14ac:dyDescent="0.2">
      <c r="B58" s="1">
        <f>B52+1</f>
        <v>51</v>
      </c>
      <c r="C58" s="5" t="s">
        <v>80</v>
      </c>
      <c r="D58" s="1" t="s">
        <v>81</v>
      </c>
      <c r="E58" s="7">
        <v>132.13999999999999</v>
      </c>
      <c r="F58" s="6">
        <f>E58*[33]Main!$L$3</f>
        <v>13539.443113239999</v>
      </c>
      <c r="G58" s="6">
        <f>[33]Main!$L$5-[33]Main!$L$6</f>
        <v>5643.241</v>
      </c>
      <c r="H58" s="6">
        <f>F58-G58</f>
        <v>7896.2021132399987</v>
      </c>
      <c r="J58" s="3" t="s">
        <v>16</v>
      </c>
    </row>
    <row r="59" spans="1:11" x14ac:dyDescent="0.2">
      <c r="B59" s="1">
        <f t="shared" si="1"/>
        <v>52</v>
      </c>
      <c r="C59" s="1" t="s">
        <v>86</v>
      </c>
      <c r="D59" s="1" t="s">
        <v>87</v>
      </c>
      <c r="E59" s="3">
        <v>11.57</v>
      </c>
    </row>
    <row r="60" spans="1:11" x14ac:dyDescent="0.2">
      <c r="A60" s="1" t="s">
        <v>344</v>
      </c>
      <c r="B60" s="1">
        <f t="shared" si="1"/>
        <v>53</v>
      </c>
      <c r="C60" t="s">
        <v>282</v>
      </c>
      <c r="D60" t="s">
        <v>283</v>
      </c>
    </row>
    <row r="61" spans="1:11" x14ac:dyDescent="0.2">
      <c r="B61" s="1">
        <f t="shared" si="1"/>
        <v>54</v>
      </c>
      <c r="C61" s="1" t="s">
        <v>104</v>
      </c>
      <c r="D61" s="1" t="s">
        <v>105</v>
      </c>
      <c r="E61" s="3">
        <v>82.53</v>
      </c>
    </row>
    <row r="62" spans="1:11" x14ac:dyDescent="0.2">
      <c r="B62" s="1">
        <f t="shared" si="1"/>
        <v>55</v>
      </c>
      <c r="C62" s="5" t="s">
        <v>90</v>
      </c>
      <c r="D62" s="1" t="s">
        <v>91</v>
      </c>
      <c r="E62" s="7">
        <v>219.38</v>
      </c>
      <c r="F62" s="6">
        <f>E62*[34]Main!$K$3</f>
        <v>10464.426000000001</v>
      </c>
      <c r="G62" s="6">
        <f>[34]Main!$K$5-[34]Main!$K$6</f>
        <v>3027</v>
      </c>
      <c r="H62" s="6">
        <f>F62-G62</f>
        <v>7437.4260000000013</v>
      </c>
      <c r="J62" s="3" t="s">
        <v>16</v>
      </c>
    </row>
    <row r="63" spans="1:11" x14ac:dyDescent="0.2">
      <c r="B63" s="1">
        <f t="shared" si="1"/>
        <v>56</v>
      </c>
      <c r="C63" s="5" t="s">
        <v>136</v>
      </c>
      <c r="D63" s="1" t="s">
        <v>137</v>
      </c>
      <c r="E63" s="7">
        <v>57</v>
      </c>
      <c r="F63" s="6">
        <f>+E63*[35]Main!$L$3</f>
        <v>6071.7436259999995</v>
      </c>
      <c r="G63" s="6">
        <f>+[35]Main!$L$5-[35]Main!$L$6</f>
        <v>776.13</v>
      </c>
      <c r="H63" s="6">
        <f>+F63-G63</f>
        <v>5295.6136259999994</v>
      </c>
      <c r="J63" s="3" t="s">
        <v>16</v>
      </c>
    </row>
    <row r="64" spans="1:11" x14ac:dyDescent="0.2">
      <c r="B64" s="1">
        <f t="shared" si="1"/>
        <v>57</v>
      </c>
      <c r="C64" s="5" t="s">
        <v>305</v>
      </c>
      <c r="D64" t="s">
        <v>306</v>
      </c>
      <c r="E64" s="6">
        <v>1721.48</v>
      </c>
      <c r="F64" s="6">
        <f>+E64*I64/100*GBP</f>
        <v>4492.3742080000002</v>
      </c>
      <c r="G64" s="6">
        <f>+[36]Main!$K$5-[36]Main!$K$6</f>
        <v>-337</v>
      </c>
      <c r="H64" s="6">
        <f>+F64-G64</f>
        <v>4829.3742080000002</v>
      </c>
      <c r="I64" s="6">
        <f>+[36]Main!$K$3</f>
        <v>233</v>
      </c>
      <c r="J64" s="3" t="s">
        <v>23</v>
      </c>
    </row>
    <row r="65" spans="2:11" x14ac:dyDescent="0.2">
      <c r="B65" s="1">
        <f t="shared" si="1"/>
        <v>58</v>
      </c>
      <c r="C65" s="5" t="s">
        <v>138</v>
      </c>
      <c r="D65" s="1" t="s">
        <v>139</v>
      </c>
      <c r="E65" s="3">
        <v>28.03</v>
      </c>
      <c r="F65" s="6">
        <f>+I65*E65</f>
        <v>4604.0473282500006</v>
      </c>
      <c r="G65" s="6">
        <f>+[37]Main!$L$5-[37]Main!$L$6</f>
        <v>465.44</v>
      </c>
      <c r="H65" s="6">
        <f>+F65-G65</f>
        <v>4138.607328250001</v>
      </c>
      <c r="I65" s="6">
        <f>+[37]Main!$L$3</f>
        <v>164.25427500000001</v>
      </c>
      <c r="J65" s="3" t="s">
        <v>310</v>
      </c>
      <c r="K65" s="9">
        <v>44782</v>
      </c>
    </row>
    <row r="66" spans="2:11" x14ac:dyDescent="0.2">
      <c r="B66" s="1">
        <f t="shared" si="1"/>
        <v>59</v>
      </c>
      <c r="C66" s="1" t="s">
        <v>376</v>
      </c>
      <c r="D66" t="s">
        <v>377</v>
      </c>
    </row>
    <row r="67" spans="2:11" x14ac:dyDescent="0.2">
      <c r="B67" s="1">
        <f t="shared" si="1"/>
        <v>60</v>
      </c>
      <c r="C67" s="1" t="s">
        <v>393</v>
      </c>
      <c r="D67" t="s">
        <v>394</v>
      </c>
    </row>
    <row r="68" spans="2:11" x14ac:dyDescent="0.2">
      <c r="B68" s="1">
        <f t="shared" si="1"/>
        <v>61</v>
      </c>
      <c r="C68" s="1" t="s">
        <v>393</v>
      </c>
      <c r="D68" t="s">
        <v>395</v>
      </c>
    </row>
    <row r="69" spans="2:11" x14ac:dyDescent="0.2">
      <c r="B69" s="1">
        <f t="shared" si="1"/>
        <v>62</v>
      </c>
      <c r="C69" s="1" t="s">
        <v>94</v>
      </c>
      <c r="D69" s="1" t="s">
        <v>95</v>
      </c>
      <c r="E69" s="3">
        <v>142.91</v>
      </c>
    </row>
    <row r="70" spans="2:11" x14ac:dyDescent="0.2">
      <c r="B70" s="1">
        <f t="shared" si="1"/>
        <v>63</v>
      </c>
      <c r="C70" t="s">
        <v>279</v>
      </c>
      <c r="D70" t="s">
        <v>279</v>
      </c>
    </row>
    <row r="71" spans="2:11" x14ac:dyDescent="0.2">
      <c r="B71" s="1">
        <f t="shared" si="1"/>
        <v>64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1"/>
        <v>65</v>
      </c>
      <c r="C72" t="s">
        <v>380</v>
      </c>
      <c r="D72" t="s">
        <v>381</v>
      </c>
    </row>
    <row r="73" spans="2:11" x14ac:dyDescent="0.2">
      <c r="B73" s="1">
        <f t="shared" si="1"/>
        <v>66</v>
      </c>
      <c r="C73" t="s">
        <v>382</v>
      </c>
      <c r="D73" t="s">
        <v>383</v>
      </c>
    </row>
    <row r="74" spans="2:11" x14ac:dyDescent="0.2">
      <c r="B74" s="1">
        <f t="shared" si="1"/>
        <v>67</v>
      </c>
      <c r="C74" t="s">
        <v>384</v>
      </c>
      <c r="D74" t="s">
        <v>385</v>
      </c>
    </row>
    <row r="75" spans="2:11" x14ac:dyDescent="0.2">
      <c r="B75" s="1">
        <f t="shared" si="1"/>
        <v>68</v>
      </c>
      <c r="C75" t="s">
        <v>378</v>
      </c>
      <c r="D75" t="s">
        <v>379</v>
      </c>
    </row>
    <row r="76" spans="2:11" x14ac:dyDescent="0.2">
      <c r="B76" s="1">
        <f t="shared" si="1"/>
        <v>69</v>
      </c>
      <c r="C76" t="s">
        <v>284</v>
      </c>
      <c r="D76" t="s">
        <v>285</v>
      </c>
    </row>
    <row r="77" spans="2:11" x14ac:dyDescent="0.2">
      <c r="B77" s="1">
        <f t="shared" si="1"/>
        <v>70</v>
      </c>
      <c r="C77" t="s">
        <v>366</v>
      </c>
      <c r="D77" t="s">
        <v>367</v>
      </c>
    </row>
    <row r="78" spans="2:11" x14ac:dyDescent="0.2">
      <c r="B78" s="1">
        <f t="shared" ref="B78:B141" si="4">B77+1</f>
        <v>71</v>
      </c>
      <c r="C78" t="s">
        <v>370</v>
      </c>
      <c r="D78" t="s">
        <v>371</v>
      </c>
    </row>
    <row r="79" spans="2:11" x14ac:dyDescent="0.2">
      <c r="B79" s="1">
        <f t="shared" si="4"/>
        <v>72</v>
      </c>
      <c r="C79" t="s">
        <v>372</v>
      </c>
      <c r="D79" t="s">
        <v>373</v>
      </c>
    </row>
    <row r="80" spans="2:11" x14ac:dyDescent="0.2">
      <c r="B80" s="1">
        <f t="shared" si="4"/>
        <v>73</v>
      </c>
      <c r="C80" t="s">
        <v>368</v>
      </c>
      <c r="D80" t="s">
        <v>369</v>
      </c>
    </row>
    <row r="81" spans="2:5" x14ac:dyDescent="0.2">
      <c r="B81" s="1">
        <f t="shared" si="4"/>
        <v>74</v>
      </c>
      <c r="C81" t="s">
        <v>280</v>
      </c>
      <c r="D81" t="s">
        <v>281</v>
      </c>
    </row>
    <row r="82" spans="2:5" x14ac:dyDescent="0.2">
      <c r="B82" s="1">
        <f t="shared" si="4"/>
        <v>75</v>
      </c>
      <c r="C82" t="s">
        <v>277</v>
      </c>
      <c r="D82" t="s">
        <v>278</v>
      </c>
    </row>
    <row r="83" spans="2:5" x14ac:dyDescent="0.2">
      <c r="B83" s="1">
        <f t="shared" si="4"/>
        <v>76</v>
      </c>
      <c r="C83" t="s">
        <v>374</v>
      </c>
      <c r="D83" t="s">
        <v>375</v>
      </c>
    </row>
    <row r="84" spans="2:5" x14ac:dyDescent="0.2">
      <c r="B84" s="1">
        <f t="shared" si="4"/>
        <v>77</v>
      </c>
      <c r="C84" t="s">
        <v>261</v>
      </c>
      <c r="D84" t="s">
        <v>262</v>
      </c>
    </row>
    <row r="85" spans="2:5" x14ac:dyDescent="0.2">
      <c r="B85" s="1">
        <f t="shared" si="4"/>
        <v>78</v>
      </c>
      <c r="C85" s="1" t="s">
        <v>98</v>
      </c>
      <c r="D85" s="1" t="s">
        <v>99</v>
      </c>
      <c r="E85" s="3">
        <v>11.04</v>
      </c>
    </row>
    <row r="86" spans="2:5" x14ac:dyDescent="0.2">
      <c r="B86" s="1">
        <f t="shared" si="4"/>
        <v>79</v>
      </c>
      <c r="C86" t="s">
        <v>389</v>
      </c>
      <c r="D86" t="s">
        <v>390</v>
      </c>
      <c r="E86" s="7">
        <v>43.5</v>
      </c>
    </row>
    <row r="87" spans="2:5" x14ac:dyDescent="0.2">
      <c r="B87" s="1">
        <f t="shared" si="4"/>
        <v>80</v>
      </c>
      <c r="C87" s="1" t="s">
        <v>100</v>
      </c>
      <c r="D87" s="1" t="s">
        <v>101</v>
      </c>
      <c r="E87" s="3">
        <v>44.14</v>
      </c>
    </row>
    <row r="88" spans="2:5" x14ac:dyDescent="0.2">
      <c r="B88" s="1">
        <f t="shared" si="4"/>
        <v>81</v>
      </c>
      <c r="C88" s="1" t="s">
        <v>102</v>
      </c>
      <c r="D88" s="1" t="s">
        <v>103</v>
      </c>
      <c r="E88" s="3">
        <v>35.26</v>
      </c>
    </row>
    <row r="89" spans="2:5" x14ac:dyDescent="0.2">
      <c r="B89" s="1">
        <f t="shared" si="4"/>
        <v>82</v>
      </c>
      <c r="C89" s="1" t="s">
        <v>106</v>
      </c>
      <c r="D89" s="1" t="s">
        <v>107</v>
      </c>
      <c r="E89" s="3">
        <v>24.78</v>
      </c>
    </row>
    <row r="90" spans="2:5" x14ac:dyDescent="0.2">
      <c r="B90" s="1">
        <f t="shared" si="4"/>
        <v>83</v>
      </c>
      <c r="C90" s="1" t="s">
        <v>108</v>
      </c>
      <c r="D90" s="1" t="s">
        <v>109</v>
      </c>
      <c r="E90" s="3">
        <v>4.72</v>
      </c>
    </row>
    <row r="91" spans="2:5" x14ac:dyDescent="0.2">
      <c r="B91" s="1">
        <f t="shared" si="4"/>
        <v>84</v>
      </c>
      <c r="C91" s="1" t="s">
        <v>110</v>
      </c>
      <c r="D91" s="1" t="s">
        <v>111</v>
      </c>
      <c r="E91" s="3">
        <v>24.53</v>
      </c>
    </row>
    <row r="92" spans="2:5" x14ac:dyDescent="0.2">
      <c r="B92" s="1">
        <f t="shared" si="4"/>
        <v>85</v>
      </c>
      <c r="C92" s="1" t="s">
        <v>112</v>
      </c>
      <c r="D92" s="1" t="s">
        <v>113</v>
      </c>
      <c r="E92" s="3">
        <v>23.02</v>
      </c>
    </row>
    <row r="93" spans="2:5" x14ac:dyDescent="0.2">
      <c r="B93" s="1">
        <f t="shared" si="4"/>
        <v>86</v>
      </c>
      <c r="C93" s="1" t="s">
        <v>114</v>
      </c>
      <c r="D93" s="1" t="s">
        <v>115</v>
      </c>
      <c r="E93" s="3">
        <v>29.12</v>
      </c>
    </row>
    <row r="94" spans="2:5" x14ac:dyDescent="0.2">
      <c r="B94" s="1">
        <f t="shared" si="4"/>
        <v>87</v>
      </c>
      <c r="C94" s="1" t="s">
        <v>116</v>
      </c>
      <c r="D94" s="1" t="s">
        <v>117</v>
      </c>
      <c r="E94" s="3">
        <v>33.17</v>
      </c>
    </row>
    <row r="95" spans="2:5" x14ac:dyDescent="0.2">
      <c r="B95" s="1">
        <f t="shared" si="4"/>
        <v>88</v>
      </c>
      <c r="C95" s="1" t="s">
        <v>118</v>
      </c>
      <c r="D95" s="1" t="s">
        <v>119</v>
      </c>
      <c r="E95" s="3">
        <v>53.21</v>
      </c>
    </row>
    <row r="96" spans="2:5" x14ac:dyDescent="0.2">
      <c r="B96" s="1">
        <f t="shared" si="4"/>
        <v>89</v>
      </c>
      <c r="C96" s="1" t="s">
        <v>120</v>
      </c>
      <c r="D96" s="1" t="s">
        <v>121</v>
      </c>
      <c r="E96" s="3">
        <v>46.23</v>
      </c>
    </row>
    <row r="97" spans="2:29" x14ac:dyDescent="0.2">
      <c r="B97" s="1">
        <f t="shared" si="4"/>
        <v>90</v>
      </c>
      <c r="C97" s="1" t="s">
        <v>122</v>
      </c>
      <c r="D97" s="1" t="s">
        <v>123</v>
      </c>
      <c r="E97" s="7">
        <v>70</v>
      </c>
    </row>
    <row r="98" spans="2:29" x14ac:dyDescent="0.2">
      <c r="B98" s="1">
        <f t="shared" si="4"/>
        <v>91</v>
      </c>
      <c r="C98" s="1" t="s">
        <v>124</v>
      </c>
      <c r="D98" s="1" t="s">
        <v>125</v>
      </c>
      <c r="E98" s="3">
        <v>18.559999999999999</v>
      </c>
    </row>
    <row r="99" spans="2:29" x14ac:dyDescent="0.2">
      <c r="B99" s="1">
        <f t="shared" si="4"/>
        <v>92</v>
      </c>
      <c r="C99" s="1" t="s">
        <v>126</v>
      </c>
      <c r="D99" s="1" t="s">
        <v>127</v>
      </c>
      <c r="E99" s="3">
        <v>15.75</v>
      </c>
    </row>
    <row r="100" spans="2:29" x14ac:dyDescent="0.2">
      <c r="B100" s="1">
        <f t="shared" si="4"/>
        <v>93</v>
      </c>
      <c r="C100" s="1" t="s">
        <v>128</v>
      </c>
      <c r="D100" s="1" t="s">
        <v>129</v>
      </c>
      <c r="E100" s="3">
        <v>19.510000000000002</v>
      </c>
    </row>
    <row r="101" spans="2:29" x14ac:dyDescent="0.2">
      <c r="B101" s="1">
        <f t="shared" si="4"/>
        <v>94</v>
      </c>
      <c r="C101" s="1" t="s">
        <v>130</v>
      </c>
      <c r="D101" s="1" t="s">
        <v>131</v>
      </c>
      <c r="E101" s="3">
        <v>66.97</v>
      </c>
    </row>
    <row r="102" spans="2:29" x14ac:dyDescent="0.2">
      <c r="B102" s="1">
        <f t="shared" si="4"/>
        <v>95</v>
      </c>
      <c r="C102" s="1" t="s">
        <v>132</v>
      </c>
      <c r="D102" s="1" t="s">
        <v>133</v>
      </c>
      <c r="E102" s="3">
        <v>54.94</v>
      </c>
    </row>
    <row r="103" spans="2:29" x14ac:dyDescent="0.2">
      <c r="B103" s="1">
        <f t="shared" si="4"/>
        <v>96</v>
      </c>
      <c r="C103" s="1" t="s">
        <v>134</v>
      </c>
      <c r="D103" s="1" t="s">
        <v>135</v>
      </c>
      <c r="E103" s="3">
        <v>38.840000000000003</v>
      </c>
    </row>
    <row r="104" spans="2:29" x14ac:dyDescent="0.2">
      <c r="B104" s="1">
        <f t="shared" si="4"/>
        <v>97</v>
      </c>
      <c r="C104" s="1" t="s">
        <v>140</v>
      </c>
      <c r="D104" s="1" t="s">
        <v>141</v>
      </c>
      <c r="E104" s="3">
        <v>83.92</v>
      </c>
    </row>
    <row r="105" spans="2:29" x14ac:dyDescent="0.2">
      <c r="B105" s="1">
        <f t="shared" si="4"/>
        <v>98</v>
      </c>
      <c r="C105" s="1" t="s">
        <v>142</v>
      </c>
      <c r="D105" s="1" t="s">
        <v>143</v>
      </c>
      <c r="E105" s="3">
        <v>60.72</v>
      </c>
    </row>
    <row r="106" spans="2:29" x14ac:dyDescent="0.2">
      <c r="B106" s="1">
        <f t="shared" si="4"/>
        <v>99</v>
      </c>
      <c r="C106" s="1" t="s">
        <v>144</v>
      </c>
      <c r="D106" s="1" t="s">
        <v>145</v>
      </c>
      <c r="E106" s="7">
        <v>12.2</v>
      </c>
    </row>
    <row r="107" spans="2:29" x14ac:dyDescent="0.2">
      <c r="B107" s="1">
        <f t="shared" si="4"/>
        <v>100</v>
      </c>
      <c r="C107" s="1" t="s">
        <v>146</v>
      </c>
      <c r="D107" s="1" t="s">
        <v>147</v>
      </c>
      <c r="E107" s="3">
        <v>2.37</v>
      </c>
    </row>
    <row r="108" spans="2:29" x14ac:dyDescent="0.2">
      <c r="B108" s="1">
        <f t="shared" si="4"/>
        <v>101</v>
      </c>
      <c r="C108" t="s">
        <v>316</v>
      </c>
      <c r="D108" t="s">
        <v>317</v>
      </c>
      <c r="E108" s="3">
        <v>4.26</v>
      </c>
      <c r="AC108" s="1">
        <v>2011</v>
      </c>
    </row>
    <row r="109" spans="2:29" x14ac:dyDescent="0.2">
      <c r="B109" s="1">
        <f t="shared" si="4"/>
        <v>102</v>
      </c>
      <c r="C109" s="1" t="s">
        <v>148</v>
      </c>
      <c r="D109" s="1" t="s">
        <v>149</v>
      </c>
      <c r="E109" s="3">
        <v>42.98</v>
      </c>
    </row>
    <row r="110" spans="2:29" x14ac:dyDescent="0.2">
      <c r="B110" s="1">
        <f t="shared" si="4"/>
        <v>103</v>
      </c>
      <c r="C110" s="1" t="s">
        <v>150</v>
      </c>
      <c r="D110" s="1" t="s">
        <v>151</v>
      </c>
      <c r="E110" s="3">
        <v>23.92</v>
      </c>
    </row>
    <row r="111" spans="2:29" x14ac:dyDescent="0.2">
      <c r="B111" s="1">
        <f t="shared" si="4"/>
        <v>104</v>
      </c>
      <c r="C111" s="1" t="s">
        <v>152</v>
      </c>
      <c r="D111" s="1" t="s">
        <v>153</v>
      </c>
      <c r="E111" s="3">
        <v>53.29</v>
      </c>
    </row>
    <row r="112" spans="2:29" x14ac:dyDescent="0.2">
      <c r="B112" s="1">
        <f t="shared" si="4"/>
        <v>105</v>
      </c>
      <c r="C112" s="1" t="s">
        <v>154</v>
      </c>
      <c r="D112" s="1" t="s">
        <v>155</v>
      </c>
      <c r="E112" s="3">
        <v>74.459999999999994</v>
      </c>
    </row>
    <row r="113" spans="2:11" x14ac:dyDescent="0.2">
      <c r="B113" s="1">
        <f t="shared" si="4"/>
        <v>106</v>
      </c>
      <c r="C113" s="1" t="s">
        <v>156</v>
      </c>
      <c r="D113" s="1" t="s">
        <v>157</v>
      </c>
      <c r="E113" s="3">
        <v>48.63</v>
      </c>
    </row>
    <row r="114" spans="2:11" x14ac:dyDescent="0.2">
      <c r="B114" s="1">
        <f t="shared" si="4"/>
        <v>107</v>
      </c>
      <c r="C114" s="1" t="s">
        <v>158</v>
      </c>
      <c r="D114" s="1" t="s">
        <v>159</v>
      </c>
      <c r="E114" s="3">
        <v>27.73</v>
      </c>
    </row>
    <row r="115" spans="2:11" x14ac:dyDescent="0.2">
      <c r="B115" s="1">
        <f t="shared" si="4"/>
        <v>108</v>
      </c>
      <c r="C115" s="5" t="s">
        <v>160</v>
      </c>
      <c r="D115" s="1" t="s">
        <v>161</v>
      </c>
      <c r="E115" s="3">
        <v>9.18</v>
      </c>
      <c r="F115" s="6">
        <f>+E115*[38]Main!$N$3</f>
        <v>2859.4049160599998</v>
      </c>
      <c r="G115" s="6">
        <f>+[38]Main!$N$5-[38]Main!$N$6</f>
        <v>869.93499999999995</v>
      </c>
      <c r="H115" s="6">
        <f>+F115-G115</f>
        <v>1989.4699160599998</v>
      </c>
      <c r="J115" s="3" t="s">
        <v>16</v>
      </c>
    </row>
    <row r="116" spans="2:11" x14ac:dyDescent="0.2">
      <c r="B116" s="1">
        <f t="shared" si="4"/>
        <v>109</v>
      </c>
      <c r="C116" s="5" t="s">
        <v>162</v>
      </c>
      <c r="D116" s="1" t="s">
        <v>163</v>
      </c>
      <c r="E116" s="7">
        <v>46.19</v>
      </c>
      <c r="F116" s="6">
        <f>+E116*I116</f>
        <v>3249.6786968599999</v>
      </c>
      <c r="G116" s="6">
        <f>+[39]Main!$K$5-[39]Main!$K$6</f>
        <v>1178.8610000000001</v>
      </c>
      <c r="H116" s="6">
        <f>+F116-G116</f>
        <v>2070.8176968600001</v>
      </c>
      <c r="I116" s="6">
        <f>+[39]Main!$K$3</f>
        <v>70.354594000000006</v>
      </c>
      <c r="J116" s="3" t="s">
        <v>310</v>
      </c>
      <c r="K116" s="9">
        <v>44827</v>
      </c>
    </row>
    <row r="117" spans="2:11" x14ac:dyDescent="0.2">
      <c r="B117" s="1">
        <f t="shared" si="4"/>
        <v>110</v>
      </c>
      <c r="C117" s="5" t="s">
        <v>387</v>
      </c>
      <c r="D117" t="s">
        <v>388</v>
      </c>
      <c r="E117" s="3">
        <v>24.73</v>
      </c>
      <c r="F117" s="6">
        <f>+E117*I117</f>
        <v>1436.0261408599999</v>
      </c>
      <c r="G117" s="6">
        <f>+[40]Main!$J$5-[40]Main!$J$6</f>
        <v>566.44900000000007</v>
      </c>
      <c r="H117" s="6">
        <f>+F117-G117</f>
        <v>869.57714085999987</v>
      </c>
      <c r="I117" s="6">
        <f>+[40]Main!$J$3</f>
        <v>58.068182</v>
      </c>
      <c r="J117" s="3" t="s">
        <v>310</v>
      </c>
      <c r="K117" s="9">
        <v>44824</v>
      </c>
    </row>
    <row r="118" spans="2:11" x14ac:dyDescent="0.2">
      <c r="B118" s="1">
        <f t="shared" si="4"/>
        <v>111</v>
      </c>
      <c r="C118" s="5" t="s">
        <v>360</v>
      </c>
      <c r="D118" t="s">
        <v>361</v>
      </c>
      <c r="E118" s="3">
        <v>3.42</v>
      </c>
      <c r="F118" s="6">
        <f>+E118*I118</f>
        <v>2379.9056977800001</v>
      </c>
      <c r="G118" s="6">
        <f>+[41]Main!$K$5-[41]Main!$K$6</f>
        <v>1840.732</v>
      </c>
      <c r="H118" s="6">
        <f>+F118-G118</f>
        <v>539.17369778000011</v>
      </c>
      <c r="I118" s="6">
        <f>+[41]Main!$K$3</f>
        <v>695.87885900000003</v>
      </c>
      <c r="J118" s="3" t="s">
        <v>310</v>
      </c>
      <c r="K118" s="9">
        <v>44816</v>
      </c>
    </row>
    <row r="119" spans="2:11" x14ac:dyDescent="0.2">
      <c r="B119" s="1">
        <f t="shared" si="4"/>
        <v>112</v>
      </c>
      <c r="C119" s="1" t="s">
        <v>164</v>
      </c>
      <c r="D119" s="1" t="s">
        <v>165</v>
      </c>
      <c r="E119" s="7">
        <v>7.5</v>
      </c>
    </row>
    <row r="120" spans="2:11" x14ac:dyDescent="0.2">
      <c r="B120" s="1">
        <f t="shared" si="4"/>
        <v>113</v>
      </c>
      <c r="C120" s="1" t="s">
        <v>166</v>
      </c>
      <c r="D120" s="1" t="s">
        <v>167</v>
      </c>
      <c r="E120" s="3">
        <v>6.92</v>
      </c>
    </row>
    <row r="121" spans="2:11" x14ac:dyDescent="0.2">
      <c r="B121" s="1">
        <f t="shared" si="4"/>
        <v>114</v>
      </c>
      <c r="C121" s="1" t="s">
        <v>88</v>
      </c>
      <c r="D121" s="1" t="s">
        <v>89</v>
      </c>
      <c r="E121" s="3">
        <v>145.13999999999999</v>
      </c>
    </row>
    <row r="122" spans="2:11" x14ac:dyDescent="0.2">
      <c r="B122" s="1">
        <f t="shared" si="4"/>
        <v>115</v>
      </c>
      <c r="C122" s="1" t="s">
        <v>168</v>
      </c>
      <c r="D122" s="1" t="s">
        <v>169</v>
      </c>
      <c r="E122" s="7">
        <v>10</v>
      </c>
    </row>
    <row r="123" spans="2:11" x14ac:dyDescent="0.2">
      <c r="B123" s="1">
        <f t="shared" si="4"/>
        <v>116</v>
      </c>
      <c r="C123" s="1" t="s">
        <v>170</v>
      </c>
      <c r="D123" s="1" t="s">
        <v>171</v>
      </c>
      <c r="E123" s="3">
        <v>42.45</v>
      </c>
    </row>
    <row r="124" spans="2:11" x14ac:dyDescent="0.2">
      <c r="B124" s="1">
        <f t="shared" si="4"/>
        <v>117</v>
      </c>
      <c r="C124" s="1" t="s">
        <v>172</v>
      </c>
      <c r="D124" s="1" t="s">
        <v>173</v>
      </c>
      <c r="E124" s="3">
        <v>4.49</v>
      </c>
    </row>
    <row r="125" spans="2:11" x14ac:dyDescent="0.2">
      <c r="B125" s="1">
        <f t="shared" si="4"/>
        <v>118</v>
      </c>
      <c r="C125" s="1" t="s">
        <v>174</v>
      </c>
      <c r="D125" s="1" t="s">
        <v>175</v>
      </c>
      <c r="E125" s="3">
        <v>53.72</v>
      </c>
    </row>
    <row r="126" spans="2:11" x14ac:dyDescent="0.2">
      <c r="B126" s="1">
        <f t="shared" si="4"/>
        <v>119</v>
      </c>
      <c r="C126" s="1" t="s">
        <v>176</v>
      </c>
      <c r="D126" s="1" t="s">
        <v>177</v>
      </c>
      <c r="E126" s="7">
        <v>21.6</v>
      </c>
    </row>
    <row r="127" spans="2:11" x14ac:dyDescent="0.2">
      <c r="B127" s="1">
        <f t="shared" si="4"/>
        <v>120</v>
      </c>
      <c r="C127" t="s">
        <v>318</v>
      </c>
      <c r="D127" t="s">
        <v>319</v>
      </c>
      <c r="E127" s="3">
        <v>4.57</v>
      </c>
    </row>
    <row r="128" spans="2:11" x14ac:dyDescent="0.2">
      <c r="B128" s="1">
        <f t="shared" si="4"/>
        <v>121</v>
      </c>
      <c r="C128" s="1" t="s">
        <v>178</v>
      </c>
      <c r="D128" s="1" t="s">
        <v>179</v>
      </c>
      <c r="E128" s="7">
        <v>25.03</v>
      </c>
    </row>
    <row r="129" spans="2:5" x14ac:dyDescent="0.2">
      <c r="B129" s="1">
        <f t="shared" si="4"/>
        <v>122</v>
      </c>
      <c r="C129" s="1" t="s">
        <v>180</v>
      </c>
      <c r="D129" s="1" t="s">
        <v>181</v>
      </c>
      <c r="E129" s="3">
        <v>21.35</v>
      </c>
    </row>
    <row r="130" spans="2:5" x14ac:dyDescent="0.2">
      <c r="B130" s="1">
        <f t="shared" si="4"/>
        <v>123</v>
      </c>
      <c r="C130" s="1" t="s">
        <v>182</v>
      </c>
      <c r="D130" s="1" t="s">
        <v>183</v>
      </c>
      <c r="E130" s="3">
        <v>22.22</v>
      </c>
    </row>
    <row r="131" spans="2:5" x14ac:dyDescent="0.2">
      <c r="B131" s="1">
        <f t="shared" si="4"/>
        <v>124</v>
      </c>
      <c r="C131" s="1" t="s">
        <v>184</v>
      </c>
      <c r="D131" s="1" t="s">
        <v>185</v>
      </c>
      <c r="E131" s="3">
        <v>48.73</v>
      </c>
    </row>
    <row r="132" spans="2:5" x14ac:dyDescent="0.2">
      <c r="B132" s="1">
        <f t="shared" si="4"/>
        <v>125</v>
      </c>
      <c r="C132" s="1" t="s">
        <v>186</v>
      </c>
      <c r="D132" s="1" t="s">
        <v>187</v>
      </c>
      <c r="E132" s="3">
        <v>37.96</v>
      </c>
    </row>
    <row r="133" spans="2:5" x14ac:dyDescent="0.2">
      <c r="B133" s="1">
        <f t="shared" si="4"/>
        <v>126</v>
      </c>
      <c r="C133" t="s">
        <v>353</v>
      </c>
      <c r="D133" t="s">
        <v>354</v>
      </c>
      <c r="E133" s="7">
        <v>14.86</v>
      </c>
    </row>
    <row r="134" spans="2:5" x14ac:dyDescent="0.2">
      <c r="B134" s="1">
        <f t="shared" si="4"/>
        <v>127</v>
      </c>
      <c r="C134" s="1" t="s">
        <v>188</v>
      </c>
      <c r="D134" s="1" t="s">
        <v>189</v>
      </c>
      <c r="E134" s="3">
        <v>41.59</v>
      </c>
    </row>
    <row r="135" spans="2:5" x14ac:dyDescent="0.2">
      <c r="B135" s="1">
        <f t="shared" si="4"/>
        <v>128</v>
      </c>
      <c r="C135" s="1" t="s">
        <v>301</v>
      </c>
      <c r="D135" s="1" t="s">
        <v>190</v>
      </c>
      <c r="E135" s="3">
        <v>12.23</v>
      </c>
    </row>
    <row r="136" spans="2:5" x14ac:dyDescent="0.2">
      <c r="B136" s="1">
        <f t="shared" si="4"/>
        <v>129</v>
      </c>
      <c r="C136" s="1" t="s">
        <v>191</v>
      </c>
      <c r="D136" s="1" t="s">
        <v>192</v>
      </c>
      <c r="E136" s="3">
        <v>51.76</v>
      </c>
    </row>
    <row r="137" spans="2:5" x14ac:dyDescent="0.2">
      <c r="B137" s="1">
        <f t="shared" si="4"/>
        <v>130</v>
      </c>
      <c r="C137" t="s">
        <v>299</v>
      </c>
      <c r="D137" t="s">
        <v>300</v>
      </c>
      <c r="E137" s="3">
        <v>8.4499999999999993</v>
      </c>
    </row>
    <row r="138" spans="2:5" x14ac:dyDescent="0.2">
      <c r="B138" s="1">
        <f t="shared" si="4"/>
        <v>131</v>
      </c>
      <c r="C138" s="1" t="s">
        <v>193</v>
      </c>
      <c r="D138" s="1" t="s">
        <v>194</v>
      </c>
      <c r="E138" s="3">
        <v>10.1</v>
      </c>
    </row>
    <row r="139" spans="2:5" x14ac:dyDescent="0.2">
      <c r="B139" s="1">
        <f t="shared" si="4"/>
        <v>132</v>
      </c>
      <c r="C139" s="1" t="s">
        <v>195</v>
      </c>
      <c r="D139" s="1" t="s">
        <v>196</v>
      </c>
      <c r="E139" s="3">
        <v>67.849999999999994</v>
      </c>
    </row>
    <row r="140" spans="2:5" x14ac:dyDescent="0.2">
      <c r="B140" s="1">
        <f t="shared" si="4"/>
        <v>133</v>
      </c>
      <c r="C140" s="1" t="s">
        <v>197</v>
      </c>
      <c r="D140" s="1" t="s">
        <v>198</v>
      </c>
      <c r="E140" s="3">
        <v>35.54</v>
      </c>
    </row>
    <row r="141" spans="2:5" x14ac:dyDescent="0.2">
      <c r="B141" s="1">
        <f t="shared" si="4"/>
        <v>134</v>
      </c>
      <c r="C141" s="1" t="s">
        <v>201</v>
      </c>
      <c r="D141" s="1" t="s">
        <v>202</v>
      </c>
      <c r="E141" s="3">
        <v>10.51</v>
      </c>
    </row>
    <row r="142" spans="2:5" x14ac:dyDescent="0.2">
      <c r="B142" s="1">
        <f t="shared" ref="B142:B183" si="5">B141+1</f>
        <v>135</v>
      </c>
      <c r="C142" s="1" t="s">
        <v>203</v>
      </c>
      <c r="D142" s="1" t="s">
        <v>204</v>
      </c>
      <c r="E142" s="3">
        <v>2.42</v>
      </c>
    </row>
    <row r="143" spans="2:5" x14ac:dyDescent="0.2">
      <c r="B143" s="1">
        <f t="shared" si="5"/>
        <v>136</v>
      </c>
      <c r="C143" s="1" t="s">
        <v>205</v>
      </c>
      <c r="D143" s="1" t="s">
        <v>206</v>
      </c>
      <c r="E143" s="7">
        <v>67.05</v>
      </c>
    </row>
    <row r="144" spans="2:5" x14ac:dyDescent="0.2">
      <c r="B144" s="1">
        <f t="shared" si="5"/>
        <v>137</v>
      </c>
      <c r="C144" s="1" t="s">
        <v>207</v>
      </c>
      <c r="D144" s="1" t="s">
        <v>208</v>
      </c>
      <c r="E144" s="3">
        <v>7.02</v>
      </c>
    </row>
    <row r="145" spans="2:16" x14ac:dyDescent="0.2">
      <c r="B145" s="1">
        <f t="shared" si="5"/>
        <v>138</v>
      </c>
      <c r="C145" s="1" t="s">
        <v>209</v>
      </c>
      <c r="D145" s="1" t="s">
        <v>210</v>
      </c>
      <c r="E145" s="3">
        <v>43.48</v>
      </c>
    </row>
    <row r="146" spans="2:16" x14ac:dyDescent="0.2">
      <c r="B146" s="1">
        <f t="shared" si="5"/>
        <v>139</v>
      </c>
      <c r="C146" s="1" t="s">
        <v>211</v>
      </c>
      <c r="D146" s="1" t="s">
        <v>212</v>
      </c>
      <c r="E146" s="3">
        <v>27.37</v>
      </c>
    </row>
    <row r="147" spans="2:16" x14ac:dyDescent="0.2">
      <c r="B147" s="1">
        <f t="shared" si="5"/>
        <v>140</v>
      </c>
      <c r="C147" s="1" t="s">
        <v>213</v>
      </c>
      <c r="D147" s="1" t="s">
        <v>214</v>
      </c>
      <c r="E147" s="3">
        <v>10.8</v>
      </c>
    </row>
    <row r="148" spans="2:16" x14ac:dyDescent="0.2">
      <c r="B148" s="1">
        <f t="shared" si="5"/>
        <v>141</v>
      </c>
      <c r="C148" s="1" t="s">
        <v>215</v>
      </c>
      <c r="D148" s="1" t="s">
        <v>216</v>
      </c>
      <c r="E148" s="3">
        <v>20.68</v>
      </c>
    </row>
    <row r="149" spans="2:16" x14ac:dyDescent="0.2">
      <c r="B149" s="1">
        <f t="shared" si="5"/>
        <v>142</v>
      </c>
      <c r="C149" s="1" t="s">
        <v>217</v>
      </c>
      <c r="D149" s="1" t="s">
        <v>218</v>
      </c>
      <c r="E149" s="3">
        <v>32.85</v>
      </c>
    </row>
    <row r="150" spans="2:16" x14ac:dyDescent="0.2">
      <c r="B150" s="1">
        <f t="shared" si="5"/>
        <v>143</v>
      </c>
      <c r="C150" s="5" t="s">
        <v>296</v>
      </c>
      <c r="D150" t="s">
        <v>297</v>
      </c>
      <c r="E150" s="3">
        <v>15.65</v>
      </c>
      <c r="F150" s="6">
        <f>E150*[42]Main!$L$3</f>
        <v>1253.1559559500001</v>
      </c>
      <c r="G150" s="6">
        <f>+[42]Main!$L$5-[42]Main!$L$6</f>
        <v>112.015</v>
      </c>
      <c r="H150" s="6">
        <f>+F150-G150</f>
        <v>1141.14095595</v>
      </c>
      <c r="J150" s="3" t="s">
        <v>16</v>
      </c>
    </row>
    <row r="151" spans="2:16" x14ac:dyDescent="0.2">
      <c r="B151" s="1">
        <f t="shared" si="5"/>
        <v>144</v>
      </c>
      <c r="C151" s="5" t="s">
        <v>307</v>
      </c>
      <c r="D151" t="s">
        <v>308</v>
      </c>
      <c r="E151" s="3">
        <v>11</v>
      </c>
      <c r="F151" s="6">
        <f>+E151*[43]Main!$L$3</f>
        <v>798.23003700000004</v>
      </c>
      <c r="G151" s="6">
        <f>+[43]Main!$L$5-[43]Main!$L$6</f>
        <v>153.25991400000001</v>
      </c>
      <c r="H151" s="6">
        <f>+F151-G151</f>
        <v>644.97012300000006</v>
      </c>
      <c r="J151" s="3" t="s">
        <v>16</v>
      </c>
      <c r="K151" s="9">
        <v>44771</v>
      </c>
      <c r="L151" s="9"/>
      <c r="M151" s="9"/>
      <c r="N151" s="9"/>
      <c r="O151" s="9"/>
      <c r="P151" s="9"/>
    </row>
    <row r="152" spans="2:16" x14ac:dyDescent="0.2">
      <c r="B152" s="1">
        <f t="shared" si="5"/>
        <v>145</v>
      </c>
      <c r="C152" s="5" t="s">
        <v>199</v>
      </c>
      <c r="D152" s="1" t="s">
        <v>200</v>
      </c>
      <c r="E152" s="3">
        <v>7.36</v>
      </c>
      <c r="F152" s="6">
        <f>+E152*I152</f>
        <v>897.18233664000002</v>
      </c>
      <c r="G152" s="6">
        <f>+[44]Main!$J$5-[44]Main!$J$6</f>
        <v>601.58999999999992</v>
      </c>
      <c r="H152" s="6">
        <f>+F152-G152</f>
        <v>295.5923366400001</v>
      </c>
      <c r="I152" s="6">
        <f>+[44]Main!$J$3</f>
        <v>121.89977399999999</v>
      </c>
      <c r="J152" s="3" t="s">
        <v>16</v>
      </c>
      <c r="K152" s="9">
        <v>44827</v>
      </c>
    </row>
    <row r="153" spans="2:16" x14ac:dyDescent="0.2">
      <c r="B153" s="1">
        <f t="shared" si="5"/>
        <v>146</v>
      </c>
      <c r="C153" s="1" t="s">
        <v>219</v>
      </c>
      <c r="D153" s="1" t="s">
        <v>220</v>
      </c>
      <c r="E153" s="3">
        <v>3.17</v>
      </c>
    </row>
    <row r="154" spans="2:16" x14ac:dyDescent="0.2">
      <c r="B154" s="1">
        <f t="shared" si="5"/>
        <v>147</v>
      </c>
      <c r="C154" s="1" t="s">
        <v>221</v>
      </c>
      <c r="D154" s="1" t="s">
        <v>222</v>
      </c>
      <c r="E154" s="3">
        <v>9.7799999999999994</v>
      </c>
    </row>
    <row r="155" spans="2:16" x14ac:dyDescent="0.2">
      <c r="B155" s="1">
        <f t="shared" si="5"/>
        <v>148</v>
      </c>
      <c r="C155" s="1" t="s">
        <v>223</v>
      </c>
      <c r="D155" s="1" t="s">
        <v>224</v>
      </c>
      <c r="E155" s="3">
        <v>18.309999999999999</v>
      </c>
    </row>
    <row r="156" spans="2:16" x14ac:dyDescent="0.2">
      <c r="B156" s="1">
        <f t="shared" si="5"/>
        <v>149</v>
      </c>
      <c r="C156" t="s">
        <v>313</v>
      </c>
      <c r="D156" t="s">
        <v>314</v>
      </c>
      <c r="E156" s="3">
        <v>3.23</v>
      </c>
      <c r="F156" s="3">
        <v>630</v>
      </c>
    </row>
    <row r="157" spans="2:16" x14ac:dyDescent="0.2">
      <c r="B157" s="1">
        <f t="shared" si="5"/>
        <v>150</v>
      </c>
      <c r="C157" t="s">
        <v>311</v>
      </c>
      <c r="D157" t="s">
        <v>312</v>
      </c>
      <c r="E157" s="3">
        <v>12.42</v>
      </c>
      <c r="F157" s="3">
        <v>516</v>
      </c>
    </row>
    <row r="158" spans="2:16" x14ac:dyDescent="0.2">
      <c r="B158" s="1">
        <f t="shared" si="5"/>
        <v>151</v>
      </c>
      <c r="C158" s="1" t="s">
        <v>225</v>
      </c>
      <c r="D158" s="1" t="s">
        <v>226</v>
      </c>
      <c r="E158" s="3">
        <v>6.34</v>
      </c>
    </row>
    <row r="159" spans="2:16" x14ac:dyDescent="0.2">
      <c r="B159" s="1">
        <f t="shared" si="5"/>
        <v>152</v>
      </c>
      <c r="C159" s="1" t="s">
        <v>227</v>
      </c>
      <c r="D159" s="1" t="s">
        <v>228</v>
      </c>
      <c r="E159" s="7">
        <v>31.39</v>
      </c>
    </row>
    <row r="160" spans="2:16" x14ac:dyDescent="0.2">
      <c r="B160" s="1">
        <f t="shared" si="5"/>
        <v>153</v>
      </c>
      <c r="C160" s="1" t="s">
        <v>229</v>
      </c>
      <c r="D160" s="1" t="s">
        <v>230</v>
      </c>
      <c r="E160" s="7">
        <v>20.97</v>
      </c>
    </row>
    <row r="161" spans="2:29" x14ac:dyDescent="0.2">
      <c r="B161" s="1">
        <f t="shared" si="5"/>
        <v>154</v>
      </c>
      <c r="C161" s="1" t="s">
        <v>231</v>
      </c>
      <c r="D161" s="1" t="s">
        <v>232</v>
      </c>
      <c r="E161" s="3">
        <v>22.11</v>
      </c>
    </row>
    <row r="162" spans="2:29" x14ac:dyDescent="0.2">
      <c r="B162" s="1">
        <f t="shared" si="5"/>
        <v>155</v>
      </c>
      <c r="C162" s="5" t="s">
        <v>331</v>
      </c>
      <c r="D162" t="s">
        <v>332</v>
      </c>
      <c r="E162" s="3">
        <v>3.23</v>
      </c>
      <c r="F162" s="6">
        <f>+E162*I162</f>
        <v>30.407559149999997</v>
      </c>
      <c r="G162" s="6">
        <f>+[45]Main!$N$5-[45]Main!$N$6</f>
        <v>-7.4640000000000004</v>
      </c>
      <c r="H162" s="6">
        <f>+F162-G162</f>
        <v>37.871559149999996</v>
      </c>
      <c r="I162" s="6">
        <f>+[45]Main!$N$3</f>
        <v>9.4141049999999993</v>
      </c>
      <c r="J162" s="3" t="s">
        <v>310</v>
      </c>
      <c r="K162" s="9">
        <v>44780</v>
      </c>
    </row>
    <row r="163" spans="2:29" x14ac:dyDescent="0.2">
      <c r="B163" s="1">
        <f t="shared" si="5"/>
        <v>156</v>
      </c>
      <c r="C163" s="1" t="s">
        <v>233</v>
      </c>
      <c r="D163" s="1" t="s">
        <v>234</v>
      </c>
      <c r="E163" s="3">
        <v>10.31</v>
      </c>
    </row>
    <row r="164" spans="2:29" x14ac:dyDescent="0.2">
      <c r="B164" s="1">
        <f t="shared" si="5"/>
        <v>157</v>
      </c>
      <c r="C164" s="1" t="s">
        <v>235</v>
      </c>
      <c r="D164" s="1" t="s">
        <v>236</v>
      </c>
      <c r="E164" s="7">
        <v>1.3</v>
      </c>
    </row>
    <row r="165" spans="2:29" x14ac:dyDescent="0.2">
      <c r="B165" s="1">
        <f t="shared" si="5"/>
        <v>158</v>
      </c>
      <c r="C165" s="1" t="s">
        <v>237</v>
      </c>
      <c r="D165" s="1" t="s">
        <v>238</v>
      </c>
      <c r="E165" s="3">
        <v>3.35</v>
      </c>
    </row>
    <row r="166" spans="2:29" x14ac:dyDescent="0.2">
      <c r="B166" s="1">
        <f t="shared" si="5"/>
        <v>159</v>
      </c>
      <c r="C166" s="5" t="s">
        <v>239</v>
      </c>
      <c r="D166" s="1" t="s">
        <v>240</v>
      </c>
      <c r="E166" s="3">
        <v>7.06</v>
      </c>
      <c r="F166" s="6">
        <f>E166*[46]Main!$J$3</f>
        <v>725.62786605999997</v>
      </c>
      <c r="G166" s="6">
        <f>[46]Main!$J$5-[46]Main!$J$6</f>
        <v>197.79600000000002</v>
      </c>
      <c r="H166" s="8">
        <f>+F166-G166</f>
        <v>527.83186605999992</v>
      </c>
      <c r="J166" s="3" t="s">
        <v>16</v>
      </c>
    </row>
    <row r="167" spans="2:29" x14ac:dyDescent="0.2">
      <c r="B167" s="1">
        <f t="shared" si="5"/>
        <v>160</v>
      </c>
      <c r="C167" s="5" t="s">
        <v>362</v>
      </c>
      <c r="D167" s="1" t="s">
        <v>363</v>
      </c>
      <c r="E167" s="7">
        <v>0.6</v>
      </c>
      <c r="F167" s="6">
        <f>+E167*I167</f>
        <v>486.43225439999998</v>
      </c>
      <c r="G167" s="6">
        <f>+[47]Main!$K$5-[47]Main!$K$6</f>
        <v>-37.984000000000002</v>
      </c>
      <c r="H167" s="8">
        <f t="shared" ref="H167" si="6">+F167-G167</f>
        <v>524.41625439999996</v>
      </c>
      <c r="I167" s="6">
        <f>+[47]Main!$K$3</f>
        <v>810.72042399999998</v>
      </c>
      <c r="J167" s="3" t="s">
        <v>310</v>
      </c>
      <c r="K167" s="9">
        <v>44816</v>
      </c>
      <c r="AC167" s="1">
        <v>2002</v>
      </c>
    </row>
    <row r="168" spans="2:29" x14ac:dyDescent="0.2">
      <c r="B168" s="1">
        <f t="shared" si="5"/>
        <v>161</v>
      </c>
      <c r="C168" s="5" t="s">
        <v>241</v>
      </c>
      <c r="D168" s="1" t="s">
        <v>242</v>
      </c>
      <c r="E168" s="3">
        <v>14.68</v>
      </c>
      <c r="F168" s="6">
        <f>E168*[48]Main!$L$3</f>
        <v>587.26396075999992</v>
      </c>
      <c r="G168" s="6">
        <f>[48]Main!$L$5-[48]Main!$L$6</f>
        <v>277.88299999999998</v>
      </c>
      <c r="H168" s="8">
        <f>+F168-G168</f>
        <v>309.38096075999994</v>
      </c>
      <c r="J168" s="3" t="s">
        <v>16</v>
      </c>
    </row>
    <row r="169" spans="2:29" x14ac:dyDescent="0.2">
      <c r="B169" s="1">
        <f t="shared" si="5"/>
        <v>162</v>
      </c>
      <c r="C169" s="5" t="s">
        <v>243</v>
      </c>
      <c r="D169" s="1" t="s">
        <v>244</v>
      </c>
      <c r="E169" s="3">
        <v>4.8600000000000003</v>
      </c>
      <c r="F169" s="6">
        <f>E169*[49]Main!$J$3</f>
        <v>312.71415336000001</v>
      </c>
      <c r="G169" s="8">
        <f>+[49]Main!$J$5-[49]Main!$J$6</f>
        <v>92.317999999999998</v>
      </c>
      <c r="H169" s="8">
        <f>+F169-G169</f>
        <v>220.39615336000003</v>
      </c>
      <c r="J169" s="3" t="s">
        <v>16</v>
      </c>
    </row>
    <row r="170" spans="2:29" x14ac:dyDescent="0.2">
      <c r="B170" s="1">
        <f t="shared" si="5"/>
        <v>163</v>
      </c>
      <c r="C170" s="5" t="s">
        <v>245</v>
      </c>
      <c r="D170" s="1" t="s">
        <v>246</v>
      </c>
      <c r="E170" s="3">
        <v>7.57</v>
      </c>
      <c r="F170" s="6">
        <f>E170*[50]Main!$M$3</f>
        <v>338.45983246000003</v>
      </c>
      <c r="G170" s="6">
        <f>[50]Main!$M$5-[50]Main!$M$6</f>
        <v>120.43700000000001</v>
      </c>
      <c r="H170" s="8">
        <f t="shared" ref="H170:H175" si="7">+F170-G170</f>
        <v>218.02283246000002</v>
      </c>
      <c r="J170" s="3" t="s">
        <v>16</v>
      </c>
    </row>
    <row r="171" spans="2:29" x14ac:dyDescent="0.2">
      <c r="B171" s="1">
        <f t="shared" si="5"/>
        <v>164</v>
      </c>
      <c r="C171" s="5" t="s">
        <v>247</v>
      </c>
      <c r="D171" s="1" t="s">
        <v>248</v>
      </c>
      <c r="E171" s="7">
        <v>0.7</v>
      </c>
      <c r="F171" s="6">
        <f>E171*[51]Main!$M$3</f>
        <v>128.9392503</v>
      </c>
      <c r="G171" s="6">
        <f>[51]Main!$M$5-[51]Main!$M$6</f>
        <v>-59.50200000000001</v>
      </c>
      <c r="H171" s="8">
        <f t="shared" si="7"/>
        <v>188.44125030000001</v>
      </c>
      <c r="J171" s="3" t="s">
        <v>16</v>
      </c>
    </row>
    <row r="172" spans="2:29" x14ac:dyDescent="0.2">
      <c r="B172" s="1">
        <f t="shared" si="5"/>
        <v>165</v>
      </c>
      <c r="C172" s="5" t="s">
        <v>249</v>
      </c>
      <c r="D172" s="1" t="s">
        <v>250</v>
      </c>
      <c r="E172" s="3">
        <v>1.98</v>
      </c>
      <c r="F172" s="6">
        <f>E172*[52]Main!$N$3</f>
        <v>39.757463459999997</v>
      </c>
      <c r="G172" s="6">
        <f>[52]Main!$N$5-[52]Main!$N$6</f>
        <v>15.942</v>
      </c>
      <c r="H172" s="8">
        <f t="shared" si="7"/>
        <v>23.815463459999997</v>
      </c>
      <c r="J172" s="3" t="s">
        <v>16</v>
      </c>
    </row>
    <row r="173" spans="2:29" x14ac:dyDescent="0.2">
      <c r="B173" s="1">
        <f t="shared" si="5"/>
        <v>166</v>
      </c>
      <c r="C173" s="5" t="s">
        <v>251</v>
      </c>
      <c r="D173" s="1" t="s">
        <v>252</v>
      </c>
      <c r="E173" s="3">
        <v>0.62</v>
      </c>
      <c r="F173" s="6">
        <f>E173*[53]Main!$L$3</f>
        <v>30.1881658</v>
      </c>
      <c r="G173" s="6">
        <f>[53]Main!$L$5-[53]Main!$L$6</f>
        <v>13.262999999999998</v>
      </c>
      <c r="H173" s="8">
        <f t="shared" si="7"/>
        <v>16.925165800000002</v>
      </c>
      <c r="J173" s="3" t="s">
        <v>16</v>
      </c>
    </row>
    <row r="174" spans="2:29" x14ac:dyDescent="0.2">
      <c r="B174" s="1">
        <f t="shared" si="5"/>
        <v>167</v>
      </c>
      <c r="C174" s="5" t="s">
        <v>253</v>
      </c>
      <c r="D174" s="1" t="s">
        <v>254</v>
      </c>
      <c r="E174" s="3">
        <v>6.12</v>
      </c>
      <c r="F174" s="6">
        <f>E174*[54]Main!$M$3</f>
        <v>125.46108324000001</v>
      </c>
      <c r="G174" s="6">
        <f>[54]Main!$M$5-[54]Main!$M$6</f>
        <v>131.17699999999999</v>
      </c>
      <c r="H174" s="8">
        <f t="shared" si="7"/>
        <v>-5.7159167599999847</v>
      </c>
      <c r="J174" s="3" t="s">
        <v>16</v>
      </c>
    </row>
    <row r="175" spans="2:29" x14ac:dyDescent="0.2">
      <c r="B175" s="1">
        <f t="shared" si="5"/>
        <v>168</v>
      </c>
      <c r="C175" s="5" t="s">
        <v>255</v>
      </c>
      <c r="D175" s="1" t="s">
        <v>256</v>
      </c>
      <c r="E175" s="3">
        <v>0.98</v>
      </c>
      <c r="F175" s="6">
        <f>E175*[55]Main!$M$3</f>
        <v>20.935517539999999</v>
      </c>
      <c r="G175" s="6">
        <f>[55]Main!$M$5-[55]Main!$M$6</f>
        <v>55.28</v>
      </c>
      <c r="H175" s="8">
        <f t="shared" si="7"/>
        <v>-34.344482460000002</v>
      </c>
      <c r="J175" s="3" t="s">
        <v>16</v>
      </c>
    </row>
    <row r="176" spans="2:29" x14ac:dyDescent="0.2">
      <c r="B176" s="1">
        <f t="shared" si="5"/>
        <v>169</v>
      </c>
      <c r="C176" s="1" t="s">
        <v>257</v>
      </c>
      <c r="D176" s="1" t="s">
        <v>258</v>
      </c>
      <c r="E176" s="3">
        <v>0.61</v>
      </c>
    </row>
    <row r="177" spans="2:6" x14ac:dyDescent="0.2">
      <c r="B177" s="1">
        <f t="shared" si="5"/>
        <v>170</v>
      </c>
      <c r="C177" s="1" t="s">
        <v>259</v>
      </c>
      <c r="D177" s="1" t="s">
        <v>260</v>
      </c>
      <c r="E177" s="3">
        <v>5.55</v>
      </c>
    </row>
    <row r="178" spans="2:6" x14ac:dyDescent="0.2">
      <c r="B178" s="1">
        <f t="shared" si="5"/>
        <v>171</v>
      </c>
      <c r="C178" s="1" t="s">
        <v>358</v>
      </c>
      <c r="D178" t="s">
        <v>359</v>
      </c>
      <c r="E178" s="7">
        <v>4.2</v>
      </c>
    </row>
    <row r="179" spans="2:6" x14ac:dyDescent="0.2">
      <c r="B179" s="1">
        <f t="shared" si="5"/>
        <v>172</v>
      </c>
      <c r="C179" s="1" t="s">
        <v>342</v>
      </c>
      <c r="D179" t="s">
        <v>343</v>
      </c>
      <c r="E179" s="7">
        <v>4</v>
      </c>
    </row>
    <row r="180" spans="2:6" x14ac:dyDescent="0.2">
      <c r="B180" s="1">
        <f t="shared" si="5"/>
        <v>173</v>
      </c>
      <c r="C180" t="s">
        <v>346</v>
      </c>
      <c r="D180" t="s">
        <v>347</v>
      </c>
      <c r="E180" s="3">
        <v>20.18</v>
      </c>
    </row>
    <row r="181" spans="2:6" x14ac:dyDescent="0.2">
      <c r="B181" s="1">
        <f t="shared" si="5"/>
        <v>174</v>
      </c>
      <c r="C181" s="1" t="s">
        <v>391</v>
      </c>
      <c r="D181" s="1" t="s">
        <v>392</v>
      </c>
      <c r="E181" s="3">
        <v>25.85</v>
      </c>
    </row>
    <row r="182" spans="2:6" x14ac:dyDescent="0.2">
      <c r="B182" s="1">
        <f t="shared" si="5"/>
        <v>175</v>
      </c>
      <c r="C182" t="s">
        <v>397</v>
      </c>
      <c r="D182" t="s">
        <v>398</v>
      </c>
      <c r="E182" s="3">
        <v>9.26</v>
      </c>
      <c r="F182" s="3">
        <v>204</v>
      </c>
    </row>
    <row r="183" spans="2:6" x14ac:dyDescent="0.2">
      <c r="B183" s="1">
        <f t="shared" si="5"/>
        <v>176</v>
      </c>
      <c r="C183" s="1" t="s">
        <v>408</v>
      </c>
      <c r="D183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6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6" r:id="rId8" xr:uid="{615921E7-8A8A-4F41-A8F3-1AF78A43F1AC}"/>
    <hyperlink ref="C21" r:id="rId9" xr:uid="{A38EC1E4-9170-422B-A9F5-3B6EB77DF40A}"/>
    <hyperlink ref="C9" r:id="rId10" xr:uid="{CCC45DFB-BF73-4A15-8527-F4C3C617F472}"/>
    <hyperlink ref="C23" r:id="rId11" xr:uid="{FC86E1B4-4BA7-43A8-8FCA-CC27867A7922}"/>
    <hyperlink ref="C15" r:id="rId12" xr:uid="{F9D09B0D-FACB-4CCA-872E-286E56965815}"/>
    <hyperlink ref="C17" r:id="rId13" xr:uid="{5A59EF45-A9EA-44F3-BECB-EFED8413DCF6}"/>
    <hyperlink ref="C19" r:id="rId14" xr:uid="{316E9202-338F-4301-AEBE-A9FA398A76CC}"/>
    <hyperlink ref="C5" r:id="rId15" xr:uid="{0888F4DA-9569-4326-990C-43015A33BD61}"/>
    <hyperlink ref="C18" r:id="rId16" xr:uid="{C2959A9B-7367-43D7-934F-562A915DC4DD}"/>
    <hyperlink ref="C26" r:id="rId17" xr:uid="{A069369A-FB97-4A4A-A581-321FA79E4250}"/>
    <hyperlink ref="C54" r:id="rId18" xr:uid="{6EF35D30-7113-4CE8-9077-C5BE97F74D36}"/>
    <hyperlink ref="C27" r:id="rId19" xr:uid="{1F769FA7-6B90-4B6B-9BCC-7D6679675B06}"/>
    <hyperlink ref="C56" r:id="rId20" xr:uid="{10922C8B-4C13-4E76-B998-3ADD8CC60E47}"/>
    <hyperlink ref="C24" r:id="rId21" xr:uid="{61277D68-67DC-475B-9B61-B7E2F3017110}"/>
    <hyperlink ref="C169" r:id="rId22" xr:uid="{14A63DAF-63A6-4B91-A2AF-AE28EA251457}"/>
    <hyperlink ref="C172" r:id="rId23" xr:uid="{4ACA7C7F-E42A-4687-A776-AB8065DB40FF}"/>
    <hyperlink ref="C168" r:id="rId24" xr:uid="{B3421391-7EC0-4253-8F62-5ED45A5BFA02}"/>
    <hyperlink ref="C173" r:id="rId25" xr:uid="{F6A45FC7-B73C-4143-9CAB-B3ADA19B5FD7}"/>
    <hyperlink ref="C170" r:id="rId26" xr:uid="{BBD267CB-7407-4913-9D05-6A6AA380019F}"/>
    <hyperlink ref="C175" r:id="rId27" xr:uid="{85368858-6D0F-4ABE-975C-AE5530342445}"/>
    <hyperlink ref="C166" r:id="rId28" xr:uid="{8B5BC1F5-14D4-45A0-B224-31FAF227EAF3}"/>
    <hyperlink ref="C174" r:id="rId29" xr:uid="{D5FB3BFE-F0A8-4C09-90A1-9F506EF0ADE4}"/>
    <hyperlink ref="C171" r:id="rId30" xr:uid="{11598046-2AED-42E7-ACA5-251A20A59427}"/>
    <hyperlink ref="C62" r:id="rId31" xr:uid="{A1C90F9B-FBBF-4C72-9A11-3798F692A0D2}"/>
    <hyperlink ref="C63" r:id="rId32" xr:uid="{F7B6503D-1F84-47C4-B87E-BDA7159D1B9F}"/>
    <hyperlink ref="C58" r:id="rId33" xr:uid="{D0EE43E7-C3F5-4256-99AE-DDCA9EC11DCF}"/>
    <hyperlink ref="C33" r:id="rId34" xr:uid="{1C25970A-A568-4869-A34A-5C6C7551D812}"/>
    <hyperlink ref="C150" r:id="rId35" xr:uid="{C3A06396-38CD-486E-9F4F-233A79292B4F}"/>
    <hyperlink ref="C115" r:id="rId36" xr:uid="{B83625D8-44D2-4842-9139-F29C8D5F2D8E}"/>
    <hyperlink ref="C151" r:id="rId37" xr:uid="{5FF32E6A-C6C7-4793-8271-BD230B9C7641}"/>
    <hyperlink ref="C64" r:id="rId38" xr:uid="{E5739E03-9FE4-4D05-90C8-36ABF7D078CB}"/>
    <hyperlink ref="C65" r:id="rId39" xr:uid="{25285F59-771C-40DB-8B78-E1E454C61406}"/>
    <hyperlink ref="C162" r:id="rId40" xr:uid="{C000061C-001D-4088-90A4-B672D181D3C5}"/>
    <hyperlink ref="C25" r:id="rId41" xr:uid="{98C5B53F-658C-427A-AF31-B4D604AF2D15}"/>
    <hyperlink ref="C31" r:id="rId42" xr:uid="{6A1F812B-EA91-4B3C-B4DC-88F792A7D0DE}"/>
    <hyperlink ref="C34" r:id="rId43" xr:uid="{6930A656-C59A-465F-8634-B30B4FEF47BC}"/>
    <hyperlink ref="C118" r:id="rId44" xr:uid="{559FAD8A-D620-4B93-BE14-CC22630BD57E}"/>
    <hyperlink ref="C10" r:id="rId45" xr:uid="{467EEBCD-6BD7-4E71-B2C9-FCF3DB57F059}"/>
    <hyperlink ref="C167" r:id="rId46" xr:uid="{6A576FDB-A573-4A00-8381-4BECF13B35A1}"/>
    <hyperlink ref="C20" r:id="rId47" xr:uid="{994E2867-C411-41E7-8332-43A0B3B0CC2B}"/>
    <hyperlink ref="C117" r:id="rId48" xr:uid="{51C9506E-5D60-43F8-BADA-7F72A25DAFF6}"/>
    <hyperlink ref="C116" r:id="rId49" xr:uid="{9E4325F2-98CF-4735-96D0-66A9DC5A8E86}"/>
    <hyperlink ref="C152" r:id="rId50" xr:uid="{6D062383-838D-42C7-BFCD-E5C9DC258548}"/>
    <hyperlink ref="C30" r:id="rId51" xr:uid="{3F36D809-73FC-441C-88D2-EEB42A40734A}"/>
    <hyperlink ref="C22" r:id="rId52" xr:uid="{5D73AAA9-EBCA-4613-83CF-E75D37F58B6D}"/>
    <hyperlink ref="C35" r:id="rId53" xr:uid="{C216ACFE-A1E7-4490-95CC-33302FDEACB6}"/>
    <hyperlink ref="C29" r:id="rId54" xr:uid="{203E18C7-425E-49E1-9AA5-204AFBE41E2D}"/>
    <hyperlink ref="C28" r:id="rId55" xr:uid="{5670E9A9-D014-4D7B-962A-54CBDC766969}"/>
    <hyperlink ref="C55" r:id="rId56" xr:uid="{04E7711A-AB14-45D0-B73B-7EA804EC5564}"/>
    <hyperlink ref="C36" r:id="rId57" xr:uid="{547F117B-55D8-401A-AD75-411778B2F717}"/>
    <hyperlink ref="C32" r:id="rId58" xr:uid="{76CA7CFE-7B9B-4C27-8561-3A158A30ED77}"/>
    <hyperlink ref="C13" r:id="rId59" xr:uid="{B0ABAFBD-FFC1-42E3-AFB4-259F4DD19FEC}"/>
    <hyperlink ref="C53" r:id="rId60" xr:uid="{F5D5A68A-4783-46B8-B717-79A0E802B6C4}"/>
    <hyperlink ref="C52" r:id="rId61" xr:uid="{DD930D2F-20A9-46C3-8AA4-5E62A88271DB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I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2022-10-30T21:55:08Z</dcterms:modified>
</cp:coreProperties>
</file>