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CODE\models\"/>
    </mc:Choice>
  </mc:AlternateContent>
  <xr:revisionPtr revIDLastSave="0" documentId="13_ncr:1_{235FAAE9-6186-487B-83D2-315A7E372D86}" xr6:coauthVersionLast="47" xr6:coauthVersionMax="47" xr10:uidLastSave="{00000000-0000-0000-0000-000000000000}"/>
  <bookViews>
    <workbookView xWindow="8100" yWindow="510" windowWidth="20310" windowHeight="14910" xr2:uid="{17641224-F2C3-441B-B85B-BB32567FE633}"/>
  </bookViews>
  <sheets>
    <sheet name="Main" sheetId="1" r:id="rId1"/>
    <sheet name="FX" sheetId="2" r:id="rId2"/>
    <sheet name="Private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F48" i="1" l="1"/>
  <c r="E48" i="1"/>
  <c r="G48" i="1" l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E9" i="1"/>
  <c r="G9" i="1" s="1"/>
  <c r="F8" i="1"/>
  <c r="E8" i="1"/>
  <c r="F7" i="1"/>
  <c r="E7" i="1"/>
  <c r="F6" i="1"/>
  <c r="E6" i="1"/>
  <c r="F5" i="1"/>
  <c r="E5" i="1"/>
  <c r="F4" i="1"/>
  <c r="G4" i="1" s="1"/>
  <c r="G19" i="1" l="1"/>
  <c r="G138" i="1"/>
  <c r="G15" i="1"/>
  <c r="G17" i="1"/>
  <c r="G11" i="1"/>
  <c r="G10" i="1"/>
  <c r="G133" i="1"/>
  <c r="G6" i="1"/>
  <c r="G137" i="1"/>
  <c r="G139" i="1"/>
  <c r="G14" i="1"/>
  <c r="G134" i="1"/>
  <c r="G16" i="1"/>
  <c r="G135" i="1"/>
  <c r="G13" i="1"/>
  <c r="G8" i="1"/>
  <c r="G18" i="1"/>
  <c r="G131" i="1"/>
  <c r="G132" i="1"/>
  <c r="G7" i="1"/>
  <c r="G12" i="1"/>
  <c r="G136" i="1"/>
  <c r="G5" i="1"/>
</calcChain>
</file>

<file path=xl/sharedStrings.xml><?xml version="1.0" encoding="utf-8"?>
<sst xmlns="http://schemas.openxmlformats.org/spreadsheetml/2006/main" count="319" uniqueCount="292">
  <si>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</si>
  <si>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</si>
  <si>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</si>
  <si>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</si>
  <si>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</si>
  <si>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</si>
  <si>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</si>
  <si>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</si>
  <si>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EV/E</t>
  </si>
  <si>
    <t>NI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</si>
  <si>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</si>
  <si>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</si>
  <si>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</si>
  <si>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</si>
  <si>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</si>
  <si>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</si>
  <si>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</si>
  <si>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</si>
  <si>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</si>
  <si>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</si>
  <si>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</si>
  <si>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</si>
  <si>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</si>
  <si>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</si>
  <si>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</si>
  <si>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</si>
  <si>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</si>
  <si>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</si>
  <si>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</si>
  <si>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</si>
  <si>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</si>
  <si>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</si>
  <si>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</si>
  <si>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</si>
  <si>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</si>
  <si>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</si>
  <si>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</si>
  <si>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</si>
  <si>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</si>
  <si>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</si>
  <si>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</si>
  <si>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</si>
  <si>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</si>
  <si>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</si>
  <si>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</si>
  <si>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</si>
  <si>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</si>
  <si>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</si>
  <si>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</si>
  <si>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</si>
  <si>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</si>
  <si>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</si>
  <si>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</si>
  <si>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</si>
  <si>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</si>
  <si>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</si>
  <si>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</si>
  <si>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</si>
  <si>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</si>
  <si>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</si>
  <si>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</si>
  <si>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</si>
  <si>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</si>
  <si>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</si>
  <si>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</si>
  <si>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</si>
  <si>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</si>
  <si>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</si>
  <si>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</si>
  <si>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</si>
  <si>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</si>
  <si>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</si>
  <si>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</si>
  <si>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</si>
  <si>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</si>
  <si>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</si>
  <si>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</si>
  <si>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</si>
  <si>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</si>
  <si>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</si>
  <si>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</si>
  <si>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</si>
  <si>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</si>
  <si>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</si>
  <si>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</si>
  <si>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</si>
  <si>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</si>
  <si>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</si>
  <si>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</si>
  <si>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</si>
  <si>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</si>
  <si>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</si>
  <si>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</si>
  <si>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</si>
  <si>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</si>
  <si>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</si>
  <si>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</si>
  <si>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</si>
  <si>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</si>
  <si>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</si>
  <si>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</si>
  <si>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</si>
  <si>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</si>
  <si>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</si>
  <si>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</si>
  <si>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</si>
  <si>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</si>
  <si>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</si>
  <si>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</si>
  <si>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</si>
  <si>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</si>
  <si>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</si>
  <si>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</si>
  <si>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</si>
  <si>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</si>
  <si>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</si>
  <si>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</si>
  <si>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</si>
  <si>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</si>
  <si>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</si>
  <si>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</si>
  <si>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</si>
  <si>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</si>
  <si>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</si>
  <si>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</si>
  <si>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</si>
  <si>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</si>
  <si>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</si>
  <si>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</si>
  <si>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</si>
  <si>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</si>
  <si>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</si>
  <si>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</si>
  <si>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</si>
  <si>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</si>
  <si>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</si>
  <si>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</si>
  <si>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</si>
  <si>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</si>
  <si>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</si>
  <si>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</si>
  <si>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</si>
  <si>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</si>
  <si>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</si>
  <si>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</si>
  <si>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</si>
  <si>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</si>
  <si>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</si>
  <si>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</si>
  <si>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</si>
  <si>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</si>
  <si>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</si>
  <si>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</si>
  <si>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</si>
  <si>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</si>
  <si>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</si>
  <si>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</si>
  <si>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</si>
  <si>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</si>
  <si>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</si>
  <si>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</si>
  <si>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</si>
  <si>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</si>
  <si>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</si>
  <si>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</si>
  <si>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</si>
  <si>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</si>
  <si>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</si>
  <si>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</si>
  <si>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</si>
  <si>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</si>
  <si>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</si>
  <si>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</si>
  <si>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</si>
  <si>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</si>
  <si>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</si>
  <si>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</si>
  <si>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</si>
  <si>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</si>
  <si>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</si>
  <si>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</si>
  <si>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</si>
  <si>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</si>
  <si>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</si>
  <si>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</si>
  <si>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</si>
  <si>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</si>
  <si>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</si>
  <si>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</si>
  <si>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</si>
  <si>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</si>
  <si>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</si>
  <si>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</si>
  <si>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BioCrtyst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</si>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</sst>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LQ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LL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"/>
      <sheetName val="Pipeline"/>
      <sheetName val="Markets"/>
      <sheetName val="Management"/>
      <sheetName val="Pricing"/>
      <sheetName val="IMS"/>
      <sheetName val="Old Drugs"/>
      <sheetName val="Main"/>
      <sheetName val="Model"/>
      <sheetName val="Remicade"/>
      <sheetName val="Procrit"/>
      <sheetName val="Invega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Stelara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S3">
            <v>2631.4018040000001</v>
          </cell>
        </row>
        <row r="5">
          <cell r="S5">
            <v>30388</v>
          </cell>
        </row>
        <row r="6">
          <cell r="S6">
            <v>33148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>
        <row r="4">
          <cell r="K4">
            <v>5068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 refreshError="1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Humira"/>
    </sheetNames>
    <sheetDataSet>
      <sheetData sheetId="0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>
        <row r="3">
          <cell r="K3">
            <v>950.15955899999994</v>
          </cell>
        </row>
        <row r="5">
          <cell r="K5">
            <v>5295.6</v>
          </cell>
        </row>
        <row r="6">
          <cell r="K6">
            <v>16508.8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in"/>
      <sheetName val="Model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T-DM1"/>
    </sheetNames>
    <sheetDataSet>
      <sheetData sheetId="0"/>
      <sheetData sheetId="1"/>
      <sheetData sheetId="2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ictoza"/>
      <sheetName val="NovoLog"/>
      <sheetName val="Levemir"/>
    </sheetNames>
    <sheetDataSet>
      <sheetData sheetId="0">
        <row r="3">
          <cell r="K3">
            <v>2283.3000000000002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Crixivan"/>
      <sheetName val="Main"/>
      <sheetName val="Model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</sheetNames>
    <sheetDataSet>
      <sheetData sheetId="0"/>
      <sheetData sheetId="1"/>
      <sheetData sheetId="2">
        <row r="3">
          <cell r="K3">
            <v>2528.8050250000001</v>
          </cell>
        </row>
        <row r="5">
          <cell r="K5">
            <v>9244</v>
          </cell>
        </row>
        <row r="6">
          <cell r="K6">
            <v>31794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lotuzumab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  <sheetName val="apixaban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" Type="http://schemas.openxmlformats.org/officeDocument/2006/relationships/hyperlink" Target="PFE.xlsx" TargetMode="External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7" Type="http://schemas.openxmlformats.org/officeDocument/2006/relationships/hyperlink" Target="AZN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../../OneDrive/Models%20Backup/LQDA.xlsx" TargetMode="External"/><Relationship Id="rId33" Type="http://schemas.openxmlformats.org/officeDocument/2006/relationships/hyperlink" Target="../../OneDrive/Models%20Backup/BIOR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0" Type="http://schemas.openxmlformats.org/officeDocument/2006/relationships/hyperlink" Target="MRNA.xls" TargetMode="External"/><Relationship Id="rId29" Type="http://schemas.openxmlformats.org/officeDocument/2006/relationships/hyperlink" Target="../../OneDrive/Models%20Backup/MGTX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" TargetMode="External"/><Relationship Id="rId31" Type="http://schemas.openxmlformats.org/officeDocument/2006/relationships/hyperlink" Target="../../OneDrive/Models%20Backup/CPRX.xlsx" TargetMode="External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8" Type="http://schemas.openxmlformats.org/officeDocument/2006/relationships/hyperlink" Target="LL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T141"/>
  <sheetViews>
    <sheetView tabSelected="1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D52" sqref="D52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8" width="9.140625" style="3"/>
    <col min="9" max="20" width="9.140625" style="4"/>
    <col min="21" max="16384" width="9.140625" style="1"/>
  </cols>
  <sheetData>
    <row r="2" spans="2:20" x14ac:dyDescent="0.2">
      <c r="I2" s="13" t="s">
        <v>8</v>
      </c>
      <c r="J2" s="13"/>
      <c r="K2" s="13"/>
      <c r="L2" s="13"/>
      <c r="M2" s="13"/>
      <c r="N2" s="13"/>
      <c r="O2" s="13" t="s">
        <v>9</v>
      </c>
      <c r="P2" s="13"/>
      <c r="Q2" s="13"/>
      <c r="R2" s="13"/>
      <c r="S2" s="13"/>
      <c r="T2" s="13"/>
    </row>
    <row r="3" spans="2:20" x14ac:dyDescent="0.2">
      <c r="B3" s="1" t="s">
        <v>1</v>
      </c>
      <c r="C3" s="1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4">
        <v>2022</v>
      </c>
      <c r="J3" s="4">
        <v>2023</v>
      </c>
      <c r="K3" s="4">
        <v>2024</v>
      </c>
      <c r="L3" s="4">
        <v>2025</v>
      </c>
      <c r="M3" s="4">
        <v>2026</v>
      </c>
      <c r="N3" s="4">
        <v>2027</v>
      </c>
      <c r="O3" s="4">
        <v>2022</v>
      </c>
      <c r="P3" s="4">
        <v>2023</v>
      </c>
      <c r="Q3" s="4">
        <v>2024</v>
      </c>
      <c r="R3" s="4">
        <v>2025</v>
      </c>
      <c r="S3" s="4">
        <v>2026</v>
      </c>
      <c r="T3" s="4">
        <v>2027</v>
      </c>
    </row>
    <row r="4" spans="2:20" x14ac:dyDescent="0.2">
      <c r="B4" s="5" t="s">
        <v>16</v>
      </c>
      <c r="C4" s="1" t="s">
        <v>17</v>
      </c>
      <c r="D4" s="3">
        <v>169.99</v>
      </c>
      <c r="E4" s="6">
        <f>D4*[1]Main!$S$3</f>
        <v>447311.99266196002</v>
      </c>
      <c r="F4" s="6">
        <f>+[1]Main!$S$5-[1]Main!$S$6</f>
        <v>-2760</v>
      </c>
      <c r="G4" s="6">
        <f>E4-F4</f>
        <v>450071.99266196002</v>
      </c>
      <c r="H4" s="3" t="s">
        <v>18</v>
      </c>
    </row>
    <row r="5" spans="2:20" x14ac:dyDescent="0.2">
      <c r="B5" s="5" t="s">
        <v>19</v>
      </c>
      <c r="C5" s="1" t="s">
        <v>20</v>
      </c>
      <c r="D5" s="3">
        <v>138.28</v>
      </c>
      <c r="E5" s="6">
        <f>D5*[2]Main!$K$3</f>
        <v>245861.84</v>
      </c>
      <c r="F5" s="6">
        <f>[2]Main!$K$5-[2]Main!$K$6</f>
        <v>-65642</v>
      </c>
      <c r="G5" s="6">
        <f t="shared" ref="G5:G13" si="0">E5-F5</f>
        <v>311503.83999999997</v>
      </c>
      <c r="H5" s="3" t="s">
        <v>18</v>
      </c>
    </row>
    <row r="6" spans="2:20" x14ac:dyDescent="0.2">
      <c r="B6" s="5" t="s">
        <v>21</v>
      </c>
      <c r="C6" s="1" t="s">
        <v>22</v>
      </c>
      <c r="D6" s="7">
        <v>290.89999999999998</v>
      </c>
      <c r="E6" s="6">
        <f>D6*[3]Main!$K$3</f>
        <v>276401.41571309994</v>
      </c>
      <c r="F6" s="6">
        <f>[3]Main!$K$5-[3]Main!$K$6</f>
        <v>-11213.199999999999</v>
      </c>
      <c r="G6" s="6">
        <f t="shared" si="0"/>
        <v>287614.61571309995</v>
      </c>
      <c r="H6" s="3" t="s">
        <v>18</v>
      </c>
    </row>
    <row r="7" spans="2:20" x14ac:dyDescent="0.2">
      <c r="B7" s="5" t="s">
        <v>23</v>
      </c>
      <c r="C7" s="1" t="s">
        <v>24</v>
      </c>
      <c r="D7" s="3">
        <v>303.35000000000002</v>
      </c>
      <c r="E7" s="6">
        <f>(D7*[4]Main!$K$3)/CHF</f>
        <v>248747.31077758429</v>
      </c>
      <c r="F7" s="6">
        <f>([4]Main!$K$5-[4]Main!$K$6)/CHF</f>
        <v>-18611.822559164022</v>
      </c>
      <c r="G7" s="6">
        <f t="shared" si="0"/>
        <v>267359.13333674835</v>
      </c>
      <c r="H7" s="3" t="s">
        <v>25</v>
      </c>
    </row>
    <row r="8" spans="2:20" x14ac:dyDescent="0.2">
      <c r="B8" s="5" t="s">
        <v>26</v>
      </c>
      <c r="C8" s="1" t="s">
        <v>27</v>
      </c>
      <c r="D8" s="3">
        <v>46.53</v>
      </c>
      <c r="E8" s="6">
        <f>D8*[5]Main!$L$3*1000</f>
        <v>267919.74</v>
      </c>
      <c r="F8" s="6">
        <f>([5]Main!$L$5-[5]Main!$L$6)*1000</f>
        <v>8332.9999999999909</v>
      </c>
      <c r="G8" s="6">
        <f t="shared" si="0"/>
        <v>259586.74</v>
      </c>
      <c r="H8" s="3" t="s">
        <v>18</v>
      </c>
    </row>
    <row r="9" spans="2:20" x14ac:dyDescent="0.2">
      <c r="B9" s="5" t="s">
        <v>28</v>
      </c>
      <c r="C9" s="1" t="s">
        <v>29</v>
      </c>
      <c r="D9" s="3">
        <v>105.58</v>
      </c>
      <c r="E9" s="6">
        <f>D9*[6]Main!$K$3</f>
        <v>241070.81400000001</v>
      </c>
      <c r="F9" s="6"/>
      <c r="G9" s="6">
        <f t="shared" si="0"/>
        <v>241070.81400000001</v>
      </c>
      <c r="H9" s="3" t="s">
        <v>18</v>
      </c>
    </row>
    <row r="10" spans="2:20" x14ac:dyDescent="0.2">
      <c r="B10" s="5" t="s">
        <v>30</v>
      </c>
      <c r="C10" s="1" t="s">
        <v>31</v>
      </c>
      <c r="D10" s="3">
        <v>84.62</v>
      </c>
      <c r="E10" s="6">
        <f>D10*[7]Main!$K$3</f>
        <v>213987.48121550001</v>
      </c>
      <c r="F10" s="6">
        <f>[7]Main!$K$5-[7]Main!$K$6</f>
        <v>-22550</v>
      </c>
      <c r="G10" s="6">
        <f t="shared" si="0"/>
        <v>236537.48121550001</v>
      </c>
      <c r="H10" s="3" t="s">
        <v>18</v>
      </c>
    </row>
    <row r="11" spans="2:20" x14ac:dyDescent="0.2">
      <c r="B11" s="5" t="s">
        <v>32</v>
      </c>
      <c r="C11" s="1" t="s">
        <v>33</v>
      </c>
      <c r="D11" s="3">
        <v>81.06</v>
      </c>
      <c r="E11" s="6">
        <f>D11*[8]Main!$L$3</f>
        <v>179352.13207506001</v>
      </c>
      <c r="F11" s="6">
        <f>[8]Main!$L$5-[8]Main!$L$6</f>
        <v>-10678</v>
      </c>
      <c r="G11" s="6">
        <f>E11-F11</f>
        <v>190030.13207506001</v>
      </c>
      <c r="H11" s="3" t="s">
        <v>18</v>
      </c>
    </row>
    <row r="12" spans="2:20" x14ac:dyDescent="0.2">
      <c r="B12" s="5" t="s">
        <v>34</v>
      </c>
      <c r="C12" s="1" t="s">
        <v>35</v>
      </c>
      <c r="D12" s="3">
        <v>73.77</v>
      </c>
      <c r="E12" s="6">
        <f>D12*[9]Main!$L$3</f>
        <v>157061.07127166999</v>
      </c>
      <c r="F12" s="6">
        <f>[9]Main!$L$5-[9]Main!$L$6</f>
        <v>-30004</v>
      </c>
      <c r="G12" s="6">
        <f>E12-F12</f>
        <v>187065.07127166999</v>
      </c>
      <c r="H12" s="3" t="s">
        <v>18</v>
      </c>
    </row>
    <row r="13" spans="2:20" x14ac:dyDescent="0.2">
      <c r="B13" s="5" t="s">
        <v>36</v>
      </c>
      <c r="C13" s="1" t="s">
        <v>37</v>
      </c>
      <c r="D13" s="3">
        <v>246.73</v>
      </c>
      <c r="E13" s="6">
        <f>D13*[10]Main!$K$3</f>
        <v>131753.82</v>
      </c>
      <c r="F13" s="6">
        <f>[10]Main!$K$5-[10]Main!$K$6</f>
        <v>-30310</v>
      </c>
      <c r="G13" s="6">
        <f t="shared" si="0"/>
        <v>162063.82</v>
      </c>
      <c r="H13" s="3" t="s">
        <v>18</v>
      </c>
    </row>
    <row r="14" spans="2:20" x14ac:dyDescent="0.2">
      <c r="B14" s="5" t="s">
        <v>38</v>
      </c>
      <c r="C14" s="1" t="s">
        <v>39</v>
      </c>
      <c r="D14" s="7">
        <v>49.2</v>
      </c>
      <c r="E14" s="6">
        <f>D14*[11]Main!$L$3*2</f>
        <v>123482.16000000002</v>
      </c>
      <c r="F14" s="6">
        <f>([11]Main!$L$5-[11]Main!$L$6)*EUR</f>
        <v>-10384.598400000001</v>
      </c>
      <c r="G14" s="6">
        <f>E14-F14</f>
        <v>133866.75840000002</v>
      </c>
      <c r="H14" s="3" t="s">
        <v>25</v>
      </c>
    </row>
    <row r="15" spans="2:20" x14ac:dyDescent="0.2">
      <c r="B15" s="5" t="s">
        <v>40</v>
      </c>
      <c r="C15" s="1" t="s">
        <v>41</v>
      </c>
      <c r="D15" s="7">
        <v>66</v>
      </c>
      <c r="E15" s="6">
        <f>D15*[12]Main!$L$3</f>
        <v>103026</v>
      </c>
      <c r="F15" s="6">
        <f>[12]Main!$L$5-[12]Main!$L$6</f>
        <v>-25217</v>
      </c>
      <c r="G15" s="6">
        <f t="shared" ref="G15:G18" si="1">E15-F15</f>
        <v>128243</v>
      </c>
      <c r="H15" s="3" t="s">
        <v>18</v>
      </c>
    </row>
    <row r="16" spans="2:20" x14ac:dyDescent="0.2">
      <c r="B16" s="5" t="s">
        <v>42</v>
      </c>
      <c r="C16" s="1" t="s">
        <v>43</v>
      </c>
      <c r="D16" s="3">
        <v>41.27</v>
      </c>
      <c r="E16" s="6">
        <f>D16*[13]Main!$K$4/2</f>
        <v>104578.18000000001</v>
      </c>
      <c r="F16" s="6">
        <f>([13]Main!$K$6-[13]Main!$K$7)*GBP</f>
        <v>-22956.02</v>
      </c>
      <c r="G16" s="6">
        <f t="shared" si="1"/>
        <v>127534.20000000001</v>
      </c>
      <c r="H16" s="3" t="s">
        <v>18</v>
      </c>
    </row>
    <row r="17" spans="2:20" x14ac:dyDescent="0.2">
      <c r="B17" s="5" t="s">
        <v>42</v>
      </c>
      <c r="C17" s="1" t="s">
        <v>44</v>
      </c>
      <c r="D17" s="6">
        <v>1683.8</v>
      </c>
      <c r="E17" s="6">
        <f>D17*[13]Main!$K$4/100*GBP</f>
        <v>100976.8865672</v>
      </c>
      <c r="F17" s="6">
        <f>([13]Main!$K$6-[13]Main!$K$7)*GBP</f>
        <v>-22956.02</v>
      </c>
      <c r="G17" s="6">
        <f t="shared" si="1"/>
        <v>123932.9065672</v>
      </c>
      <c r="H17" s="3" t="s">
        <v>18</v>
      </c>
    </row>
    <row r="18" spans="2:20" x14ac:dyDescent="0.2">
      <c r="B18" s="5" t="s">
        <v>45</v>
      </c>
      <c r="C18" s="1" t="s">
        <v>46</v>
      </c>
      <c r="D18" s="7">
        <v>175.1</v>
      </c>
      <c r="E18" s="6">
        <f>D18*[14]Main!$J$3*EUR</f>
        <v>77446.648629173942</v>
      </c>
      <c r="F18" s="6">
        <f>([14]Main!$J$5-[14]Main!$J$6)*EUR</f>
        <v>-9387.644400000001</v>
      </c>
      <c r="G18" s="6">
        <f t="shared" si="1"/>
        <v>86834.293029173947</v>
      </c>
      <c r="H18" s="3" t="s">
        <v>18</v>
      </c>
    </row>
    <row r="19" spans="2:20" x14ac:dyDescent="0.2">
      <c r="B19" s="5" t="s">
        <v>47</v>
      </c>
      <c r="C19" s="1" t="s">
        <v>47</v>
      </c>
      <c r="D19" s="3">
        <v>255.99</v>
      </c>
      <c r="E19" s="6">
        <f>D19*[15]Main!$J$3*AUD</f>
        <v>80031.808981488444</v>
      </c>
      <c r="F19" s="6">
        <f>[15]Main!$J$5-[15]Main!$J$6</f>
        <v>-3998.1000000000004</v>
      </c>
      <c r="G19" s="6">
        <f>E19-F19</f>
        <v>84029.90898148845</v>
      </c>
      <c r="H19" s="3" t="s">
        <v>48</v>
      </c>
    </row>
    <row r="20" spans="2:20" x14ac:dyDescent="0.2">
      <c r="B20" s="5" t="s">
        <v>49</v>
      </c>
      <c r="C20" s="1" t="s">
        <v>50</v>
      </c>
      <c r="D20" s="3">
        <v>58.53</v>
      </c>
    </row>
    <row r="21" spans="2:20" x14ac:dyDescent="0.2">
      <c r="B21" s="5" t="s">
        <v>51</v>
      </c>
      <c r="C21" s="1" t="s">
        <v>52</v>
      </c>
      <c r="D21" s="3">
        <v>263.08999999999997</v>
      </c>
    </row>
    <row r="22" spans="2:20" x14ac:dyDescent="0.2">
      <c r="B22" s="5" t="s">
        <v>53</v>
      </c>
      <c r="C22" s="1" t="s">
        <v>54</v>
      </c>
      <c r="D22" s="3">
        <v>71.27</v>
      </c>
    </row>
    <row r="23" spans="2:20" x14ac:dyDescent="0.2">
      <c r="B23" s="5" t="s">
        <v>55</v>
      </c>
      <c r="C23" s="1" t="s">
        <v>56</v>
      </c>
      <c r="D23" s="3">
        <v>580.95000000000005</v>
      </c>
    </row>
    <row r="24" spans="2:20" x14ac:dyDescent="0.2">
      <c r="B24" s="5" t="s">
        <v>57</v>
      </c>
      <c r="C24" s="1" t="s">
        <v>58</v>
      </c>
      <c r="D24" s="3">
        <v>128.03</v>
      </c>
    </row>
    <row r="25" spans="2:20" x14ac:dyDescent="0.2">
      <c r="B25" s="5" t="s">
        <v>59</v>
      </c>
      <c r="C25" s="1" t="s">
        <v>60</v>
      </c>
      <c r="D25" s="6">
        <v>3311</v>
      </c>
    </row>
    <row r="26" spans="2:20" x14ac:dyDescent="0.2">
      <c r="B26" s="5" t="s">
        <v>61</v>
      </c>
      <c r="C26" s="1" t="s">
        <v>62</v>
      </c>
      <c r="D26" s="3">
        <v>137.09</v>
      </c>
    </row>
    <row r="27" spans="2:20" x14ac:dyDescent="0.2">
      <c r="B27" s="5" t="s">
        <v>63</v>
      </c>
      <c r="C27" s="1" t="s">
        <v>64</v>
      </c>
      <c r="D27" s="3">
        <v>28.54</v>
      </c>
    </row>
    <row r="28" spans="2:20" x14ac:dyDescent="0.2">
      <c r="B28" s="5" t="s">
        <v>65</v>
      </c>
      <c r="C28" s="1" t="s">
        <v>66</v>
      </c>
      <c r="D28" s="3">
        <v>13.12</v>
      </c>
    </row>
    <row r="29" spans="2:20" x14ac:dyDescent="0.2">
      <c r="B29" s="1" t="s">
        <v>67</v>
      </c>
      <c r="C29" s="1" t="s">
        <v>68</v>
      </c>
      <c r="D29" s="3">
        <v>349.96</v>
      </c>
    </row>
    <row r="30" spans="2:20" x14ac:dyDescent="0.2">
      <c r="B30" s="1" t="s">
        <v>267</v>
      </c>
      <c r="C30" s="10" t="s">
        <v>268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2:20" x14ac:dyDescent="0.2">
      <c r="B31" s="1" t="s">
        <v>69</v>
      </c>
      <c r="C31" s="1" t="s">
        <v>70</v>
      </c>
      <c r="D31" s="3">
        <v>63.83</v>
      </c>
    </row>
    <row r="32" spans="2:20" x14ac:dyDescent="0.2">
      <c r="B32" s="1" t="s">
        <v>71</v>
      </c>
      <c r="C32" s="1" t="s">
        <v>72</v>
      </c>
      <c r="D32" s="6">
        <v>4360</v>
      </c>
    </row>
    <row r="33" spans="2:20" x14ac:dyDescent="0.2">
      <c r="B33" s="10" t="s">
        <v>275</v>
      </c>
      <c r="C33" s="10" t="s">
        <v>276</v>
      </c>
      <c r="D33" s="6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2:20" x14ac:dyDescent="0.2">
      <c r="B34" s="1" t="s">
        <v>73</v>
      </c>
      <c r="C34" s="1" t="s">
        <v>74</v>
      </c>
      <c r="D34" s="3">
        <v>76.08</v>
      </c>
    </row>
    <row r="35" spans="2:20" x14ac:dyDescent="0.2">
      <c r="B35" s="10" t="s">
        <v>271</v>
      </c>
      <c r="C35" s="1" t="s">
        <v>272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2:20" x14ac:dyDescent="0.2">
      <c r="B36" s="10" t="s">
        <v>269</v>
      </c>
      <c r="C36" s="10" t="s">
        <v>270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2:20" x14ac:dyDescent="0.2">
      <c r="B37" s="1" t="s">
        <v>75</v>
      </c>
      <c r="C37" s="1" t="s">
        <v>76</v>
      </c>
      <c r="D37" s="3">
        <v>165.45</v>
      </c>
    </row>
    <row r="38" spans="2:20" x14ac:dyDescent="0.2">
      <c r="B38" s="1" t="s">
        <v>77</v>
      </c>
      <c r="C38" s="1" t="s">
        <v>78</v>
      </c>
      <c r="D38" s="3">
        <v>125.14</v>
      </c>
    </row>
    <row r="39" spans="2:20" x14ac:dyDescent="0.2">
      <c r="B39" s="1" t="s">
        <v>79</v>
      </c>
      <c r="C39" s="1" t="s">
        <v>80</v>
      </c>
      <c r="D39" s="3">
        <v>10.46</v>
      </c>
    </row>
    <row r="40" spans="2:20" x14ac:dyDescent="0.2">
      <c r="B40" s="10" t="s">
        <v>273</v>
      </c>
      <c r="C40" s="10" t="s">
        <v>274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2:20" x14ac:dyDescent="0.2">
      <c r="B41" s="1" t="s">
        <v>81</v>
      </c>
      <c r="C41" s="1" t="s">
        <v>82</v>
      </c>
      <c r="D41" s="3">
        <v>39.35</v>
      </c>
    </row>
    <row r="42" spans="2:20" x14ac:dyDescent="0.2">
      <c r="B42" s="10" t="s">
        <v>277</v>
      </c>
      <c r="C42" s="10" t="s">
        <v>278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2:20" x14ac:dyDescent="0.2">
      <c r="B43" s="1" t="s">
        <v>83</v>
      </c>
      <c r="C43" s="1" t="s">
        <v>84</v>
      </c>
      <c r="D43" s="3">
        <v>132.13999999999999</v>
      </c>
    </row>
    <row r="44" spans="2:20" x14ac:dyDescent="0.2">
      <c r="B44" s="1" t="s">
        <v>85</v>
      </c>
      <c r="C44" s="1" t="s">
        <v>86</v>
      </c>
      <c r="D44" s="6">
        <v>1978</v>
      </c>
    </row>
    <row r="45" spans="2:20" x14ac:dyDescent="0.2">
      <c r="B45" s="1" t="s">
        <v>87</v>
      </c>
      <c r="C45" s="1" t="s">
        <v>88</v>
      </c>
      <c r="D45" s="6">
        <v>3060</v>
      </c>
    </row>
    <row r="46" spans="2:20" x14ac:dyDescent="0.2">
      <c r="B46" s="1" t="s">
        <v>89</v>
      </c>
      <c r="C46" s="1" t="s">
        <v>90</v>
      </c>
      <c r="D46" s="3">
        <v>11.57</v>
      </c>
    </row>
    <row r="47" spans="2:20" x14ac:dyDescent="0.2">
      <c r="B47" s="1" t="s">
        <v>91</v>
      </c>
      <c r="C47" s="1" t="s">
        <v>92</v>
      </c>
      <c r="D47" s="3">
        <v>145.13999999999999</v>
      </c>
    </row>
    <row r="48" spans="2:20" x14ac:dyDescent="0.2">
      <c r="B48" s="5" t="s">
        <v>93</v>
      </c>
      <c r="C48" s="1" t="s">
        <v>94</v>
      </c>
      <c r="D48" s="3">
        <v>219.38</v>
      </c>
      <c r="E48" s="6">
        <f>D48*[16]Main!$K$3</f>
        <v>10464.426000000001</v>
      </c>
      <c r="F48" s="6">
        <f>[16]Main!$K$5-[16]Main!$K$6</f>
        <v>3027</v>
      </c>
      <c r="G48" s="6">
        <f>E48-F48</f>
        <v>7437.4260000000013</v>
      </c>
      <c r="H48" s="3" t="s">
        <v>18</v>
      </c>
    </row>
    <row r="49" spans="2:20" x14ac:dyDescent="0.2">
      <c r="B49" s="1" t="s">
        <v>95</v>
      </c>
      <c r="C49" s="1" t="s">
        <v>96</v>
      </c>
      <c r="D49" s="3">
        <v>93.28</v>
      </c>
    </row>
    <row r="50" spans="2:20" x14ac:dyDescent="0.2">
      <c r="B50" s="1" t="s">
        <v>97</v>
      </c>
      <c r="C50" s="1" t="s">
        <v>98</v>
      </c>
      <c r="D50" s="3">
        <v>142.91</v>
      </c>
    </row>
    <row r="51" spans="2:20" x14ac:dyDescent="0.2">
      <c r="B51" s="10" t="s">
        <v>283</v>
      </c>
      <c r="C51" s="10" t="s">
        <v>283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2:20" x14ac:dyDescent="0.2">
      <c r="B52" s="10" t="s">
        <v>290</v>
      </c>
      <c r="C52" s="10" t="s">
        <v>291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2:20" x14ac:dyDescent="0.2">
      <c r="B53" s="1" t="s">
        <v>99</v>
      </c>
      <c r="C53" s="1" t="s">
        <v>100</v>
      </c>
      <c r="D53" s="3">
        <v>7.71</v>
      </c>
    </row>
    <row r="54" spans="2:20" x14ac:dyDescent="0.2">
      <c r="B54" s="10" t="s">
        <v>288</v>
      </c>
      <c r="C54" s="10" t="s">
        <v>289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2:20" x14ac:dyDescent="0.2">
      <c r="B55" s="10" t="s">
        <v>286</v>
      </c>
      <c r="C55" s="10" t="s">
        <v>287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2:20" x14ac:dyDescent="0.2">
      <c r="B56" s="10" t="s">
        <v>284</v>
      </c>
      <c r="C56" s="10" t="s">
        <v>285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2:20" x14ac:dyDescent="0.2">
      <c r="B57" s="10" t="s">
        <v>281</v>
      </c>
      <c r="C57" s="10" t="s">
        <v>282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2:20" x14ac:dyDescent="0.2">
      <c r="B58" s="10" t="s">
        <v>279</v>
      </c>
      <c r="C58" s="10" t="s">
        <v>280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2:20" x14ac:dyDescent="0.2">
      <c r="B59" s="10" t="s">
        <v>265</v>
      </c>
      <c r="C59" s="10" t="s">
        <v>266</v>
      </c>
    </row>
    <row r="60" spans="2:20" x14ac:dyDescent="0.2">
      <c r="B60" s="1" t="s">
        <v>101</v>
      </c>
      <c r="C60" s="1" t="s">
        <v>102</v>
      </c>
      <c r="D60" s="3">
        <v>11.04</v>
      </c>
    </row>
    <row r="61" spans="2:20" x14ac:dyDescent="0.2">
      <c r="B61" s="1" t="s">
        <v>103</v>
      </c>
      <c r="C61" s="1" t="s">
        <v>104</v>
      </c>
      <c r="D61" s="3">
        <v>44.14</v>
      </c>
    </row>
    <row r="62" spans="2:20" x14ac:dyDescent="0.2">
      <c r="B62" s="1" t="s">
        <v>105</v>
      </c>
      <c r="C62" s="1" t="s">
        <v>106</v>
      </c>
      <c r="D62" s="3">
        <v>35.26</v>
      </c>
    </row>
    <row r="63" spans="2:20" x14ac:dyDescent="0.2">
      <c r="B63" s="1" t="s">
        <v>107</v>
      </c>
      <c r="C63" s="1" t="s">
        <v>108</v>
      </c>
      <c r="D63" s="3">
        <v>82.53</v>
      </c>
    </row>
    <row r="64" spans="2:20" x14ac:dyDescent="0.2">
      <c r="B64" s="1" t="s">
        <v>109</v>
      </c>
      <c r="C64" s="1" t="s">
        <v>110</v>
      </c>
      <c r="D64" s="3">
        <v>24.78</v>
      </c>
    </row>
    <row r="65" spans="2:4" x14ac:dyDescent="0.2">
      <c r="B65" s="1" t="s">
        <v>111</v>
      </c>
      <c r="C65" s="1" t="s">
        <v>112</v>
      </c>
      <c r="D65" s="3">
        <v>4.72</v>
      </c>
    </row>
    <row r="66" spans="2:4" x14ac:dyDescent="0.2">
      <c r="B66" s="1" t="s">
        <v>113</v>
      </c>
      <c r="C66" s="1" t="s">
        <v>114</v>
      </c>
      <c r="D66" s="3">
        <v>24.53</v>
      </c>
    </row>
    <row r="67" spans="2:4" x14ac:dyDescent="0.2">
      <c r="B67" s="1" t="s">
        <v>115</v>
      </c>
      <c r="C67" s="1" t="s">
        <v>116</v>
      </c>
      <c r="D67" s="3">
        <v>23.02</v>
      </c>
    </row>
    <row r="68" spans="2:4" x14ac:dyDescent="0.2">
      <c r="B68" s="1" t="s">
        <v>117</v>
      </c>
      <c r="C68" s="1" t="s">
        <v>118</v>
      </c>
      <c r="D68" s="3">
        <v>29.12</v>
      </c>
    </row>
    <row r="69" spans="2:4" x14ac:dyDescent="0.2">
      <c r="B69" s="1" t="s">
        <v>119</v>
      </c>
      <c r="C69" s="1" t="s">
        <v>120</v>
      </c>
      <c r="D69" s="3">
        <v>33.17</v>
      </c>
    </row>
    <row r="70" spans="2:4" x14ac:dyDescent="0.2">
      <c r="B70" s="1" t="s">
        <v>121</v>
      </c>
      <c r="C70" s="1" t="s">
        <v>122</v>
      </c>
      <c r="D70" s="3">
        <v>53.21</v>
      </c>
    </row>
    <row r="71" spans="2:4" x14ac:dyDescent="0.2">
      <c r="B71" s="1" t="s">
        <v>123</v>
      </c>
      <c r="C71" s="1" t="s">
        <v>124</v>
      </c>
      <c r="D71" s="3">
        <v>46.23</v>
      </c>
    </row>
    <row r="72" spans="2:4" x14ac:dyDescent="0.2">
      <c r="B72" s="1" t="s">
        <v>125</v>
      </c>
      <c r="C72" s="1" t="s">
        <v>126</v>
      </c>
      <c r="D72" s="7">
        <v>70</v>
      </c>
    </row>
    <row r="73" spans="2:4" x14ac:dyDescent="0.2">
      <c r="B73" s="1" t="s">
        <v>127</v>
      </c>
      <c r="C73" s="1" t="s">
        <v>128</v>
      </c>
      <c r="D73" s="3">
        <v>18.559999999999999</v>
      </c>
    </row>
    <row r="74" spans="2:4" x14ac:dyDescent="0.2">
      <c r="B74" s="1" t="s">
        <v>129</v>
      </c>
      <c r="C74" s="1" t="s">
        <v>130</v>
      </c>
      <c r="D74" s="3">
        <v>15.75</v>
      </c>
    </row>
    <row r="75" spans="2:4" x14ac:dyDescent="0.2">
      <c r="B75" s="1" t="s">
        <v>131</v>
      </c>
      <c r="C75" s="1" t="s">
        <v>132</v>
      </c>
      <c r="D75" s="3">
        <v>19.510000000000002</v>
      </c>
    </row>
    <row r="76" spans="2:4" x14ac:dyDescent="0.2">
      <c r="B76" s="1" t="s">
        <v>133</v>
      </c>
      <c r="C76" s="1" t="s">
        <v>134</v>
      </c>
      <c r="D76" s="3">
        <v>66.97</v>
      </c>
    </row>
    <row r="77" spans="2:4" x14ac:dyDescent="0.2">
      <c r="B77" s="1" t="s">
        <v>135</v>
      </c>
      <c r="C77" s="1" t="s">
        <v>136</v>
      </c>
      <c r="D77" s="3">
        <v>54.94</v>
      </c>
    </row>
    <row r="78" spans="2:4" x14ac:dyDescent="0.2">
      <c r="B78" s="1" t="s">
        <v>137</v>
      </c>
      <c r="C78" s="1" t="s">
        <v>138</v>
      </c>
      <c r="D78" s="3">
        <v>38.840000000000003</v>
      </c>
    </row>
    <row r="79" spans="2:4" x14ac:dyDescent="0.2">
      <c r="B79" s="1" t="s">
        <v>139</v>
      </c>
      <c r="C79" s="1" t="s">
        <v>140</v>
      </c>
      <c r="D79" s="3">
        <v>44.14</v>
      </c>
    </row>
    <row r="80" spans="2:4" x14ac:dyDescent="0.2">
      <c r="B80" s="1" t="s">
        <v>141</v>
      </c>
      <c r="C80" s="1" t="s">
        <v>142</v>
      </c>
      <c r="D80" s="3">
        <v>28.03</v>
      </c>
    </row>
    <row r="81" spans="2:4" x14ac:dyDescent="0.2">
      <c r="B81" s="1" t="s">
        <v>143</v>
      </c>
      <c r="C81" s="1" t="s">
        <v>144</v>
      </c>
      <c r="D81" s="3">
        <v>83.92</v>
      </c>
    </row>
    <row r="82" spans="2:4" x14ac:dyDescent="0.2">
      <c r="B82" s="1" t="s">
        <v>145</v>
      </c>
      <c r="C82" s="1" t="s">
        <v>146</v>
      </c>
      <c r="D82" s="3">
        <v>60.72</v>
      </c>
    </row>
    <row r="83" spans="2:4" x14ac:dyDescent="0.2">
      <c r="B83" s="1" t="s">
        <v>147</v>
      </c>
      <c r="C83" s="1" t="s">
        <v>148</v>
      </c>
      <c r="D83" s="7">
        <v>12.2</v>
      </c>
    </row>
    <row r="84" spans="2:4" x14ac:dyDescent="0.2">
      <c r="B84" s="1" t="s">
        <v>149</v>
      </c>
      <c r="C84" s="1" t="s">
        <v>150</v>
      </c>
      <c r="D84" s="3">
        <v>2.37</v>
      </c>
    </row>
    <row r="85" spans="2:4" x14ac:dyDescent="0.2">
      <c r="B85" s="1" t="s">
        <v>151</v>
      </c>
      <c r="C85" s="1" t="s">
        <v>152</v>
      </c>
      <c r="D85" s="3">
        <v>42.98</v>
      </c>
    </row>
    <row r="86" spans="2:4" x14ac:dyDescent="0.2">
      <c r="B86" s="1" t="s">
        <v>153</v>
      </c>
      <c r="C86" s="1" t="s">
        <v>154</v>
      </c>
      <c r="D86" s="3">
        <v>23.92</v>
      </c>
    </row>
    <row r="87" spans="2:4" x14ac:dyDescent="0.2">
      <c r="B87" s="1" t="s">
        <v>155</v>
      </c>
      <c r="C87" s="1" t="s">
        <v>156</v>
      </c>
      <c r="D87" s="3">
        <v>53.29</v>
      </c>
    </row>
    <row r="88" spans="2:4" x14ac:dyDescent="0.2">
      <c r="B88" s="1" t="s">
        <v>157</v>
      </c>
      <c r="C88" s="1" t="s">
        <v>158</v>
      </c>
      <c r="D88" s="3">
        <v>74.459999999999994</v>
      </c>
    </row>
    <row r="89" spans="2:4" x14ac:dyDescent="0.2">
      <c r="B89" s="1" t="s">
        <v>159</v>
      </c>
      <c r="C89" s="1" t="s">
        <v>160</v>
      </c>
      <c r="D89" s="3">
        <v>48.63</v>
      </c>
    </row>
    <row r="90" spans="2:4" x14ac:dyDescent="0.2">
      <c r="B90" s="1" t="s">
        <v>161</v>
      </c>
      <c r="C90" s="1" t="s">
        <v>162</v>
      </c>
      <c r="D90" s="3">
        <v>27.73</v>
      </c>
    </row>
    <row r="91" spans="2:4" x14ac:dyDescent="0.2">
      <c r="B91" s="1" t="s">
        <v>163</v>
      </c>
      <c r="C91" s="1" t="s">
        <v>164</v>
      </c>
      <c r="D91" s="3">
        <v>10.119999999999999</v>
      </c>
    </row>
    <row r="92" spans="2:4" x14ac:dyDescent="0.2">
      <c r="B92" s="1" t="s">
        <v>165</v>
      </c>
      <c r="C92" s="1" t="s">
        <v>166</v>
      </c>
      <c r="D92" s="3">
        <v>35.770000000000003</v>
      </c>
    </row>
    <row r="93" spans="2:4" x14ac:dyDescent="0.2">
      <c r="B93" s="1" t="s">
        <v>167</v>
      </c>
      <c r="C93" s="1" t="s">
        <v>168</v>
      </c>
      <c r="D93" s="3">
        <v>14.27</v>
      </c>
    </row>
    <row r="94" spans="2:4" x14ac:dyDescent="0.2">
      <c r="B94" s="1" t="s">
        <v>169</v>
      </c>
      <c r="C94" s="1" t="s">
        <v>170</v>
      </c>
      <c r="D94" s="3">
        <v>7.36</v>
      </c>
    </row>
    <row r="95" spans="2:4" x14ac:dyDescent="0.2">
      <c r="B95" s="1" t="s">
        <v>171</v>
      </c>
      <c r="C95" s="1" t="s">
        <v>172</v>
      </c>
      <c r="D95" s="3">
        <v>9.35</v>
      </c>
    </row>
    <row r="96" spans="2:4" x14ac:dyDescent="0.2">
      <c r="B96" s="1" t="s">
        <v>173</v>
      </c>
      <c r="C96" s="1" t="s">
        <v>174</v>
      </c>
      <c r="D96" s="3">
        <v>43.98</v>
      </c>
    </row>
    <row r="97" spans="2:4" x14ac:dyDescent="0.2">
      <c r="B97" s="1" t="s">
        <v>175</v>
      </c>
      <c r="C97" s="1" t="s">
        <v>176</v>
      </c>
      <c r="D97" s="3">
        <v>5.18</v>
      </c>
    </row>
    <row r="98" spans="2:4" x14ac:dyDescent="0.2">
      <c r="B98" s="1" t="s">
        <v>177</v>
      </c>
      <c r="C98" s="1" t="s">
        <v>178</v>
      </c>
      <c r="D98" s="3">
        <v>53.72</v>
      </c>
    </row>
    <row r="99" spans="2:4" x14ac:dyDescent="0.2">
      <c r="B99" s="1" t="s">
        <v>179</v>
      </c>
      <c r="C99" s="1" t="s">
        <v>180</v>
      </c>
      <c r="D99" s="3">
        <v>21.04</v>
      </c>
    </row>
    <row r="100" spans="2:4" x14ac:dyDescent="0.2">
      <c r="B100" s="1" t="s">
        <v>181</v>
      </c>
      <c r="C100" s="1" t="s">
        <v>182</v>
      </c>
      <c r="D100" s="7">
        <v>20.7</v>
      </c>
    </row>
    <row r="101" spans="2:4" x14ac:dyDescent="0.2">
      <c r="B101" s="1" t="s">
        <v>183</v>
      </c>
      <c r="C101" s="1" t="s">
        <v>184</v>
      </c>
      <c r="D101" s="3">
        <v>18.579999999999998</v>
      </c>
    </row>
    <row r="102" spans="2:4" x14ac:dyDescent="0.2">
      <c r="B102" s="1" t="s">
        <v>185</v>
      </c>
      <c r="C102" s="1" t="s">
        <v>186</v>
      </c>
      <c r="D102" s="3">
        <v>16.12</v>
      </c>
    </row>
    <row r="103" spans="2:4" x14ac:dyDescent="0.2">
      <c r="B103" s="1" t="s">
        <v>187</v>
      </c>
      <c r="C103" s="1" t="s">
        <v>188</v>
      </c>
      <c r="D103" s="3">
        <v>28.41</v>
      </c>
    </row>
    <row r="104" spans="2:4" x14ac:dyDescent="0.2">
      <c r="B104" s="1" t="s">
        <v>189</v>
      </c>
      <c r="C104" s="1" t="s">
        <v>190</v>
      </c>
      <c r="D104" s="3">
        <v>33.86</v>
      </c>
    </row>
    <row r="105" spans="2:4" x14ac:dyDescent="0.2">
      <c r="B105" s="1" t="s">
        <v>191</v>
      </c>
      <c r="C105" s="1" t="s">
        <v>192</v>
      </c>
      <c r="D105" s="3">
        <v>38.35</v>
      </c>
    </row>
    <row r="106" spans="2:4" x14ac:dyDescent="0.2">
      <c r="B106" s="1" t="s">
        <v>193</v>
      </c>
      <c r="C106" s="1" t="s">
        <v>194</v>
      </c>
      <c r="D106" s="3">
        <v>9.6199999999999992</v>
      </c>
    </row>
    <row r="107" spans="2:4" x14ac:dyDescent="0.2">
      <c r="B107" s="1" t="s">
        <v>195</v>
      </c>
      <c r="C107" s="1" t="s">
        <v>196</v>
      </c>
      <c r="D107" s="3">
        <v>25.49</v>
      </c>
    </row>
    <row r="108" spans="2:4" x14ac:dyDescent="0.2">
      <c r="B108" s="1" t="s">
        <v>197</v>
      </c>
      <c r="C108" s="1" t="s">
        <v>198</v>
      </c>
      <c r="D108" s="3">
        <v>11.42</v>
      </c>
    </row>
    <row r="109" spans="2:4" x14ac:dyDescent="0.2">
      <c r="B109" s="1" t="s">
        <v>199</v>
      </c>
      <c r="C109" s="1" t="s">
        <v>200</v>
      </c>
      <c r="D109" s="3">
        <v>26.64</v>
      </c>
    </row>
    <row r="110" spans="2:4" x14ac:dyDescent="0.2">
      <c r="B110" s="1" t="s">
        <v>201</v>
      </c>
      <c r="C110" s="1" t="s">
        <v>202</v>
      </c>
      <c r="D110" s="3">
        <v>30.48</v>
      </c>
    </row>
    <row r="111" spans="2:4" x14ac:dyDescent="0.2">
      <c r="B111" s="1" t="s">
        <v>203</v>
      </c>
      <c r="C111" s="1" t="s">
        <v>204</v>
      </c>
      <c r="D111" s="3">
        <v>12.98</v>
      </c>
    </row>
    <row r="112" spans="2:4" x14ac:dyDescent="0.2">
      <c r="B112" s="1" t="s">
        <v>205</v>
      </c>
      <c r="C112" s="1" t="s">
        <v>206</v>
      </c>
      <c r="D112" s="3">
        <v>10.96</v>
      </c>
    </row>
    <row r="113" spans="2:4" x14ac:dyDescent="0.2">
      <c r="B113" s="1" t="s">
        <v>207</v>
      </c>
      <c r="C113" s="1" t="s">
        <v>208</v>
      </c>
      <c r="D113" s="3">
        <v>2.42</v>
      </c>
    </row>
    <row r="114" spans="2:4" x14ac:dyDescent="0.2">
      <c r="B114" s="1" t="s">
        <v>209</v>
      </c>
      <c r="C114" s="1" t="s">
        <v>210</v>
      </c>
      <c r="D114" s="7">
        <v>55.5</v>
      </c>
    </row>
    <row r="115" spans="2:4" x14ac:dyDescent="0.2">
      <c r="B115" s="1" t="s">
        <v>211</v>
      </c>
      <c r="C115" s="1" t="s">
        <v>212</v>
      </c>
      <c r="D115" s="3">
        <v>10.63</v>
      </c>
    </row>
    <row r="116" spans="2:4" x14ac:dyDescent="0.2">
      <c r="B116" s="1" t="s">
        <v>213</v>
      </c>
      <c r="C116" s="1" t="s">
        <v>214</v>
      </c>
      <c r="D116" s="3">
        <v>33.130000000000003</v>
      </c>
    </row>
    <row r="117" spans="2:4" x14ac:dyDescent="0.2">
      <c r="B117" s="1" t="s">
        <v>215</v>
      </c>
      <c r="C117" s="1" t="s">
        <v>216</v>
      </c>
      <c r="D117" s="3">
        <v>31.52</v>
      </c>
    </row>
    <row r="118" spans="2:4" x14ac:dyDescent="0.2">
      <c r="B118" s="1" t="s">
        <v>217</v>
      </c>
      <c r="C118" s="1" t="s">
        <v>218</v>
      </c>
      <c r="D118" s="3">
        <v>7.62</v>
      </c>
    </row>
    <row r="119" spans="2:4" x14ac:dyDescent="0.2">
      <c r="B119" s="1" t="s">
        <v>219</v>
      </c>
      <c r="C119" s="1" t="s">
        <v>220</v>
      </c>
      <c r="D119" s="3">
        <v>28.55</v>
      </c>
    </row>
    <row r="120" spans="2:4" x14ac:dyDescent="0.2">
      <c r="B120" s="1" t="s">
        <v>221</v>
      </c>
      <c r="C120" s="1" t="s">
        <v>222</v>
      </c>
      <c r="D120" s="3">
        <v>27.02</v>
      </c>
    </row>
    <row r="121" spans="2:4" x14ac:dyDescent="0.2">
      <c r="B121" s="1" t="s">
        <v>223</v>
      </c>
      <c r="C121" s="1" t="s">
        <v>224</v>
      </c>
      <c r="D121" s="3">
        <v>3.17</v>
      </c>
    </row>
    <row r="122" spans="2:4" x14ac:dyDescent="0.2">
      <c r="B122" s="1" t="s">
        <v>225</v>
      </c>
      <c r="C122" s="1" t="s">
        <v>226</v>
      </c>
      <c r="D122" s="3">
        <v>8.76</v>
      </c>
    </row>
    <row r="123" spans="2:4" x14ac:dyDescent="0.2">
      <c r="B123" s="1" t="s">
        <v>227</v>
      </c>
      <c r="C123" s="1" t="s">
        <v>228</v>
      </c>
      <c r="D123" s="3">
        <v>18.010000000000002</v>
      </c>
    </row>
    <row r="124" spans="2:4" x14ac:dyDescent="0.2">
      <c r="B124" s="1" t="s">
        <v>229</v>
      </c>
      <c r="C124" s="1" t="s">
        <v>230</v>
      </c>
      <c r="D124" s="3">
        <v>5.46</v>
      </c>
    </row>
    <row r="125" spans="2:4" x14ac:dyDescent="0.2">
      <c r="B125" s="1" t="s">
        <v>231</v>
      </c>
      <c r="C125" s="1" t="s">
        <v>232</v>
      </c>
      <c r="D125" s="7">
        <v>36.6</v>
      </c>
    </row>
    <row r="126" spans="2:4" x14ac:dyDescent="0.2">
      <c r="B126" s="1" t="s">
        <v>233</v>
      </c>
      <c r="C126" s="1" t="s">
        <v>234</v>
      </c>
      <c r="D126" s="7">
        <v>40.24</v>
      </c>
    </row>
    <row r="127" spans="2:4" x14ac:dyDescent="0.2">
      <c r="B127" s="1" t="s">
        <v>235</v>
      </c>
      <c r="C127" s="1" t="s">
        <v>236</v>
      </c>
      <c r="D127" s="3">
        <v>22.11</v>
      </c>
    </row>
    <row r="128" spans="2:4" x14ac:dyDescent="0.2">
      <c r="B128" s="1" t="s">
        <v>237</v>
      </c>
      <c r="C128" s="1" t="s">
        <v>238</v>
      </c>
      <c r="D128" s="3">
        <v>10.31</v>
      </c>
    </row>
    <row r="129" spans="2:8" x14ac:dyDescent="0.2">
      <c r="B129" s="1" t="s">
        <v>239</v>
      </c>
      <c r="C129" s="1" t="s">
        <v>240</v>
      </c>
      <c r="D129" s="7">
        <v>1.3</v>
      </c>
    </row>
    <row r="130" spans="2:8" x14ac:dyDescent="0.2">
      <c r="B130" s="1" t="s">
        <v>241</v>
      </c>
      <c r="C130" s="1" t="s">
        <v>242</v>
      </c>
      <c r="D130" s="3">
        <v>3.35</v>
      </c>
    </row>
    <row r="131" spans="2:8" x14ac:dyDescent="0.2">
      <c r="B131" s="5" t="s">
        <v>243</v>
      </c>
      <c r="C131" s="1" t="s">
        <v>244</v>
      </c>
      <c r="D131" s="3">
        <v>7.06</v>
      </c>
      <c r="E131" s="6">
        <f>D131*[17]Main!$J$3</f>
        <v>725.62786605999997</v>
      </c>
      <c r="F131" s="6">
        <f>[17]Main!$J$5-[17]Main!$J$6</f>
        <v>197.79600000000002</v>
      </c>
      <c r="G131" s="8">
        <f t="shared" ref="G131:G132" si="2">+E131-F131</f>
        <v>527.83186605999992</v>
      </c>
      <c r="H131" s="3" t="s">
        <v>18</v>
      </c>
    </row>
    <row r="132" spans="2:8" x14ac:dyDescent="0.2">
      <c r="B132" s="5" t="s">
        <v>245</v>
      </c>
      <c r="C132" s="1" t="s">
        <v>246</v>
      </c>
      <c r="D132" s="3">
        <v>14.68</v>
      </c>
      <c r="E132" s="6">
        <f>D132*[18]Main!$L$3</f>
        <v>587.26396075999992</v>
      </c>
      <c r="F132" s="6">
        <f>[18]Main!$L$5-[18]Main!$L$6</f>
        <v>277.88299999999998</v>
      </c>
      <c r="G132" s="8">
        <f t="shared" si="2"/>
        <v>309.38096075999994</v>
      </c>
      <c r="H132" s="3" t="s">
        <v>18</v>
      </c>
    </row>
    <row r="133" spans="2:8" x14ac:dyDescent="0.2">
      <c r="B133" s="5" t="s">
        <v>247</v>
      </c>
      <c r="C133" s="1" t="s">
        <v>248</v>
      </c>
      <c r="D133" s="3">
        <v>4.8600000000000003</v>
      </c>
      <c r="E133" s="6">
        <f>+[19]Main!$J$3*D133</f>
        <v>312.71415336000001</v>
      </c>
      <c r="F133" s="8">
        <f>+[19]Main!$J$5-[19]Main!$J$6</f>
        <v>92.317999999999998</v>
      </c>
      <c r="G133" s="8">
        <f>+E133-F133</f>
        <v>220.39615336000003</v>
      </c>
      <c r="H133" s="3" t="s">
        <v>18</v>
      </c>
    </row>
    <row r="134" spans="2:8" x14ac:dyDescent="0.2">
      <c r="B134" s="5" t="s">
        <v>249</v>
      </c>
      <c r="C134" s="1" t="s">
        <v>250</v>
      </c>
      <c r="D134" s="3">
        <v>7.57</v>
      </c>
      <c r="E134" s="6">
        <f>D134*[20]Main!$M$3</f>
        <v>338.45983246000003</v>
      </c>
      <c r="F134" s="6">
        <f>[20]Main!$M$5-[20]Main!$M$6</f>
        <v>120.43700000000001</v>
      </c>
      <c r="G134" s="8">
        <f t="shared" ref="G134:G139" si="3">+E134-F134</f>
        <v>218.02283246000002</v>
      </c>
      <c r="H134" s="3" t="s">
        <v>18</v>
      </c>
    </row>
    <row r="135" spans="2:8" x14ac:dyDescent="0.2">
      <c r="B135" s="5" t="s">
        <v>251</v>
      </c>
      <c r="C135" s="1" t="s">
        <v>252</v>
      </c>
      <c r="D135" s="7">
        <v>0.7</v>
      </c>
      <c r="E135" s="6">
        <f>D135*[21]Main!$M$3</f>
        <v>128.9392503</v>
      </c>
      <c r="F135" s="6">
        <f>[21]Main!$M$5-[21]Main!$M$6</f>
        <v>-59.50200000000001</v>
      </c>
      <c r="G135" s="8">
        <f t="shared" si="3"/>
        <v>188.44125030000001</v>
      </c>
      <c r="H135" s="3" t="s">
        <v>18</v>
      </c>
    </row>
    <row r="136" spans="2:8" x14ac:dyDescent="0.2">
      <c r="B136" s="5" t="s">
        <v>253</v>
      </c>
      <c r="C136" s="1" t="s">
        <v>254</v>
      </c>
      <c r="D136" s="3">
        <v>1.98</v>
      </c>
      <c r="E136" s="6">
        <f>D136*[22]Main!$N$3</f>
        <v>39.757463459999997</v>
      </c>
      <c r="F136" s="6">
        <f>[22]Main!$N$5-[22]Main!$N$6</f>
        <v>15.942</v>
      </c>
      <c r="G136" s="8">
        <f t="shared" si="3"/>
        <v>23.815463459999997</v>
      </c>
      <c r="H136" s="3" t="s">
        <v>18</v>
      </c>
    </row>
    <row r="137" spans="2:8" x14ac:dyDescent="0.2">
      <c r="B137" s="5" t="s">
        <v>255</v>
      </c>
      <c r="C137" s="1" t="s">
        <v>256</v>
      </c>
      <c r="D137" s="3">
        <v>0.62</v>
      </c>
      <c r="E137" s="6">
        <f>D137*[23]Main!$L$3</f>
        <v>30.1881658</v>
      </c>
      <c r="F137" s="6">
        <f>[23]Main!$L$5-[23]Main!$L$6</f>
        <v>13.262999999999998</v>
      </c>
      <c r="G137" s="8">
        <f t="shared" si="3"/>
        <v>16.925165800000002</v>
      </c>
      <c r="H137" s="3" t="s">
        <v>18</v>
      </c>
    </row>
    <row r="138" spans="2:8" x14ac:dyDescent="0.2">
      <c r="B138" s="5" t="s">
        <v>257</v>
      </c>
      <c r="C138" s="1" t="s">
        <v>258</v>
      </c>
      <c r="D138" s="3">
        <v>6.12</v>
      </c>
      <c r="E138" s="6">
        <f>D138*[24]Main!$M$3</f>
        <v>125.46108324000001</v>
      </c>
      <c r="F138" s="6">
        <f>[24]Main!$M$5-[24]Main!$M$6</f>
        <v>131.17699999999999</v>
      </c>
      <c r="G138" s="8">
        <f t="shared" si="3"/>
        <v>-5.7159167599999847</v>
      </c>
      <c r="H138" s="3" t="s">
        <v>18</v>
      </c>
    </row>
    <row r="139" spans="2:8" x14ac:dyDescent="0.2">
      <c r="B139" s="5" t="s">
        <v>259</v>
      </c>
      <c r="C139" s="1" t="s">
        <v>260</v>
      </c>
      <c r="D139" s="3">
        <v>0.98</v>
      </c>
      <c r="E139" s="6">
        <f>D139*[25]Main!$M$3</f>
        <v>20.935517539999999</v>
      </c>
      <c r="F139" s="6">
        <f>[25]Main!$M$5-[25]Main!$M$6</f>
        <v>55.28</v>
      </c>
      <c r="G139" s="8">
        <f t="shared" si="3"/>
        <v>-34.344482460000002</v>
      </c>
      <c r="H139" s="3" t="s">
        <v>18</v>
      </c>
    </row>
    <row r="140" spans="2:8" x14ac:dyDescent="0.2">
      <c r="B140" s="1" t="s">
        <v>261</v>
      </c>
      <c r="C140" s="1" t="s">
        <v>262</v>
      </c>
      <c r="D140" s="3">
        <v>0.61</v>
      </c>
    </row>
    <row r="141" spans="2:8" x14ac:dyDescent="0.2">
      <c r="B141" s="1" t="s">
        <v>263</v>
      </c>
      <c r="C141" s="1" t="s">
        <v>264</v>
      </c>
      <c r="D141" s="3">
        <v>5.55</v>
      </c>
    </row>
  </sheetData>
  <mergeCells count="2">
    <mergeCell ref="I2:N2"/>
    <mergeCell ref="O2:T2"/>
  </mergeCells>
  <hyperlinks>
    <hyperlink ref="B4" r:id="rId1" xr:uid="{31FFFB9E-A269-4EC0-9451-78F4F00A4890}"/>
    <hyperlink ref="B10" r:id="rId2" xr:uid="{C156021C-BE99-4BC0-AA7F-F8904621CB69}"/>
    <hyperlink ref="B8" r:id="rId3" xr:uid="{087C38CF-D4BE-425F-8F38-C4129E6AE209}"/>
    <hyperlink ref="B13" r:id="rId4" xr:uid="{60368EA6-8CB5-4BF4-AD11-2511F2B2CC10}"/>
    <hyperlink ref="B7" r:id="rId5" xr:uid="{686D20FF-3704-45CC-8366-56508FB00F00}"/>
    <hyperlink ref="B11" r:id="rId6" xr:uid="{8513C491-1620-4390-AB90-9384BB1A043B}"/>
    <hyperlink ref="B15" r:id="rId7" xr:uid="{83DA0EB3-074A-48C7-ADA5-0A0973E8354D}"/>
    <hyperlink ref="B6" r:id="rId8" xr:uid="{615921E7-8A8A-4F41-A8F3-1AF78A43F1AC}"/>
    <hyperlink ref="B18" r:id="rId9" xr:uid="{A38EC1E4-9170-422B-A9F5-3B6EB77DF40A}"/>
    <hyperlink ref="B9" r:id="rId10" xr:uid="{CCC45DFB-BF73-4A15-8527-F4C3C617F472}"/>
    <hyperlink ref="B19" r:id="rId11" xr:uid="{FC86E1B4-4BA7-43A8-8FCA-CC27867A7922}"/>
    <hyperlink ref="B12" r:id="rId12" xr:uid="{F9D09B0D-FACB-4CCA-872E-286E56965815}"/>
    <hyperlink ref="B14" r:id="rId13" xr:uid="{5A59EF45-A9EA-44F3-BECB-EFED8413DCF6}"/>
    <hyperlink ref="B16" r:id="rId14" xr:uid="{316E9202-338F-4301-AEBE-A9FA398A76CC}"/>
    <hyperlink ref="B5" r:id="rId15" xr:uid="{0888F4DA-9569-4326-990C-43015A33BD61}"/>
    <hyperlink ref="B20" r:id="rId16" xr:uid="{C2959A9B-7367-43D7-934F-562A915DC4DD}"/>
    <hyperlink ref="B21" r:id="rId17" xr:uid="{A069369A-FB97-4A4A-A581-321FA79E4250}"/>
    <hyperlink ref="B22" r:id="rId18" xr:uid="{6EF35D30-7113-4CE8-9077-C5BE97F74D36}"/>
    <hyperlink ref="B23" r:id="rId19" xr:uid="{1F769FA7-6B90-4B6B-9BCC-7D6679675B06}"/>
    <hyperlink ref="B24" r:id="rId20" xr:uid="{6108C865-F45B-4849-97C5-0C40AD61A72B}"/>
    <hyperlink ref="B25" r:id="rId21" xr:uid="{FBD4E7AC-5982-43A1-83EA-3F3AB2E91655}"/>
    <hyperlink ref="B26" r:id="rId22" xr:uid="{53091BB6-5763-4DDE-A659-5638BD3CADCA}"/>
    <hyperlink ref="B27" r:id="rId23" xr:uid="{10922C8B-4C13-4E76-B998-3ADD8CC60E47}"/>
    <hyperlink ref="B28" r:id="rId24" xr:uid="{61277D68-67DC-475B-9B61-B7E2F3017110}"/>
    <hyperlink ref="B133" r:id="rId25" xr:uid="{14A63DAF-63A6-4B91-A2AF-AE28EA251457}"/>
    <hyperlink ref="B136" r:id="rId26" xr:uid="{4ACA7C7F-E42A-4687-A776-AB8065DB40FF}"/>
    <hyperlink ref="B132" r:id="rId27" xr:uid="{B3421391-7EC0-4253-8F62-5ED45A5BFA02}"/>
    <hyperlink ref="B137" r:id="rId28" xr:uid="{F6A45FC7-B73C-4143-9CAB-B3ADA19B5FD7}"/>
    <hyperlink ref="B134" r:id="rId29" xr:uid="{BBD267CB-7407-4913-9D05-6A6AA380019F}"/>
    <hyperlink ref="B139" r:id="rId30" xr:uid="{85368858-6D0F-4ABE-975C-AE5530342445}"/>
    <hyperlink ref="B131" r:id="rId31" xr:uid="{8B5BC1F5-14D4-45A0-B224-31FAF227EAF3}"/>
    <hyperlink ref="B138" r:id="rId32" xr:uid="{D5FB3BFE-F0A8-4C09-90A1-9F506EF0ADE4}"/>
    <hyperlink ref="B135" r:id="rId33" xr:uid="{11598046-2AED-42E7-ACA5-251A20A59427}"/>
    <hyperlink ref="B17" r:id="rId34" xr:uid="{DD499110-DFB7-4D1A-B234-8AA2514ADD29}"/>
    <hyperlink ref="B48" r:id="rId35" xr:uid="{A1C90F9B-FBBF-4C72-9A11-3798F692A0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B2:C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sheetData>
    <row r="2" spans="2:3" x14ac:dyDescent="0.2">
      <c r="B2" t="s">
        <v>1</v>
      </c>
      <c r="C2" t="s">
        <v>2</v>
      </c>
    </row>
    <row r="3" spans="2:3" x14ac:dyDescent="0.2">
      <c r="B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Main</vt:lpstr>
      <vt:lpstr>FX</vt:lpstr>
      <vt:lpstr>Private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</cp:lastModifiedBy>
  <dcterms:created xsi:type="dcterms:W3CDTF">2022-07-16T21:25:10Z</dcterms:created>
  <dcterms:modified xsi:type="dcterms:W3CDTF">2022-07-18T20:27:09Z</dcterms:modified>
</cp:coreProperties>
</file>