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filterPrivacy="1" showInkAnnotation="0" defaultThemeVersion="166925"/>
  <xr:revisionPtr revIDLastSave="0" documentId="13_ncr:1_{850137ED-61B2-7249-B118-382A3FF01FF2}" xr6:coauthVersionLast="47" xr6:coauthVersionMax="47" xr10:uidLastSave="{00000000-0000-0000-0000-000000000000}"/>
  <bookViews>
    <workbookView xWindow="-21580" yWindow="-1540" windowWidth="20700" windowHeight="18880" firstSheet="3" activeTab="7" xr2:uid="{00000000-000D-0000-FFFF-FFFF00000000}"/>
  </bookViews>
  <sheets>
    <sheet name="People" sheetId="14" r:id="rId1"/>
    <sheet name="Glossary" sheetId="13" r:id="rId2"/>
    <sheet name="Historical" sheetId="12" r:id="rId3"/>
    <sheet name="Main" sheetId="1" r:id="rId4"/>
    <sheet name="Enterprise-Cloud" sheetId="10" r:id="rId5"/>
    <sheet name="Social-Dating" sheetId="9" r:id="rId6"/>
    <sheet name="Simulation-Technical Design" sheetId="11" r:id="rId7"/>
    <sheet name="AI" sheetId="15" r:id="rId8"/>
    <sheet name="Revenue" sheetId="16" r:id="rId9"/>
    <sheet name="Media-Games-Design" sheetId="8" r:id="rId10"/>
    <sheet name="Fintech" sheetId="7" r:id="rId11"/>
    <sheet name="Ecommerce" sheetId="5" r:id="rId12"/>
    <sheet name="Security" sheetId="4" r:id="rId13"/>
    <sheet name="FX" sheetId="3" r:id="rId14"/>
    <sheet name="Private" sheetId="2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</externalReferences>
  <definedNames>
    <definedName name="_xlnm._FilterDatabase" localSheetId="7" hidden="1">AI!$A$2:$K$171</definedName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9" i="15" l="1"/>
  <c r="A70" i="15" s="1"/>
  <c r="A71" i="15" s="1"/>
  <c r="A72" i="15" s="1"/>
  <c r="A73" i="15" s="1"/>
  <c r="A74" i="15" s="1"/>
  <c r="A75" i="15" s="1"/>
  <c r="A58" i="15" l="1"/>
  <c r="A35" i="15"/>
  <c r="A36" i="15" s="1"/>
  <c r="A37" i="15" s="1"/>
  <c r="A38" i="15" s="1"/>
  <c r="A39" i="15" s="1"/>
  <c r="A40" i="15" s="1"/>
  <c r="A41" i="15" s="1"/>
  <c r="A42" i="15" s="1"/>
  <c r="A59" i="15" l="1"/>
  <c r="A43" i="15"/>
  <c r="A44" i="15" s="1"/>
  <c r="A45" i="15" s="1"/>
  <c r="A46" i="15" s="1"/>
  <c r="A47" i="15" s="1"/>
  <c r="A48" i="15" s="1"/>
  <c r="A49" i="15" s="1"/>
  <c r="A50" i="15" s="1"/>
  <c r="A51" i="15" s="1"/>
  <c r="A16" i="15"/>
  <c r="A21" i="15" s="1"/>
  <c r="A23" i="15" s="1"/>
  <c r="A24" i="15" s="1"/>
  <c r="A25" i="15" s="1"/>
  <c r="A26" i="15" s="1"/>
  <c r="A27" i="15" s="1"/>
  <c r="A29" i="15" s="1"/>
  <c r="F5" i="10"/>
  <c r="H5" i="10"/>
  <c r="E5" i="10" s="1"/>
  <c r="F7" i="1"/>
  <c r="H7" i="1"/>
  <c r="E7" i="1" s="1"/>
  <c r="E17" i="10"/>
  <c r="F17" i="10"/>
  <c r="A60" i="15" l="1"/>
  <c r="A52" i="15"/>
  <c r="A53" i="15" s="1"/>
  <c r="A54" i="15" s="1"/>
  <c r="A55" i="15" s="1"/>
  <c r="G5" i="10"/>
  <c r="G7" i="1"/>
  <c r="G17" i="10"/>
  <c r="G8" i="8"/>
  <c r="G24" i="8"/>
  <c r="Z24" i="8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K5" i="1"/>
  <c r="L5" i="1" s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19" i="8"/>
  <c r="E19" i="8"/>
  <c r="G3" i="10" l="1"/>
  <c r="S3" i="10" s="1"/>
  <c r="G7" i="7"/>
  <c r="G19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10" i="10"/>
  <c r="F10" i="10"/>
  <c r="E10" i="10"/>
  <c r="G12" i="10" l="1"/>
  <c r="G10" i="10"/>
  <c r="G11" i="10"/>
  <c r="F5" i="8" l="1"/>
  <c r="E5" i="8"/>
  <c r="H9" i="10"/>
  <c r="E9" i="10" s="1"/>
  <c r="F9" i="10"/>
  <c r="F8" i="10"/>
  <c r="E8" i="10"/>
  <c r="F7" i="10"/>
  <c r="E7" i="10"/>
  <c r="F6" i="10"/>
  <c r="E6" i="10"/>
  <c r="F4" i="10"/>
  <c r="E4" i="10"/>
  <c r="G6" i="10" l="1"/>
  <c r="G7" i="10"/>
  <c r="G8" i="10"/>
  <c r="G9" i="10"/>
  <c r="G5" i="8"/>
  <c r="G4" i="10"/>
  <c r="F13" i="8" l="1"/>
  <c r="H13" i="8"/>
  <c r="E13" i="8" s="1"/>
  <c r="G13" i="8" l="1"/>
  <c r="F4" i="9"/>
  <c r="E4" i="9"/>
  <c r="O3" i="9"/>
  <c r="N3" i="9"/>
  <c r="M3" i="9"/>
  <c r="K3" i="9"/>
  <c r="L3" i="9" s="1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H5" i="1"/>
  <c r="L2" i="1"/>
  <c r="F3" i="5" l="1"/>
  <c r="G3" i="5" s="1"/>
  <c r="F5" i="5" a="1"/>
  <c r="F5" i="5" s="1"/>
  <c r="E5" i="5"/>
  <c r="G5" i="5" l="1"/>
  <c r="G14" i="8"/>
  <c r="Z14" i="8" s="1"/>
  <c r="F5" i="1"/>
  <c r="E5" i="1"/>
  <c r="G5" i="1" l="1"/>
  <c r="E4" i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0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<sst xmlns="http://schemas.openxmlformats.org/spreadsheetml/2006/main" count="1498" uniqueCount="771">
  <si>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</si>
  <si>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</si>
  <si>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</si>
  <si>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</si>
  <si>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</si>
  <si>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</si>
  <si>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</si>
  <si>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</si>
  <si>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</si>
  <si>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</si>
  <si>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</si>
  <si>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</si>
  <si>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</si>
  <si>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</si>
  <si>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</si>
  <si>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</si>
  <si>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</si>
  <si>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</si>
  <si>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</si>
  <si>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</si>
  <si>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</si>
  <si>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</si>
  <si>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</si>
  <si>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</si>
  <si>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</si>
  <si>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</si>
  <si>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</si>
  <si>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</si>
  <si>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</si>
  <si>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</si>
  <si>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</si>
  <si>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</si>
  <si>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</si>
  <si>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</si>
  <si>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</si>
  <si>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</si>
  <si>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</si>
  <si>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</si>
  <si>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</si>
  <si>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</si>
  <si>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</si>
  <si>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</si>
  <si>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</si>
  <si>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</si>
  <si>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</si>
  <si>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</si>
  <si>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</si>
  <si>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</si>
  <si>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</si>
  <si>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</si>
  <si>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</si>
  <si>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</si>
  <si>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</si>
  <si>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</si>
  <si>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</si>
  <si>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</si>
  <si>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</si>
  <si>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</si>
  <si>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</si>
  <si>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</si>
  <si>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</si>
  <si>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</si>
  <si>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</si>
  <si>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</si>
  <si>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</si>
  <si>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</si>
  <si>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</si>
  <si>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</si>
  <si>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</si>
  <si>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</si>
  <si>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</si>
  <si>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</si>
  <si>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</si>
  <si>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</si>
  <si>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</si>
  <si>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</si>
  <si>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</si>
  <si>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</si>
  <si>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</si>
  <si>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</si>
  <si>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</si>
  <si>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</si>
  <si>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</si>
  <si>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</si>
  <si>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</si>
  <si>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</si>
  <si>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</si>
  <si>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</si>
  <si>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</si>
  <si>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</si>
  <si>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</si>
  <si>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</si>
  <si>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</si>
  <si>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</si>
  <si>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</si>
  <si>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</si>
  <si>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</si>
  <si>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</si>
  <si>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</si>
  <si>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</si>
  <si>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</si>
  <si>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</si>
  <si>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</si>
  <si>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</si>
  <si>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</si>
  <si>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</si>
  <si>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</si>
  <si>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</si>
  <si>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</si>
  <si>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</si>
  <si>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</si>
  <si>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</si>
  <si>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</si>
  <si>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</si>
  <si>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</si>
  <si>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</si>
  <si>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</si>
  <si>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</si>
  <si>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</si>
  <si>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</si>
  <si>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</si>
  <si>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</si>
  <si>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</si>
  <si>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</si>
  <si>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</si>
  <si>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</si>
  <si>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</si>
  <si>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</si>
  <si>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</si>
  <si>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</si>
  <si>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</si>
  <si>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</si>
  <si>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</si>
  <si>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</si>
  <si>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</si>
  <si>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</si>
  <si>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</si>
  <si>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</si>
  <si>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</si>
  <si>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</si>
  <si>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</si>
  <si>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</si>
  <si>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</si>
  <si>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</si>
  <si>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</si>
  <si>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</si>
  <si>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</si>
  <si>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</si>
  <si>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</si>
  <si>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</si>
  <si>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</si>
  <si>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</si>
  <si>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</si>
  <si>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</si>
  <si>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</si>
  <si>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</si>
  <si>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</si>
  <si>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</si>
  <si>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</si>
  <si>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</si>
  <si>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</si>
  <si>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</si>
  <si>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</si>
  <si>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</si>
  <si>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</si>
  <si>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</si>
  <si>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</si>
  <si>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</si>
  <si>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</si>
  <si>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</si>
  <si>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</si>
  <si>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</si>
  <si>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</si>
  <si>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</si>
  <si>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</si>
  <si>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</si>
  <si>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</si>
  <si>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</si>
  <si>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</si>
  <si>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</si>
  <si>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</si>
  <si>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</si>
  <si>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</si>
  <si>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</si>
  <si>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</si>
  <si>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</si>
  <si>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</si>
  <si>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</si>
  <si>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</si>
  <si>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</si>
  <si>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</si>
  <si>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</si>
  <si>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</si>
  <si>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</si>
  <si>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</si>
  <si>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</si>
  <si>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</si>
  <si>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</si>
  <si>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</si>
  <si>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</si>
  <si>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</si>
  <si>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</si>
  <si>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</si>
  <si>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</si>
  <si>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</si>
  <si>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</si>
  <si>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</si>
  <si>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</si>
  <si>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</si>
  <si>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</si>
  <si>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</si>
  <si>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</si>
  <si>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</si>
  <si>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</si>
  <si>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</si>
  <si>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</si>
  <si>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</si>
  <si>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</si>
  <si>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</si>
  <si>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</si>
  <si>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</si>
  <si>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</si>
  <si>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</si>
  <si>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</si>
  <si>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</si>
  <si>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</si>
  <si>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</si>
  <si>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</si>
  <si>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</si>
  <si>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</si>
  <si>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</si>
  <si>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</si>
  <si>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</si>
  <si>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</si>
  <si>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</si>
  <si>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</si>
  <si>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</si>
  <si>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</si>
  <si>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</si>
  <si>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</si>
  <si>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</si>
  <si>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</si>
  <si>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</si>
  <si>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</si>
  <si>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</si>
  <si>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</si>
  <si>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</si>
  <si>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</si>
  <si>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</si>
  <si>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</si>
  <si>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</si>
  <si>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</si>
  <si>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</si>
  <si>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</si>
  <si>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</si>
  <si>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</si>
  <si>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</si>
  <si>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</si>
  <si>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</si>
  <si>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</si>
  <si>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</si>
  <si>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</si>
  <si>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</si>
  <si>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</si>
  <si>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</si>
  <si>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</si>
  <si>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</si>
  <si>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</si>
  <si>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</si>
  <si>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</si>
  <si>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</si>
  <si>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</si>
  <si>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</si>
  <si>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</si>
  <si>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</si>
  <si>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</si>
  <si>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</si>
  <si>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</si>
  <si>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</si>
  <si>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</si>
  <si>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</si>
  <si>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</si>
  <si>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</si>
  <si>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</si>
  <si>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</si>
  <si>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</si>
  <si>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</si>
  <si>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</si>
  <si>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</si>
  <si>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</si>
  <si>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</si>
  <si>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</si>
  <si>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</si>
  <si>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</si>
  <si>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</si>
  <si>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</si>
  <si>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</si>
  <si>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</si>
  <si>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</si>
  <si>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</si>
  <si>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</si>
  <si>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</si>
  <si>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</si>
  <si>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</si>
  <si>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</si>
  <si>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</si>
  <si>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</si>
  <si>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</si>
  <si>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</si>
  <si>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</si>
  <si>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</si>
  <si>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</si>
  <si>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</si>
  <si>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</si>
  <si>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</si>
  <si>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</si>
  <si>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</si>
  <si>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</si>
  <si>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</si>
  <si>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</si>
  <si>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</si>
  <si>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</si>
  <si>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</si>
  <si>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</si>
  <si>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</si>
  <si>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</si>
  <si>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</si>
  <si>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</si>
  <si>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</si>
  <si>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</si>
  <si>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</si>
  <si>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</si>
  <si>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</si>
  <si>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</si>
  <si>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</si>
  <si>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</si>
  <si>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</si>
  <si>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</si>
  <si>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</si>
  <si>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</si>
  <si>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</si>
  <si>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</si>
  <si>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</si>
  <si>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</si>
  <si>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</si>
  <si>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</si>
  <si>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</si>
  <si>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</si>
  <si>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</si>
  <si>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</si>
  <si>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</si>
  <si>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</si>
  <si>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</si>
  <si>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</si>
  <si>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</si>
  <si>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</si>
  <si>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</si>
  <si>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</si>
  <si>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</si>
  <si>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</si>
  <si>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</si>
  <si>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</si>
  <si>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</si>
  <si>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</si>
  <si>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</si>
  <si>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</si>
  <si>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</si>
  <si>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</si>
  <si>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</si>
  <si>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</si>
  <si>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</si>
  <si>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</si>
  <si>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</si>
  <si>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</si>
  <si>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</si>
  <si>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</si>
  <si>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</si>
  <si>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</si>
  <si>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</si>
  <si>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</si>
  <si>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</si>
  <si>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</si>
  <si>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</si>
  <si>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</si>
  <si>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</si>
  <si>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</si>
  <si>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</si>
  <si>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</si>
  <si>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</si>
  <si>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</si>
  <si>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</si>
  <si>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</si>
  <si>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</si>
  <si>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</si>
  <si>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</si>
  <si>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</si>
  <si>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</si>
  <si>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</si>
  <si>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</si>
  <si>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</si>
  <si>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</si>
  <si>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</si>
  <si>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Series B</t>
  </si>
  <si>
    <t>Claude</t>
  </si>
  <si>
    <t>Dario Amodei</t>
  </si>
  <si>
    <t>Cohere</t>
  </si>
  <si>
    <t>AI21 Labs</t>
  </si>
  <si>
    <t>Doximity</t>
  </si>
  <si>
    <t>Nextracker</t>
  </si>
  <si>
    <t>Confluent</t>
  </si>
  <si>
    <t>Pinecone</t>
  </si>
  <si>
    <t>Langchain</t>
  </si>
  <si>
    <t>Last Round</t>
  </si>
  <si>
    <t>Size</t>
  </si>
  <si>
    <t>Product</t>
  </si>
  <si>
    <t>ChatGPT</t>
  </si>
  <si>
    <t>Bard</t>
  </si>
  <si>
    <t>People</t>
  </si>
  <si>
    <t>Stability AI</t>
  </si>
  <si>
    <t>C3</t>
  </si>
  <si>
    <t>Perplexity AI</t>
  </si>
  <si>
    <t>Character AI</t>
  </si>
  <si>
    <t>Hugging Face</t>
  </si>
  <si>
    <t>Jasper</t>
  </si>
  <si>
    <t>Fetch.ai</t>
  </si>
  <si>
    <t>Weights and Biases</t>
  </si>
  <si>
    <t>Glean</t>
  </si>
  <si>
    <t>Typeface</t>
  </si>
  <si>
    <t>Cruise</t>
  </si>
  <si>
    <t>Databricks</t>
  </si>
  <si>
    <t>Tesla</t>
  </si>
  <si>
    <t>Olive</t>
  </si>
  <si>
    <t>Notes</t>
  </si>
  <si>
    <t>Healthcare</t>
  </si>
  <si>
    <t>Adept AI</t>
  </si>
  <si>
    <t>Inflection AI</t>
  </si>
  <si>
    <t>Moveworks</t>
  </si>
  <si>
    <t>Zoovu</t>
  </si>
  <si>
    <t>Nauto</t>
  </si>
  <si>
    <t>Element AI</t>
  </si>
  <si>
    <t>Concert AI</t>
  </si>
  <si>
    <t>Clarify Health</t>
  </si>
  <si>
    <t>Innovaccer</t>
  </si>
  <si>
    <t>Jumio</t>
  </si>
  <si>
    <t>Verbit</t>
  </si>
  <si>
    <t>Yi+</t>
  </si>
  <si>
    <t>Xiaoice</t>
  </si>
  <si>
    <t>K Health</t>
  </si>
  <si>
    <t>Observe.AI</t>
  </si>
  <si>
    <t>Climavision</t>
  </si>
  <si>
    <t>Parametrix AI</t>
  </si>
  <si>
    <t>People.ai</t>
  </si>
  <si>
    <t>Game, NPC world</t>
  </si>
  <si>
    <t>Ascertain</t>
  </si>
  <si>
    <t>Noam Shazeer</t>
  </si>
  <si>
    <t>Seekr</t>
  </si>
  <si>
    <t>Inworld</t>
  </si>
  <si>
    <t>Wizard</t>
  </si>
  <si>
    <t>Ecommerce</t>
  </si>
  <si>
    <t>The Applied AI Company</t>
  </si>
  <si>
    <t>Irreverant Labs</t>
  </si>
  <si>
    <t>Modular</t>
  </si>
  <si>
    <t>Neo Cybernetica</t>
  </si>
  <si>
    <t>Stealth</t>
  </si>
  <si>
    <t>AXON Networks</t>
  </si>
  <si>
    <t>Orchestration</t>
  </si>
  <si>
    <t>Search</t>
  </si>
  <si>
    <t>Magic</t>
  </si>
  <si>
    <t>Programming</t>
  </si>
  <si>
    <t>Exafunction</t>
  </si>
  <si>
    <t>EnCharge AI</t>
  </si>
  <si>
    <t>Generally Intelligent</t>
  </si>
  <si>
    <t>Two Platforms</t>
  </si>
  <si>
    <t>Fixie.ai</t>
  </si>
  <si>
    <t>Enchanted Tools</t>
  </si>
  <si>
    <t>Tenyx</t>
  </si>
  <si>
    <t>Haiper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</si>
  <si>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</si>
  <si>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</si>
  <si>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</si>
  <si>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</si>
  <si>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</si>
  <si>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</si>
  <si>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</si>
  <si>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</si>
  <si>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</si>
  <si>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</si>
  <si>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</si>
  <si>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</si>
  <si>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</si>
  <si>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</si>
  <si>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</si>
  <si>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</si>
  <si>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</si>
  <si>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</si>
  <si>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</si>
  <si>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</si>
  <si>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</si>
  <si>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</si>
  <si>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</si>
  <si>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FSD</t>
  </si>
  <si>
    <t>Command</t>
  </si>
  <si>
    <t>TSLA</t>
  </si>
  <si>
    <t>Midjourney</t>
  </si>
  <si>
    <t>N/A</t>
  </si>
  <si>
    <t>FB</t>
  </si>
  <si>
    <t>Llama</t>
  </si>
  <si>
    <t>Yann Le Cun</t>
  </si>
  <si>
    <t>Ilya Sustkever, Andrej Karpathy</t>
  </si>
  <si>
    <t>GPT4, ChatGPT</t>
  </si>
  <si>
    <t>Self-Funded</t>
  </si>
  <si>
    <t>GPT4All</t>
  </si>
  <si>
    <t>GPT-J</t>
  </si>
  <si>
    <t>Yuvanesh Anand, Zach Nussbaum, Brandon Duderstadt, Benjamin Schmidt, Andriy Mulyar</t>
  </si>
  <si>
    <t>Paperspace</t>
  </si>
  <si>
    <t>Nomic</t>
  </si>
  <si>
    <t>Chroma</t>
  </si>
  <si>
    <t>https://github.com/tloen/alpaca-lora</t>
  </si>
  <si>
    <t>Repos/Projects</t>
  </si>
  <si>
    <t>Alpaca-Lora</t>
  </si>
  <si>
    <t>Jurassic-2</t>
  </si>
  <si>
    <t>Docs</t>
  </si>
  <si>
    <t>https://huggingface.co/datasets/nomic-ai/gpt4all-j-prompt-generations/tree/main/data</t>
  </si>
  <si>
    <t>https://huggingface.co/chansung/alpaca-lora-65b/tree/main</t>
  </si>
  <si>
    <t>Alpaca-Lora-65B</t>
  </si>
  <si>
    <t>H2O GPT</t>
  </si>
  <si>
    <t>https://github.com/h2oai/h2ogpt</t>
  </si>
  <si>
    <t>HuggingChat</t>
  </si>
  <si>
    <t>Clement Delangue</t>
  </si>
  <si>
    <t>OpenAssistant</t>
  </si>
  <si>
    <t>Trainium, Bedrock, Infernium</t>
  </si>
  <si>
    <t>MAUs</t>
  </si>
  <si>
    <t>MC/MAU</t>
  </si>
  <si>
    <t>MAU</t>
  </si>
  <si>
    <t>Essential AI</t>
  </si>
  <si>
    <t>Roper</t>
  </si>
  <si>
    <t>ROP</t>
  </si>
  <si>
    <t>Beijing Kingsoft</t>
  </si>
  <si>
    <t>688111 CH</t>
  </si>
  <si>
    <t>iFlyTek</t>
  </si>
  <si>
    <t>002230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</si>
  <si>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</si>
  <si>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</si>
  <si>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</si>
  <si>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</si>
  <si>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</si>
  <si>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</si>
  <si>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</si>
  <si>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</si>
  <si>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20 HK</t>
  </si>
  <si>
    <t>SenseTime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</si>
  <si>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</si>
  <si>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</si>
  <si>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</si>
  <si>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</si>
  <si>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</si>
  <si>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</si>
  <si>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</si>
  <si>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</si>
  <si>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</si>
  <si>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</si>
  <si>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</si>
  <si>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HarveyAI</t>
  </si>
  <si>
    <t>Legal</t>
  </si>
  <si>
    <t>Series A</t>
  </si>
  <si>
    <t>OpenAI, Conviction, SV Angel, Elad Gil</t>
  </si>
  <si>
    <t>Descript</t>
  </si>
  <si>
    <t>Mem</t>
  </si>
  <si>
    <t>Speak</t>
  </si>
  <si>
    <t>Media - Video Editor</t>
  </si>
  <si>
    <t>Email</t>
  </si>
  <si>
    <t>Seed</t>
  </si>
  <si>
    <t>HyperWrite</t>
  </si>
  <si>
    <t>Madrona, Active Capital, Hustle Fund, Chapter One, Cortical</t>
  </si>
  <si>
    <t>OthersideAI</t>
  </si>
  <si>
    <t>Vista, Base 10</t>
  </si>
  <si>
    <t>Stable Diffusion</t>
  </si>
  <si>
    <t>Emad Mostaque</t>
  </si>
  <si>
    <t>Aidan Gomez, Nick Frosst</t>
  </si>
  <si>
    <t>Blockchain Dev Platform</t>
  </si>
  <si>
    <t>DWF Labs</t>
  </si>
  <si>
    <t>Lightspeed, GV, M12, Menlo Ventures</t>
  </si>
  <si>
    <t>Vector Store</t>
  </si>
  <si>
    <t>Media - Generative</t>
  </si>
  <si>
    <t>Assistant</t>
  </si>
  <si>
    <t>Pi</t>
  </si>
  <si>
    <t>Chatbot</t>
  </si>
  <si>
    <t>Ashish Vaswani, Niki Parmar</t>
  </si>
  <si>
    <t>Elad Gil, Thrive Capital</t>
  </si>
  <si>
    <t>Wysa</t>
  </si>
  <si>
    <t>Series C</t>
  </si>
  <si>
    <t>Andrew Mason</t>
  </si>
  <si>
    <t>Health</t>
  </si>
  <si>
    <t>Spellbook</t>
  </si>
  <si>
    <t>Voice AI</t>
  </si>
  <si>
    <t>Hippocratic</t>
  </si>
  <si>
    <t>Gan.ai</t>
  </si>
  <si>
    <t>ElevenLabs</t>
  </si>
  <si>
    <t>Writesonic</t>
  </si>
  <si>
    <t>Workhack</t>
  </si>
  <si>
    <t>Orby AI</t>
  </si>
  <si>
    <t>Consensus</t>
  </si>
  <si>
    <t>Kumo.AI</t>
  </si>
  <si>
    <t>Hume AI</t>
  </si>
  <si>
    <t>SapientAI</t>
  </si>
  <si>
    <t>Autonomize AI</t>
  </si>
  <si>
    <t>Predibase</t>
  </si>
  <si>
    <t>Fabi.ai</t>
  </si>
  <si>
    <t>MURF.AI</t>
  </si>
  <si>
    <t>CodiumAI</t>
  </si>
  <si>
    <t>Wispr</t>
  </si>
  <si>
    <t>Yoodli</t>
  </si>
  <si>
    <t>prezent.ai</t>
  </si>
  <si>
    <t>Artera</t>
  </si>
  <si>
    <t>Booth AI</t>
  </si>
  <si>
    <t>Xerataus IQX</t>
  </si>
  <si>
    <t>Kognitos</t>
  </si>
  <si>
    <t>Kubiya.ai</t>
  </si>
  <si>
    <t>Protex AI</t>
  </si>
  <si>
    <t>Mana</t>
  </si>
  <si>
    <t>One AI</t>
  </si>
  <si>
    <t>Capitol</t>
  </si>
  <si>
    <t>Ask-AI</t>
  </si>
  <si>
    <t>NinaTech AI</t>
  </si>
  <si>
    <t>Immutable</t>
  </si>
  <si>
    <t>$15m Series A</t>
  </si>
  <si>
    <t>Prior Round</t>
  </si>
  <si>
    <t>Character.ai</t>
  </si>
  <si>
    <t>Reid Hoffman</t>
  </si>
  <si>
    <t>Northwell</t>
  </si>
  <si>
    <t>Nvidia</t>
  </si>
  <si>
    <t>NVDA</t>
  </si>
  <si>
    <t>Deeproute</t>
  </si>
  <si>
    <t>Self-Driving Car</t>
  </si>
  <si>
    <t>Chinese</t>
  </si>
  <si>
    <t>Glance</t>
  </si>
  <si>
    <t>Trading around 8000 in secondary markets</t>
  </si>
  <si>
    <t>200m Series D</t>
  </si>
  <si>
    <t>Vianai</t>
  </si>
  <si>
    <t>Tecton</t>
  </si>
  <si>
    <t>Platform?</t>
  </si>
  <si>
    <t>Subtype</t>
  </si>
  <si>
    <t>Consumer</t>
  </si>
  <si>
    <t>Enterprise</t>
  </si>
  <si>
    <t>Tool</t>
  </si>
  <si>
    <t>Anyscale</t>
  </si>
  <si>
    <t>OctoML</t>
  </si>
  <si>
    <t>Snorkel AI</t>
  </si>
  <si>
    <t>Vcat.ai</t>
  </si>
  <si>
    <t>Content</t>
  </si>
  <si>
    <t>Figure</t>
  </si>
  <si>
    <t>Supremind</t>
  </si>
  <si>
    <t>Big Surveillance</t>
  </si>
  <si>
    <t>Weaviate</t>
  </si>
  <si>
    <t>2019</t>
  </si>
  <si>
    <t>2022</t>
  </si>
  <si>
    <t>Abacus.AI</t>
  </si>
  <si>
    <t>Datagen</t>
  </si>
  <si>
    <t>Avatars</t>
  </si>
  <si>
    <t>2018</t>
  </si>
  <si>
    <t>AI Rudder</t>
  </si>
  <si>
    <t>Call Center</t>
  </si>
  <si>
    <t>d-Matrix</t>
  </si>
  <si>
    <t>Compute</t>
  </si>
  <si>
    <t>Lambda Labs</t>
  </si>
  <si>
    <t>Vedrai</t>
  </si>
  <si>
    <t>MLOps</t>
  </si>
  <si>
    <t>Agents</t>
  </si>
  <si>
    <t>Prompt</t>
  </si>
  <si>
    <t>Video</t>
  </si>
  <si>
    <t>Business Intelligence</t>
  </si>
  <si>
    <t>Sub-Subtype</t>
  </si>
  <si>
    <t>Language Model</t>
  </si>
  <si>
    <t>Surveillance</t>
  </si>
  <si>
    <t>Voice</t>
  </si>
  <si>
    <t>Automotive</t>
  </si>
  <si>
    <t>Hardware</t>
  </si>
  <si>
    <t>Tome</t>
  </si>
  <si>
    <t>2020</t>
  </si>
  <si>
    <t>DeepDoc</t>
  </si>
  <si>
    <t>Lightning AI</t>
  </si>
  <si>
    <t>Skan.ai</t>
  </si>
  <si>
    <t>Games</t>
  </si>
  <si>
    <t>MechaFightClub fail</t>
  </si>
  <si>
    <t>Arize AI</t>
  </si>
  <si>
    <t>Sima.AI</t>
  </si>
  <si>
    <t>Palette</t>
  </si>
  <si>
    <t>V7</t>
  </si>
  <si>
    <t>Infinitus</t>
  </si>
  <si>
    <t>Robust Intelligence</t>
  </si>
  <si>
    <t>Imagen</t>
  </si>
  <si>
    <t>Photos</t>
  </si>
  <si>
    <t>Robotics</t>
  </si>
  <si>
    <t>Jina AI</t>
  </si>
  <si>
    <t>Nr2</t>
  </si>
  <si>
    <t>Searching for investments for investors</t>
  </si>
  <si>
    <t>Merlyn Mind</t>
  </si>
  <si>
    <t>Upstage AI</t>
  </si>
  <si>
    <t>ExpressSteuer</t>
  </si>
  <si>
    <t>Taxes</t>
  </si>
  <si>
    <t>Aleph Alpha</t>
  </si>
  <si>
    <t>Aiable</t>
  </si>
  <si>
    <t>Surge AI</t>
  </si>
  <si>
    <t>Heartex</t>
  </si>
  <si>
    <t>Pre-Seed</t>
  </si>
  <si>
    <t>Stealthy</t>
  </si>
  <si>
    <t>Kili</t>
  </si>
  <si>
    <t>Aiola</t>
  </si>
  <si>
    <t>TruEra</t>
  </si>
  <si>
    <t>Aporia</t>
  </si>
  <si>
    <t>Deci AI</t>
  </si>
  <si>
    <t>Phaidra</t>
  </si>
  <si>
    <t>Plant</t>
  </si>
  <si>
    <t>Waymo</t>
  </si>
  <si>
    <t>Nabla</t>
  </si>
  <si>
    <t>Hour One</t>
  </si>
  <si>
    <t>Pactum</t>
  </si>
  <si>
    <t>Procurement</t>
  </si>
  <si>
    <t>Wiz.ai</t>
  </si>
  <si>
    <t>Deepdub</t>
  </si>
  <si>
    <t>Daloopa</t>
  </si>
  <si>
    <t>Finance</t>
  </si>
  <si>
    <t>Axios HQ</t>
  </si>
  <si>
    <t>Artificial Reality</t>
  </si>
  <si>
    <t>Roboflow</t>
  </si>
  <si>
    <t>Computer Vision</t>
  </si>
  <si>
    <t>Rasgo</t>
  </si>
  <si>
    <t>TruLens</t>
  </si>
  <si>
    <t>Synthesis AI</t>
  </si>
  <si>
    <t>Torre</t>
  </si>
  <si>
    <t>Recruiting</t>
  </si>
  <si>
    <t>Alethea AI</t>
  </si>
  <si>
    <t>Zuva</t>
  </si>
  <si>
    <t>Xembly</t>
  </si>
  <si>
    <t>Customer Service</t>
  </si>
  <si>
    <t>Encord</t>
  </si>
  <si>
    <t>SuperAnnotate</t>
  </si>
  <si>
    <t>Graft</t>
  </si>
  <si>
    <t>Zowie</t>
  </si>
  <si>
    <t>Text-to-3D</t>
  </si>
  <si>
    <t>Bridgewise</t>
  </si>
  <si>
    <t>Quarry, Bossanova</t>
  </si>
  <si>
    <t>AAF, Foundation, Four Cities</t>
  </si>
  <si>
    <t>Coatue, Insight Partners, Foundation Capital, Bessemer, IVP, HubSpot, Founders Circle</t>
  </si>
  <si>
    <t>AI Copy</t>
  </si>
  <si>
    <t>John Morgan, Dave Rogenmoser</t>
  </si>
  <si>
    <t>Headquarters</t>
  </si>
  <si>
    <t>Quebec</t>
  </si>
  <si>
    <t>Thomas Siebel</t>
  </si>
  <si>
    <t>IPO</t>
  </si>
  <si>
    <t>TPG Growth, Sutter Hill Ventures, The Rise Fund, Breyer Capital</t>
  </si>
  <si>
    <t>Series F</t>
  </si>
  <si>
    <t>Nvidia, Coatue, Bond, Insight Partners, Felicis</t>
  </si>
  <si>
    <t>Series B: Bloomberg Beta, Richard Socher, Jeff Hammerbacher, Nat Friedman, Trinity Ventures, Insight Partners, Coatue, Tom Preston-Werner</t>
  </si>
  <si>
    <t>Model Tool Platform</t>
  </si>
  <si>
    <t>Scale AI</t>
  </si>
  <si>
    <t>Series E</t>
  </si>
  <si>
    <t>Tiger, Coatue, Y Combinator, Wellington, Index Ventures, Dragoneer, Greenoaks, Founders Fund, Durable, Human Capital</t>
  </si>
  <si>
    <t>Series D</t>
  </si>
  <si>
    <t>Series D, 3.5B valuation, Tiger &amp; Bradley Horowitz</t>
  </si>
  <si>
    <t>Zoom Ventures, Spark, Sound Ventures, Salesforce, Menlo Ventures, Google</t>
  </si>
  <si>
    <t>Series B: SBF, Nishad Singh, James McClave, James McClave, Jaan Tallinn, CERR; $580m!?</t>
  </si>
  <si>
    <t>David Holz</t>
  </si>
  <si>
    <t>David Luan</t>
  </si>
  <si>
    <t>Workday, SVA, Spark Capital, PSP Growth, NVDA, MSFT, Greylock, General Catalyst, Frontiers Capital, Caterina Fake, Atlassian, Addition, A.Capital</t>
  </si>
  <si>
    <t>Series A: Greylock, Andrej Karpathy, Addition, Chris Re, Howie Liu, Joe Morrissey, Root Ventures, Sarah Meyohas, Scott Belsky</t>
  </si>
  <si>
    <t>Andreessen Horowitz, A.Capital, Elad Gil, Nat Friedman, SVA</t>
  </si>
  <si>
    <t>Seed: A.Capital, SVA, Paul Buchheit, Nat Friedman, Elad Gil</t>
  </si>
  <si>
    <t>Runway ML</t>
  </si>
  <si>
    <t>Rogue, Google</t>
  </si>
  <si>
    <t>Text-to-Video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</si>
</sst>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\x"/>
    <numFmt numFmtId="165" formatCode="[$¥-411]#,##0"/>
  </numFmts>
  <fonts count="9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  <font>
      <u/>
      <sz val="10"/>
      <color theme="10"/>
      <name val="Ariai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5" fillId="0" borderId="0" applyNumberFormat="0" applyFill="0" applyBorder="0" applyAlignment="0" applyProtection="0"/>
  </cellStyleXfs>
  <cellXfs count="231">
    <xf numFmtId="0" fontId="0" fillId="0" borderId="0" xfId="0"/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6" fillId="0" borderId="0" xfId="1" applyFont="1"/>
    <xf numFmtId="0" fontId="83" fillId="0" borderId="0" xfId="0" applyFont="1"/>
    <xf numFmtId="3" fontId="83" fillId="0" borderId="0" xfId="0" applyNumberFormat="1" applyFont="1" applyAlignment="1">
      <alignment horizontal="right"/>
    </xf>
    <xf numFmtId="0" fontId="82" fillId="0" borderId="0" xfId="0" applyFont="1"/>
    <xf numFmtId="3" fontId="87" fillId="0" borderId="0" xfId="0" applyNumberFormat="1" applyFont="1" applyAlignment="1">
      <alignment horizontal="right"/>
    </xf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3" xfId="0" applyFont="1" applyBorder="1"/>
    <xf numFmtId="0" fontId="78" fillId="0" borderId="4" xfId="0" applyFont="1" applyBorder="1"/>
    <xf numFmtId="2" fontId="78" fillId="0" borderId="4" xfId="0" applyNumberFormat="1" applyFont="1" applyBorder="1" applyAlignment="1">
      <alignment horizontal="right"/>
    </xf>
    <xf numFmtId="3" fontId="78" fillId="0" borderId="4" xfId="0" applyNumberFormat="1" applyFont="1" applyBorder="1" applyAlignment="1">
      <alignment horizontal="right"/>
    </xf>
    <xf numFmtId="0" fontId="78" fillId="0" borderId="4" xfId="0" applyFont="1" applyBorder="1" applyAlignment="1">
      <alignment horizontal="right"/>
    </xf>
    <xf numFmtId="0" fontId="78" fillId="0" borderId="4" xfId="0" applyFont="1" applyBorder="1" applyAlignment="1">
      <alignment horizontal="center"/>
    </xf>
    <xf numFmtId="0" fontId="78" fillId="0" borderId="5" xfId="0" applyFont="1" applyBorder="1" applyAlignment="1">
      <alignment horizontal="center"/>
    </xf>
    <xf numFmtId="0" fontId="78" fillId="0" borderId="0" xfId="0" applyFont="1"/>
    <xf numFmtId="2" fontId="78" fillId="0" borderId="0" xfId="0" applyNumberFormat="1" applyFont="1" applyAlignment="1">
      <alignment horizontal="right"/>
    </xf>
    <xf numFmtId="3" fontId="78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 applyAlignment="1">
      <alignment horizontal="center"/>
    </xf>
    <xf numFmtId="0" fontId="78" fillId="0" borderId="1" xfId="0" applyFont="1" applyBorder="1" applyAlignment="1">
      <alignment horizontal="center"/>
    </xf>
    <xf numFmtId="0" fontId="78" fillId="0" borderId="2" xfId="0" applyFont="1" applyBorder="1" applyAlignment="1">
      <alignment horizontal="center"/>
    </xf>
    <xf numFmtId="4" fontId="78" fillId="0" borderId="0" xfId="0" applyNumberFormat="1" applyFont="1" applyAlignment="1">
      <alignment horizontal="center"/>
    </xf>
    <xf numFmtId="9" fontId="78" fillId="0" borderId="0" xfId="0" applyNumberFormat="1" applyFont="1" applyAlignment="1">
      <alignment horizontal="center"/>
    </xf>
    <xf numFmtId="164" fontId="78" fillId="0" borderId="1" xfId="0" applyNumberFormat="1" applyFont="1" applyBorder="1" applyAlignment="1">
      <alignment horizontal="center"/>
    </xf>
    <xf numFmtId="164" fontId="78" fillId="0" borderId="0" xfId="0" applyNumberFormat="1" applyFont="1" applyAlignment="1">
      <alignment horizontal="center"/>
    </xf>
    <xf numFmtId="164" fontId="78" fillId="0" borderId="2" xfId="0" applyNumberFormat="1" applyFont="1" applyBorder="1" applyAlignment="1">
      <alignment horizontal="center"/>
    </xf>
    <xf numFmtId="4" fontId="78" fillId="0" borderId="1" xfId="0" applyNumberFormat="1" applyFont="1" applyBorder="1" applyAlignment="1">
      <alignment horizontal="center"/>
    </xf>
    <xf numFmtId="4" fontId="78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76" fillId="0" borderId="0" xfId="0" applyFont="1" applyAlignment="1">
      <alignment horizontal="right"/>
    </xf>
    <xf numFmtId="9" fontId="76" fillId="0" borderId="0" xfId="0" applyNumberFormat="1" applyFont="1" applyAlignment="1">
      <alignment horizontal="center"/>
    </xf>
    <xf numFmtId="164" fontId="78" fillId="0" borderId="6" xfId="0" applyNumberFormat="1" applyFont="1" applyBorder="1" applyAlignment="1">
      <alignment horizontal="center"/>
    </xf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3" fillId="0" borderId="0" xfId="0" applyFont="1"/>
    <xf numFmtId="4" fontId="78" fillId="0" borderId="0" xfId="0" applyNumberFormat="1" applyFont="1" applyAlignment="1">
      <alignment horizontal="right"/>
    </xf>
    <xf numFmtId="0" fontId="72" fillId="0" borderId="4" xfId="0" applyFont="1" applyBorder="1" applyAlignment="1">
      <alignment horizontal="right"/>
    </xf>
    <xf numFmtId="14" fontId="78" fillId="0" borderId="0" xfId="0" applyNumberFormat="1" applyFont="1" applyAlignment="1">
      <alignment horizontal="right"/>
    </xf>
    <xf numFmtId="0" fontId="72" fillId="0" borderId="0" xfId="0" applyFont="1" applyAlignment="1">
      <alignment horizontal="right"/>
    </xf>
    <xf numFmtId="0" fontId="72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0" fontId="71" fillId="0" borderId="3" xfId="0" applyFont="1" applyBorder="1" applyAlignment="1">
      <alignment horizontal="center"/>
    </xf>
    <xf numFmtId="0" fontId="71" fillId="0" borderId="6" xfId="0" applyFont="1" applyBorder="1" applyAlignment="1">
      <alignment horizontal="center"/>
    </xf>
    <xf numFmtId="0" fontId="71" fillId="0" borderId="4" xfId="0" applyFont="1" applyBorder="1" applyAlignment="1">
      <alignment horizontal="center"/>
    </xf>
    <xf numFmtId="0" fontId="78" fillId="0" borderId="5" xfId="0" applyFont="1" applyBorder="1"/>
    <xf numFmtId="3" fontId="81" fillId="0" borderId="0" xfId="0" applyNumberFormat="1" applyFont="1"/>
    <xf numFmtId="0" fontId="70" fillId="0" borderId="0" xfId="0" applyFont="1"/>
    <xf numFmtId="0" fontId="69" fillId="0" borderId="0" xfId="0" applyFont="1" applyAlignment="1">
      <alignment horizontal="right"/>
    </xf>
    <xf numFmtId="0" fontId="68" fillId="0" borderId="0" xfId="0" applyFont="1" applyAlignment="1">
      <alignment horizontal="right"/>
    </xf>
    <xf numFmtId="0" fontId="68" fillId="0" borderId="0" xfId="0" applyFont="1"/>
    <xf numFmtId="3" fontId="84" fillId="0" borderId="0" xfId="0" applyNumberFormat="1" applyFont="1"/>
    <xf numFmtId="3" fontId="87" fillId="0" borderId="0" xfId="0" applyNumberFormat="1" applyFont="1"/>
    <xf numFmtId="3" fontId="68" fillId="0" borderId="0" xfId="0" applyNumberFormat="1" applyFont="1"/>
    <xf numFmtId="4" fontId="84" fillId="0" borderId="0" xfId="0" applyNumberFormat="1" applyFont="1" applyAlignment="1">
      <alignment horizontal="right"/>
    </xf>
    <xf numFmtId="4" fontId="87" fillId="0" borderId="0" xfId="0" applyNumberFormat="1" applyFont="1" applyAlignment="1">
      <alignment horizontal="right"/>
    </xf>
    <xf numFmtId="0" fontId="67" fillId="0" borderId="0" xfId="0" applyFont="1"/>
    <xf numFmtId="0" fontId="66" fillId="0" borderId="0" xfId="0" applyFont="1"/>
    <xf numFmtId="0" fontId="88" fillId="0" borderId="0" xfId="0" applyFont="1"/>
    <xf numFmtId="0" fontId="65" fillId="0" borderId="0" xfId="0" applyFont="1"/>
    <xf numFmtId="0" fontId="65" fillId="0" borderId="0" xfId="0" applyFont="1" applyAlignment="1">
      <alignment horizontal="right"/>
    </xf>
    <xf numFmtId="14" fontId="81" fillId="0" borderId="0" xfId="0" applyNumberFormat="1" applyFont="1"/>
    <xf numFmtId="0" fontId="81" fillId="0" borderId="0" xfId="0" applyFont="1" applyAlignment="1">
      <alignment horizontal="right"/>
    </xf>
    <xf numFmtId="4" fontId="81" fillId="0" borderId="0" xfId="0" applyNumberFormat="1" applyFont="1" applyAlignment="1">
      <alignment horizontal="right"/>
    </xf>
    <xf numFmtId="3" fontId="81" fillId="0" borderId="0" xfId="0" applyNumberFormat="1" applyFont="1" applyAlignment="1">
      <alignment horizontal="right"/>
    </xf>
    <xf numFmtId="3" fontId="64" fillId="0" borderId="0" xfId="0" applyNumberFormat="1" applyFont="1"/>
    <xf numFmtId="0" fontId="64" fillId="0" borderId="0" xfId="0" applyFont="1"/>
    <xf numFmtId="0" fontId="64" fillId="0" borderId="3" xfId="0" applyFont="1" applyBorder="1"/>
    <xf numFmtId="0" fontId="64" fillId="0" borderId="4" xfId="0" applyFont="1" applyBorder="1"/>
    <xf numFmtId="2" fontId="64" fillId="0" borderId="4" xfId="0" applyNumberFormat="1" applyFont="1" applyBorder="1" applyAlignment="1">
      <alignment horizontal="right"/>
    </xf>
    <xf numFmtId="3" fontId="64" fillId="0" borderId="4" xfId="0" applyNumberFormat="1" applyFont="1" applyBorder="1" applyAlignment="1">
      <alignment horizontal="right"/>
    </xf>
    <xf numFmtId="0" fontId="64" fillId="0" borderId="4" xfId="0" applyFont="1" applyBorder="1" applyAlignment="1">
      <alignment horizontal="right"/>
    </xf>
    <xf numFmtId="0" fontId="64" fillId="0" borderId="4" xfId="0" applyFont="1" applyBorder="1" applyAlignment="1">
      <alignment horizontal="center"/>
    </xf>
    <xf numFmtId="0" fontId="64" fillId="0" borderId="5" xfId="0" applyFont="1" applyBorder="1" applyAlignment="1">
      <alignment horizontal="center"/>
    </xf>
    <xf numFmtId="0" fontId="64" fillId="0" borderId="3" xfId="0" applyFont="1" applyBorder="1" applyAlignment="1">
      <alignment horizontal="center"/>
    </xf>
    <xf numFmtId="0" fontId="64" fillId="0" borderId="6" xfId="0" applyFont="1" applyBorder="1" applyAlignment="1">
      <alignment horizontal="center"/>
    </xf>
    <xf numFmtId="0" fontId="63" fillId="0" borderId="0" xfId="0" applyFont="1"/>
    <xf numFmtId="3" fontId="63" fillId="0" borderId="0" xfId="0" applyNumberFormat="1" applyFont="1"/>
    <xf numFmtId="3" fontId="62" fillId="0" borderId="0" xfId="0" applyNumberFormat="1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3" fontId="55" fillId="0" borderId="0" xfId="0" applyNumberFormat="1" applyFont="1"/>
    <xf numFmtId="0" fontId="55" fillId="0" borderId="0" xfId="0" applyFont="1"/>
    <xf numFmtId="3" fontId="54" fillId="0" borderId="0" xfId="0" applyNumberFormat="1" applyFont="1"/>
    <xf numFmtId="0" fontId="53" fillId="0" borderId="0" xfId="0" applyFont="1"/>
    <xf numFmtId="0" fontId="89" fillId="0" borderId="0" xfId="0" applyFont="1"/>
    <xf numFmtId="0" fontId="52" fillId="0" borderId="0" xfId="0" applyFont="1"/>
    <xf numFmtId="0" fontId="90" fillId="0" borderId="0" xfId="1" applyFont="1"/>
    <xf numFmtId="0" fontId="51" fillId="0" borderId="0" xfId="0" applyFont="1"/>
    <xf numFmtId="3" fontId="51" fillId="0" borderId="0" xfId="0" applyNumberFormat="1" applyFont="1"/>
    <xf numFmtId="0" fontId="50" fillId="0" borderId="0" xfId="0" applyFont="1" applyAlignment="1">
      <alignment horizontal="right"/>
    </xf>
    <xf numFmtId="0" fontId="49" fillId="0" borderId="0" xfId="0" applyFont="1"/>
    <xf numFmtId="0" fontId="49" fillId="0" borderId="0" xfId="0" applyFont="1" applyAlignment="1">
      <alignment horizontal="right"/>
    </xf>
    <xf numFmtId="14" fontId="64" fillId="0" borderId="0" xfId="0" applyNumberFormat="1" applyFont="1"/>
    <xf numFmtId="3" fontId="48" fillId="0" borderId="0" xfId="0" applyNumberFormat="1" applyFont="1"/>
    <xf numFmtId="0" fontId="47" fillId="0" borderId="0" xfId="0" applyFont="1"/>
    <xf numFmtId="3" fontId="47" fillId="0" borderId="0" xfId="0" applyNumberFormat="1" applyFont="1"/>
    <xf numFmtId="0" fontId="46" fillId="0" borderId="0" xfId="0" applyFont="1"/>
    <xf numFmtId="0" fontId="45" fillId="0" borderId="0" xfId="0" applyFont="1"/>
    <xf numFmtId="3" fontId="44" fillId="0" borderId="0" xfId="0" applyNumberFormat="1" applyFont="1"/>
    <xf numFmtId="0" fontId="43" fillId="0" borderId="0" xfId="0" applyFont="1"/>
    <xf numFmtId="0" fontId="42" fillId="0" borderId="0" xfId="0" applyFont="1"/>
    <xf numFmtId="3" fontId="41" fillId="0" borderId="0" xfId="0" applyNumberFormat="1" applyFont="1"/>
    <xf numFmtId="0" fontId="40" fillId="0" borderId="0" xfId="0" applyFont="1"/>
    <xf numFmtId="0" fontId="86" fillId="0" borderId="1" xfId="1" applyFont="1" applyBorder="1"/>
    <xf numFmtId="9" fontId="78" fillId="0" borderId="2" xfId="0" applyNumberFormat="1" applyFont="1" applyBorder="1" applyAlignment="1">
      <alignment horizontal="center"/>
    </xf>
    <xf numFmtId="0" fontId="53" fillId="0" borderId="0" xfId="0" applyFont="1" applyAlignment="1">
      <alignment horizontal="right"/>
    </xf>
    <xf numFmtId="0" fontId="45" fillId="0" borderId="1" xfId="0" applyFont="1" applyBorder="1"/>
    <xf numFmtId="0" fontId="75" fillId="0" borderId="0" xfId="0" applyFont="1"/>
    <xf numFmtId="0" fontId="42" fillId="0" borderId="1" xfId="0" applyFont="1" applyBorder="1"/>
    <xf numFmtId="0" fontId="78" fillId="0" borderId="1" xfId="0" applyFont="1" applyBorder="1"/>
    <xf numFmtId="0" fontId="76" fillId="0" borderId="1" xfId="0" applyFont="1" applyBorder="1"/>
    <xf numFmtId="0" fontId="76" fillId="0" borderId="0" xfId="0" applyFont="1"/>
    <xf numFmtId="0" fontId="71" fillId="0" borderId="1" xfId="0" applyFont="1" applyBorder="1"/>
    <xf numFmtId="0" fontId="78" fillId="0" borderId="7" xfId="0" applyFont="1" applyBorder="1"/>
    <xf numFmtId="0" fontId="78" fillId="0" borderId="6" xfId="0" applyFont="1" applyBorder="1"/>
    <xf numFmtId="2" fontId="78" fillId="0" borderId="6" xfId="0" applyNumberFormat="1" applyFont="1" applyBorder="1" applyAlignment="1">
      <alignment horizontal="right"/>
    </xf>
    <xf numFmtId="3" fontId="78" fillId="0" borderId="6" xfId="0" applyNumberFormat="1" applyFont="1" applyBorder="1" applyAlignment="1">
      <alignment horizontal="right"/>
    </xf>
    <xf numFmtId="0" fontId="78" fillId="0" borderId="6" xfId="0" applyFont="1" applyBorder="1" applyAlignment="1">
      <alignment horizontal="right"/>
    </xf>
    <xf numFmtId="0" fontId="78" fillId="0" borderId="6" xfId="0" applyFont="1" applyBorder="1" applyAlignment="1">
      <alignment horizontal="center"/>
    </xf>
    <xf numFmtId="0" fontId="78" fillId="0" borderId="8" xfId="0" applyFont="1" applyBorder="1" applyAlignment="1">
      <alignment horizontal="center"/>
    </xf>
    <xf numFmtId="0" fontId="40" fillId="0" borderId="0" xfId="0" applyFont="1" applyAlignment="1">
      <alignment horizontal="right"/>
    </xf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 applyAlignment="1">
      <alignment horizontal="right"/>
    </xf>
    <xf numFmtId="0" fontId="33" fillId="0" borderId="0" xfId="0" applyFont="1"/>
    <xf numFmtId="0" fontId="32" fillId="0" borderId="0" xfId="0" applyFont="1" applyAlignment="1">
      <alignment horizontal="right"/>
    </xf>
    <xf numFmtId="0" fontId="31" fillId="0" borderId="0" xfId="0" applyFont="1"/>
    <xf numFmtId="0" fontId="86" fillId="0" borderId="0" xfId="1" applyFont="1" applyBorder="1"/>
    <xf numFmtId="0" fontId="30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26" fillId="0" borderId="0" xfId="0" applyFont="1"/>
    <xf numFmtId="14" fontId="26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14" fontId="84" fillId="0" borderId="0" xfId="0" applyNumberFormat="1" applyFont="1"/>
    <xf numFmtId="0" fontId="24" fillId="0" borderId="0" xfId="0" applyFont="1"/>
    <xf numFmtId="165" fontId="78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64" fillId="0" borderId="0" xfId="0" applyNumberFormat="1" applyFont="1"/>
    <xf numFmtId="0" fontId="20" fillId="0" borderId="0" xfId="0" applyFont="1"/>
    <xf numFmtId="0" fontId="19" fillId="0" borderId="1" xfId="0" applyFont="1" applyBorder="1"/>
    <xf numFmtId="0" fontId="19" fillId="0" borderId="0" xfId="0" applyFont="1"/>
    <xf numFmtId="0" fontId="18" fillId="0" borderId="0" xfId="0" applyFont="1"/>
    <xf numFmtId="3" fontId="91" fillId="0" borderId="0" xfId="0" applyNumberFormat="1" applyFont="1"/>
    <xf numFmtId="4" fontId="92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3" fontId="66" fillId="0" borderId="0" xfId="0" applyNumberFormat="1" applyFont="1"/>
    <xf numFmtId="0" fontId="17" fillId="0" borderId="0" xfId="0" applyFont="1"/>
    <xf numFmtId="0" fontId="16" fillId="0" borderId="0" xfId="0" applyFont="1"/>
    <xf numFmtId="3" fontId="16" fillId="0" borderId="0" xfId="0" applyNumberFormat="1" applyFont="1"/>
    <xf numFmtId="3" fontId="16" fillId="2" borderId="0" xfId="0" applyNumberFormat="1" applyFont="1" applyFill="1"/>
    <xf numFmtId="0" fontId="15" fillId="0" borderId="0" xfId="0" applyFont="1" applyAlignment="1">
      <alignment horizontal="right"/>
    </xf>
    <xf numFmtId="0" fontId="15" fillId="0" borderId="0" xfId="0" applyFont="1"/>
    <xf numFmtId="3" fontId="15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/>
    </xf>
    <xf numFmtId="17" fontId="14" fillId="0" borderId="0" xfId="0" applyNumberFormat="1" applyFont="1"/>
    <xf numFmtId="0" fontId="14" fillId="0" borderId="0" xfId="0" applyFont="1" applyAlignment="1">
      <alignment horizontal="center"/>
    </xf>
    <xf numFmtId="0" fontId="86" fillId="0" borderId="0" xfId="1" applyFont="1" applyAlignment="1"/>
    <xf numFmtId="0" fontId="93" fillId="0" borderId="0" xfId="1" applyFont="1"/>
    <xf numFmtId="0" fontId="13" fillId="0" borderId="0" xfId="0" applyFont="1"/>
    <xf numFmtId="0" fontId="13" fillId="0" borderId="0" xfId="0" applyFont="1" applyAlignment="1">
      <alignment horizontal="center"/>
    </xf>
    <xf numFmtId="3" fontId="86" fillId="0" borderId="0" xfId="1" applyNumberFormat="1" applyFont="1"/>
    <xf numFmtId="3" fontId="12" fillId="0" borderId="0" xfId="0" applyNumberFormat="1" applyFont="1" applyAlignment="1">
      <alignment horizontal="right"/>
    </xf>
    <xf numFmtId="0" fontId="11" fillId="0" borderId="0" xfId="0" applyFont="1"/>
    <xf numFmtId="4" fontId="78" fillId="0" borderId="0" xfId="0" applyNumberFormat="1" applyFont="1"/>
    <xf numFmtId="4" fontId="84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/>
    <xf numFmtId="0" fontId="9" fillId="0" borderId="0" xfId="0" applyFont="1"/>
    <xf numFmtId="0" fontId="88" fillId="0" borderId="1" xfId="0" applyFont="1" applyBorder="1"/>
    <xf numFmtId="2" fontId="88" fillId="0" borderId="0" xfId="0" applyNumberFormat="1" applyFont="1" applyAlignment="1">
      <alignment horizontal="right"/>
    </xf>
    <xf numFmtId="3" fontId="88" fillId="0" borderId="0" xfId="0" applyNumberFormat="1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8" fillId="0" borderId="0" xfId="0" applyFont="1" applyAlignment="1">
      <alignment horizontal="center"/>
    </xf>
    <xf numFmtId="0" fontId="88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9" fillId="0" borderId="0" xfId="0" applyFont="1" applyAlignment="1">
      <alignment horizontal="right"/>
    </xf>
    <xf numFmtId="17" fontId="6" fillId="0" borderId="0" xfId="0" quotePrefix="1" applyNumberFormat="1" applyFont="1" applyAlignment="1">
      <alignment horizontal="right"/>
    </xf>
    <xf numFmtId="0" fontId="6" fillId="0" borderId="0" xfId="0" quotePrefix="1" applyFont="1" applyAlignment="1">
      <alignment horizontal="right"/>
    </xf>
    <xf numFmtId="17" fontId="88" fillId="0" borderId="0" xfId="0" applyNumberFormat="1" applyFont="1"/>
    <xf numFmtId="17" fontId="88" fillId="0" borderId="0" xfId="0" quotePrefix="1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94" fillId="0" borderId="0" xfId="0" applyFont="1"/>
    <xf numFmtId="0" fontId="88" fillId="0" borderId="0" xfId="0" quotePrefix="1" applyFont="1" applyAlignment="1">
      <alignment horizontal="right"/>
    </xf>
    <xf numFmtId="0" fontId="95" fillId="0" borderId="0" xfId="0" applyFont="1"/>
    <xf numFmtId="17" fontId="9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7" fontId="4" fillId="0" borderId="0" xfId="0" quotePrefix="1" applyNumberFormat="1" applyFont="1" applyAlignment="1">
      <alignment horizontal="right"/>
    </xf>
    <xf numFmtId="0" fontId="4" fillId="0" borderId="0" xfId="0" quotePrefix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1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47" Type="http://schemas.openxmlformats.org/officeDocument/2006/relationships/externalLink" Target="externalLinks/externalLink32.xml"/><Relationship Id="rId50" Type="http://schemas.openxmlformats.org/officeDocument/2006/relationships/externalLink" Target="externalLinks/externalLink35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38.xml"/><Relationship Id="rId58" Type="http://schemas.openxmlformats.org/officeDocument/2006/relationships/sheetMetadata" Target="metadata.xml"/><Relationship Id="rId5" Type="http://schemas.openxmlformats.org/officeDocument/2006/relationships/worksheet" Target="worksheets/sheet5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28.xml"/><Relationship Id="rId48" Type="http://schemas.openxmlformats.org/officeDocument/2006/relationships/externalLink" Target="externalLinks/externalLink33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externalLink" Target="externalLinks/externalLink31.xml"/><Relationship Id="rId59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Relationship Id="rId54" Type="http://schemas.openxmlformats.org/officeDocument/2006/relationships/externalLink" Target="externalLinks/externalLink3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49" Type="http://schemas.openxmlformats.org/officeDocument/2006/relationships/externalLink" Target="externalLinks/externalLink34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6.xml"/><Relationship Id="rId44" Type="http://schemas.openxmlformats.org/officeDocument/2006/relationships/externalLink" Target="externalLinks/externalLink29.xml"/><Relationship Id="rId52" Type="http://schemas.openxmlformats.org/officeDocument/2006/relationships/externalLink" Target="externalLinks/externalLink3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HEXA.xlsx" TargetMode="External"/><Relationship Id="rId1" Type="http://schemas.openxmlformats.org/officeDocument/2006/relationships/externalLinkPath" Target="HEX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BM.xlsx" TargetMode="External"/><Relationship Id="rId1" Type="http://schemas.openxmlformats.org/officeDocument/2006/relationships/externalLinkPath" Target="IBM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RM.xlsx" TargetMode="External"/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VMW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TEAM.xlsx" TargetMode="External"/><Relationship Id="rId1" Type="http://schemas.openxmlformats.org/officeDocument/2006/relationships/externalLinkPath" Target="TEAM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OKT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DBE.xlsx" TargetMode="External"/><Relationship Id="rId1" Type="http://schemas.openxmlformats.org/officeDocument/2006/relationships/externalLinkPath" Target="ADBE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SONY.xlsx" TargetMode="External"/><Relationship Id="rId1" Type="http://schemas.openxmlformats.org/officeDocument/2006/relationships/externalLinkPath" Target="SO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TVI.xlsx" TargetMode="External"/><Relationship Id="rId1" Type="http://schemas.openxmlformats.org/officeDocument/2006/relationships/externalLinkPath" Target="ATVI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BLX.xlsx" TargetMode="External"/><Relationship Id="rId1" Type="http://schemas.openxmlformats.org/officeDocument/2006/relationships/externalLinkPath" Target="RBLX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PYPL.xlsx" TargetMode="External"/><Relationship Id="rId1" Type="http://schemas.openxmlformats.org/officeDocument/2006/relationships/externalLinkPath" Target="PYP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NB.xlsx" TargetMode="External"/><Relationship Id="rId1" Type="http://schemas.openxmlformats.org/officeDocument/2006/relationships/externalLinkPath" Target="ABN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gacy"/>
    </sheetNames>
    <sheetDataSet>
      <sheetData sheetId="0">
        <row r="3">
          <cell r="L3">
            <v>7473</v>
          </cell>
        </row>
        <row r="5">
          <cell r="L5">
            <v>106605</v>
          </cell>
        </row>
        <row r="6">
          <cell r="L6">
            <v>48116</v>
          </cell>
        </row>
      </sheetData>
      <sheetData sheetId="1">
        <row r="32">
          <cell r="BE32">
            <v>9.6463099263974534</v>
          </cell>
          <cell r="BF32">
            <v>9.8726994311717835</v>
          </cell>
          <cell r="BG32">
            <v>11.225772564777602</v>
          </cell>
          <cell r="BH32">
            <v>12.540877369501043</v>
          </cell>
        </row>
        <row r="34">
          <cell r="BP34">
            <v>0</v>
          </cell>
        </row>
        <row r="35">
          <cell r="BP35">
            <v>7.0000000000000007E-2</v>
          </cell>
        </row>
        <row r="36">
          <cell r="BP36">
            <v>0.01</v>
          </cell>
        </row>
        <row r="39">
          <cell r="BP39">
            <v>269.58547667575527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12947</v>
          </cell>
        </row>
        <row r="5">
          <cell r="L5">
            <v>144254</v>
          </cell>
        </row>
        <row r="6">
          <cell r="L6">
            <v>14701</v>
          </cell>
        </row>
      </sheetData>
      <sheetData sheetId="1">
        <row r="24">
          <cell r="AJ24">
            <v>4.5799964361174039</v>
          </cell>
          <cell r="AK24">
            <v>5.6080380594150139</v>
          </cell>
          <cell r="AL24">
            <v>6.6491005248224839</v>
          </cell>
          <cell r="AM24">
            <v>7.778431207897734</v>
          </cell>
        </row>
        <row r="27">
          <cell r="AU27">
            <v>-0.01</v>
          </cell>
        </row>
        <row r="28">
          <cell r="AU28">
            <v>0.08</v>
          </cell>
        </row>
        <row r="29">
          <cell r="AU29">
            <v>0.01</v>
          </cell>
        </row>
        <row r="31">
          <cell r="AU31">
            <v>164.8676811657561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10331</v>
          </cell>
        </row>
        <row r="5">
          <cell r="K5">
            <v>58662</v>
          </cell>
        </row>
        <row r="6">
          <cell r="K6">
            <v>58919</v>
          </cell>
        </row>
      </sheetData>
      <sheetData sheetId="1">
        <row r="33">
          <cell r="BA33">
            <v>0.51665847665847664</v>
          </cell>
          <cell r="BB33">
            <v>1.6399777191456466</v>
          </cell>
          <cell r="BC33">
            <v>2.0086947796859072</v>
          </cell>
          <cell r="BD33">
            <v>3.4976216660564408</v>
          </cell>
        </row>
        <row r="44">
          <cell r="BL44">
            <v>0.08</v>
          </cell>
        </row>
        <row r="45">
          <cell r="BL45">
            <v>0.01</v>
          </cell>
        </row>
        <row r="46">
          <cell r="BL46">
            <v>0</v>
          </cell>
        </row>
        <row r="48">
          <cell r="BL48">
            <v>127.46157686951391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2776</v>
          </cell>
        </row>
        <row r="5">
          <cell r="G5">
            <v>8769</v>
          </cell>
        </row>
        <row r="6">
          <cell r="G6">
            <v>91811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421.445382</v>
          </cell>
        </row>
        <row r="5">
          <cell r="M5">
            <v>3719</v>
          </cell>
        </row>
        <row r="6">
          <cell r="M6">
            <v>11926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O3">
            <v>315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P3">
            <v>157</v>
          </cell>
        </row>
        <row r="5">
          <cell r="P5">
            <v>2477</v>
          </cell>
        </row>
        <row r="6">
          <cell r="P6">
            <v>2195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  <row r="53">
          <cell r="AX53">
            <v>215.87667010339968</v>
          </cell>
        </row>
      </sheetData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0" dT="2022-08-24T01:15:21.27" personId="{00000000-0000-0000-0000-000000000000}" id="{9A7BDD87-4728-4B2C-A2F9-F452DF1FAEF5}">
    <text>Series A with ARod, Thrive, Tiger, Marc Lore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EXA.xlsx" TargetMode="External"/><Relationship Id="rId4" Type="http://schemas.openxmlformats.org/officeDocument/2006/relationships/hyperlink" Target="MSFT.xlsx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SNOW.xlsx" TargetMode="External"/><Relationship Id="rId13" Type="http://schemas.openxmlformats.org/officeDocument/2006/relationships/hyperlink" Target="PLTR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WDAY.xlsx" TargetMode="External"/><Relationship Id="rId12" Type="http://schemas.openxmlformats.org/officeDocument/2006/relationships/hyperlink" Target="AMZN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TEAM.xlsx" TargetMode="External"/><Relationship Id="rId11" Type="http://schemas.openxmlformats.org/officeDocument/2006/relationships/hyperlink" Target="VEEV.xlsx" TargetMode="External"/><Relationship Id="rId5" Type="http://schemas.openxmlformats.org/officeDocument/2006/relationships/hyperlink" Target="VMW.xlsx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DDOG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OKTA.xlsx" TargetMode="External"/><Relationship Id="rId14" Type="http://schemas.openxmlformats.org/officeDocument/2006/relationships/hyperlink" Target="IBM.xls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docs.nomic.ai/" TargetMode="External"/><Relationship Id="rId7" Type="http://schemas.openxmlformats.org/officeDocument/2006/relationships/hyperlink" Target="https://huggingface.co/OpenAssistant/oasst-sft-6-llama-30b-xor" TargetMode="External"/><Relationship Id="rId2" Type="http://schemas.openxmlformats.org/officeDocument/2006/relationships/hyperlink" Target="https://docs.ai21.com/reference/j2-complete-api-ref" TargetMode="External"/><Relationship Id="rId1" Type="http://schemas.openxmlformats.org/officeDocument/2006/relationships/hyperlink" Target="https://github.com/tloen/alpaca-lora" TargetMode="External"/><Relationship Id="rId6" Type="http://schemas.openxmlformats.org/officeDocument/2006/relationships/hyperlink" Target="https://github.com/h2oai/h2ogpt" TargetMode="External"/><Relationship Id="rId5" Type="http://schemas.openxmlformats.org/officeDocument/2006/relationships/hyperlink" Target="https://huggingface.co/chansung/alpaca-lora-65b/tree/main" TargetMode="External"/><Relationship Id="rId4" Type="http://schemas.openxmlformats.org/officeDocument/2006/relationships/hyperlink" Target="https://huggingface.co/datasets/nomic-ai/gpt4all-j-prompt-generations/tree/main/data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ABNB.xlsx" TargetMode="External"/><Relationship Id="rId5" Type="http://schemas.openxmlformats.org/officeDocument/2006/relationships/hyperlink" Target="RDFN.xlsx" TargetMode="External"/><Relationship Id="rId4" Type="http://schemas.openxmlformats.org/officeDocument/2006/relationships/hyperlink" Target="BABA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>
      <selection activeCell="F5" sqref="F5"/>
    </sheetView>
  </sheetViews>
  <sheetFormatPr baseColWidth="10" defaultColWidth="9.1640625" defaultRowHeight="13"/>
  <cols>
    <col min="1" max="1" width="5" style="137" bestFit="1" customWidth="1"/>
    <col min="2" max="16384" width="9.1640625" style="137"/>
  </cols>
  <sheetData>
    <row r="1" spans="1:3">
      <c r="A1" s="5" t="s">
        <v>146</v>
      </c>
    </row>
    <row r="2" spans="1:3">
      <c r="A2" s="5"/>
      <c r="B2" s="137" t="s">
        <v>19</v>
      </c>
    </row>
    <row r="3" spans="1:3">
      <c r="B3" s="137" t="s">
        <v>347</v>
      </c>
      <c r="C3" s="137" t="s">
        <v>348</v>
      </c>
    </row>
    <row r="4" spans="1:3">
      <c r="B4" s="137" t="s">
        <v>349</v>
      </c>
      <c r="C4" s="137" t="s">
        <v>350</v>
      </c>
    </row>
    <row r="5" spans="1:3">
      <c r="B5" s="137" t="s">
        <v>351</v>
      </c>
    </row>
    <row r="6" spans="1:3">
      <c r="B6" s="137" t="s">
        <v>344</v>
      </c>
    </row>
    <row r="7" spans="1:3">
      <c r="B7" s="137" t="s">
        <v>342</v>
      </c>
    </row>
    <row r="8" spans="1:3">
      <c r="B8" s="137" t="s">
        <v>346</v>
      </c>
    </row>
    <row r="9" spans="1:3">
      <c r="B9" s="137" t="s">
        <v>343</v>
      </c>
    </row>
    <row r="10" spans="1:3">
      <c r="B10" s="137" t="s">
        <v>352</v>
      </c>
    </row>
    <row r="11" spans="1:3">
      <c r="B11" s="137" t="s">
        <v>353</v>
      </c>
    </row>
    <row r="12" spans="1:3">
      <c r="B12" s="137" t="s">
        <v>345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baseColWidth="10" defaultColWidth="9.1640625" defaultRowHeight="13"/>
  <cols>
    <col min="1" max="1" width="5" style="137" bestFit="1" customWidth="1"/>
    <col min="2" max="2" width="10.5" style="137" customWidth="1"/>
    <col min="3" max="16384" width="9.1640625" style="137"/>
  </cols>
  <sheetData>
    <row r="1" spans="1:3">
      <c r="A1" s="5" t="s">
        <v>146</v>
      </c>
    </row>
    <row r="2" spans="1:3">
      <c r="A2" s="5"/>
      <c r="B2" s="176" t="s">
        <v>497</v>
      </c>
    </row>
    <row r="3" spans="1:3">
      <c r="A3" s="5"/>
      <c r="B3" s="176" t="s">
        <v>493</v>
      </c>
    </row>
    <row r="4" spans="1:3">
      <c r="A4" s="5"/>
      <c r="B4" s="176" t="s">
        <v>496</v>
      </c>
    </row>
    <row r="5" spans="1:3">
      <c r="A5" s="5"/>
      <c r="B5" s="176" t="s">
        <v>494</v>
      </c>
    </row>
    <row r="6" spans="1:3">
      <c r="A6" s="5"/>
      <c r="B6" s="176" t="s">
        <v>498</v>
      </c>
    </row>
    <row r="7" spans="1:3">
      <c r="A7" s="5"/>
      <c r="B7" s="176" t="s">
        <v>495</v>
      </c>
    </row>
    <row r="8" spans="1:3">
      <c r="A8" s="5"/>
      <c r="B8" s="176"/>
    </row>
    <row r="9" spans="1:3">
      <c r="A9" s="5"/>
      <c r="B9" s="176"/>
    </row>
    <row r="10" spans="1:3">
      <c r="A10" s="5"/>
      <c r="B10" s="137" t="s">
        <v>358</v>
      </c>
    </row>
    <row r="11" spans="1:3">
      <c r="B11" s="137" t="s">
        <v>354</v>
      </c>
    </row>
    <row r="12" spans="1:3">
      <c r="B12" s="137" t="s">
        <v>355</v>
      </c>
      <c r="C12" s="137" t="s">
        <v>356</v>
      </c>
    </row>
    <row r="13" spans="1:3">
      <c r="B13" s="137" t="s">
        <v>357</v>
      </c>
    </row>
    <row r="14" spans="1:3">
      <c r="B14" s="172" t="s">
        <v>489</v>
      </c>
      <c r="C14" s="172" t="s">
        <v>490</v>
      </c>
    </row>
    <row r="15" spans="1:3">
      <c r="B15" s="172" t="s">
        <v>491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7"/>
  <sheetViews>
    <sheetView zoomScale="160" zoomScaleNormal="16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C13" sqref="C13"/>
    </sheetView>
  </sheetViews>
  <sheetFormatPr baseColWidth="10" defaultColWidth="8.5" defaultRowHeight="13"/>
  <cols>
    <col min="1" max="1" width="1.5" style="20" customWidth="1"/>
    <col min="2" max="2" width="16.5" style="20" customWidth="1"/>
    <col min="3" max="3" width="10.6640625" style="20" customWidth="1"/>
    <col min="4" max="4" width="8.6640625" style="21" customWidth="1"/>
    <col min="5" max="5" width="10.33203125" style="22" customWidth="1"/>
    <col min="6" max="10" width="9.5" style="23" customWidth="1"/>
    <col min="11" max="15" width="8.5" style="24"/>
    <col min="16" max="16" width="8.5" style="25"/>
    <col min="17" max="18" width="8.5" style="24"/>
    <col min="19" max="19" width="8.5" style="26"/>
    <col min="20" max="20" width="8.5" style="25"/>
    <col min="21" max="22" width="8.5" style="24"/>
    <col min="23" max="23" width="8.5" style="26"/>
    <col min="24" max="16384" width="8.5" style="20"/>
  </cols>
  <sheetData>
    <row r="2" spans="1:24">
      <c r="L2" s="28">
        <f>AVERAGE(L4:L5)</f>
        <v>0.20041740331883851</v>
      </c>
      <c r="P2" s="29">
        <f>AVERAGE(P4:P5)</f>
        <v>26.242629111540076</v>
      </c>
      <c r="Q2" s="37">
        <f>AVERAGE(Q4:Q5)</f>
        <v>23.921213842707509</v>
      </c>
      <c r="R2" s="37">
        <f>AVERAGE(R4:R5)</f>
        <v>20.722347204381379</v>
      </c>
      <c r="S2" s="30">
        <f>AVERAGE(S4:S5)</f>
        <v>18.251491495442547</v>
      </c>
    </row>
    <row r="3" spans="1:24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221</v>
      </c>
      <c r="I3" s="17" t="s">
        <v>6</v>
      </c>
      <c r="J3" s="42" t="s">
        <v>232</v>
      </c>
      <c r="K3" s="18" t="s">
        <v>216</v>
      </c>
      <c r="L3" s="18" t="s">
        <v>220</v>
      </c>
      <c r="M3" s="18" t="s">
        <v>217</v>
      </c>
      <c r="N3" s="18" t="s">
        <v>218</v>
      </c>
      <c r="O3" s="19" t="s">
        <v>219</v>
      </c>
      <c r="P3" s="48" t="s">
        <v>237</v>
      </c>
      <c r="Q3" s="49" t="s">
        <v>238</v>
      </c>
      <c r="R3" s="49" t="s">
        <v>239</v>
      </c>
      <c r="S3" s="19">
        <v>2025</v>
      </c>
      <c r="T3" s="48" t="s">
        <v>236</v>
      </c>
      <c r="U3" s="18">
        <v>2023</v>
      </c>
      <c r="V3" s="18">
        <v>2024</v>
      </c>
      <c r="W3" s="19">
        <v>2025</v>
      </c>
      <c r="X3" s="20" t="s">
        <v>222</v>
      </c>
    </row>
    <row r="4" spans="1:24">
      <c r="A4" s="72" t="s">
        <v>261</v>
      </c>
      <c r="B4" s="114" t="s">
        <v>7</v>
      </c>
      <c r="C4" s="20" t="s">
        <v>8</v>
      </c>
      <c r="D4" s="21">
        <v>307.26</v>
      </c>
      <c r="E4" s="22">
        <f>D4*[1]Main!$L$3</f>
        <v>2296153.98</v>
      </c>
      <c r="F4" s="22">
        <f>[1]Main!$L$5-[1]Main!$L$6</f>
        <v>58489</v>
      </c>
      <c r="G4" s="22">
        <f>+E4-F4</f>
        <v>2237664.98</v>
      </c>
      <c r="H4" s="22">
        <f>+[1]Main!$L$3</f>
        <v>7473</v>
      </c>
      <c r="I4" s="175" t="s">
        <v>492</v>
      </c>
      <c r="J4" s="169">
        <v>45041</v>
      </c>
      <c r="K4" s="27">
        <f>+[1]Model!$BP$39</f>
        <v>269.58547667575527</v>
      </c>
      <c r="L4" s="28">
        <f>K4/D4-1</f>
        <v>-0.12261447413996196</v>
      </c>
      <c r="M4" s="28">
        <f>+[1]Model!$BP$35</f>
        <v>7.0000000000000007E-2</v>
      </c>
      <c r="N4" s="28">
        <f>+[1]Model!$BP$34</f>
        <v>0</v>
      </c>
      <c r="O4" s="115">
        <f>+[1]Model!$BP$36</f>
        <v>0.01</v>
      </c>
      <c r="P4" s="29">
        <f>+$G$4/$H$4/T4</f>
        <v>31.041226416860436</v>
      </c>
      <c r="Q4" s="30">
        <f t="shared" ref="Q4:S4" si="0">+$G$4/$H$4/U4</f>
        <v>30.329424348429917</v>
      </c>
      <c r="R4" s="30">
        <f t="shared" si="0"/>
        <v>26.673735708135101</v>
      </c>
      <c r="S4" s="31">
        <f t="shared" si="0"/>
        <v>23.876582290862881</v>
      </c>
      <c r="T4" s="32">
        <f>+[1]Model!$BE$32</f>
        <v>9.6463099263974534</v>
      </c>
      <c r="U4" s="27">
        <f>+[1]Model!$BF$32</f>
        <v>9.8726994311717835</v>
      </c>
      <c r="V4" s="27">
        <f>+[1]Model!$BG$32</f>
        <v>11.225772564777602</v>
      </c>
      <c r="W4" s="33">
        <f>+[1]Model!$BH$32</f>
        <v>12.540877369501043</v>
      </c>
      <c r="X4" s="20">
        <v>1975</v>
      </c>
    </row>
    <row r="5" spans="1:24">
      <c r="A5" s="72" t="s">
        <v>261</v>
      </c>
      <c r="B5" s="114" t="s">
        <v>9</v>
      </c>
      <c r="C5" s="20" t="s">
        <v>10</v>
      </c>
      <c r="D5" s="21">
        <v>108.22</v>
      </c>
      <c r="E5" s="22">
        <f>D5*[2]Main!$L$3</f>
        <v>1401124.34</v>
      </c>
      <c r="F5" s="22">
        <f>[2]Main!$L$5-[2]Main!$L$6</f>
        <v>129553</v>
      </c>
      <c r="G5" s="22">
        <f>+E5-F5</f>
        <v>1271571.3400000001</v>
      </c>
      <c r="H5" s="22">
        <f>[2]Main!$L$3</f>
        <v>12947</v>
      </c>
      <c r="I5" s="175" t="s">
        <v>492</v>
      </c>
      <c r="J5" s="43">
        <v>45041</v>
      </c>
      <c r="K5" s="27">
        <f>[2]Model!$AU$31</f>
        <v>164.8676811657561</v>
      </c>
      <c r="L5" s="28">
        <f>K5/D5-1</f>
        <v>0.52344928077763897</v>
      </c>
      <c r="M5" s="28">
        <f>[2]Model!$AU$28</f>
        <v>0.08</v>
      </c>
      <c r="N5" s="28">
        <f>[2]Model!$AU$27</f>
        <v>-0.01</v>
      </c>
      <c r="O5" s="115">
        <f>[2]Model!$AU$29</f>
        <v>0.01</v>
      </c>
      <c r="P5" s="29">
        <f>+$G$5/$H$5/T5</f>
        <v>21.444031806219719</v>
      </c>
      <c r="Q5" s="30">
        <f>+$G$5/$H$5/U5</f>
        <v>17.513003336985097</v>
      </c>
      <c r="R5" s="30">
        <f>+$G$5/$H$5/V5</f>
        <v>14.770958700627652</v>
      </c>
      <c r="S5" s="30">
        <f>+$G$5/$H$5/W5</f>
        <v>12.626400700022211</v>
      </c>
      <c r="T5" s="32">
        <f>[2]Model!$AJ$24</f>
        <v>4.5799964361174039</v>
      </c>
      <c r="U5" s="27">
        <f>[2]Model!$AK$24</f>
        <v>5.6080380594150139</v>
      </c>
      <c r="V5" s="27">
        <f>[2]Model!$AL$24</f>
        <v>6.6491005248224839</v>
      </c>
      <c r="W5" s="33">
        <f>[2]Model!$AM$24</f>
        <v>7.778431207897734</v>
      </c>
      <c r="X5" s="20">
        <v>1998</v>
      </c>
    </row>
    <row r="6" spans="1:24">
      <c r="A6" s="107" t="s">
        <v>261</v>
      </c>
      <c r="B6" s="114" t="s">
        <v>180</v>
      </c>
      <c r="C6" s="20" t="s">
        <v>181</v>
      </c>
      <c r="D6" s="41">
        <v>2651</v>
      </c>
      <c r="E6" s="22">
        <f>D6*H6/CAD</f>
        <v>43241.029887623161</v>
      </c>
      <c r="F6" s="22">
        <f>[3]Main!$O$5-[3]Main!$O$6</f>
        <v>-1163</v>
      </c>
      <c r="G6" s="22">
        <f>E6-F6</f>
        <v>44404.029887623161</v>
      </c>
      <c r="H6" s="22">
        <f>+[3]Main!$O$3</f>
        <v>21.19153</v>
      </c>
      <c r="I6" s="175" t="s">
        <v>390</v>
      </c>
      <c r="J6" s="43">
        <v>45047</v>
      </c>
      <c r="O6" s="26"/>
      <c r="X6" s="20">
        <v>1995</v>
      </c>
    </row>
    <row r="7" spans="1:24">
      <c r="A7" s="108" t="s">
        <v>261</v>
      </c>
      <c r="B7" s="114" t="s">
        <v>227</v>
      </c>
      <c r="C7" s="118" t="s">
        <v>228</v>
      </c>
      <c r="D7" s="21">
        <v>114.75</v>
      </c>
      <c r="E7" s="22">
        <f>D7*H7/SEK</f>
        <v>30022.838684416602</v>
      </c>
      <c r="F7" s="22">
        <f>([4]Main!$L$5-[4]Main!$L$6)*EUR</f>
        <v>-3389.8630000000003</v>
      </c>
      <c r="G7" s="22">
        <f>E7-F7</f>
        <v>33412.701684416599</v>
      </c>
      <c r="H7" s="22">
        <f>[4]Main!$L$3</f>
        <v>2706.2939999999999</v>
      </c>
      <c r="I7" s="199" t="s">
        <v>390</v>
      </c>
      <c r="J7" s="43">
        <v>45056</v>
      </c>
      <c r="O7" s="26"/>
      <c r="X7" s="20">
        <v>1992</v>
      </c>
    </row>
    <row r="8" spans="1:24">
      <c r="A8" s="90" t="s">
        <v>261</v>
      </c>
      <c r="B8" s="114" t="s">
        <v>38</v>
      </c>
      <c r="C8" s="20" t="s">
        <v>39</v>
      </c>
      <c r="D8" s="21">
        <v>120.61</v>
      </c>
      <c r="E8" s="22">
        <f>+D8*[5]Main!$L$3</f>
        <v>41715.983749999999</v>
      </c>
      <c r="F8" s="22">
        <f>([5]Main!$L$5-[5]Main!$L$6)/RMB</f>
        <v>25459.792284866468</v>
      </c>
      <c r="G8" s="22">
        <f>E8-F8</f>
        <v>16256.191465133532</v>
      </c>
      <c r="H8" s="22">
        <f>+[5]Main!$L$3</f>
        <v>345.875</v>
      </c>
      <c r="I8" s="23" t="s">
        <v>14</v>
      </c>
      <c r="O8" s="26"/>
      <c r="X8" s="20">
        <v>2000</v>
      </c>
    </row>
    <row r="9" spans="1:24">
      <c r="B9" s="120" t="s">
        <v>79</v>
      </c>
      <c r="C9" s="20" t="s">
        <v>182</v>
      </c>
      <c r="D9" s="21">
        <v>113.23</v>
      </c>
      <c r="E9" s="22">
        <v>33330</v>
      </c>
      <c r="O9" s="26"/>
      <c r="X9" s="20">
        <v>2007</v>
      </c>
    </row>
    <row r="10" spans="1:24">
      <c r="B10" s="120" t="s">
        <v>56</v>
      </c>
      <c r="C10" s="20" t="s">
        <v>57</v>
      </c>
      <c r="D10" s="21">
        <v>54.71</v>
      </c>
      <c r="E10" s="22">
        <v>28410</v>
      </c>
      <c r="O10" s="26"/>
      <c r="X10" s="20">
        <v>2009</v>
      </c>
    </row>
    <row r="11" spans="1:24">
      <c r="A11" s="111" t="s">
        <v>261</v>
      </c>
      <c r="B11" s="119" t="s">
        <v>321</v>
      </c>
      <c r="C11" s="111" t="s">
        <v>322</v>
      </c>
      <c r="D11" s="21">
        <v>46.37</v>
      </c>
      <c r="E11" s="22">
        <v>20860</v>
      </c>
      <c r="O11" s="26"/>
      <c r="X11" s="20">
        <v>1987</v>
      </c>
    </row>
    <row r="12" spans="1:24">
      <c r="B12" s="195" t="s">
        <v>69</v>
      </c>
      <c r="C12" s="64" t="s">
        <v>70</v>
      </c>
      <c r="D12" s="196">
        <v>360.34</v>
      </c>
      <c r="E12" s="197">
        <v>18140</v>
      </c>
      <c r="O12" s="26"/>
      <c r="X12" s="20">
        <v>2006</v>
      </c>
    </row>
    <row r="13" spans="1:24">
      <c r="B13" s="193" t="s">
        <v>535</v>
      </c>
      <c r="C13" s="194" t="s">
        <v>536</v>
      </c>
      <c r="O13" s="26"/>
    </row>
    <row r="14" spans="1:24">
      <c r="B14" s="193" t="s">
        <v>537</v>
      </c>
      <c r="C14" s="194" t="s">
        <v>538</v>
      </c>
      <c r="O14" s="26"/>
    </row>
    <row r="15" spans="1:24">
      <c r="B15" s="120" t="s">
        <v>73</v>
      </c>
      <c r="C15" s="20" t="s">
        <v>74</v>
      </c>
      <c r="D15" s="21">
        <v>43.75</v>
      </c>
      <c r="E15" s="22">
        <v>17180</v>
      </c>
      <c r="O15" s="26"/>
      <c r="X15" s="20">
        <v>2012</v>
      </c>
    </row>
    <row r="16" spans="1:24">
      <c r="B16" s="120" t="s">
        <v>79</v>
      </c>
      <c r="C16" s="20" t="s">
        <v>80</v>
      </c>
      <c r="D16" s="21">
        <v>40.44</v>
      </c>
      <c r="E16" s="22">
        <v>16810</v>
      </c>
      <c r="O16" s="26"/>
      <c r="X16" s="20">
        <v>2007</v>
      </c>
    </row>
    <row r="17" spans="2:24">
      <c r="B17" s="193" t="s">
        <v>560</v>
      </c>
      <c r="C17" s="194" t="s">
        <v>561</v>
      </c>
      <c r="O17" s="26"/>
    </row>
    <row r="18" spans="2:24">
      <c r="B18" s="120" t="s">
        <v>85</v>
      </c>
      <c r="C18" s="20" t="s">
        <v>86</v>
      </c>
      <c r="D18" s="21">
        <v>363.45</v>
      </c>
      <c r="E18" s="22">
        <v>15250</v>
      </c>
      <c r="O18" s="26"/>
      <c r="X18" s="20">
        <v>1966</v>
      </c>
    </row>
    <row r="19" spans="2:24">
      <c r="B19" s="120" t="s">
        <v>102</v>
      </c>
      <c r="C19" s="20" t="s">
        <v>103</v>
      </c>
      <c r="D19" s="21">
        <v>408.48</v>
      </c>
      <c r="E19" s="22">
        <v>10570</v>
      </c>
      <c r="O19" s="26"/>
    </row>
    <row r="20" spans="2:24">
      <c r="B20" s="120" t="s">
        <v>106</v>
      </c>
      <c r="C20" s="20" t="s">
        <v>107</v>
      </c>
      <c r="D20" s="21">
        <v>80.52</v>
      </c>
      <c r="E20" s="22">
        <v>10310</v>
      </c>
      <c r="O20" s="26"/>
      <c r="X20" s="20">
        <v>2007</v>
      </c>
    </row>
    <row r="21" spans="2:24">
      <c r="B21" s="120" t="s">
        <v>111</v>
      </c>
      <c r="C21" s="20" t="s">
        <v>112</v>
      </c>
      <c r="D21" s="21">
        <v>8.17</v>
      </c>
      <c r="E21" s="22">
        <v>9320</v>
      </c>
      <c r="O21" s="26"/>
    </row>
    <row r="22" spans="2:24">
      <c r="B22" s="120" t="s">
        <v>115</v>
      </c>
      <c r="C22" s="20" t="s">
        <v>116</v>
      </c>
      <c r="D22" s="21">
        <v>56.9</v>
      </c>
      <c r="E22" s="22">
        <v>9000</v>
      </c>
      <c r="O22" s="26"/>
    </row>
    <row r="23" spans="2:24">
      <c r="B23" s="120" t="s">
        <v>117</v>
      </c>
      <c r="C23" s="20" t="s">
        <v>118</v>
      </c>
      <c r="D23" s="21">
        <v>203.42</v>
      </c>
      <c r="E23" s="22">
        <v>8580</v>
      </c>
      <c r="O23" s="26"/>
      <c r="X23" s="20">
        <v>2003</v>
      </c>
    </row>
    <row r="24" spans="2:24">
      <c r="B24" s="120" t="s">
        <v>120</v>
      </c>
      <c r="C24" s="20" t="s">
        <v>121</v>
      </c>
      <c r="D24" s="21">
        <v>126.81</v>
      </c>
      <c r="E24" s="22">
        <v>8200</v>
      </c>
      <c r="O24" s="26"/>
    </row>
    <row r="25" spans="2:24">
      <c r="B25" s="120" t="s">
        <v>122</v>
      </c>
      <c r="C25" s="20" t="s">
        <v>123</v>
      </c>
      <c r="D25" s="21">
        <v>50.35</v>
      </c>
      <c r="E25" s="22">
        <v>8150</v>
      </c>
      <c r="O25" s="26"/>
    </row>
    <row r="26" spans="2:24">
      <c r="B26" s="120" t="s">
        <v>125</v>
      </c>
      <c r="C26" s="20" t="s">
        <v>126</v>
      </c>
      <c r="D26" s="21">
        <v>88.7</v>
      </c>
      <c r="E26" s="22">
        <v>7910</v>
      </c>
      <c r="O26" s="26"/>
    </row>
    <row r="27" spans="2:24">
      <c r="B27" s="120" t="s">
        <v>127</v>
      </c>
      <c r="C27" s="20" t="s">
        <v>128</v>
      </c>
      <c r="D27" s="21">
        <v>78.3</v>
      </c>
      <c r="E27" s="22">
        <v>7580</v>
      </c>
      <c r="O27" s="26"/>
      <c r="X27" s="20">
        <v>2012</v>
      </c>
    </row>
    <row r="28" spans="2:24">
      <c r="B28" s="120" t="s">
        <v>129</v>
      </c>
      <c r="C28" s="20" t="s">
        <v>130</v>
      </c>
      <c r="D28" s="21">
        <v>50.36</v>
      </c>
      <c r="E28" s="22">
        <v>7140</v>
      </c>
      <c r="O28" s="26"/>
    </row>
    <row r="29" spans="2:24">
      <c r="B29" s="120" t="s">
        <v>131</v>
      </c>
      <c r="C29" s="20" t="s">
        <v>132</v>
      </c>
      <c r="D29" s="21">
        <v>80.58</v>
      </c>
      <c r="E29" s="22">
        <v>6930</v>
      </c>
      <c r="O29" s="26"/>
    </row>
    <row r="30" spans="2:24">
      <c r="B30" s="120" t="s">
        <v>133</v>
      </c>
      <c r="C30" s="20" t="s">
        <v>134</v>
      </c>
      <c r="D30" s="21">
        <v>32.869999999999997</v>
      </c>
      <c r="E30" s="22">
        <v>6880</v>
      </c>
      <c r="O30" s="26"/>
    </row>
    <row r="31" spans="2:24">
      <c r="B31" s="120" t="s">
        <v>137</v>
      </c>
      <c r="C31" s="20" t="s">
        <v>138</v>
      </c>
      <c r="D31" s="21">
        <v>54.6</v>
      </c>
      <c r="E31" s="22">
        <v>6370</v>
      </c>
      <c r="O31" s="26"/>
    </row>
    <row r="32" spans="2:24">
      <c r="B32" s="120" t="s">
        <v>139</v>
      </c>
      <c r="C32" s="20" t="s">
        <v>140</v>
      </c>
      <c r="D32" s="21">
        <v>62.59</v>
      </c>
      <c r="E32" s="22">
        <v>6350</v>
      </c>
      <c r="O32" s="26"/>
    </row>
    <row r="33" spans="2:15">
      <c r="B33" s="120" t="s">
        <v>141</v>
      </c>
      <c r="C33" s="20" t="s">
        <v>141</v>
      </c>
      <c r="D33" s="21">
        <v>62.71</v>
      </c>
      <c r="E33" s="22">
        <v>3603</v>
      </c>
      <c r="O33" s="26"/>
    </row>
    <row r="34" spans="2:15">
      <c r="B34" s="120" t="s">
        <v>142</v>
      </c>
      <c r="C34" s="20" t="s">
        <v>143</v>
      </c>
      <c r="D34" s="21">
        <v>21.19</v>
      </c>
      <c r="E34" s="22">
        <v>2965</v>
      </c>
      <c r="O34" s="26"/>
    </row>
    <row r="35" spans="2:15">
      <c r="B35" s="120" t="s">
        <v>147</v>
      </c>
      <c r="C35" s="20" t="s">
        <v>148</v>
      </c>
      <c r="D35" s="21">
        <v>26.99</v>
      </c>
      <c r="E35" s="22">
        <v>1400</v>
      </c>
      <c r="O35" s="26"/>
    </row>
    <row r="36" spans="2:15">
      <c r="B36" s="121" t="s">
        <v>223</v>
      </c>
      <c r="C36" s="122" t="s">
        <v>224</v>
      </c>
      <c r="D36" s="21">
        <v>13.95</v>
      </c>
      <c r="E36" s="22">
        <v>2030</v>
      </c>
      <c r="O36" s="26"/>
    </row>
    <row r="37" spans="2:15">
      <c r="B37" s="121" t="s">
        <v>225</v>
      </c>
      <c r="C37" s="122" t="s">
        <v>226</v>
      </c>
      <c r="D37" s="21">
        <v>19.95</v>
      </c>
      <c r="E37" s="22">
        <v>2560</v>
      </c>
      <c r="O37" s="26"/>
    </row>
    <row r="38" spans="2:15">
      <c r="B38" s="123" t="s">
        <v>234</v>
      </c>
      <c r="C38" s="46" t="s">
        <v>235</v>
      </c>
      <c r="O38" s="26"/>
    </row>
    <row r="39" spans="2:15">
      <c r="B39" s="163" t="s">
        <v>407</v>
      </c>
      <c r="O39" s="26"/>
    </row>
    <row r="40" spans="2:15">
      <c r="B40" s="163" t="s">
        <v>408</v>
      </c>
      <c r="O40" s="26"/>
    </row>
    <row r="41" spans="2:15">
      <c r="B41" s="120"/>
      <c r="O41" s="26"/>
    </row>
    <row r="42" spans="2:15">
      <c r="B42" s="120"/>
      <c r="O42" s="26"/>
    </row>
    <row r="43" spans="2:15">
      <c r="B43" s="120"/>
      <c r="O43" s="26"/>
    </row>
    <row r="44" spans="2:15">
      <c r="B44" s="120"/>
      <c r="O44" s="26"/>
    </row>
    <row r="45" spans="2:15">
      <c r="B45" s="120"/>
      <c r="O45" s="26"/>
    </row>
    <row r="46" spans="2:15">
      <c r="B46" s="120"/>
      <c r="O46" s="26"/>
    </row>
    <row r="47" spans="2:15">
      <c r="B47" s="124"/>
      <c r="C47" s="125"/>
      <c r="D47" s="126"/>
      <c r="E47" s="127"/>
      <c r="F47" s="128"/>
      <c r="G47" s="128"/>
      <c r="H47" s="128"/>
      <c r="I47" s="128"/>
      <c r="J47" s="128"/>
      <c r="K47" s="129"/>
      <c r="L47" s="129"/>
      <c r="M47" s="129"/>
      <c r="N47" s="129"/>
      <c r="O47" s="130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7" r:id="rId5" xr:uid="{B1E63D77-7B2A-465F-96ED-98ACEF7D4A6C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4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15" sqref="M15"/>
    </sheetView>
  </sheetViews>
  <sheetFormatPr baseColWidth="10" defaultColWidth="9.1640625" defaultRowHeight="13"/>
  <cols>
    <col min="1" max="1" width="5" style="72" bestFit="1" customWidth="1"/>
    <col min="2" max="2" width="11" style="72" customWidth="1"/>
    <col min="3" max="4" width="9.1640625" style="72"/>
    <col min="5" max="5" width="10" style="72" customWidth="1"/>
    <col min="6" max="6" width="9.1640625" style="72"/>
    <col min="7" max="7" width="10.1640625" style="72" customWidth="1"/>
    <col min="8" max="9" width="9.1640625" style="72"/>
    <col min="10" max="10" width="10.83203125" style="72" customWidth="1"/>
    <col min="11" max="16384" width="9.1640625" style="72"/>
  </cols>
  <sheetData>
    <row r="1" spans="1:24">
      <c r="A1" s="5" t="s">
        <v>146</v>
      </c>
    </row>
    <row r="2" spans="1:24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 s="20" customFormat="1">
      <c r="A3" s="72" t="s">
        <v>261</v>
      </c>
      <c r="B3" s="114" t="s">
        <v>11</v>
      </c>
      <c r="C3" s="20" t="s">
        <v>12</v>
      </c>
      <c r="D3" s="21">
        <v>105.45</v>
      </c>
      <c r="E3" s="22">
        <f>+D3*[6]Main!$K$3</f>
        <v>1089403.95</v>
      </c>
      <c r="F3" s="22">
        <f>[6]Main!$K$5-[6]Main!$K$6</f>
        <v>-257</v>
      </c>
      <c r="G3" s="22">
        <f>+E3-F3</f>
        <v>1089660.95</v>
      </c>
      <c r="H3" s="22">
        <f>+[6]Main!$K$3</f>
        <v>10331</v>
      </c>
      <c r="I3" s="175" t="s">
        <v>492</v>
      </c>
      <c r="J3" s="43">
        <v>45047</v>
      </c>
      <c r="K3" s="27">
        <f>+[6]Model!$BL$48</f>
        <v>127.46157686951391</v>
      </c>
      <c r="L3" s="28">
        <f>K3/D3-1</f>
        <v>0.20873946770520524</v>
      </c>
      <c r="M3" s="36">
        <f>+[6]Model!$BL$44</f>
        <v>0.08</v>
      </c>
      <c r="N3" s="28">
        <f>+[6]Model!$BL$46</f>
        <v>0</v>
      </c>
      <c r="O3" s="115">
        <f>+[6]Model!$BL$45</f>
        <v>0.01</v>
      </c>
      <c r="P3" s="29">
        <f>+($G3/$H3)/T3</f>
        <v>204.14815850346861</v>
      </c>
      <c r="Q3" s="30">
        <f>+($G3/$H3)/U3</f>
        <v>64.314822911120359</v>
      </c>
      <c r="R3" s="30">
        <f>+($G3/$H3)/V3</f>
        <v>52.509160501491465</v>
      </c>
      <c r="S3" s="31">
        <f>+($G3/$H3)/W3</f>
        <v>30.15617086566083</v>
      </c>
      <c r="T3" s="32">
        <f>+[6]Model!$BA$33</f>
        <v>0.51665847665847664</v>
      </c>
      <c r="U3" s="27">
        <f>+[6]Model!$BB$33</f>
        <v>1.6399777191456466</v>
      </c>
      <c r="V3" s="27">
        <f>+[6]Model!$BC$33</f>
        <v>2.0086947796859072</v>
      </c>
      <c r="W3" s="33">
        <f>+[6]Model!$BD$33</f>
        <v>3.4976216660564408</v>
      </c>
      <c r="X3" s="20">
        <v>1994</v>
      </c>
    </row>
    <row r="4" spans="1:24" s="20" customFormat="1">
      <c r="A4" s="72" t="s">
        <v>261</v>
      </c>
      <c r="B4" s="5" t="s">
        <v>23</v>
      </c>
      <c r="C4" s="20" t="s">
        <v>24</v>
      </c>
      <c r="D4" s="21">
        <v>79.58</v>
      </c>
      <c r="E4" s="22">
        <f>+D4*[7]Main!$G$3</f>
        <v>220914.08</v>
      </c>
      <c r="F4" s="22">
        <f>+[7]Main!$G$5-[7]Main!$G$6</f>
        <v>-83042</v>
      </c>
      <c r="G4" s="22">
        <f>+E4-F4</f>
        <v>303956.07999999996</v>
      </c>
      <c r="H4" s="22">
        <f>+[7]Main!$G$3</f>
        <v>2776</v>
      </c>
      <c r="I4" s="140" t="s">
        <v>359</v>
      </c>
      <c r="J4" s="43">
        <v>44913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>
      <c r="A5" s="82" t="s">
        <v>261</v>
      </c>
      <c r="B5" s="5" t="s">
        <v>264</v>
      </c>
      <c r="C5" s="82" t="s">
        <v>264</v>
      </c>
      <c r="D5" s="161">
        <v>122</v>
      </c>
      <c r="E5" s="71">
        <f>D5*H5</f>
        <v>110781.54050800001</v>
      </c>
      <c r="F5" s="71">
        <f>[8]Main!$M$5-[8]Main!$M$6</f>
        <v>-36234</v>
      </c>
      <c r="G5" s="22">
        <f>E5-F5</f>
        <v>147015.54050800001</v>
      </c>
      <c r="H5" s="71">
        <f>[8]Main!$M$3</f>
        <v>908.04541400000005</v>
      </c>
      <c r="I5" s="199" t="s">
        <v>492</v>
      </c>
      <c r="J5" s="103">
        <v>45056</v>
      </c>
      <c r="X5" s="72">
        <v>1911</v>
      </c>
    </row>
    <row r="6" spans="1:24" s="20" customFormat="1">
      <c r="A6" s="82" t="s">
        <v>261</v>
      </c>
      <c r="B6" s="5" t="s">
        <v>21</v>
      </c>
      <c r="C6" s="20" t="s">
        <v>22</v>
      </c>
      <c r="D6" s="21">
        <v>146.88</v>
      </c>
      <c r="E6" s="22">
        <f>+D6*[9]Main!$M$3</f>
        <v>146880</v>
      </c>
      <c r="F6" s="22">
        <f>+[9]Main!$M$5-[9]Main!$M$6</f>
        <v>6442</v>
      </c>
      <c r="G6" s="22">
        <f t="shared" ref="G6:G9" si="0">E6-F6</f>
        <v>140438</v>
      </c>
      <c r="H6" s="22">
        <f>+[9]Main!$M$3</f>
        <v>1000</v>
      </c>
      <c r="I6" s="145" t="s">
        <v>359</v>
      </c>
      <c r="J6" s="43">
        <v>44946</v>
      </c>
      <c r="K6" s="27">
        <f>+[9]Model!$Z$38</f>
        <v>159.2157215866865</v>
      </c>
      <c r="L6" s="28">
        <f>+K6/D6-1</f>
        <v>8.3985032589096509E-2</v>
      </c>
      <c r="M6" s="28">
        <f>+[9]Model!$Z$36</f>
        <v>0.08</v>
      </c>
      <c r="N6" s="28">
        <f>+[9]Model!$Z$35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s="20" customFormat="1">
      <c r="A7" s="82" t="s">
        <v>261</v>
      </c>
      <c r="B7" s="5" t="s">
        <v>25</v>
      </c>
      <c r="C7" s="20" t="s">
        <v>25</v>
      </c>
      <c r="D7" s="21">
        <v>99.86</v>
      </c>
      <c r="E7" s="22">
        <f>+D7*[10]Main!$L$3</f>
        <v>117834.8</v>
      </c>
      <c r="F7" s="22">
        <f>+[10]Main!$L$5-[10]Main!$L$6</f>
        <v>870</v>
      </c>
      <c r="G7" s="22">
        <f t="shared" si="0"/>
        <v>116964.8</v>
      </c>
      <c r="H7" s="22"/>
      <c r="I7" s="23" t="s">
        <v>14</v>
      </c>
      <c r="J7" s="23"/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  <c r="X7" s="20">
        <v>1972</v>
      </c>
    </row>
    <row r="8" spans="1:24" s="20" customFormat="1">
      <c r="A8" s="82" t="s">
        <v>261</v>
      </c>
      <c r="B8" s="5" t="s">
        <v>29</v>
      </c>
      <c r="C8" s="20" t="s">
        <v>30</v>
      </c>
      <c r="D8" s="21">
        <v>440</v>
      </c>
      <c r="E8" s="22">
        <f>+D8*[11]Main!$L$3</f>
        <v>88000</v>
      </c>
      <c r="F8" s="22">
        <f>+[11]Main!$L$5-[11]Main!$L$6</f>
        <v>3926</v>
      </c>
      <c r="G8" s="22">
        <f t="shared" si="0"/>
        <v>84074</v>
      </c>
      <c r="H8" s="22"/>
      <c r="I8" s="23" t="s">
        <v>14</v>
      </c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s="20" customFormat="1">
      <c r="A9" s="94" t="s">
        <v>261</v>
      </c>
      <c r="B9" s="5" t="s">
        <v>185</v>
      </c>
      <c r="C9" s="20" t="s">
        <v>186</v>
      </c>
      <c r="D9" s="21">
        <v>122.42</v>
      </c>
      <c r="E9" s="22">
        <f>+D9*H9</f>
        <v>51593.343664439999</v>
      </c>
      <c r="F9" s="22">
        <f>+[12]Main!$M$5-[12]Main!$M$6</f>
        <v>-8207</v>
      </c>
      <c r="G9" s="22">
        <f t="shared" si="0"/>
        <v>59800.343664439999</v>
      </c>
      <c r="H9" s="22">
        <f>+[12]Main!$M$3</f>
        <v>421.445382</v>
      </c>
      <c r="I9" s="47" t="s">
        <v>14</v>
      </c>
      <c r="J9" s="23"/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1998</v>
      </c>
    </row>
    <row r="10" spans="1:24">
      <c r="A10" s="89" t="s">
        <v>261</v>
      </c>
      <c r="B10" s="5" t="s">
        <v>40</v>
      </c>
      <c r="C10" s="20" t="s">
        <v>41</v>
      </c>
      <c r="D10" s="21">
        <v>200.8</v>
      </c>
      <c r="E10" s="22">
        <f>+D10*[13]Main!$L$3</f>
        <v>50947.578400000006</v>
      </c>
      <c r="F10" s="22">
        <f>+[13]Main!$L$5-[13]Main!$L$6</f>
        <v>432.39900000000011</v>
      </c>
      <c r="G10" s="22">
        <f t="shared" ref="G10:G15" si="1">E10-F10</f>
        <v>50515.179400000008</v>
      </c>
      <c r="H10" s="22">
        <f>+[13]Main!$L$3</f>
        <v>253.72300000000001</v>
      </c>
      <c r="I10" s="34" t="s">
        <v>14</v>
      </c>
      <c r="J10" s="103">
        <v>45003</v>
      </c>
      <c r="X10" s="72">
        <v>2002</v>
      </c>
    </row>
    <row r="11" spans="1:24">
      <c r="A11" s="98" t="s">
        <v>261</v>
      </c>
      <c r="B11" s="5" t="s">
        <v>50</v>
      </c>
      <c r="C11" s="20" t="s">
        <v>51</v>
      </c>
      <c r="D11" s="21">
        <v>190</v>
      </c>
      <c r="E11" s="22">
        <f>+D11*H11</f>
        <v>47880</v>
      </c>
      <c r="F11" s="22">
        <f>+[14]Main!$P$5-[14]Main!$P$6</f>
        <v>2134</v>
      </c>
      <c r="G11" s="22">
        <f t="shared" si="1"/>
        <v>45746</v>
      </c>
      <c r="H11" s="23">
        <f>+[14]Main!$P$3</f>
        <v>252</v>
      </c>
      <c r="I11" s="156" t="s">
        <v>390</v>
      </c>
      <c r="J11" s="43">
        <v>45006</v>
      </c>
      <c r="X11" s="72">
        <v>2005</v>
      </c>
    </row>
    <row r="12" spans="1:24">
      <c r="A12" s="89" t="s">
        <v>261</v>
      </c>
      <c r="B12" s="5" t="s">
        <v>44</v>
      </c>
      <c r="C12" s="20" t="s">
        <v>45</v>
      </c>
      <c r="D12" s="21">
        <v>135.57</v>
      </c>
      <c r="E12" s="22">
        <f>+D12*[15]Main!$M$3</f>
        <v>42617.920769999997</v>
      </c>
      <c r="F12" s="22">
        <f>+[15]Main!$M$5-[15]Main!$M$6</f>
        <v>5027.4579999999996</v>
      </c>
      <c r="G12" s="22">
        <f t="shared" si="1"/>
        <v>37590.462769999998</v>
      </c>
      <c r="H12" s="22">
        <f>+[15]Main!$M$3</f>
        <v>314.36099999999999</v>
      </c>
      <c r="I12" s="35" t="s">
        <v>14</v>
      </c>
      <c r="X12" s="72">
        <v>2012</v>
      </c>
    </row>
    <row r="13" spans="1:24">
      <c r="A13" s="101" t="s">
        <v>261</v>
      </c>
      <c r="B13" s="5" t="s">
        <v>178</v>
      </c>
      <c r="C13" s="20" t="s">
        <v>179</v>
      </c>
      <c r="D13" s="21">
        <v>228.96</v>
      </c>
      <c r="E13" s="22">
        <f>+D13*H13</f>
        <v>35453.770264799998</v>
      </c>
      <c r="F13" s="22">
        <f>+[16]Main!$M$5-[16]Main!$M$6</f>
        <v>2838.5529999999999</v>
      </c>
      <c r="G13" s="22">
        <f t="shared" si="1"/>
        <v>32615.217264799998</v>
      </c>
      <c r="H13" s="22">
        <f>+[16]Main!$M$3</f>
        <v>154.847005</v>
      </c>
      <c r="I13" s="54" t="s">
        <v>14</v>
      </c>
      <c r="J13" s="43">
        <v>44794</v>
      </c>
      <c r="X13" s="72">
        <v>2007</v>
      </c>
    </row>
    <row r="14" spans="1:24">
      <c r="A14" s="105" t="s">
        <v>261</v>
      </c>
      <c r="B14" s="97" t="s">
        <v>304</v>
      </c>
      <c r="C14" s="105" t="s">
        <v>182</v>
      </c>
      <c r="D14" s="21">
        <v>70.599999999999994</v>
      </c>
      <c r="E14" s="22">
        <v>20740</v>
      </c>
      <c r="F14" s="22"/>
      <c r="G14" s="22"/>
      <c r="H14" s="22"/>
      <c r="I14" s="54"/>
      <c r="J14" s="43"/>
      <c r="X14" s="72">
        <v>2011</v>
      </c>
    </row>
    <row r="15" spans="1:24">
      <c r="A15" s="105" t="s">
        <v>261</v>
      </c>
      <c r="B15" s="5" t="s">
        <v>52</v>
      </c>
      <c r="C15" s="20" t="s">
        <v>53</v>
      </c>
      <c r="D15" s="21">
        <v>97</v>
      </c>
      <c r="E15" s="22">
        <f>+D15*H15</f>
        <v>30555</v>
      </c>
      <c r="F15" s="71">
        <f>+[17]Main!$O$5-[17]Main!$O$6</f>
        <v>970</v>
      </c>
      <c r="G15" s="22">
        <f t="shared" si="1"/>
        <v>29585</v>
      </c>
      <c r="H15" s="71">
        <f>+[17]Main!$O$3</f>
        <v>315</v>
      </c>
      <c r="I15" s="102" t="s">
        <v>208</v>
      </c>
      <c r="J15" s="103">
        <v>44805</v>
      </c>
      <c r="X15" s="72">
        <v>2010</v>
      </c>
    </row>
    <row r="16" spans="1:24">
      <c r="A16" s="105"/>
      <c r="B16" s="194" t="s">
        <v>543</v>
      </c>
      <c r="C16" s="194" t="s">
        <v>544</v>
      </c>
      <c r="D16" s="21"/>
      <c r="E16" s="22"/>
      <c r="F16" s="71"/>
      <c r="G16" s="22"/>
      <c r="H16" s="71"/>
      <c r="I16" s="102"/>
      <c r="J16" s="103"/>
    </row>
    <row r="17" spans="1:24">
      <c r="A17" s="105"/>
      <c r="B17" s="114" t="s">
        <v>152</v>
      </c>
      <c r="C17" s="20" t="s">
        <v>153</v>
      </c>
      <c r="D17" s="21">
        <v>9.35</v>
      </c>
      <c r="E17" s="22">
        <f>D17*[18]Main!$L$3</f>
        <v>19036.599999999999</v>
      </c>
      <c r="F17" s="22">
        <f>[18]Main!$L$5-[18]Main!$L$6</f>
        <v>2585</v>
      </c>
      <c r="G17" s="22">
        <f>E17-F17</f>
        <v>16451.599999999999</v>
      </c>
      <c r="H17" s="22"/>
      <c r="I17" s="23" t="s">
        <v>14</v>
      </c>
      <c r="J17" s="103"/>
    </row>
    <row r="18" spans="1:24">
      <c r="A18" s="105"/>
      <c r="B18" s="194" t="s">
        <v>545</v>
      </c>
      <c r="C18" s="194" t="s">
        <v>546</v>
      </c>
      <c r="D18" s="21"/>
      <c r="E18" s="22"/>
      <c r="F18" s="22"/>
      <c r="G18" s="22"/>
      <c r="H18" s="22"/>
      <c r="I18" s="23"/>
      <c r="J18" s="103"/>
    </row>
    <row r="19" spans="1:24" s="20" customFormat="1">
      <c r="B19" s="20" t="s">
        <v>67</v>
      </c>
      <c r="C19" s="20" t="s">
        <v>68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>
      <c r="B20" s="142" t="s">
        <v>199</v>
      </c>
      <c r="C20" s="20" t="s">
        <v>200</v>
      </c>
      <c r="D20" s="21">
        <v>84</v>
      </c>
      <c r="E20" s="22">
        <f>+D20*H20</f>
        <v>13188</v>
      </c>
      <c r="F20" s="22">
        <f>+[19]Main!$P$5-[19]Main!$P$6</f>
        <v>282</v>
      </c>
      <c r="G20" s="22">
        <f>+E20-F20</f>
        <v>12906</v>
      </c>
      <c r="H20" s="22">
        <f>+[19]Main!$P$3</f>
        <v>157</v>
      </c>
      <c r="I20" s="100" t="s">
        <v>208</v>
      </c>
      <c r="J20" s="43">
        <v>44805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>
      <c r="B21" s="20" t="s">
        <v>191</v>
      </c>
      <c r="C21" s="20" t="s">
        <v>192</v>
      </c>
      <c r="D21" s="21">
        <v>375.92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>
      <c r="B22" s="164" t="s">
        <v>409</v>
      </c>
      <c r="D22" s="21"/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>
      <c r="B23" s="133" t="s">
        <v>337</v>
      </c>
      <c r="C23" s="141" t="s">
        <v>384</v>
      </c>
      <c r="D23" s="72">
        <v>25.54</v>
      </c>
      <c r="E23" s="71">
        <v>4800</v>
      </c>
      <c r="X23" s="72">
        <v>2012</v>
      </c>
    </row>
    <row r="24" spans="1:24">
      <c r="B24" s="160" t="s">
        <v>397</v>
      </c>
      <c r="C24" s="160" t="s">
        <v>398</v>
      </c>
      <c r="D24" s="72">
        <v>10.88</v>
      </c>
      <c r="E24" s="71">
        <v>3000</v>
      </c>
    </row>
    <row r="25" spans="1:24">
      <c r="B25" s="120" t="s">
        <v>193</v>
      </c>
      <c r="C25" s="20" t="s">
        <v>194</v>
      </c>
      <c r="D25" s="21">
        <v>114.84</v>
      </c>
      <c r="E25" s="22">
        <v>17930</v>
      </c>
    </row>
    <row r="26" spans="1:24">
      <c r="B26" s="120" t="s">
        <v>95</v>
      </c>
      <c r="C26" s="20" t="s">
        <v>96</v>
      </c>
      <c r="D26" s="21">
        <v>43.77</v>
      </c>
      <c r="E26" s="22">
        <v>12660</v>
      </c>
    </row>
    <row r="27" spans="1:24">
      <c r="B27" s="120" t="s">
        <v>201</v>
      </c>
      <c r="C27" s="20" t="s">
        <v>202</v>
      </c>
      <c r="D27" s="21">
        <v>97.08</v>
      </c>
      <c r="E27" s="22">
        <v>15070</v>
      </c>
    </row>
    <row r="28" spans="1:24">
      <c r="B28" s="120" t="s">
        <v>94</v>
      </c>
      <c r="C28" s="20" t="s">
        <v>94</v>
      </c>
      <c r="D28" s="21">
        <v>206.68</v>
      </c>
      <c r="E28" s="22">
        <v>12990</v>
      </c>
    </row>
    <row r="29" spans="1:24">
      <c r="B29" s="120" t="s">
        <v>100</v>
      </c>
      <c r="C29" s="20" t="s">
        <v>101</v>
      </c>
      <c r="D29" s="21">
        <v>40.369999999999997</v>
      </c>
      <c r="E29" s="22">
        <v>11000</v>
      </c>
    </row>
    <row r="30" spans="1:24">
      <c r="B30" s="120" t="s">
        <v>113</v>
      </c>
      <c r="C30" s="20" t="s">
        <v>114</v>
      </c>
      <c r="D30" s="21">
        <v>14.73</v>
      </c>
      <c r="E30" s="22">
        <v>9140</v>
      </c>
    </row>
    <row r="31" spans="1:24">
      <c r="B31" s="194" t="s">
        <v>553</v>
      </c>
      <c r="C31" s="194" t="s">
        <v>554</v>
      </c>
      <c r="D31" s="21"/>
      <c r="E31" s="22"/>
    </row>
    <row r="32" spans="1:24">
      <c r="B32" s="194" t="s">
        <v>555</v>
      </c>
      <c r="C32" s="194" t="s">
        <v>556</v>
      </c>
      <c r="D32" s="21"/>
      <c r="E32" s="22"/>
    </row>
    <row r="33" spans="2:9">
      <c r="B33" s="194" t="s">
        <v>557</v>
      </c>
      <c r="C33" s="194" t="s">
        <v>90</v>
      </c>
      <c r="D33" s="21"/>
      <c r="E33" s="22"/>
    </row>
    <row r="34" spans="2:9">
      <c r="B34" s="120" t="s">
        <v>195</v>
      </c>
      <c r="C34" s="20" t="s">
        <v>196</v>
      </c>
      <c r="D34" s="21">
        <v>87.46</v>
      </c>
      <c r="E34" s="22">
        <v>16020</v>
      </c>
    </row>
    <row r="35" spans="2:9">
      <c r="B35" s="194"/>
      <c r="C35" s="20"/>
      <c r="D35" s="21"/>
      <c r="E35" s="22"/>
    </row>
    <row r="36" spans="2:9">
      <c r="B36" s="95" t="s">
        <v>256</v>
      </c>
      <c r="I36" s="165" t="s">
        <v>222</v>
      </c>
    </row>
    <row r="37" spans="2:9">
      <c r="B37" s="165" t="s">
        <v>429</v>
      </c>
      <c r="E37" s="72">
        <v>30000</v>
      </c>
      <c r="I37" s="165"/>
    </row>
    <row r="38" spans="2:9">
      <c r="B38" s="165" t="s">
        <v>477</v>
      </c>
      <c r="E38" s="72">
        <v>10000</v>
      </c>
      <c r="F38" s="165" t="s">
        <v>479</v>
      </c>
      <c r="G38" s="165" t="s">
        <v>478</v>
      </c>
      <c r="H38" s="165" t="s">
        <v>480</v>
      </c>
      <c r="I38" s="72">
        <v>2013</v>
      </c>
    </row>
    <row r="39" spans="2:9">
      <c r="B39" s="165" t="s">
        <v>124</v>
      </c>
      <c r="E39" s="72">
        <v>10000</v>
      </c>
      <c r="F39" s="165"/>
      <c r="G39" s="165"/>
      <c r="H39" s="165"/>
    </row>
    <row r="40" spans="2:9">
      <c r="B40" s="194" t="s">
        <v>99</v>
      </c>
      <c r="E40" s="72">
        <v>12000</v>
      </c>
    </row>
    <row r="41" spans="2:9">
      <c r="B41" s="94" t="s">
        <v>284</v>
      </c>
      <c r="E41" s="72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7" r:id="rId3" xr:uid="{2964D309-6110-46D1-A6FF-CEF55CE8C8F6}"/>
    <hyperlink ref="B8" r:id="rId4" xr:uid="{BEBE7C2C-69F7-4F68-A1A3-433A555515CF}"/>
    <hyperlink ref="B9" r:id="rId5" xr:uid="{79E0FB94-7B29-4FC8-9D4A-2DAAB02B450C}"/>
    <hyperlink ref="B10" r:id="rId6" xr:uid="{1647F4E6-0995-4C11-AEA1-85BE3B2789D3}"/>
    <hyperlink ref="B11" r:id="rId7" xr:uid="{11F6BC32-0B71-4C3C-92D4-6F1D15C6FCA5}"/>
    <hyperlink ref="B12" r:id="rId8" xr:uid="{BF5095B8-6956-4116-AD45-B06C94DC5EDF}"/>
    <hyperlink ref="B20" r:id="rId9" xr:uid="{1147CFA9-6647-443A-9626-FE00F78AE9FF}"/>
    <hyperlink ref="B15" r:id="rId10" xr:uid="{EE794379-CBE0-4BE4-963F-4A3EB8F86626}"/>
    <hyperlink ref="B13" r:id="rId11" xr:uid="{6424F2CF-2B61-4808-95C3-62B06E9F6361}"/>
    <hyperlink ref="B3" r:id="rId12" xr:uid="{D0A6A308-9256-4523-8FDF-BCE2AFB11B6E}"/>
    <hyperlink ref="B17" r:id="rId13" xr:uid="{5A1A0BF1-1F9D-453A-8615-32812BE41A68}"/>
    <hyperlink ref="B5" r:id="rId14" xr:uid="{8D7A6B6F-FFD2-4631-8D7D-1F8872005ED8}"/>
  </hyperlinks>
  <pageMargins left="0.7" right="0.7" top="0.75" bottom="0.75" header="0.3" footer="0.3"/>
  <pageSetup orientation="portrait" horizontalDpi="1200" verticalDpi="12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4"/>
  <sheetViews>
    <sheetView zoomScale="220" zoomScaleNormal="22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F24" sqref="F24"/>
    </sheetView>
  </sheetViews>
  <sheetFormatPr baseColWidth="10" defaultColWidth="9.1640625" defaultRowHeight="13"/>
  <cols>
    <col min="1" max="1" width="5" style="63" bestFit="1" customWidth="1"/>
    <col min="2" max="2" width="12" style="63" customWidth="1"/>
    <col min="3" max="3" width="11.6640625" style="63" customWidth="1"/>
    <col min="4" max="9" width="9.1640625" style="63"/>
    <col min="10" max="10" width="10.83203125" style="63" customWidth="1"/>
    <col min="11" max="16384" width="9.1640625" style="63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49" t="s">
        <v>238</v>
      </c>
      <c r="R2" s="49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20" t="s">
        <v>222</v>
      </c>
      <c r="Y2" s="188" t="s">
        <v>531</v>
      </c>
      <c r="Z2" s="188" t="s">
        <v>532</v>
      </c>
    </row>
    <row r="3" spans="1:26" s="20" customFormat="1">
      <c r="A3" s="72" t="s">
        <v>261</v>
      </c>
      <c r="B3" s="5" t="s">
        <v>13</v>
      </c>
      <c r="C3" s="20" t="s">
        <v>203</v>
      </c>
      <c r="D3" s="21">
        <v>210</v>
      </c>
      <c r="E3" s="22">
        <f>+D3*[20]Main!$M$3</f>
        <v>556825.22154000006</v>
      </c>
      <c r="F3" s="22">
        <f>+[20]Main!$M$5-[20]Main!$M$6</f>
        <v>38382</v>
      </c>
      <c r="G3" s="22">
        <f t="shared" ref="G3:G4" si="0">+E3-F3</f>
        <v>518443.22154000006</v>
      </c>
      <c r="H3" s="22">
        <f>+[20]Main!$M$3</f>
        <v>2651.5486740000001</v>
      </c>
      <c r="I3" s="138" t="s">
        <v>359</v>
      </c>
      <c r="J3" s="43">
        <v>44959</v>
      </c>
      <c r="K3" s="27">
        <f>+[20]Model!$AX$53</f>
        <v>215.87667010339968</v>
      </c>
      <c r="L3" s="28">
        <f>K3/D3-1</f>
        <v>2.7984143349522261E-2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89">
        <f>G3/Y3</f>
        <v>136.07433636220475</v>
      </c>
    </row>
    <row r="4" spans="1:26" s="20" customFormat="1">
      <c r="A4" s="72" t="s">
        <v>261</v>
      </c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6" t="s">
        <v>208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>
      <c r="A5" s="96" t="s">
        <v>261</v>
      </c>
      <c r="B5" s="97" t="s">
        <v>289</v>
      </c>
      <c r="C5" s="96" t="s">
        <v>290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>
      <c r="A6" s="135" t="s">
        <v>261</v>
      </c>
      <c r="B6" s="135" t="s">
        <v>338</v>
      </c>
      <c r="C6" s="135" t="s">
        <v>339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>
      <c r="A7" s="107" t="s">
        <v>261</v>
      </c>
      <c r="B7" s="142" t="s">
        <v>307</v>
      </c>
      <c r="C7" s="107" t="s">
        <v>308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>
      <c r="A8" s="143" t="s">
        <v>261</v>
      </c>
      <c r="B8" s="142" t="s">
        <v>385</v>
      </c>
      <c r="C8" s="143" t="s">
        <v>386</v>
      </c>
      <c r="D8" s="21">
        <v>12</v>
      </c>
      <c r="E8" s="22">
        <f>+D8*H8</f>
        <v>19357.212852000001</v>
      </c>
      <c r="F8" s="148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7" t="s">
        <v>208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89">
        <f>G8/Y8</f>
        <v>49.784172938666664</v>
      </c>
    </row>
    <row r="9" spans="1:26" s="20" customFormat="1">
      <c r="B9" s="96" t="s">
        <v>287</v>
      </c>
      <c r="C9" s="96" t="s">
        <v>288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>
      <c r="B10" s="96" t="s">
        <v>291</v>
      </c>
      <c r="C10" s="96" t="s">
        <v>292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>
      <c r="B11" s="188" t="s">
        <v>77</v>
      </c>
      <c r="C11" s="96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>
      <c r="B12" s="132" t="s">
        <v>327</v>
      </c>
      <c r="C12" s="132" t="s">
        <v>328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>
      <c r="B13" s="132" t="s">
        <v>133</v>
      </c>
      <c r="C13" s="132" t="s">
        <v>134</v>
      </c>
      <c r="D13" s="21"/>
      <c r="E13" s="22"/>
      <c r="F13" s="23"/>
      <c r="G13" s="23"/>
      <c r="H13" s="23"/>
      <c r="I13" s="23"/>
      <c r="J13" s="2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6" s="20" customFormat="1">
      <c r="B14" s="139" t="s">
        <v>368</v>
      </c>
      <c r="C14" s="132"/>
      <c r="D14" s="21"/>
      <c r="E14" s="22"/>
      <c r="F14" s="23"/>
      <c r="G14" s="23"/>
      <c r="H14" s="23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6">
      <c r="B15" s="132" t="s">
        <v>332</v>
      </c>
      <c r="C15" s="132" t="s">
        <v>333</v>
      </c>
    </row>
    <row r="16" spans="1:26" s="20" customFormat="1">
      <c r="B16" s="5"/>
      <c r="D16" s="21"/>
      <c r="E16" s="22"/>
      <c r="F16" s="22"/>
      <c r="G16" s="22"/>
      <c r="H16" s="22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8">
      <c r="B17" s="64" t="s">
        <v>256</v>
      </c>
      <c r="F17" s="208" t="s">
        <v>222</v>
      </c>
    </row>
    <row r="18" spans="2:8">
      <c r="B18" s="96" t="s">
        <v>286</v>
      </c>
      <c r="E18" s="170">
        <v>400000</v>
      </c>
    </row>
    <row r="19" spans="2:8">
      <c r="B19" s="63" t="s">
        <v>255</v>
      </c>
      <c r="E19" s="170">
        <v>30000</v>
      </c>
    </row>
    <row r="20" spans="2:8">
      <c r="B20" s="20" t="s">
        <v>169</v>
      </c>
      <c r="C20" s="20" t="s">
        <v>170</v>
      </c>
      <c r="D20" s="21">
        <v>44.5</v>
      </c>
      <c r="E20" s="22">
        <v>34050</v>
      </c>
    </row>
    <row r="21" spans="2:8">
      <c r="B21" s="132" t="s">
        <v>326</v>
      </c>
      <c r="E21" s="170">
        <v>14500</v>
      </c>
      <c r="F21" s="63">
        <v>2015</v>
      </c>
      <c r="H21" s="206" t="s">
        <v>636</v>
      </c>
    </row>
    <row r="22" spans="2:8">
      <c r="B22" s="206" t="s">
        <v>330</v>
      </c>
      <c r="E22" s="170">
        <v>10000</v>
      </c>
    </row>
    <row r="23" spans="2:8">
      <c r="B23" s="206" t="s">
        <v>627</v>
      </c>
      <c r="E23" s="170"/>
      <c r="F23" s="63">
        <v>2021</v>
      </c>
    </row>
    <row r="24" spans="2:8">
      <c r="B24" s="206" t="s">
        <v>635</v>
      </c>
      <c r="E24" s="63">
        <v>1000</v>
      </c>
      <c r="H24" s="206" t="s">
        <v>637</v>
      </c>
    </row>
    <row r="25" spans="2:8">
      <c r="B25" s="63" t="s">
        <v>254</v>
      </c>
      <c r="E25" s="63">
        <v>200</v>
      </c>
    </row>
    <row r="26" spans="2:8">
      <c r="B26" s="132" t="s">
        <v>329</v>
      </c>
    </row>
    <row r="27" spans="2:8">
      <c r="B27" s="132" t="s">
        <v>331</v>
      </c>
    </row>
    <row r="28" spans="2:8">
      <c r="B28" s="132" t="s">
        <v>334</v>
      </c>
    </row>
    <row r="29" spans="2:8">
      <c r="B29" s="132" t="s">
        <v>335</v>
      </c>
    </row>
    <row r="30" spans="2:8">
      <c r="B30" s="132" t="s">
        <v>336</v>
      </c>
    </row>
    <row r="31" spans="2:8">
      <c r="B31" s="139" t="s">
        <v>360</v>
      </c>
    </row>
    <row r="32" spans="2:8">
      <c r="B32" s="63" t="s">
        <v>253</v>
      </c>
    </row>
    <row r="33" spans="2:2">
      <c r="B33" s="139" t="s">
        <v>361</v>
      </c>
    </row>
    <row r="34" spans="2:2">
      <c r="B34" s="171" t="s">
        <v>485</v>
      </c>
    </row>
    <row r="35" spans="2:2">
      <c r="B35" s="139" t="s">
        <v>362</v>
      </c>
    </row>
    <row r="36" spans="2:2">
      <c r="B36" s="139" t="s">
        <v>363</v>
      </c>
    </row>
    <row r="37" spans="2:2">
      <c r="B37" s="139" t="s">
        <v>304</v>
      </c>
    </row>
    <row r="38" spans="2:2">
      <c r="B38" s="139" t="s">
        <v>364</v>
      </c>
    </row>
    <row r="39" spans="2:2">
      <c r="B39" s="139" t="s">
        <v>365</v>
      </c>
    </row>
    <row r="40" spans="2:2">
      <c r="B40" s="139" t="s">
        <v>366</v>
      </c>
    </row>
    <row r="41" spans="2:2">
      <c r="B41" s="139" t="s">
        <v>367</v>
      </c>
    </row>
    <row r="42" spans="2:2">
      <c r="B42" s="139" t="s">
        <v>369</v>
      </c>
    </row>
    <row r="43" spans="2:2">
      <c r="B43" s="139" t="s">
        <v>370</v>
      </c>
    </row>
    <row r="44" spans="2:2">
      <c r="B44" s="139" t="s">
        <v>371</v>
      </c>
    </row>
    <row r="45" spans="2:2">
      <c r="B45" s="139" t="s">
        <v>372</v>
      </c>
    </row>
    <row r="46" spans="2:2">
      <c r="B46" s="139" t="s">
        <v>373</v>
      </c>
    </row>
    <row r="47" spans="2:2">
      <c r="B47" s="139" t="s">
        <v>374</v>
      </c>
    </row>
    <row r="48" spans="2:2">
      <c r="B48" s="139" t="s">
        <v>375</v>
      </c>
    </row>
    <row r="49" spans="2:2">
      <c r="B49" s="139" t="s">
        <v>376</v>
      </c>
    </row>
    <row r="50" spans="2:2">
      <c r="B50" s="139" t="s">
        <v>377</v>
      </c>
    </row>
    <row r="51" spans="2:2">
      <c r="B51" s="139" t="s">
        <v>378</v>
      </c>
    </row>
    <row r="52" spans="2:2">
      <c r="B52" s="139" t="s">
        <v>379</v>
      </c>
    </row>
    <row r="53" spans="2:2">
      <c r="B53" s="139" t="s">
        <v>380</v>
      </c>
    </row>
    <row r="54" spans="2:2">
      <c r="B54" s="139" t="s">
        <v>381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3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baseColWidth="10" defaultColWidth="9.1640625" defaultRowHeight="13"/>
  <cols>
    <col min="1" max="1" width="5" style="113" bestFit="1" customWidth="1"/>
    <col min="2" max="2" width="15" style="113" customWidth="1"/>
    <col min="3" max="16384" width="9.1640625" style="113"/>
  </cols>
  <sheetData>
    <row r="1" spans="1:24">
      <c r="A1" s="5" t="s">
        <v>146</v>
      </c>
    </row>
    <row r="2" spans="1:24">
      <c r="A2" s="5"/>
      <c r="B2" s="157" t="s">
        <v>0</v>
      </c>
      <c r="C2" s="157" t="s">
        <v>1</v>
      </c>
      <c r="D2" s="158" t="s">
        <v>2</v>
      </c>
      <c r="E2" s="159" t="s">
        <v>3</v>
      </c>
      <c r="F2" s="158" t="s">
        <v>395</v>
      </c>
      <c r="G2" s="158" t="s">
        <v>5</v>
      </c>
      <c r="H2" s="158" t="s">
        <v>221</v>
      </c>
      <c r="I2" s="158" t="s">
        <v>396</v>
      </c>
      <c r="J2" s="158" t="s">
        <v>232</v>
      </c>
    </row>
    <row r="3" spans="1:24" s="20" customFormat="1">
      <c r="A3" s="89" t="s">
        <v>261</v>
      </c>
      <c r="B3" s="5" t="s">
        <v>187</v>
      </c>
      <c r="C3" s="20" t="s">
        <v>188</v>
      </c>
      <c r="D3" s="21">
        <v>375.71</v>
      </c>
      <c r="E3" s="22">
        <f>+D3*H3</f>
        <v>57472.452251789997</v>
      </c>
      <c r="F3" s="22">
        <f>+[23]Main!$N$5-[23]Main!$N$6</f>
        <v>1696.7459999999999</v>
      </c>
      <c r="G3" s="22">
        <f>E3-F3</f>
        <v>55775.706251789998</v>
      </c>
      <c r="H3" s="22">
        <f>+[23]Main!$N$3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>
      <c r="A4" s="89" t="s">
        <v>261</v>
      </c>
      <c r="B4" s="5" t="s">
        <v>183</v>
      </c>
      <c r="C4" s="20" t="s">
        <v>184</v>
      </c>
      <c r="D4" s="21">
        <v>39.74</v>
      </c>
      <c r="E4" s="22">
        <f>+D4*[24]Main!$L$3*EUR</f>
        <v>53089.738980000009</v>
      </c>
      <c r="F4" s="22">
        <f>+([24]Main!$L$5-[24]Main!$L$6)*EUR</f>
        <v>-490.25400000000008</v>
      </c>
      <c r="G4" s="22">
        <f>E4-F4</f>
        <v>53579.99298000001</v>
      </c>
      <c r="H4" s="22"/>
      <c r="I4" s="23" t="s">
        <v>208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>
      <c r="A5" s="89" t="s">
        <v>261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+[25]Main!$K$5-[25]Main!$K$6</f>
        <v>741.35200000000009</v>
      </c>
      <c r="G5" s="22">
        <f>E5-F5</f>
        <v>50843.144</v>
      </c>
      <c r="H5" s="22">
        <f>+[25]Main!$K$3</f>
        <v>277.33600000000001</v>
      </c>
      <c r="I5" s="39" t="s">
        <v>229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>
      <c r="A6" s="92" t="s">
        <v>261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+[26]Main!$L$5-[26]Main!$L$6</f>
        <v>-1005</v>
      </c>
      <c r="G6" s="22">
        <f>E6-F6</f>
        <v>45269.86632465</v>
      </c>
      <c r="H6" s="22">
        <f>+[26]Main!$L$3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>
      <c r="B7" s="5" t="s">
        <v>62</v>
      </c>
      <c r="C7" s="20" t="s">
        <v>63</v>
      </c>
      <c r="D7" s="21">
        <v>236.61</v>
      </c>
      <c r="E7" s="22">
        <f>+D7*H7</f>
        <v>20601.316825649999</v>
      </c>
      <c r="F7" s="22">
        <f>+[27]Main!$M$5-[27]Main!$M$6</f>
        <v>-235.76700000000005</v>
      </c>
      <c r="G7" s="22">
        <f>E7-F7</f>
        <v>20837.083825649999</v>
      </c>
      <c r="H7" s="22">
        <f>+[27]Main!$M$3</f>
        <v>87.068664999999996</v>
      </c>
      <c r="I7" s="55" t="s">
        <v>208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>
      <c r="B8" s="40" t="s">
        <v>230</v>
      </c>
      <c r="C8" s="40" t="s">
        <v>231</v>
      </c>
      <c r="D8" s="41">
        <v>31.44</v>
      </c>
      <c r="E8" s="22">
        <v>2220</v>
      </c>
      <c r="F8" s="23"/>
      <c r="G8" s="23"/>
      <c r="H8" s="23"/>
      <c r="I8" s="23"/>
      <c r="J8" s="23"/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</row>
    <row r="9" spans="1:24">
      <c r="B9" s="113" t="s">
        <v>324</v>
      </c>
      <c r="C9" s="141" t="s">
        <v>382</v>
      </c>
      <c r="D9" s="131"/>
      <c r="E9" s="131"/>
      <c r="F9" s="131"/>
      <c r="G9" s="131"/>
      <c r="H9" s="131"/>
      <c r="I9" s="131"/>
      <c r="J9" s="131"/>
    </row>
    <row r="10" spans="1:24">
      <c r="B10" s="113" t="s">
        <v>325</v>
      </c>
      <c r="D10" s="131"/>
      <c r="E10" s="131"/>
      <c r="F10" s="131"/>
      <c r="G10" s="131"/>
      <c r="H10" s="131"/>
      <c r="I10" s="131"/>
      <c r="J10" s="131"/>
    </row>
    <row r="11" spans="1:24">
      <c r="B11" s="120" t="s">
        <v>93</v>
      </c>
      <c r="C11" s="20" t="s">
        <v>93</v>
      </c>
      <c r="D11" s="21">
        <v>115.52</v>
      </c>
      <c r="E11" s="22">
        <v>13640</v>
      </c>
    </row>
    <row r="12" spans="1:24">
      <c r="B12" s="194" t="s">
        <v>108</v>
      </c>
      <c r="C12" s="194" t="s">
        <v>109</v>
      </c>
    </row>
    <row r="13" spans="1:24">
      <c r="B13" s="120" t="s">
        <v>91</v>
      </c>
      <c r="C13" s="20" t="s">
        <v>92</v>
      </c>
      <c r="D13" s="21">
        <v>206.61</v>
      </c>
      <c r="E13" s="22">
        <v>13880</v>
      </c>
    </row>
    <row r="14" spans="1:24">
      <c r="B14" s="194" t="s">
        <v>559</v>
      </c>
      <c r="C14" s="194" t="s">
        <v>558</v>
      </c>
    </row>
    <row r="17" spans="2:5">
      <c r="B17" s="95" t="s">
        <v>256</v>
      </c>
    </row>
    <row r="18" spans="2:5">
      <c r="B18" s="165" t="s">
        <v>484</v>
      </c>
      <c r="C18" s="72"/>
      <c r="D18" s="72"/>
      <c r="E18" s="72">
        <v>2400</v>
      </c>
    </row>
    <row r="19" spans="2:5">
      <c r="B19" s="157" t="s">
        <v>392</v>
      </c>
      <c r="E19" s="113">
        <v>1500</v>
      </c>
    </row>
    <row r="20" spans="2:5">
      <c r="B20" s="157" t="s">
        <v>394</v>
      </c>
      <c r="E20" s="113">
        <v>1000</v>
      </c>
    </row>
    <row r="21" spans="2:5">
      <c r="B21" s="165" t="s">
        <v>483</v>
      </c>
      <c r="E21" s="113">
        <v>1000</v>
      </c>
    </row>
    <row r="22" spans="2:5">
      <c r="B22" s="141" t="s">
        <v>383</v>
      </c>
    </row>
    <row r="23" spans="2:5">
      <c r="B23" s="157" t="s">
        <v>393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</hyperlinks>
  <pageMargins left="0.7" right="0.7" top="0.75" bottom="0.75" header="0.3" footer="0.3"/>
  <pageSetup orientation="portrait" horizontalDpi="1200" verticalDpi="12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C89C9-C58C-431A-80D5-5C7D568EC13B}">
  <dimension ref="A1:R212"/>
  <sheetViews>
    <sheetView tabSelected="1" zoomScale="110" zoomScaleNormal="110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E40" sqref="E40"/>
    </sheetView>
  </sheetViews>
  <sheetFormatPr baseColWidth="10" defaultColWidth="9.1640625" defaultRowHeight="13"/>
  <cols>
    <col min="1" max="1" width="5.5" style="178" bestFit="1" customWidth="1"/>
    <col min="2" max="2" width="23.5" style="178" customWidth="1"/>
    <col min="3" max="3" width="10.83203125" style="181" customWidth="1"/>
    <col min="4" max="4" width="9.1640625" style="179"/>
    <col min="5" max="5" width="12.6640625" style="178" bestFit="1" customWidth="1"/>
    <col min="6" max="6" width="9.1640625" style="179"/>
    <col min="7" max="7" width="14.5" style="178" customWidth="1"/>
    <col min="8" max="8" width="20.6640625" style="178" customWidth="1"/>
    <col min="9" max="9" width="10.1640625" style="178" bestFit="1" customWidth="1"/>
    <col min="10" max="10" width="11.5" style="178" customWidth="1"/>
    <col min="11" max="16384" width="9.1640625" style="178"/>
  </cols>
  <sheetData>
    <row r="1" spans="1:18">
      <c r="A1" s="5" t="s">
        <v>146</v>
      </c>
    </row>
    <row r="2" spans="1:18">
      <c r="B2" s="178" t="s">
        <v>0</v>
      </c>
      <c r="C2" s="181" t="s">
        <v>1</v>
      </c>
      <c r="D2" s="179" t="s">
        <v>3</v>
      </c>
      <c r="E2" s="178" t="s">
        <v>412</v>
      </c>
      <c r="F2" s="179" t="s">
        <v>413</v>
      </c>
      <c r="G2" s="178" t="s">
        <v>414</v>
      </c>
      <c r="H2" s="178" t="s">
        <v>417</v>
      </c>
      <c r="I2" s="206" t="s">
        <v>641</v>
      </c>
      <c r="J2" s="206" t="s">
        <v>671</v>
      </c>
      <c r="K2" s="179" t="s">
        <v>222</v>
      </c>
      <c r="L2" s="202" t="s">
        <v>248</v>
      </c>
      <c r="M2" s="206" t="s">
        <v>626</v>
      </c>
      <c r="N2" s="206" t="s">
        <v>413</v>
      </c>
      <c r="O2" s="206" t="s">
        <v>432</v>
      </c>
      <c r="P2" s="228" t="s">
        <v>704</v>
      </c>
      <c r="Q2" s="228" t="s">
        <v>571</v>
      </c>
      <c r="R2" s="228" t="s">
        <v>746</v>
      </c>
    </row>
    <row r="3" spans="1:18">
      <c r="A3" s="178">
        <v>3</v>
      </c>
      <c r="B3" s="178" t="s">
        <v>7</v>
      </c>
      <c r="C3" s="181" t="s">
        <v>8</v>
      </c>
      <c r="D3" s="179">
        <v>2000000</v>
      </c>
      <c r="E3" s="178" t="s">
        <v>504</v>
      </c>
      <c r="F3" s="179" t="s">
        <v>504</v>
      </c>
      <c r="G3" s="178" t="s">
        <v>415</v>
      </c>
      <c r="I3" s="206" t="s">
        <v>643</v>
      </c>
      <c r="J3" s="206" t="s">
        <v>666</v>
      </c>
      <c r="K3" s="178">
        <v>1975</v>
      </c>
    </row>
    <row r="4" spans="1:18">
      <c r="A4" s="178">
        <v>4</v>
      </c>
      <c r="B4" s="178" t="s">
        <v>9</v>
      </c>
      <c r="C4" s="181" t="s">
        <v>10</v>
      </c>
      <c r="D4" s="179">
        <v>1000000</v>
      </c>
      <c r="E4" s="178" t="s">
        <v>504</v>
      </c>
      <c r="F4" s="179" t="s">
        <v>504</v>
      </c>
      <c r="G4" s="178" t="s">
        <v>416</v>
      </c>
      <c r="I4" s="206" t="s">
        <v>642</v>
      </c>
      <c r="J4" s="206" t="s">
        <v>466</v>
      </c>
      <c r="K4" s="178">
        <v>1998</v>
      </c>
    </row>
    <row r="5" spans="1:18">
      <c r="A5" s="178">
        <v>6</v>
      </c>
      <c r="B5" s="178" t="s">
        <v>430</v>
      </c>
      <c r="C5" s="181" t="s">
        <v>502</v>
      </c>
      <c r="D5" s="179">
        <v>1000000</v>
      </c>
      <c r="E5" s="178" t="s">
        <v>504</v>
      </c>
      <c r="F5" s="179" t="s">
        <v>504</v>
      </c>
      <c r="G5" s="178" t="s">
        <v>500</v>
      </c>
      <c r="I5" s="206" t="s">
        <v>642</v>
      </c>
      <c r="J5" s="206" t="s">
        <v>675</v>
      </c>
      <c r="K5" s="178">
        <v>2003</v>
      </c>
    </row>
    <row r="6" spans="1:18">
      <c r="B6" s="184" t="s">
        <v>486</v>
      </c>
      <c r="C6" s="185" t="s">
        <v>12</v>
      </c>
      <c r="D6" s="179">
        <v>1000000</v>
      </c>
      <c r="E6" s="178" t="s">
        <v>504</v>
      </c>
      <c r="F6" s="179" t="s">
        <v>504</v>
      </c>
      <c r="G6" s="184" t="s">
        <v>530</v>
      </c>
      <c r="I6" s="206" t="s">
        <v>643</v>
      </c>
      <c r="J6" s="206" t="s">
        <v>666</v>
      </c>
    </row>
    <row r="7" spans="1:18">
      <c r="A7" s="178">
        <v>5</v>
      </c>
      <c r="B7" s="206" t="s">
        <v>630</v>
      </c>
      <c r="C7" s="207" t="s">
        <v>631</v>
      </c>
      <c r="D7" s="179">
        <v>1000000</v>
      </c>
      <c r="E7" s="178" t="s">
        <v>504</v>
      </c>
      <c r="F7" s="179" t="s">
        <v>504</v>
      </c>
      <c r="G7" s="184"/>
      <c r="I7" s="206" t="s">
        <v>643</v>
      </c>
      <c r="J7" s="206" t="s">
        <v>676</v>
      </c>
    </row>
    <row r="8" spans="1:18">
      <c r="A8" s="178">
        <v>2</v>
      </c>
      <c r="B8" s="178" t="s">
        <v>13</v>
      </c>
      <c r="C8" s="181" t="s">
        <v>505</v>
      </c>
      <c r="D8" s="179">
        <v>500000</v>
      </c>
      <c r="E8" s="178" t="s">
        <v>504</v>
      </c>
      <c r="F8" s="179" t="s">
        <v>504</v>
      </c>
      <c r="G8" s="178" t="s">
        <v>506</v>
      </c>
      <c r="H8" s="178" t="s">
        <v>507</v>
      </c>
      <c r="I8" s="206" t="s">
        <v>642</v>
      </c>
      <c r="J8" s="206" t="s">
        <v>649</v>
      </c>
      <c r="K8" s="178">
        <v>2004</v>
      </c>
    </row>
    <row r="9" spans="1:18">
      <c r="A9" s="178">
        <v>1</v>
      </c>
      <c r="B9" s="64" t="s">
        <v>401</v>
      </c>
      <c r="C9" s="200" t="s">
        <v>256</v>
      </c>
      <c r="D9" s="201">
        <v>35000</v>
      </c>
      <c r="E9" s="64"/>
      <c r="F9" s="179">
        <v>10000</v>
      </c>
      <c r="G9" s="178" t="s">
        <v>509</v>
      </c>
      <c r="H9" s="178" t="s">
        <v>508</v>
      </c>
      <c r="I9" s="206" t="s">
        <v>644</v>
      </c>
      <c r="J9" s="206" t="s">
        <v>672</v>
      </c>
      <c r="K9" s="178">
        <v>2015</v>
      </c>
    </row>
    <row r="10" spans="1:18">
      <c r="B10" s="178" t="s">
        <v>429</v>
      </c>
      <c r="C10" s="181" t="s">
        <v>256</v>
      </c>
      <c r="D10" s="179">
        <v>25000</v>
      </c>
      <c r="F10" s="179">
        <v>1600</v>
      </c>
      <c r="I10" s="206" t="s">
        <v>643</v>
      </c>
      <c r="J10" s="206" t="s">
        <v>670</v>
      </c>
      <c r="K10" s="178">
        <v>2013</v>
      </c>
    </row>
    <row r="11" spans="1:18">
      <c r="A11" s="178">
        <v>7</v>
      </c>
      <c r="B11" s="178" t="s">
        <v>428</v>
      </c>
      <c r="C11" s="181" t="s">
        <v>256</v>
      </c>
      <c r="D11" s="179">
        <v>21000</v>
      </c>
      <c r="F11" s="179">
        <v>2100</v>
      </c>
      <c r="G11" s="214" t="s">
        <v>500</v>
      </c>
      <c r="I11" s="206" t="s">
        <v>642</v>
      </c>
      <c r="J11" s="206" t="s">
        <v>675</v>
      </c>
      <c r="K11" s="178">
        <v>2013</v>
      </c>
    </row>
    <row r="12" spans="1:18">
      <c r="B12" s="214" t="s">
        <v>713</v>
      </c>
      <c r="G12" s="214"/>
      <c r="I12" s="206"/>
      <c r="J12" s="206"/>
    </row>
    <row r="13" spans="1:18">
      <c r="A13" s="178">
        <v>8</v>
      </c>
      <c r="B13" s="194" t="s">
        <v>539</v>
      </c>
      <c r="C13" s="198" t="s">
        <v>540</v>
      </c>
      <c r="D13" s="179">
        <v>20000</v>
      </c>
      <c r="E13" s="214" t="s">
        <v>504</v>
      </c>
      <c r="I13" s="206" t="s">
        <v>642</v>
      </c>
      <c r="J13" s="206" t="s">
        <v>674</v>
      </c>
      <c r="O13" s="214" t="s">
        <v>634</v>
      </c>
    </row>
    <row r="14" spans="1:18">
      <c r="A14" s="178">
        <v>9</v>
      </c>
      <c r="B14" s="194" t="s">
        <v>550</v>
      </c>
      <c r="C14" s="198" t="s">
        <v>549</v>
      </c>
      <c r="D14" s="179">
        <v>11000</v>
      </c>
      <c r="E14" s="214" t="s">
        <v>504</v>
      </c>
      <c r="I14" s="206" t="s">
        <v>643</v>
      </c>
      <c r="J14" s="206" t="s">
        <v>673</v>
      </c>
    </row>
    <row r="15" spans="1:18">
      <c r="A15" s="178">
        <v>10</v>
      </c>
      <c r="B15" s="228" t="s">
        <v>755</v>
      </c>
      <c r="C15" s="220" t="s">
        <v>256</v>
      </c>
      <c r="D15" s="179">
        <v>7000</v>
      </c>
      <c r="E15" s="228" t="s">
        <v>756</v>
      </c>
      <c r="F15" s="179">
        <v>325</v>
      </c>
      <c r="I15" s="219" t="s">
        <v>644</v>
      </c>
      <c r="J15" s="219" t="s">
        <v>666</v>
      </c>
      <c r="K15" s="178">
        <v>2016</v>
      </c>
      <c r="L15" s="228" t="s">
        <v>757</v>
      </c>
      <c r="M15" s="228" t="s">
        <v>759</v>
      </c>
      <c r="N15" s="178">
        <v>155</v>
      </c>
    </row>
    <row r="16" spans="1:18">
      <c r="A16" s="219">
        <f>A14+1</f>
        <v>10</v>
      </c>
      <c r="B16" s="219" t="s">
        <v>144</v>
      </c>
      <c r="C16" s="220" t="s">
        <v>256</v>
      </c>
      <c r="D16" s="221">
        <v>4100</v>
      </c>
      <c r="E16" s="219" t="s">
        <v>590</v>
      </c>
      <c r="F16" s="221">
        <v>450</v>
      </c>
      <c r="G16" s="219" t="s">
        <v>403</v>
      </c>
      <c r="H16" s="219" t="s">
        <v>404</v>
      </c>
      <c r="I16" s="219" t="s">
        <v>644</v>
      </c>
      <c r="J16" s="219" t="s">
        <v>672</v>
      </c>
      <c r="K16" s="219">
        <v>2021</v>
      </c>
      <c r="L16" s="228" t="s">
        <v>760</v>
      </c>
      <c r="M16" s="228" t="s">
        <v>761</v>
      </c>
      <c r="N16" s="178">
        <v>580</v>
      </c>
    </row>
    <row r="17" spans="1:18">
      <c r="A17" s="178">
        <v>12</v>
      </c>
      <c r="B17" s="178" t="s">
        <v>418</v>
      </c>
      <c r="C17" s="181" t="s">
        <v>256</v>
      </c>
      <c r="D17" s="179">
        <v>4000</v>
      </c>
      <c r="E17" s="206" t="s">
        <v>571</v>
      </c>
      <c r="F17" s="179">
        <v>100</v>
      </c>
      <c r="G17" s="202" t="s">
        <v>576</v>
      </c>
      <c r="H17" s="202" t="s">
        <v>577</v>
      </c>
      <c r="I17" s="206" t="s">
        <v>642</v>
      </c>
      <c r="J17" s="206" t="s">
        <v>649</v>
      </c>
      <c r="K17" s="178">
        <v>2019</v>
      </c>
    </row>
    <row r="18" spans="1:18">
      <c r="A18" s="178">
        <v>13</v>
      </c>
      <c r="B18" s="178" t="s">
        <v>405</v>
      </c>
      <c r="C18" s="181" t="s">
        <v>256</v>
      </c>
      <c r="D18" s="179">
        <v>2000</v>
      </c>
      <c r="E18" s="228" t="s">
        <v>590</v>
      </c>
      <c r="F18" s="179">
        <v>175</v>
      </c>
      <c r="G18" s="178" t="s">
        <v>501</v>
      </c>
      <c r="H18" s="202" t="s">
        <v>578</v>
      </c>
      <c r="I18" s="206" t="s">
        <v>644</v>
      </c>
      <c r="J18" s="206" t="s">
        <v>672</v>
      </c>
      <c r="K18" s="178">
        <v>2019</v>
      </c>
    </row>
    <row r="19" spans="1:18">
      <c r="A19" s="178">
        <v>11</v>
      </c>
      <c r="B19" s="178" t="s">
        <v>422</v>
      </c>
      <c r="C19" s="181" t="s">
        <v>256</v>
      </c>
      <c r="D19" s="179">
        <v>2000</v>
      </c>
      <c r="E19" s="202" t="s">
        <v>590</v>
      </c>
      <c r="F19" s="179">
        <v>100</v>
      </c>
      <c r="G19" s="178" t="s">
        <v>527</v>
      </c>
      <c r="H19" s="178" t="s">
        <v>528</v>
      </c>
      <c r="I19" s="206" t="s">
        <v>644</v>
      </c>
      <c r="J19" s="206" t="s">
        <v>666</v>
      </c>
      <c r="K19" s="178">
        <v>2016</v>
      </c>
      <c r="N19" s="183"/>
      <c r="O19" s="183" t="s">
        <v>529</v>
      </c>
    </row>
    <row r="20" spans="1:18">
      <c r="A20" s="178">
        <v>14</v>
      </c>
      <c r="B20" s="178" t="s">
        <v>419</v>
      </c>
      <c r="C20" s="181" t="s">
        <v>214</v>
      </c>
      <c r="D20" s="179">
        <v>3500</v>
      </c>
      <c r="E20" s="228" t="s">
        <v>749</v>
      </c>
      <c r="F20" s="179">
        <v>651</v>
      </c>
      <c r="G20" s="228" t="s">
        <v>643</v>
      </c>
      <c r="H20" s="228" t="s">
        <v>748</v>
      </c>
      <c r="I20" s="206" t="s">
        <v>643</v>
      </c>
      <c r="J20" s="206" t="s">
        <v>670</v>
      </c>
      <c r="K20" s="178">
        <v>2009</v>
      </c>
      <c r="L20" s="228" t="s">
        <v>750</v>
      </c>
      <c r="M20" s="228" t="s">
        <v>751</v>
      </c>
      <c r="N20" s="178">
        <v>106</v>
      </c>
    </row>
    <row r="21" spans="1:18">
      <c r="A21" s="178">
        <f t="shared" ref="A21:A27" si="0">A20+1</f>
        <v>15</v>
      </c>
      <c r="B21" s="178" t="s">
        <v>423</v>
      </c>
      <c r="C21" s="181" t="s">
        <v>256</v>
      </c>
      <c r="D21" s="179">
        <v>1500</v>
      </c>
      <c r="E21" s="228" t="s">
        <v>564</v>
      </c>
      <c r="F21" s="179">
        <v>125</v>
      </c>
      <c r="G21" s="228" t="s">
        <v>744</v>
      </c>
      <c r="H21" s="228" t="s">
        <v>745</v>
      </c>
      <c r="I21" s="206" t="s">
        <v>642</v>
      </c>
      <c r="J21" s="206" t="s">
        <v>649</v>
      </c>
      <c r="K21" s="230">
        <v>42046</v>
      </c>
      <c r="L21" s="228" t="s">
        <v>743</v>
      </c>
      <c r="M21" s="228" t="s">
        <v>571</v>
      </c>
      <c r="N21" s="228">
        <v>6</v>
      </c>
      <c r="P21" s="228" t="s">
        <v>741</v>
      </c>
      <c r="Q21" s="228" t="s">
        <v>742</v>
      </c>
      <c r="R21" s="228" t="s">
        <v>747</v>
      </c>
    </row>
    <row r="22" spans="1:18">
      <c r="B22" s="228" t="s">
        <v>768</v>
      </c>
      <c r="C22" s="229" t="s">
        <v>256</v>
      </c>
      <c r="D22" s="179">
        <v>1400</v>
      </c>
      <c r="E22" s="228" t="s">
        <v>758</v>
      </c>
      <c r="F22" s="179">
        <v>100</v>
      </c>
      <c r="G22" s="228" t="s">
        <v>770</v>
      </c>
      <c r="I22" s="228" t="s">
        <v>642</v>
      </c>
      <c r="J22" s="228" t="s">
        <v>669</v>
      </c>
      <c r="K22" s="230">
        <v>43101</v>
      </c>
      <c r="L22" s="228" t="s">
        <v>769</v>
      </c>
    </row>
    <row r="23" spans="1:18">
      <c r="A23" s="178">
        <f>A21+1</f>
        <v>16</v>
      </c>
      <c r="B23" s="178" t="s">
        <v>435</v>
      </c>
      <c r="C23" s="203" t="s">
        <v>256</v>
      </c>
      <c r="D23" s="179">
        <v>1200</v>
      </c>
      <c r="E23" s="206" t="s">
        <v>564</v>
      </c>
      <c r="F23" s="179">
        <v>225</v>
      </c>
      <c r="G23" s="202" t="s">
        <v>585</v>
      </c>
      <c r="H23" s="206" t="s">
        <v>628</v>
      </c>
      <c r="I23" s="206" t="s">
        <v>642</v>
      </c>
      <c r="J23" s="202" t="s">
        <v>586</v>
      </c>
      <c r="K23" s="178">
        <v>2022</v>
      </c>
    </row>
    <row r="24" spans="1:18">
      <c r="A24" s="178">
        <f t="shared" si="0"/>
        <v>17</v>
      </c>
      <c r="B24" s="178" t="s">
        <v>425</v>
      </c>
      <c r="C24" s="181" t="s">
        <v>256</v>
      </c>
      <c r="D24" s="179">
        <v>1000</v>
      </c>
      <c r="E24" s="228" t="s">
        <v>590</v>
      </c>
      <c r="F24" s="179">
        <v>135</v>
      </c>
      <c r="G24" s="228" t="s">
        <v>754</v>
      </c>
      <c r="I24" s="206" t="s">
        <v>644</v>
      </c>
      <c r="J24" s="206" t="s">
        <v>666</v>
      </c>
      <c r="K24" s="178">
        <v>2017</v>
      </c>
      <c r="L24" s="228" t="s">
        <v>752</v>
      </c>
      <c r="M24" s="228" t="s">
        <v>753</v>
      </c>
      <c r="N24" s="228">
        <v>45</v>
      </c>
    </row>
    <row r="25" spans="1:18">
      <c r="A25" s="64">
        <f t="shared" si="0"/>
        <v>18</v>
      </c>
      <c r="B25" s="64" t="s">
        <v>421</v>
      </c>
      <c r="C25" s="200" t="s">
        <v>256</v>
      </c>
      <c r="D25" s="201">
        <v>1000</v>
      </c>
      <c r="E25" s="64" t="s">
        <v>564</v>
      </c>
      <c r="F25" s="201">
        <v>150</v>
      </c>
      <c r="G25" s="64" t="s">
        <v>627</v>
      </c>
      <c r="H25" s="64" t="s">
        <v>454</v>
      </c>
      <c r="I25" s="64" t="s">
        <v>642</v>
      </c>
      <c r="J25" s="64" t="s">
        <v>583</v>
      </c>
      <c r="K25" s="64">
        <v>2021</v>
      </c>
      <c r="L25" s="228" t="s">
        <v>766</v>
      </c>
      <c r="M25" s="228" t="s">
        <v>767</v>
      </c>
    </row>
    <row r="26" spans="1:18">
      <c r="A26" s="178">
        <f t="shared" si="0"/>
        <v>19</v>
      </c>
      <c r="B26" s="178" t="s">
        <v>434</v>
      </c>
      <c r="C26" s="181" t="s">
        <v>256</v>
      </c>
      <c r="D26" s="179">
        <v>1000</v>
      </c>
      <c r="E26" s="206" t="s">
        <v>402</v>
      </c>
      <c r="F26" s="179">
        <v>350</v>
      </c>
      <c r="G26" s="206" t="s">
        <v>504</v>
      </c>
      <c r="H26" s="228" t="s">
        <v>763</v>
      </c>
      <c r="I26" s="215" t="s">
        <v>643</v>
      </c>
      <c r="J26" s="215" t="s">
        <v>584</v>
      </c>
      <c r="K26" s="180">
        <v>44562</v>
      </c>
      <c r="L26" s="228" t="s">
        <v>764</v>
      </c>
      <c r="M26" s="228" t="s">
        <v>765</v>
      </c>
      <c r="N26" s="178">
        <v>65</v>
      </c>
    </row>
    <row r="27" spans="1:18">
      <c r="A27" s="178">
        <f t="shared" si="0"/>
        <v>20</v>
      </c>
      <c r="B27" s="178" t="s">
        <v>503</v>
      </c>
      <c r="C27" s="181" t="s">
        <v>256</v>
      </c>
      <c r="D27" s="179">
        <v>1000</v>
      </c>
      <c r="E27" s="178" t="s">
        <v>510</v>
      </c>
      <c r="F27" s="179">
        <v>0</v>
      </c>
      <c r="G27" s="228" t="s">
        <v>504</v>
      </c>
      <c r="H27" s="228" t="s">
        <v>762</v>
      </c>
      <c r="I27" s="206" t="s">
        <v>642</v>
      </c>
      <c r="J27" s="206" t="s">
        <v>649</v>
      </c>
      <c r="K27" s="230">
        <v>44754</v>
      </c>
      <c r="L27" s="228" t="s">
        <v>504</v>
      </c>
    </row>
    <row r="28" spans="1:18">
      <c r="B28" s="206" t="s">
        <v>632</v>
      </c>
      <c r="C28" s="207" t="s">
        <v>256</v>
      </c>
      <c r="D28" s="179">
        <v>1000</v>
      </c>
      <c r="E28" s="206" t="s">
        <v>402</v>
      </c>
      <c r="F28" s="179">
        <v>300</v>
      </c>
      <c r="G28" s="206" t="s">
        <v>633</v>
      </c>
      <c r="I28" s="206" t="s">
        <v>642</v>
      </c>
      <c r="J28" s="206" t="s">
        <v>634</v>
      </c>
    </row>
    <row r="29" spans="1:18">
      <c r="A29" s="178">
        <f>A27+1</f>
        <v>21</v>
      </c>
      <c r="B29" s="178" t="s">
        <v>410</v>
      </c>
      <c r="C29" s="181" t="s">
        <v>256</v>
      </c>
      <c r="D29" s="179">
        <v>750</v>
      </c>
      <c r="E29" s="206" t="s">
        <v>402</v>
      </c>
      <c r="F29" s="179">
        <v>100</v>
      </c>
      <c r="G29" s="228" t="s">
        <v>582</v>
      </c>
      <c r="I29" s="206" t="s">
        <v>644</v>
      </c>
      <c r="J29" s="202" t="s">
        <v>582</v>
      </c>
      <c r="K29" s="178">
        <v>2019</v>
      </c>
    </row>
    <row r="30" spans="1:18">
      <c r="A30" s="178">
        <v>22</v>
      </c>
      <c r="B30" s="206" t="s">
        <v>646</v>
      </c>
      <c r="C30" s="207" t="s">
        <v>256</v>
      </c>
      <c r="D30" s="179">
        <v>750</v>
      </c>
      <c r="E30" s="206" t="s">
        <v>590</v>
      </c>
      <c r="F30" s="179">
        <v>85</v>
      </c>
      <c r="I30" s="206" t="s">
        <v>644</v>
      </c>
      <c r="J30" s="206" t="s">
        <v>666</v>
      </c>
    </row>
    <row r="31" spans="1:18">
      <c r="A31" s="178">
        <v>23</v>
      </c>
      <c r="B31" s="206" t="s">
        <v>647</v>
      </c>
      <c r="C31" s="207" t="s">
        <v>256</v>
      </c>
      <c r="D31" s="179">
        <v>750</v>
      </c>
      <c r="E31" s="206" t="s">
        <v>590</v>
      </c>
      <c r="F31" s="179">
        <v>85</v>
      </c>
      <c r="I31" s="206" t="s">
        <v>643</v>
      </c>
      <c r="J31" s="214" t="s">
        <v>666</v>
      </c>
    </row>
    <row r="32" spans="1:18">
      <c r="A32" s="178">
        <v>24</v>
      </c>
      <c r="B32" s="178" t="s">
        <v>406</v>
      </c>
      <c r="C32" s="181" t="s">
        <v>256</v>
      </c>
      <c r="D32" s="179">
        <v>600</v>
      </c>
      <c r="E32" s="228" t="s">
        <v>402</v>
      </c>
      <c r="F32" s="179">
        <v>64</v>
      </c>
      <c r="G32" s="178" t="s">
        <v>520</v>
      </c>
      <c r="I32" s="206" t="s">
        <v>644</v>
      </c>
      <c r="J32" s="214" t="s">
        <v>672</v>
      </c>
      <c r="K32" s="178">
        <v>2017</v>
      </c>
      <c r="O32" s="5" t="s">
        <v>347</v>
      </c>
    </row>
    <row r="33" spans="1:15">
      <c r="B33" s="202" t="s">
        <v>566</v>
      </c>
      <c r="C33" s="203" t="s">
        <v>256</v>
      </c>
      <c r="D33" s="179">
        <v>550</v>
      </c>
      <c r="E33" s="202" t="s">
        <v>590</v>
      </c>
      <c r="F33" s="179">
        <v>50</v>
      </c>
      <c r="H33" s="202" t="s">
        <v>591</v>
      </c>
      <c r="I33" s="206" t="s">
        <v>642</v>
      </c>
      <c r="J33" s="214" t="s">
        <v>569</v>
      </c>
      <c r="K33" s="178">
        <v>2017</v>
      </c>
      <c r="L33" s="202" t="s">
        <v>401</v>
      </c>
    </row>
    <row r="34" spans="1:15">
      <c r="A34" s="178">
        <v>25</v>
      </c>
      <c r="B34" s="206" t="s">
        <v>638</v>
      </c>
      <c r="C34" s="203" t="s">
        <v>256</v>
      </c>
      <c r="D34" s="179">
        <v>500</v>
      </c>
      <c r="E34" s="206" t="s">
        <v>402</v>
      </c>
      <c r="F34" s="179">
        <v>140</v>
      </c>
      <c r="H34" s="202"/>
      <c r="I34" s="206" t="s">
        <v>643</v>
      </c>
      <c r="J34" s="206" t="s">
        <v>666</v>
      </c>
      <c r="L34" s="202"/>
    </row>
    <row r="35" spans="1:15">
      <c r="A35" s="178">
        <f>A34+1</f>
        <v>26</v>
      </c>
      <c r="B35" s="178" t="s">
        <v>426</v>
      </c>
      <c r="C35" s="203" t="s">
        <v>256</v>
      </c>
      <c r="D35" s="179">
        <v>500</v>
      </c>
      <c r="E35" s="206" t="s">
        <v>590</v>
      </c>
      <c r="F35" s="179">
        <v>100</v>
      </c>
      <c r="I35" s="206" t="s">
        <v>643</v>
      </c>
      <c r="J35" s="206" t="s">
        <v>670</v>
      </c>
    </row>
    <row r="36" spans="1:15">
      <c r="A36" s="178">
        <f t="shared" ref="A36:A48" si="1">A35+1</f>
        <v>27</v>
      </c>
      <c r="B36" s="206" t="s">
        <v>639</v>
      </c>
      <c r="C36" s="207" t="s">
        <v>256</v>
      </c>
      <c r="D36" s="179">
        <v>500</v>
      </c>
      <c r="E36" s="206" t="s">
        <v>590</v>
      </c>
      <c r="F36" s="179">
        <v>100</v>
      </c>
      <c r="I36" s="206" t="s">
        <v>644</v>
      </c>
      <c r="J36" s="206" t="s">
        <v>666</v>
      </c>
    </row>
    <row r="37" spans="1:15">
      <c r="A37" s="64">
        <f t="shared" si="1"/>
        <v>28</v>
      </c>
      <c r="B37" s="64" t="s">
        <v>450</v>
      </c>
      <c r="C37" s="200" t="s">
        <v>256</v>
      </c>
      <c r="D37" s="201">
        <v>500</v>
      </c>
      <c r="E37" s="64" t="s">
        <v>402</v>
      </c>
      <c r="F37" s="201">
        <v>100</v>
      </c>
      <c r="G37" s="64"/>
      <c r="H37" s="64"/>
      <c r="I37" s="64" t="s">
        <v>642</v>
      </c>
      <c r="J37" s="64" t="s">
        <v>452</v>
      </c>
      <c r="O37" s="214" t="s">
        <v>634</v>
      </c>
    </row>
    <row r="38" spans="1:15">
      <c r="A38" s="178">
        <f t="shared" si="1"/>
        <v>29</v>
      </c>
      <c r="B38" s="206" t="s">
        <v>645</v>
      </c>
      <c r="C38" s="207" t="s">
        <v>256</v>
      </c>
      <c r="D38" s="179">
        <v>500</v>
      </c>
      <c r="E38" s="206" t="s">
        <v>590</v>
      </c>
      <c r="F38" s="179">
        <v>99</v>
      </c>
      <c r="I38" s="206" t="s">
        <v>644</v>
      </c>
      <c r="J38" s="206" t="s">
        <v>666</v>
      </c>
    </row>
    <row r="39" spans="1:15">
      <c r="A39" s="178">
        <f t="shared" si="1"/>
        <v>30</v>
      </c>
      <c r="B39" s="206" t="s">
        <v>648</v>
      </c>
      <c r="C39" s="207" t="s">
        <v>256</v>
      </c>
      <c r="D39" s="179">
        <v>500</v>
      </c>
      <c r="E39" s="206" t="s">
        <v>564</v>
      </c>
      <c r="F39" s="179">
        <v>80</v>
      </c>
      <c r="I39" s="206" t="s">
        <v>643</v>
      </c>
      <c r="J39" s="206" t="s">
        <v>669</v>
      </c>
    </row>
    <row r="40" spans="1:15">
      <c r="A40" s="178">
        <f t="shared" si="1"/>
        <v>31</v>
      </c>
      <c r="B40" s="178" t="s">
        <v>424</v>
      </c>
      <c r="C40" s="181" t="s">
        <v>256</v>
      </c>
      <c r="D40" s="179">
        <v>250</v>
      </c>
      <c r="F40" s="179">
        <v>40</v>
      </c>
      <c r="I40" s="206" t="s">
        <v>642</v>
      </c>
      <c r="J40" s="202" t="s">
        <v>579</v>
      </c>
      <c r="L40" s="202" t="s">
        <v>580</v>
      </c>
    </row>
    <row r="41" spans="1:15">
      <c r="A41" s="178">
        <f t="shared" si="1"/>
        <v>32</v>
      </c>
      <c r="B41" s="178" t="s">
        <v>411</v>
      </c>
      <c r="C41" s="181" t="s">
        <v>256</v>
      </c>
      <c r="D41" s="179">
        <v>200</v>
      </c>
      <c r="F41" s="179">
        <v>10</v>
      </c>
      <c r="I41" s="206" t="s">
        <v>644</v>
      </c>
      <c r="J41" s="206" t="s">
        <v>668</v>
      </c>
      <c r="K41" s="178">
        <v>2023</v>
      </c>
    </row>
    <row r="42" spans="1:15">
      <c r="A42" s="178">
        <f t="shared" si="1"/>
        <v>33</v>
      </c>
      <c r="B42" s="214" t="s">
        <v>656</v>
      </c>
      <c r="C42" s="207" t="s">
        <v>256</v>
      </c>
      <c r="D42" s="179">
        <v>250</v>
      </c>
      <c r="E42" s="206" t="s">
        <v>590</v>
      </c>
      <c r="F42" s="179">
        <v>50</v>
      </c>
      <c r="I42" s="206" t="s">
        <v>644</v>
      </c>
      <c r="J42" s="206" t="s">
        <v>666</v>
      </c>
    </row>
    <row r="43" spans="1:15">
      <c r="A43" s="178">
        <f t="shared" si="1"/>
        <v>34</v>
      </c>
      <c r="B43" s="214" t="s">
        <v>665</v>
      </c>
      <c r="C43" s="207" t="s">
        <v>256</v>
      </c>
      <c r="D43" s="179">
        <v>250</v>
      </c>
      <c r="E43" s="206" t="s">
        <v>564</v>
      </c>
      <c r="F43" s="179">
        <v>50</v>
      </c>
      <c r="I43" s="215" t="s">
        <v>643</v>
      </c>
      <c r="J43" s="215" t="s">
        <v>667</v>
      </c>
      <c r="K43" s="178">
        <v>2020</v>
      </c>
    </row>
    <row r="44" spans="1:15">
      <c r="A44" s="64">
        <f t="shared" si="1"/>
        <v>35</v>
      </c>
      <c r="B44" s="64" t="s">
        <v>420</v>
      </c>
      <c r="C44" s="200" t="s">
        <v>256</v>
      </c>
      <c r="D44" s="201">
        <v>150</v>
      </c>
      <c r="E44" s="64" t="s">
        <v>564</v>
      </c>
      <c r="F44" s="201">
        <v>26</v>
      </c>
      <c r="I44" s="215" t="s">
        <v>642</v>
      </c>
      <c r="J44" s="215" t="s">
        <v>466</v>
      </c>
      <c r="K44" s="178">
        <v>2022</v>
      </c>
    </row>
    <row r="45" spans="1:15">
      <c r="A45" s="178">
        <f t="shared" si="1"/>
        <v>36</v>
      </c>
      <c r="B45" s="206" t="s">
        <v>660</v>
      </c>
      <c r="C45" s="207" t="s">
        <v>256</v>
      </c>
      <c r="D45" s="179">
        <v>150</v>
      </c>
      <c r="E45" s="206" t="s">
        <v>402</v>
      </c>
      <c r="F45" s="179">
        <v>50</v>
      </c>
      <c r="I45" s="206" t="s">
        <v>644</v>
      </c>
      <c r="J45" s="206" t="s">
        <v>661</v>
      </c>
      <c r="K45" s="210" t="s">
        <v>654</v>
      </c>
    </row>
    <row r="46" spans="1:15">
      <c r="A46" s="178">
        <f t="shared" si="1"/>
        <v>37</v>
      </c>
      <c r="B46" s="178" t="s">
        <v>427</v>
      </c>
      <c r="C46" s="203" t="s">
        <v>256</v>
      </c>
      <c r="D46" s="179">
        <v>125</v>
      </c>
      <c r="E46" s="206" t="s">
        <v>564</v>
      </c>
      <c r="F46" s="179">
        <v>65</v>
      </c>
      <c r="I46" s="206" t="s">
        <v>644</v>
      </c>
      <c r="J46" s="206" t="s">
        <v>649</v>
      </c>
      <c r="K46" s="178">
        <v>2022</v>
      </c>
      <c r="L46" s="202" t="s">
        <v>581</v>
      </c>
    </row>
    <row r="47" spans="1:15">
      <c r="A47" s="178">
        <f t="shared" si="1"/>
        <v>38</v>
      </c>
      <c r="B47" s="178" t="s">
        <v>455</v>
      </c>
      <c r="C47" s="203" t="s">
        <v>256</v>
      </c>
      <c r="D47" s="179">
        <v>125</v>
      </c>
      <c r="F47" s="179">
        <v>65</v>
      </c>
      <c r="I47" s="206" t="s">
        <v>642</v>
      </c>
      <c r="J47" s="202" t="s">
        <v>466</v>
      </c>
      <c r="K47" s="180">
        <v>44228</v>
      </c>
    </row>
    <row r="48" spans="1:15">
      <c r="A48" s="178">
        <f t="shared" si="1"/>
        <v>39</v>
      </c>
      <c r="B48" s="214" t="s">
        <v>653</v>
      </c>
      <c r="C48" s="207" t="s">
        <v>256</v>
      </c>
      <c r="D48" s="179">
        <v>125</v>
      </c>
      <c r="E48" s="206" t="s">
        <v>402</v>
      </c>
      <c r="F48" s="179">
        <v>60</v>
      </c>
      <c r="I48" s="206" t="s">
        <v>644</v>
      </c>
      <c r="J48" s="206" t="s">
        <v>582</v>
      </c>
      <c r="K48" s="209" t="s">
        <v>654</v>
      </c>
    </row>
    <row r="49" spans="1:12">
      <c r="A49" s="178">
        <f>A48+1</f>
        <v>40</v>
      </c>
      <c r="B49" s="206" t="s">
        <v>662</v>
      </c>
      <c r="C49" s="207" t="s">
        <v>256</v>
      </c>
      <c r="D49" s="179">
        <v>125</v>
      </c>
      <c r="E49" s="206" t="s">
        <v>564</v>
      </c>
      <c r="F49" s="179">
        <v>44</v>
      </c>
      <c r="I49" s="206" t="s">
        <v>644</v>
      </c>
      <c r="J49" s="206" t="s">
        <v>663</v>
      </c>
      <c r="K49" s="209" t="s">
        <v>654</v>
      </c>
    </row>
    <row r="50" spans="1:12">
      <c r="A50" s="178">
        <f t="shared" ref="A50:A55" si="2">A49+1</f>
        <v>41</v>
      </c>
      <c r="B50" s="206" t="s">
        <v>677</v>
      </c>
      <c r="C50" s="207" t="s">
        <v>256</v>
      </c>
      <c r="D50" s="179">
        <v>150</v>
      </c>
      <c r="E50" s="206" t="s">
        <v>402</v>
      </c>
      <c r="F50" s="179">
        <v>43</v>
      </c>
      <c r="I50" s="206" t="s">
        <v>643</v>
      </c>
      <c r="J50" s="206" t="s">
        <v>649</v>
      </c>
      <c r="K50" s="209" t="s">
        <v>678</v>
      </c>
    </row>
    <row r="51" spans="1:12">
      <c r="A51" s="178">
        <f t="shared" si="2"/>
        <v>42</v>
      </c>
      <c r="B51" s="206" t="s">
        <v>680</v>
      </c>
      <c r="C51" s="207" t="s">
        <v>256</v>
      </c>
      <c r="D51" s="179">
        <v>150</v>
      </c>
      <c r="E51" s="206" t="s">
        <v>402</v>
      </c>
      <c r="F51" s="179">
        <v>40</v>
      </c>
      <c r="I51" s="206" t="s">
        <v>644</v>
      </c>
      <c r="J51" s="206" t="s">
        <v>666</v>
      </c>
      <c r="K51" s="209" t="s">
        <v>654</v>
      </c>
    </row>
    <row r="52" spans="1:12">
      <c r="A52" s="178">
        <f t="shared" si="2"/>
        <v>43</v>
      </c>
      <c r="B52" s="206" t="s">
        <v>681</v>
      </c>
      <c r="C52" s="207" t="s">
        <v>256</v>
      </c>
      <c r="D52" s="179">
        <v>150</v>
      </c>
      <c r="E52" s="206" t="s">
        <v>402</v>
      </c>
      <c r="F52" s="179">
        <v>40</v>
      </c>
      <c r="I52" s="206" t="s">
        <v>643</v>
      </c>
      <c r="J52" s="206" t="s">
        <v>670</v>
      </c>
      <c r="K52" s="209" t="s">
        <v>659</v>
      </c>
    </row>
    <row r="53" spans="1:12">
      <c r="A53" s="178">
        <f t="shared" si="2"/>
        <v>44</v>
      </c>
      <c r="B53" s="204" t="s">
        <v>595</v>
      </c>
      <c r="C53" s="205" t="s">
        <v>256</v>
      </c>
      <c r="D53" s="179">
        <v>100</v>
      </c>
      <c r="E53" s="204" t="s">
        <v>571</v>
      </c>
      <c r="F53" s="179">
        <v>50</v>
      </c>
      <c r="I53" s="217" t="s">
        <v>643</v>
      </c>
      <c r="J53" s="217" t="s">
        <v>433</v>
      </c>
      <c r="K53" s="210" t="s">
        <v>655</v>
      </c>
      <c r="L53" s="202"/>
    </row>
    <row r="54" spans="1:12">
      <c r="A54" s="64">
        <f t="shared" si="2"/>
        <v>45</v>
      </c>
      <c r="B54" s="64" t="s">
        <v>657</v>
      </c>
      <c r="C54" s="200" t="s">
        <v>256</v>
      </c>
      <c r="D54" s="201">
        <v>100</v>
      </c>
      <c r="E54" s="64" t="s">
        <v>402</v>
      </c>
      <c r="F54" s="201">
        <v>50</v>
      </c>
      <c r="G54" s="64"/>
      <c r="H54" s="64"/>
      <c r="I54" s="64" t="s">
        <v>644</v>
      </c>
      <c r="J54" s="64" t="s">
        <v>658</v>
      </c>
      <c r="K54" s="216" t="s">
        <v>659</v>
      </c>
      <c r="L54" s="64"/>
    </row>
    <row r="55" spans="1:12">
      <c r="A55" s="178">
        <f t="shared" si="2"/>
        <v>46</v>
      </c>
      <c r="B55" s="64" t="s">
        <v>456</v>
      </c>
      <c r="C55" s="200" t="s">
        <v>256</v>
      </c>
      <c r="D55" s="201">
        <v>100</v>
      </c>
      <c r="E55" s="64" t="s">
        <v>564</v>
      </c>
      <c r="F55" s="201">
        <v>50</v>
      </c>
      <c r="G55" s="64"/>
      <c r="H55" s="64"/>
      <c r="I55" s="217" t="s">
        <v>642</v>
      </c>
      <c r="J55" s="217" t="s">
        <v>247</v>
      </c>
      <c r="K55" s="211">
        <v>44378</v>
      </c>
    </row>
    <row r="56" spans="1:12">
      <c r="B56" s="178" t="s">
        <v>457</v>
      </c>
      <c r="C56" s="203" t="s">
        <v>256</v>
      </c>
      <c r="D56" s="179">
        <v>100</v>
      </c>
      <c r="E56" s="202" t="s">
        <v>564</v>
      </c>
      <c r="F56" s="179">
        <v>50</v>
      </c>
      <c r="I56" s="206" t="s">
        <v>643</v>
      </c>
      <c r="J56" s="178" t="s">
        <v>458</v>
      </c>
      <c r="K56" s="180">
        <v>44440</v>
      </c>
    </row>
    <row r="57" spans="1:12">
      <c r="A57" s="178">
        <v>47</v>
      </c>
      <c r="B57" s="178" t="s">
        <v>459</v>
      </c>
      <c r="C57" s="207" t="s">
        <v>256</v>
      </c>
      <c r="D57" s="179">
        <v>100</v>
      </c>
      <c r="E57" s="206" t="s">
        <v>571</v>
      </c>
      <c r="F57" s="179">
        <v>42</v>
      </c>
      <c r="G57" s="64" t="s">
        <v>679</v>
      </c>
      <c r="I57" s="215" t="s">
        <v>643</v>
      </c>
      <c r="J57" s="217" t="s">
        <v>433</v>
      </c>
      <c r="K57" s="180">
        <v>44440</v>
      </c>
    </row>
    <row r="58" spans="1:12">
      <c r="A58" s="178">
        <f>A57+1</f>
        <v>48</v>
      </c>
      <c r="B58" s="178" t="s">
        <v>460</v>
      </c>
      <c r="C58" s="207" t="s">
        <v>256</v>
      </c>
      <c r="D58" s="179">
        <v>100</v>
      </c>
      <c r="E58" s="206" t="s">
        <v>564</v>
      </c>
      <c r="F58" s="179">
        <v>40</v>
      </c>
      <c r="G58" s="206" t="s">
        <v>683</v>
      </c>
      <c r="I58" s="206" t="s">
        <v>642</v>
      </c>
      <c r="J58" s="206" t="s">
        <v>682</v>
      </c>
      <c r="K58" s="180">
        <v>44501</v>
      </c>
    </row>
    <row r="59" spans="1:12">
      <c r="A59" s="178">
        <f>A58+1</f>
        <v>49</v>
      </c>
      <c r="B59" s="206" t="s">
        <v>684</v>
      </c>
      <c r="C59" s="207" t="s">
        <v>256</v>
      </c>
      <c r="D59" s="179">
        <v>125</v>
      </c>
      <c r="E59" s="206" t="s">
        <v>402</v>
      </c>
      <c r="F59" s="179">
        <v>38</v>
      </c>
      <c r="G59" s="206"/>
      <c r="I59" s="206" t="s">
        <v>644</v>
      </c>
      <c r="J59" s="206" t="s">
        <v>666</v>
      </c>
      <c r="K59" s="209" t="s">
        <v>678</v>
      </c>
    </row>
    <row r="60" spans="1:12">
      <c r="A60" s="178">
        <f>A59+1</f>
        <v>50</v>
      </c>
      <c r="B60" s="206" t="s">
        <v>685</v>
      </c>
      <c r="C60" s="207" t="s">
        <v>256</v>
      </c>
      <c r="D60" s="179">
        <v>125</v>
      </c>
      <c r="E60" s="206" t="s">
        <v>402</v>
      </c>
      <c r="F60" s="179">
        <v>37</v>
      </c>
      <c r="G60" s="206" t="s">
        <v>686</v>
      </c>
      <c r="I60" s="206" t="s">
        <v>644</v>
      </c>
      <c r="J60" s="206" t="s">
        <v>663</v>
      </c>
      <c r="K60" s="209">
        <v>43405</v>
      </c>
    </row>
    <row r="61" spans="1:12">
      <c r="A61" s="178">
        <v>51</v>
      </c>
      <c r="B61" s="206" t="s">
        <v>687</v>
      </c>
      <c r="C61" s="207" t="s">
        <v>256</v>
      </c>
      <c r="D61" s="179">
        <v>100</v>
      </c>
      <c r="E61" s="206" t="s">
        <v>564</v>
      </c>
      <c r="F61" s="179">
        <v>30</v>
      </c>
      <c r="G61" s="206"/>
      <c r="I61" s="206" t="s">
        <v>644</v>
      </c>
      <c r="J61" s="206" t="s">
        <v>666</v>
      </c>
      <c r="K61" s="209">
        <v>43313</v>
      </c>
    </row>
    <row r="62" spans="1:12">
      <c r="A62" s="178">
        <v>52</v>
      </c>
      <c r="B62" s="178" t="s">
        <v>467</v>
      </c>
      <c r="C62" s="205" t="s">
        <v>256</v>
      </c>
      <c r="D62" s="179">
        <v>100</v>
      </c>
      <c r="E62" s="204" t="s">
        <v>564</v>
      </c>
      <c r="F62" s="179">
        <v>23</v>
      </c>
      <c r="I62" s="206" t="s">
        <v>644</v>
      </c>
      <c r="J62" s="178" t="s">
        <v>468</v>
      </c>
      <c r="K62" s="180">
        <v>44621</v>
      </c>
    </row>
    <row r="63" spans="1:12">
      <c r="A63" s="178">
        <v>53</v>
      </c>
      <c r="B63" s="206" t="s">
        <v>461</v>
      </c>
      <c r="C63" s="207" t="s">
        <v>256</v>
      </c>
      <c r="D63" s="179">
        <v>100</v>
      </c>
      <c r="E63" s="206" t="s">
        <v>571</v>
      </c>
      <c r="F63" s="179">
        <v>30</v>
      </c>
      <c r="I63" s="206" t="s">
        <v>644</v>
      </c>
      <c r="J63" s="206" t="s">
        <v>663</v>
      </c>
      <c r="K63" s="180">
        <v>44562</v>
      </c>
    </row>
    <row r="64" spans="1:12">
      <c r="A64" s="178">
        <v>54</v>
      </c>
      <c r="B64" s="202" t="s">
        <v>562</v>
      </c>
      <c r="C64" s="203" t="s">
        <v>256</v>
      </c>
      <c r="D64" s="179">
        <v>100</v>
      </c>
      <c r="E64" s="202" t="s">
        <v>564</v>
      </c>
      <c r="F64" s="179">
        <v>21</v>
      </c>
      <c r="I64" s="215" t="s">
        <v>643</v>
      </c>
      <c r="J64" s="215" t="s">
        <v>563</v>
      </c>
      <c r="K64" s="180">
        <v>44562</v>
      </c>
      <c r="L64" s="214" t="s">
        <v>565</v>
      </c>
    </row>
    <row r="65" spans="1:15">
      <c r="B65" s="206" t="s">
        <v>688</v>
      </c>
      <c r="C65" s="207" t="s">
        <v>256</v>
      </c>
      <c r="D65" s="179">
        <v>100</v>
      </c>
      <c r="E65" s="206" t="s">
        <v>402</v>
      </c>
      <c r="F65" s="179">
        <v>30</v>
      </c>
      <c r="I65" s="206" t="s">
        <v>643</v>
      </c>
      <c r="J65" s="206" t="s">
        <v>674</v>
      </c>
      <c r="K65" s="218">
        <v>43497</v>
      </c>
      <c r="L65" s="202"/>
      <c r="O65" s="215" t="s">
        <v>433</v>
      </c>
    </row>
    <row r="66" spans="1:15">
      <c r="A66" s="178">
        <v>55</v>
      </c>
      <c r="B66" s="206" t="s">
        <v>689</v>
      </c>
      <c r="C66" s="207" t="s">
        <v>256</v>
      </c>
      <c r="D66" s="179">
        <v>100</v>
      </c>
      <c r="E66" s="206" t="s">
        <v>402</v>
      </c>
      <c r="F66" s="179">
        <v>30</v>
      </c>
      <c r="I66" s="206" t="s">
        <v>643</v>
      </c>
      <c r="J66" s="206" t="s">
        <v>666</v>
      </c>
      <c r="K66" s="209" t="s">
        <v>654</v>
      </c>
      <c r="L66" s="202"/>
    </row>
    <row r="67" spans="1:15">
      <c r="B67" s="206" t="s">
        <v>690</v>
      </c>
      <c r="C67" s="207" t="s">
        <v>256</v>
      </c>
      <c r="D67" s="179">
        <v>100</v>
      </c>
      <c r="E67" s="206" t="s">
        <v>564</v>
      </c>
      <c r="F67" s="179">
        <v>30</v>
      </c>
      <c r="I67" s="206" t="s">
        <v>642</v>
      </c>
      <c r="J67" s="206" t="s">
        <v>691</v>
      </c>
      <c r="K67" s="209" t="s">
        <v>678</v>
      </c>
      <c r="L67" s="202"/>
    </row>
    <row r="68" spans="1:15">
      <c r="A68" s="178">
        <v>56</v>
      </c>
      <c r="B68" s="206" t="s">
        <v>693</v>
      </c>
      <c r="C68" s="207" t="s">
        <v>256</v>
      </c>
      <c r="D68" s="179">
        <v>100</v>
      </c>
      <c r="E68" s="206" t="s">
        <v>564</v>
      </c>
      <c r="F68" s="179">
        <v>30</v>
      </c>
      <c r="I68" s="206" t="s">
        <v>644</v>
      </c>
      <c r="J68" s="206" t="s">
        <v>666</v>
      </c>
      <c r="K68" s="209">
        <v>43862</v>
      </c>
      <c r="L68" s="202"/>
    </row>
    <row r="69" spans="1:15">
      <c r="A69" s="178">
        <f>+A68+1</f>
        <v>57</v>
      </c>
      <c r="B69" s="204" t="s">
        <v>597</v>
      </c>
      <c r="C69" s="205" t="s">
        <v>256</v>
      </c>
      <c r="D69" s="179">
        <v>100</v>
      </c>
      <c r="E69" s="219" t="s">
        <v>504</v>
      </c>
      <c r="F69" s="179">
        <v>20.5</v>
      </c>
      <c r="I69" s="206" t="s">
        <v>644</v>
      </c>
      <c r="J69" s="206" t="s">
        <v>674</v>
      </c>
      <c r="K69" s="180">
        <v>44652</v>
      </c>
      <c r="L69" s="202"/>
    </row>
    <row r="70" spans="1:15">
      <c r="A70" s="178">
        <f t="shared" ref="A70:A75" si="3">+A69+1</f>
        <v>58</v>
      </c>
      <c r="B70" s="191" t="s">
        <v>534</v>
      </c>
      <c r="C70" s="192" t="s">
        <v>256</v>
      </c>
      <c r="D70" s="179">
        <v>50</v>
      </c>
      <c r="F70" s="179">
        <v>8</v>
      </c>
      <c r="H70" s="214" t="s">
        <v>587</v>
      </c>
      <c r="I70" s="206" t="s">
        <v>463</v>
      </c>
      <c r="J70" s="206" t="s">
        <v>463</v>
      </c>
      <c r="K70" s="214">
        <v>2023</v>
      </c>
      <c r="L70" s="214" t="s">
        <v>588</v>
      </c>
    </row>
    <row r="71" spans="1:15">
      <c r="A71" s="178">
        <f t="shared" si="3"/>
        <v>59</v>
      </c>
      <c r="B71" s="202" t="s">
        <v>593</v>
      </c>
      <c r="C71" s="203" t="s">
        <v>256</v>
      </c>
      <c r="D71" s="179">
        <v>50</v>
      </c>
      <c r="F71" s="179">
        <v>11</v>
      </c>
      <c r="I71" s="215" t="s">
        <v>643</v>
      </c>
      <c r="J71" s="215" t="s">
        <v>563</v>
      </c>
    </row>
    <row r="72" spans="1:15">
      <c r="A72" s="178">
        <f t="shared" si="3"/>
        <v>60</v>
      </c>
      <c r="B72" s="202" t="s">
        <v>594</v>
      </c>
      <c r="C72" s="203" t="s">
        <v>256</v>
      </c>
      <c r="D72" s="179">
        <v>30</v>
      </c>
      <c r="F72" s="179">
        <v>6</v>
      </c>
      <c r="I72" s="206" t="s">
        <v>642</v>
      </c>
      <c r="J72" s="206" t="s">
        <v>674</v>
      </c>
    </row>
    <row r="73" spans="1:15">
      <c r="A73" s="178">
        <f t="shared" si="3"/>
        <v>61</v>
      </c>
      <c r="B73" s="202" t="s">
        <v>574</v>
      </c>
      <c r="C73" s="203" t="s">
        <v>256</v>
      </c>
      <c r="D73" s="179">
        <v>25</v>
      </c>
      <c r="E73" s="202" t="s">
        <v>571</v>
      </c>
      <c r="F73" s="179">
        <v>2.6</v>
      </c>
      <c r="G73" s="202" t="s">
        <v>572</v>
      </c>
      <c r="I73" s="206" t="s">
        <v>642</v>
      </c>
      <c r="J73" s="202" t="s">
        <v>570</v>
      </c>
      <c r="L73" s="202" t="s">
        <v>573</v>
      </c>
    </row>
    <row r="74" spans="1:15">
      <c r="A74" s="178">
        <f t="shared" si="3"/>
        <v>62</v>
      </c>
      <c r="B74" s="206" t="s">
        <v>664</v>
      </c>
      <c r="C74" s="207" t="s">
        <v>256</v>
      </c>
      <c r="D74" s="179">
        <v>400</v>
      </c>
      <c r="E74" s="202"/>
      <c r="G74" s="202"/>
      <c r="I74" s="206" t="s">
        <v>643</v>
      </c>
      <c r="J74" s="206" t="s">
        <v>676</v>
      </c>
      <c r="L74" s="202"/>
    </row>
    <row r="75" spans="1:15">
      <c r="A75" s="178">
        <f t="shared" si="3"/>
        <v>63</v>
      </c>
      <c r="B75" s="206" t="s">
        <v>392</v>
      </c>
      <c r="C75" s="207" t="s">
        <v>256</v>
      </c>
      <c r="D75" s="179">
        <v>1000</v>
      </c>
      <c r="E75" s="202"/>
      <c r="G75" s="202"/>
      <c r="I75" s="206" t="s">
        <v>643</v>
      </c>
      <c r="J75" s="206" t="s">
        <v>468</v>
      </c>
      <c r="L75" s="202"/>
    </row>
    <row r="76" spans="1:15">
      <c r="B76" s="178" t="s">
        <v>462</v>
      </c>
      <c r="C76" s="207" t="s">
        <v>256</v>
      </c>
      <c r="D76" s="179">
        <v>100</v>
      </c>
      <c r="E76" s="206" t="s">
        <v>571</v>
      </c>
      <c r="F76" s="179">
        <v>30</v>
      </c>
      <c r="I76" s="206" t="s">
        <v>463</v>
      </c>
      <c r="J76" s="206" t="s">
        <v>692</v>
      </c>
      <c r="K76" s="178">
        <v>2021</v>
      </c>
    </row>
    <row r="77" spans="1:15">
      <c r="A77" s="178">
        <v>64</v>
      </c>
      <c r="B77" s="206" t="s">
        <v>696</v>
      </c>
      <c r="C77" s="207" t="s">
        <v>256</v>
      </c>
      <c r="D77" s="179">
        <v>100</v>
      </c>
      <c r="F77" s="179">
        <v>29</v>
      </c>
      <c r="I77" s="206" t="s">
        <v>643</v>
      </c>
      <c r="J77" s="206" t="s">
        <v>676</v>
      </c>
      <c r="K77" s="180">
        <v>43344</v>
      </c>
    </row>
    <row r="78" spans="1:15">
      <c r="B78" s="206" t="s">
        <v>697</v>
      </c>
      <c r="C78" s="207" t="s">
        <v>256</v>
      </c>
      <c r="D78" s="179">
        <v>100</v>
      </c>
      <c r="E78" s="206" t="s">
        <v>564</v>
      </c>
      <c r="F78" s="179">
        <v>28</v>
      </c>
      <c r="I78" s="206" t="s">
        <v>643</v>
      </c>
      <c r="J78" s="206" t="s">
        <v>670</v>
      </c>
      <c r="K78" s="209" t="s">
        <v>678</v>
      </c>
    </row>
    <row r="79" spans="1:15">
      <c r="B79" s="206" t="s">
        <v>698</v>
      </c>
      <c r="C79" s="207" t="s">
        <v>256</v>
      </c>
      <c r="D79" s="179">
        <v>100</v>
      </c>
      <c r="E79" s="206" t="s">
        <v>564</v>
      </c>
      <c r="F79" s="179">
        <v>28</v>
      </c>
      <c r="I79" s="206" t="s">
        <v>642</v>
      </c>
      <c r="J79" s="206" t="s">
        <v>699</v>
      </c>
      <c r="K79" s="209">
        <v>43556</v>
      </c>
    </row>
    <row r="80" spans="1:15">
      <c r="B80" s="206" t="s">
        <v>700</v>
      </c>
      <c r="C80" s="207" t="s">
        <v>256</v>
      </c>
      <c r="D80" s="179">
        <v>100</v>
      </c>
      <c r="E80" s="206" t="s">
        <v>564</v>
      </c>
      <c r="F80" s="179">
        <v>25</v>
      </c>
      <c r="I80" s="206" t="s">
        <v>644</v>
      </c>
      <c r="J80" s="206" t="s">
        <v>672</v>
      </c>
      <c r="K80" s="209">
        <v>43496</v>
      </c>
    </row>
    <row r="81" spans="1:11">
      <c r="B81" s="206" t="s">
        <v>701</v>
      </c>
      <c r="C81" s="207" t="s">
        <v>256</v>
      </c>
      <c r="D81" s="179">
        <v>100</v>
      </c>
      <c r="E81" s="206"/>
      <c r="F81" s="179">
        <v>26</v>
      </c>
      <c r="I81" s="206" t="s">
        <v>643</v>
      </c>
      <c r="J81" s="206" t="s">
        <v>670</v>
      </c>
      <c r="K81" s="209">
        <v>43374</v>
      </c>
    </row>
    <row r="82" spans="1:11">
      <c r="A82" s="64">
        <v>61</v>
      </c>
      <c r="B82" s="64" t="s">
        <v>702</v>
      </c>
      <c r="C82" s="200" t="s">
        <v>256</v>
      </c>
      <c r="D82" s="201">
        <v>100</v>
      </c>
      <c r="E82" s="64" t="s">
        <v>564</v>
      </c>
      <c r="F82" s="201">
        <v>25</v>
      </c>
      <c r="G82" s="64"/>
      <c r="H82" s="64"/>
      <c r="I82" s="64" t="s">
        <v>644</v>
      </c>
      <c r="J82" s="64" t="s">
        <v>666</v>
      </c>
      <c r="K82" s="212" t="s">
        <v>678</v>
      </c>
    </row>
    <row r="83" spans="1:11">
      <c r="B83" s="178" t="s">
        <v>464</v>
      </c>
      <c r="F83" s="179">
        <v>27</v>
      </c>
      <c r="J83" s="178" t="s">
        <v>465</v>
      </c>
      <c r="K83" s="178">
        <v>2021</v>
      </c>
    </row>
    <row r="84" spans="1:11">
      <c r="A84" s="178">
        <v>62</v>
      </c>
      <c r="B84" s="206" t="s">
        <v>703</v>
      </c>
      <c r="C84" s="207" t="s">
        <v>256</v>
      </c>
      <c r="D84" s="179">
        <v>100</v>
      </c>
      <c r="E84" s="206" t="s">
        <v>564</v>
      </c>
      <c r="F84" s="179">
        <v>25</v>
      </c>
      <c r="I84" s="206" t="s">
        <v>644</v>
      </c>
      <c r="J84" s="206" t="s">
        <v>666</v>
      </c>
      <c r="K84" s="210" t="s">
        <v>654</v>
      </c>
    </row>
    <row r="85" spans="1:11">
      <c r="B85" s="204" t="s">
        <v>598</v>
      </c>
      <c r="K85" s="180"/>
    </row>
    <row r="86" spans="1:11">
      <c r="A86" s="178">
        <v>63</v>
      </c>
      <c r="B86" s="178" t="s">
        <v>469</v>
      </c>
      <c r="C86" s="207" t="s">
        <v>256</v>
      </c>
      <c r="D86" s="179">
        <v>100</v>
      </c>
      <c r="E86" s="206" t="s">
        <v>564</v>
      </c>
      <c r="F86" s="179">
        <v>25</v>
      </c>
      <c r="I86" s="206" t="s">
        <v>644</v>
      </c>
      <c r="J86" s="206" t="s">
        <v>666</v>
      </c>
      <c r="K86" s="178">
        <v>2021</v>
      </c>
    </row>
    <row r="87" spans="1:11">
      <c r="A87" s="178">
        <v>64</v>
      </c>
      <c r="B87" s="206" t="s">
        <v>706</v>
      </c>
      <c r="C87" s="207" t="s">
        <v>256</v>
      </c>
      <c r="D87" s="179">
        <v>100</v>
      </c>
      <c r="E87" s="206" t="s">
        <v>564</v>
      </c>
      <c r="F87" s="179">
        <v>25</v>
      </c>
      <c r="I87" s="206" t="s">
        <v>644</v>
      </c>
      <c r="J87" s="206" t="s">
        <v>666</v>
      </c>
      <c r="K87" s="180">
        <v>43435</v>
      </c>
    </row>
    <row r="88" spans="1:11">
      <c r="A88" s="178">
        <v>65</v>
      </c>
      <c r="B88" s="206" t="s">
        <v>707</v>
      </c>
      <c r="C88" s="207" t="s">
        <v>256</v>
      </c>
      <c r="D88" s="179">
        <v>100</v>
      </c>
      <c r="E88" s="206" t="s">
        <v>564</v>
      </c>
      <c r="F88" s="179">
        <v>25</v>
      </c>
      <c r="I88" s="206" t="s">
        <v>643</v>
      </c>
      <c r="J88" s="206" t="s">
        <v>674</v>
      </c>
      <c r="K88" s="209" t="s">
        <v>678</v>
      </c>
    </row>
    <row r="89" spans="1:11">
      <c r="A89" s="178">
        <v>66</v>
      </c>
      <c r="B89" s="206" t="s">
        <v>708</v>
      </c>
      <c r="C89" s="207" t="s">
        <v>256</v>
      </c>
      <c r="D89" s="179">
        <v>100</v>
      </c>
      <c r="E89" s="206" t="s">
        <v>402</v>
      </c>
      <c r="F89" s="179">
        <v>25</v>
      </c>
      <c r="G89" s="219" t="s">
        <v>727</v>
      </c>
      <c r="I89" s="206" t="s">
        <v>644</v>
      </c>
      <c r="J89" s="206" t="s">
        <v>666</v>
      </c>
      <c r="K89" s="209" t="s">
        <v>654</v>
      </c>
    </row>
    <row r="90" spans="1:11">
      <c r="A90" s="178">
        <v>67</v>
      </c>
      <c r="B90" s="206" t="s">
        <v>709</v>
      </c>
      <c r="C90" s="207" t="s">
        <v>256</v>
      </c>
      <c r="D90" s="179">
        <v>100</v>
      </c>
      <c r="E90" s="206" t="s">
        <v>564</v>
      </c>
      <c r="F90" s="179">
        <v>25</v>
      </c>
      <c r="I90" s="206" t="s">
        <v>644</v>
      </c>
      <c r="J90" s="206" t="s">
        <v>666</v>
      </c>
      <c r="K90" s="209">
        <v>43709</v>
      </c>
    </row>
    <row r="91" spans="1:11">
      <c r="A91" s="178">
        <v>68</v>
      </c>
      <c r="B91" s="206" t="s">
        <v>710</v>
      </c>
      <c r="C91" s="207" t="s">
        <v>256</v>
      </c>
      <c r="D91" s="179">
        <v>100</v>
      </c>
      <c r="E91" s="206" t="s">
        <v>402</v>
      </c>
      <c r="F91" s="179">
        <v>25</v>
      </c>
      <c r="I91" s="206" t="s">
        <v>644</v>
      </c>
      <c r="J91" s="206" t="s">
        <v>666</v>
      </c>
      <c r="K91" s="209" t="s">
        <v>654</v>
      </c>
    </row>
    <row r="92" spans="1:11">
      <c r="A92" s="178">
        <v>69</v>
      </c>
      <c r="B92" s="206" t="s">
        <v>711</v>
      </c>
      <c r="C92" s="207" t="s">
        <v>256</v>
      </c>
      <c r="D92" s="179">
        <v>100</v>
      </c>
      <c r="E92" s="206" t="s">
        <v>564</v>
      </c>
      <c r="F92" s="179">
        <v>25</v>
      </c>
      <c r="I92" s="206" t="s">
        <v>643</v>
      </c>
      <c r="J92" s="206" t="s">
        <v>712</v>
      </c>
      <c r="K92" s="209" t="s">
        <v>654</v>
      </c>
    </row>
    <row r="93" spans="1:11">
      <c r="B93" s="219" t="s">
        <v>714</v>
      </c>
      <c r="C93" s="220" t="s">
        <v>256</v>
      </c>
      <c r="D93" s="179">
        <v>100</v>
      </c>
      <c r="E93" s="219" t="s">
        <v>564</v>
      </c>
      <c r="F93" s="179">
        <v>21</v>
      </c>
      <c r="I93" s="219" t="s">
        <v>643</v>
      </c>
      <c r="J93" s="219" t="s">
        <v>433</v>
      </c>
      <c r="K93" s="209">
        <v>43282</v>
      </c>
    </row>
    <row r="94" spans="1:11">
      <c r="B94" s="219" t="s">
        <v>715</v>
      </c>
      <c r="C94" s="220" t="s">
        <v>256</v>
      </c>
      <c r="D94" s="179">
        <v>100</v>
      </c>
      <c r="E94" s="219" t="s">
        <v>564</v>
      </c>
      <c r="F94" s="179">
        <v>20</v>
      </c>
      <c r="I94" s="219" t="s">
        <v>643</v>
      </c>
      <c r="J94" s="219" t="s">
        <v>669</v>
      </c>
      <c r="K94" s="222" t="s">
        <v>654</v>
      </c>
    </row>
    <row r="95" spans="1:11">
      <c r="B95" s="219" t="s">
        <v>716</v>
      </c>
      <c r="C95" s="220" t="s">
        <v>256</v>
      </c>
      <c r="D95" s="179">
        <v>75</v>
      </c>
      <c r="E95" s="219" t="s">
        <v>564</v>
      </c>
      <c r="F95" s="179">
        <v>20</v>
      </c>
      <c r="I95" s="219" t="s">
        <v>643</v>
      </c>
      <c r="J95" s="219" t="s">
        <v>717</v>
      </c>
      <c r="K95" s="222" t="s">
        <v>654</v>
      </c>
    </row>
    <row r="96" spans="1:11" s="64" customFormat="1">
      <c r="A96" s="64">
        <v>70</v>
      </c>
      <c r="B96" s="64" t="s">
        <v>471</v>
      </c>
      <c r="C96" s="200" t="s">
        <v>256</v>
      </c>
      <c r="D96" s="201">
        <v>125</v>
      </c>
      <c r="E96" s="64" t="s">
        <v>564</v>
      </c>
      <c r="F96" s="201">
        <v>20</v>
      </c>
      <c r="I96" s="64" t="s">
        <v>463</v>
      </c>
      <c r="J96" s="64" t="s">
        <v>463</v>
      </c>
      <c r="K96" s="64">
        <v>2021</v>
      </c>
    </row>
    <row r="97" spans="2:12">
      <c r="B97" s="202" t="s">
        <v>567</v>
      </c>
      <c r="C97" s="203" t="s">
        <v>256</v>
      </c>
      <c r="L97" s="202" t="s">
        <v>401</v>
      </c>
    </row>
    <row r="98" spans="2:12">
      <c r="B98" s="219" t="s">
        <v>718</v>
      </c>
      <c r="C98" s="220" t="s">
        <v>256</v>
      </c>
      <c r="D98" s="179">
        <v>75</v>
      </c>
      <c r="E98" s="219" t="s">
        <v>564</v>
      </c>
      <c r="F98" s="179">
        <v>20</v>
      </c>
      <c r="I98" s="219" t="s">
        <v>643</v>
      </c>
      <c r="J98" s="219" t="s">
        <v>674</v>
      </c>
      <c r="K98" s="178">
        <v>2019</v>
      </c>
      <c r="L98" s="202"/>
    </row>
    <row r="99" spans="2:12">
      <c r="B99" s="219" t="s">
        <v>719</v>
      </c>
      <c r="C99" s="220" t="s">
        <v>256</v>
      </c>
      <c r="D99" s="179">
        <v>75</v>
      </c>
      <c r="E99" s="219" t="s">
        <v>564</v>
      </c>
      <c r="F99" s="179">
        <v>20</v>
      </c>
      <c r="I99" s="219" t="s">
        <v>643</v>
      </c>
      <c r="J99" s="219" t="s">
        <v>674</v>
      </c>
      <c r="K99" s="178">
        <v>2019</v>
      </c>
      <c r="L99" s="202"/>
    </row>
    <row r="100" spans="2:12">
      <c r="B100" s="219" t="s">
        <v>720</v>
      </c>
      <c r="C100" s="220" t="s">
        <v>256</v>
      </c>
      <c r="D100" s="179">
        <v>75</v>
      </c>
      <c r="E100" s="219" t="s">
        <v>564</v>
      </c>
      <c r="F100" s="179">
        <v>20</v>
      </c>
      <c r="I100" s="215" t="s">
        <v>643</v>
      </c>
      <c r="J100" s="215" t="s">
        <v>721</v>
      </c>
      <c r="K100" s="178">
        <v>2019</v>
      </c>
      <c r="L100" s="202"/>
    </row>
    <row r="101" spans="2:12">
      <c r="B101" s="219" t="s">
        <v>722</v>
      </c>
      <c r="C101" s="220" t="s">
        <v>256</v>
      </c>
      <c r="D101" s="179">
        <v>75</v>
      </c>
      <c r="E101" s="219" t="s">
        <v>564</v>
      </c>
      <c r="F101" s="179">
        <v>20</v>
      </c>
      <c r="I101" s="219" t="s">
        <v>643</v>
      </c>
      <c r="J101" s="219" t="s">
        <v>649</v>
      </c>
      <c r="K101" s="178">
        <v>2021</v>
      </c>
      <c r="L101" s="202"/>
    </row>
    <row r="102" spans="2:12" s="64" customFormat="1">
      <c r="B102" s="64" t="s">
        <v>472</v>
      </c>
      <c r="C102" s="200" t="s">
        <v>256</v>
      </c>
      <c r="D102" s="201">
        <v>75</v>
      </c>
      <c r="E102" s="64" t="s">
        <v>564</v>
      </c>
      <c r="F102" s="201">
        <v>20</v>
      </c>
      <c r="I102" s="64" t="s">
        <v>644</v>
      </c>
      <c r="J102" s="64" t="s">
        <v>723</v>
      </c>
      <c r="K102" s="64">
        <v>2021</v>
      </c>
    </row>
    <row r="103" spans="2:12">
      <c r="B103" s="204" t="s">
        <v>599</v>
      </c>
      <c r="C103" s="203"/>
      <c r="L103" s="202"/>
    </row>
    <row r="104" spans="2:12">
      <c r="B104" s="219" t="s">
        <v>724</v>
      </c>
      <c r="C104" s="220" t="s">
        <v>256</v>
      </c>
      <c r="D104" s="179">
        <v>75</v>
      </c>
      <c r="E104" s="219" t="s">
        <v>564</v>
      </c>
      <c r="F104" s="179">
        <v>20</v>
      </c>
      <c r="I104" s="219" t="s">
        <v>644</v>
      </c>
      <c r="J104" s="219" t="s">
        <v>725</v>
      </c>
      <c r="K104" s="223" t="s">
        <v>654</v>
      </c>
      <c r="L104" s="202"/>
    </row>
    <row r="105" spans="2:12">
      <c r="B105" s="219" t="s">
        <v>726</v>
      </c>
      <c r="C105" s="220" t="s">
        <v>256</v>
      </c>
      <c r="D105" s="179">
        <v>75</v>
      </c>
      <c r="E105" s="219" t="s">
        <v>564</v>
      </c>
      <c r="F105" s="179">
        <v>20</v>
      </c>
      <c r="I105" s="219" t="s">
        <v>643</v>
      </c>
      <c r="J105" s="219" t="s">
        <v>670</v>
      </c>
      <c r="K105" s="223">
        <v>2020</v>
      </c>
      <c r="L105" s="202"/>
    </row>
    <row r="106" spans="2:12">
      <c r="B106" s="64" t="s">
        <v>728</v>
      </c>
      <c r="C106" s="200" t="s">
        <v>256</v>
      </c>
      <c r="D106" s="201">
        <v>75</v>
      </c>
      <c r="E106" s="64" t="s">
        <v>564</v>
      </c>
      <c r="F106" s="201">
        <v>17</v>
      </c>
      <c r="G106" s="64"/>
      <c r="H106" s="64"/>
      <c r="I106" s="64" t="s">
        <v>644</v>
      </c>
      <c r="J106" s="64" t="s">
        <v>725</v>
      </c>
      <c r="K106" s="64">
        <v>2019</v>
      </c>
    </row>
    <row r="107" spans="2:12">
      <c r="B107" s="204" t="s">
        <v>600</v>
      </c>
      <c r="C107" s="203"/>
      <c r="L107" s="202"/>
    </row>
    <row r="108" spans="2:12">
      <c r="B108" s="224" t="s">
        <v>729</v>
      </c>
      <c r="C108" s="225" t="s">
        <v>256</v>
      </c>
      <c r="I108" s="224" t="s">
        <v>643</v>
      </c>
      <c r="J108" s="224" t="s">
        <v>730</v>
      </c>
      <c r="K108" s="178">
        <v>2019</v>
      </c>
      <c r="L108" s="202"/>
    </row>
    <row r="109" spans="2:12">
      <c r="B109" s="224" t="s">
        <v>731</v>
      </c>
      <c r="C109" s="225" t="s">
        <v>256</v>
      </c>
      <c r="D109" s="179">
        <v>75</v>
      </c>
      <c r="F109" s="179">
        <v>16</v>
      </c>
      <c r="I109" s="224" t="s">
        <v>642</v>
      </c>
      <c r="J109" s="224" t="s">
        <v>649</v>
      </c>
      <c r="K109" s="178">
        <v>2020</v>
      </c>
      <c r="L109" s="202"/>
    </row>
    <row r="110" spans="2:12">
      <c r="B110" s="224" t="s">
        <v>732</v>
      </c>
      <c r="C110" s="225" t="s">
        <v>256</v>
      </c>
      <c r="D110" s="179">
        <v>75</v>
      </c>
      <c r="F110" s="179">
        <v>20</v>
      </c>
      <c r="I110" s="224" t="s">
        <v>643</v>
      </c>
      <c r="J110" s="224" t="s">
        <v>563</v>
      </c>
      <c r="K110" s="178">
        <v>2021</v>
      </c>
      <c r="L110" s="202"/>
    </row>
    <row r="111" spans="2:12">
      <c r="B111" s="224" t="s">
        <v>733</v>
      </c>
      <c r="C111" s="225" t="s">
        <v>256</v>
      </c>
      <c r="D111" s="179">
        <v>50</v>
      </c>
      <c r="F111" s="179">
        <v>15</v>
      </c>
      <c r="I111" s="224" t="s">
        <v>643</v>
      </c>
      <c r="J111" s="224" t="s">
        <v>584</v>
      </c>
      <c r="K111" s="178">
        <v>2020</v>
      </c>
      <c r="L111" s="202"/>
    </row>
    <row r="112" spans="2:12">
      <c r="B112" s="204" t="s">
        <v>596</v>
      </c>
      <c r="C112" s="203"/>
      <c r="L112" s="202"/>
    </row>
    <row r="113" spans="2:12">
      <c r="B113" s="224" t="s">
        <v>475</v>
      </c>
      <c r="C113" s="225" t="s">
        <v>256</v>
      </c>
      <c r="D113" s="179">
        <v>50</v>
      </c>
      <c r="F113" s="179">
        <v>15</v>
      </c>
      <c r="I113" s="224" t="s">
        <v>643</v>
      </c>
      <c r="J113" s="224" t="s">
        <v>734</v>
      </c>
      <c r="K113" s="178">
        <v>2021</v>
      </c>
      <c r="L113" s="202"/>
    </row>
    <row r="114" spans="2:12">
      <c r="B114" s="224" t="s">
        <v>735</v>
      </c>
      <c r="C114" s="225" t="s">
        <v>256</v>
      </c>
      <c r="D114" s="179">
        <v>50</v>
      </c>
      <c r="F114" s="179">
        <v>15</v>
      </c>
      <c r="I114" s="224" t="s">
        <v>643</v>
      </c>
      <c r="J114" s="224" t="s">
        <v>666</v>
      </c>
      <c r="K114" s="178">
        <v>2020</v>
      </c>
      <c r="L114" s="202"/>
    </row>
    <row r="115" spans="2:12">
      <c r="B115" s="224" t="s">
        <v>736</v>
      </c>
      <c r="C115" s="225" t="s">
        <v>256</v>
      </c>
      <c r="D115" s="179">
        <v>50</v>
      </c>
      <c r="E115" s="226" t="s">
        <v>564</v>
      </c>
      <c r="F115" s="179">
        <v>15</v>
      </c>
      <c r="I115" s="224" t="s">
        <v>643</v>
      </c>
      <c r="J115" s="224" t="s">
        <v>666</v>
      </c>
      <c r="K115" s="178">
        <v>2019</v>
      </c>
      <c r="L115" s="202"/>
    </row>
    <row r="116" spans="2:12">
      <c r="B116" s="226" t="s">
        <v>737</v>
      </c>
      <c r="C116" s="227" t="s">
        <v>256</v>
      </c>
      <c r="D116" s="179">
        <v>50</v>
      </c>
      <c r="F116" s="179">
        <v>15</v>
      </c>
      <c r="I116" s="226" t="s">
        <v>643</v>
      </c>
      <c r="J116" s="224" t="s">
        <v>666</v>
      </c>
      <c r="K116" s="178">
        <v>2021</v>
      </c>
      <c r="L116" s="202"/>
    </row>
    <row r="117" spans="2:12">
      <c r="B117" s="226" t="s">
        <v>738</v>
      </c>
      <c r="C117" s="227" t="s">
        <v>256</v>
      </c>
      <c r="D117" s="179">
        <v>50</v>
      </c>
      <c r="E117" s="226" t="s">
        <v>564</v>
      </c>
      <c r="F117" s="179">
        <v>14</v>
      </c>
      <c r="I117" s="226" t="s">
        <v>643</v>
      </c>
      <c r="J117" s="226" t="s">
        <v>734</v>
      </c>
      <c r="K117" s="178">
        <v>2019</v>
      </c>
      <c r="L117" s="202"/>
    </row>
    <row r="118" spans="2:12">
      <c r="B118" s="202" t="s">
        <v>568</v>
      </c>
      <c r="C118" s="203" t="s">
        <v>256</v>
      </c>
      <c r="L118" s="202" t="s">
        <v>401</v>
      </c>
    </row>
    <row r="119" spans="2:12">
      <c r="B119" s="178" t="s">
        <v>436</v>
      </c>
    </row>
    <row r="120" spans="2:12">
      <c r="B120" s="204" t="s">
        <v>603</v>
      </c>
    </row>
    <row r="121" spans="2:12">
      <c r="B121" s="206" t="s">
        <v>650</v>
      </c>
      <c r="C121" s="207" t="s">
        <v>256</v>
      </c>
      <c r="D121" s="179">
        <v>500</v>
      </c>
      <c r="E121" s="206" t="s">
        <v>564</v>
      </c>
      <c r="F121" s="179">
        <v>70</v>
      </c>
    </row>
    <row r="122" spans="2:12">
      <c r="B122" s="206" t="s">
        <v>651</v>
      </c>
      <c r="C122" s="207" t="s">
        <v>256</v>
      </c>
      <c r="D122" s="179">
        <v>500</v>
      </c>
      <c r="E122" s="206" t="s">
        <v>590</v>
      </c>
      <c r="F122" s="179">
        <v>80</v>
      </c>
      <c r="J122" s="206" t="s">
        <v>652</v>
      </c>
    </row>
    <row r="123" spans="2:12">
      <c r="B123" s="64" t="s">
        <v>476</v>
      </c>
      <c r="C123" s="200" t="s">
        <v>256</v>
      </c>
      <c r="D123" s="201">
        <v>50</v>
      </c>
      <c r="E123" s="64" t="s">
        <v>571</v>
      </c>
      <c r="F123" s="201">
        <v>13.75</v>
      </c>
      <c r="G123" s="64"/>
      <c r="H123" s="64"/>
      <c r="I123" s="64" t="s">
        <v>644</v>
      </c>
      <c r="J123" s="64" t="s">
        <v>739</v>
      </c>
      <c r="K123" s="178">
        <v>2021</v>
      </c>
    </row>
    <row r="124" spans="2:12">
      <c r="B124" s="204" t="s">
        <v>606</v>
      </c>
    </row>
    <row r="125" spans="2:12">
      <c r="B125" s="228" t="s">
        <v>740</v>
      </c>
      <c r="C125" s="229" t="s">
        <v>256</v>
      </c>
      <c r="D125" s="179">
        <v>50</v>
      </c>
      <c r="E125" s="228" t="s">
        <v>571</v>
      </c>
      <c r="F125" s="179">
        <v>13</v>
      </c>
      <c r="I125" s="228" t="s">
        <v>643</v>
      </c>
      <c r="J125" s="228" t="s">
        <v>721</v>
      </c>
      <c r="K125" s="178">
        <v>2019</v>
      </c>
    </row>
    <row r="126" spans="2:12">
      <c r="B126" s="204" t="s">
        <v>607</v>
      </c>
    </row>
    <row r="127" spans="2:12">
      <c r="B127" s="204" t="s">
        <v>145</v>
      </c>
      <c r="F127" s="179">
        <v>5</v>
      </c>
    </row>
    <row r="128" spans="2:12">
      <c r="B128" s="204" t="s">
        <v>604</v>
      </c>
    </row>
    <row r="129" spans="2:6">
      <c r="B129" s="204" t="s">
        <v>605</v>
      </c>
    </row>
    <row r="130" spans="2:6">
      <c r="B130" s="178" t="s">
        <v>437</v>
      </c>
    </row>
    <row r="131" spans="2:6">
      <c r="B131" s="178" t="s">
        <v>438</v>
      </c>
      <c r="F131" s="179">
        <v>159</v>
      </c>
    </row>
    <row r="132" spans="2:6">
      <c r="B132" s="178" t="s">
        <v>439</v>
      </c>
      <c r="F132" s="179">
        <v>150</v>
      </c>
    </row>
    <row r="133" spans="2:6">
      <c r="B133" s="178" t="s">
        <v>440</v>
      </c>
      <c r="F133" s="179">
        <v>150</v>
      </c>
    </row>
    <row r="134" spans="2:6">
      <c r="B134" s="178" t="s">
        <v>441</v>
      </c>
      <c r="F134" s="179">
        <v>150</v>
      </c>
    </row>
    <row r="135" spans="2:6">
      <c r="B135" s="178" t="s">
        <v>442</v>
      </c>
      <c r="F135" s="179">
        <v>150</v>
      </c>
    </row>
    <row r="136" spans="2:6">
      <c r="B136" s="178" t="s">
        <v>443</v>
      </c>
      <c r="F136" s="179">
        <v>150</v>
      </c>
    </row>
    <row r="137" spans="2:6">
      <c r="B137" s="178" t="s">
        <v>444</v>
      </c>
      <c r="F137" s="179">
        <v>150</v>
      </c>
    </row>
    <row r="138" spans="2:6">
      <c r="B138" s="178" t="s">
        <v>445</v>
      </c>
      <c r="F138" s="179">
        <v>140</v>
      </c>
    </row>
    <row r="139" spans="2:6">
      <c r="B139" s="178" t="s">
        <v>446</v>
      </c>
      <c r="F139" s="179">
        <v>138</v>
      </c>
    </row>
    <row r="140" spans="2:6">
      <c r="B140" s="178" t="s">
        <v>447</v>
      </c>
      <c r="F140" s="179">
        <v>132</v>
      </c>
    </row>
    <row r="141" spans="2:6">
      <c r="B141" s="204" t="s">
        <v>608</v>
      </c>
      <c r="F141" s="179">
        <v>10</v>
      </c>
    </row>
    <row r="142" spans="2:6">
      <c r="B142" s="178" t="s">
        <v>448</v>
      </c>
      <c r="F142" s="179">
        <v>125</v>
      </c>
    </row>
    <row r="143" spans="2:6">
      <c r="B143" s="178" t="s">
        <v>449</v>
      </c>
      <c r="F143" s="179">
        <v>100</v>
      </c>
    </row>
    <row r="144" spans="2:6">
      <c r="B144" s="204" t="s">
        <v>609</v>
      </c>
    </row>
    <row r="145" spans="2:12">
      <c r="B145" s="204" t="s">
        <v>610</v>
      </c>
    </row>
    <row r="146" spans="2:12">
      <c r="B146" s="204" t="s">
        <v>611</v>
      </c>
    </row>
    <row r="147" spans="2:12">
      <c r="B147" s="204" t="s">
        <v>615</v>
      </c>
      <c r="C147" s="207" t="s">
        <v>256</v>
      </c>
      <c r="D147" s="213">
        <v>100</v>
      </c>
      <c r="E147" s="206" t="s">
        <v>704</v>
      </c>
      <c r="F147" s="179">
        <v>25</v>
      </c>
      <c r="I147" s="206" t="s">
        <v>705</v>
      </c>
    </row>
    <row r="148" spans="2:12">
      <c r="B148" s="204" t="s">
        <v>616</v>
      </c>
    </row>
    <row r="149" spans="2:12">
      <c r="B149" s="204" t="s">
        <v>617</v>
      </c>
    </row>
    <row r="150" spans="2:12">
      <c r="B150" s="204" t="s">
        <v>618</v>
      </c>
    </row>
    <row r="151" spans="2:12">
      <c r="B151" s="204" t="s">
        <v>619</v>
      </c>
    </row>
    <row r="152" spans="2:12">
      <c r="B152" s="204" t="s">
        <v>620</v>
      </c>
    </row>
    <row r="153" spans="2:12">
      <c r="B153" s="204" t="s">
        <v>621</v>
      </c>
    </row>
    <row r="154" spans="2:12">
      <c r="B154" s="204" t="s">
        <v>622</v>
      </c>
    </row>
    <row r="155" spans="2:12">
      <c r="B155" s="204" t="s">
        <v>623</v>
      </c>
    </row>
    <row r="156" spans="2:12">
      <c r="B156" s="204" t="s">
        <v>612</v>
      </c>
    </row>
    <row r="157" spans="2:12">
      <c r="B157" s="204" t="s">
        <v>613</v>
      </c>
    </row>
    <row r="158" spans="2:12">
      <c r="B158" s="204" t="s">
        <v>614</v>
      </c>
    </row>
    <row r="159" spans="2:12">
      <c r="B159" s="178" t="s">
        <v>451</v>
      </c>
      <c r="F159" s="179">
        <v>100</v>
      </c>
    </row>
    <row r="160" spans="2:12">
      <c r="B160" s="178" t="s">
        <v>453</v>
      </c>
      <c r="C160" s="207" t="s">
        <v>256</v>
      </c>
      <c r="D160" s="179">
        <v>200</v>
      </c>
      <c r="E160" s="206" t="s">
        <v>571</v>
      </c>
      <c r="F160" s="179">
        <v>100</v>
      </c>
      <c r="G160" s="206" t="s">
        <v>640</v>
      </c>
      <c r="J160" s="206" t="s">
        <v>433</v>
      </c>
      <c r="K160" s="178">
        <v>2022</v>
      </c>
      <c r="L160" s="206" t="s">
        <v>629</v>
      </c>
    </row>
    <row r="161" spans="2:10">
      <c r="B161" s="178" t="s">
        <v>470</v>
      </c>
    </row>
    <row r="162" spans="2:10">
      <c r="B162" s="178" t="s">
        <v>514</v>
      </c>
    </row>
    <row r="163" spans="2:10">
      <c r="B163" s="178" t="s">
        <v>516</v>
      </c>
      <c r="C163" s="203" t="s">
        <v>256</v>
      </c>
      <c r="D163" s="179">
        <v>75</v>
      </c>
    </row>
    <row r="164" spans="2:10">
      <c r="B164" s="178" t="s">
        <v>515</v>
      </c>
      <c r="J164" s="5" t="s">
        <v>521</v>
      </c>
    </row>
    <row r="166" spans="2:10">
      <c r="B166" s="204" t="s">
        <v>601</v>
      </c>
    </row>
    <row r="167" spans="2:10">
      <c r="B167" s="204" t="s">
        <v>602</v>
      </c>
    </row>
    <row r="168" spans="2:10">
      <c r="B168" s="178" t="s">
        <v>473</v>
      </c>
    </row>
    <row r="169" spans="2:10">
      <c r="B169" s="178" t="s">
        <v>474</v>
      </c>
    </row>
    <row r="170" spans="2:10">
      <c r="B170" s="178" t="s">
        <v>475</v>
      </c>
    </row>
    <row r="171" spans="2:10">
      <c r="B171" s="178" t="s">
        <v>476</v>
      </c>
    </row>
    <row r="172" spans="2:10">
      <c r="B172" s="202" t="s">
        <v>589</v>
      </c>
      <c r="C172" s="203" t="s">
        <v>256</v>
      </c>
      <c r="J172" s="202" t="s">
        <v>592</v>
      </c>
    </row>
    <row r="173" spans="2:10">
      <c r="B173" s="206" t="s">
        <v>694</v>
      </c>
      <c r="C173" s="207" t="s">
        <v>256</v>
      </c>
      <c r="I173" s="206" t="s">
        <v>643</v>
      </c>
      <c r="J173" s="206" t="s">
        <v>695</v>
      </c>
    </row>
    <row r="175" spans="2:10">
      <c r="B175" s="95" t="s">
        <v>518</v>
      </c>
    </row>
    <row r="176" spans="2:10">
      <c r="B176" s="178" t="s">
        <v>511</v>
      </c>
      <c r="H176" s="178" t="s">
        <v>513</v>
      </c>
      <c r="J176" s="5" t="s">
        <v>522</v>
      </c>
    </row>
    <row r="177" spans="2:3">
      <c r="B177" s="178" t="s">
        <v>512</v>
      </c>
    </row>
    <row r="178" spans="2:3">
      <c r="B178" s="178" t="s">
        <v>519</v>
      </c>
      <c r="C178" s="5" t="s">
        <v>517</v>
      </c>
    </row>
    <row r="179" spans="2:3">
      <c r="B179" s="178" t="s">
        <v>524</v>
      </c>
      <c r="C179" s="5" t="s">
        <v>523</v>
      </c>
    </row>
    <row r="180" spans="2:3">
      <c r="B180" s="178" t="s">
        <v>525</v>
      </c>
      <c r="C180" s="182" t="s">
        <v>526</v>
      </c>
    </row>
    <row r="212" spans="2:12">
      <c r="B212" s="178" t="s">
        <v>431</v>
      </c>
      <c r="C212" s="203" t="s">
        <v>256</v>
      </c>
      <c r="D212" s="179">
        <v>4000</v>
      </c>
      <c r="F212" s="179">
        <v>400</v>
      </c>
      <c r="J212" s="178" t="s">
        <v>433</v>
      </c>
      <c r="K212" s="178">
        <v>2017</v>
      </c>
      <c r="L212" s="202" t="s">
        <v>575</v>
      </c>
    </row>
  </sheetData>
  <autoFilter ref="A2:K171" xr:uid="{DC9C89C9-C58C-431A-80D5-5C7D568EC13B}"/>
  <hyperlinks>
    <hyperlink ref="A1" location="Main!A1" display="Main" xr:uid="{A37A7071-3D61-430B-9870-62023C7BA352}"/>
    <hyperlink ref="C178" r:id="rId1" xr:uid="{61933356-4DAE-46D4-BAAB-523E916DA4CD}"/>
    <hyperlink ref="O32" r:id="rId2" xr:uid="{7C3C37F8-6BFF-44F4-8D86-2F59EFD976D8}"/>
    <hyperlink ref="J164" r:id="rId3" xr:uid="{82D25570-50C8-456F-B7DA-93D23837F857}"/>
    <hyperlink ref="J176" r:id="rId4" xr:uid="{1A3DF5F9-6F01-484D-8DB9-03E61CB068BA}"/>
    <hyperlink ref="C179" r:id="rId5" xr:uid="{EF10DB56-5F70-48B5-A61C-02F154472CAD}"/>
    <hyperlink ref="C180" r:id="rId6" xr:uid="{47D5FBF5-3BBD-473A-BCAE-24754E3588B6}"/>
    <hyperlink ref="O19" r:id="rId7" xr:uid="{45530F9C-6F03-4419-B248-DA5DE522BD64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9.1640625" defaultRowHeight="13"/>
  <cols>
    <col min="1" max="1" width="5" style="172" bestFit="1" customWidth="1"/>
    <col min="2" max="2" width="12.6640625" style="172" customWidth="1"/>
    <col min="3" max="16384" width="9.1640625" style="172"/>
  </cols>
  <sheetData>
    <row r="1" spans="1:15">
      <c r="A1" s="5" t="s">
        <v>146</v>
      </c>
    </row>
    <row r="2" spans="1:15">
      <c r="B2" s="172" t="s">
        <v>0</v>
      </c>
      <c r="C2" s="172">
        <v>2010</v>
      </c>
      <c r="D2" s="172">
        <f>C2+1</f>
        <v>2011</v>
      </c>
      <c r="E2" s="172">
        <f t="shared" ref="E2:O2" si="0">D2+1</f>
        <v>2012</v>
      </c>
      <c r="F2" s="172">
        <f t="shared" si="0"/>
        <v>2013</v>
      </c>
      <c r="G2" s="172">
        <f t="shared" si="0"/>
        <v>2014</v>
      </c>
      <c r="H2" s="172">
        <f t="shared" si="0"/>
        <v>2015</v>
      </c>
      <c r="I2" s="172">
        <f t="shared" si="0"/>
        <v>2016</v>
      </c>
      <c r="J2" s="172">
        <f t="shared" si="0"/>
        <v>2017</v>
      </c>
      <c r="K2" s="172">
        <f t="shared" si="0"/>
        <v>2018</v>
      </c>
      <c r="L2" s="172">
        <f t="shared" si="0"/>
        <v>2019</v>
      </c>
      <c r="M2" s="172">
        <f t="shared" si="0"/>
        <v>2020</v>
      </c>
      <c r="N2" s="172">
        <f t="shared" si="0"/>
        <v>2021</v>
      </c>
      <c r="O2" s="172">
        <f t="shared" si="0"/>
        <v>2022</v>
      </c>
    </row>
    <row r="3" spans="1:15">
      <c r="B3" s="176" t="s">
        <v>499</v>
      </c>
      <c r="C3" s="173">
        <f>SUM(C5:C25)</f>
        <v>62484</v>
      </c>
      <c r="D3" s="173">
        <f t="shared" ref="D3:O3" si="1">SUM(D5:D25)</f>
        <v>69943</v>
      </c>
      <c r="E3" s="173">
        <f t="shared" si="1"/>
        <v>119762</v>
      </c>
      <c r="F3" s="173">
        <f t="shared" si="1"/>
        <v>141240</v>
      </c>
      <c r="G3" s="173">
        <f t="shared" si="1"/>
        <v>169944</v>
      </c>
      <c r="H3" s="173">
        <f t="shared" si="1"/>
        <v>194377</v>
      </c>
      <c r="I3" s="173">
        <f t="shared" si="1"/>
        <v>253177</v>
      </c>
      <c r="J3" s="173">
        <f t="shared" si="1"/>
        <v>305432</v>
      </c>
      <c r="K3" s="173">
        <f t="shared" si="1"/>
        <v>371389</v>
      </c>
      <c r="L3" s="173">
        <f t="shared" si="1"/>
        <v>436330</v>
      </c>
      <c r="M3" s="173">
        <f t="shared" si="1"/>
        <v>503965</v>
      </c>
      <c r="N3" s="173">
        <f t="shared" si="1"/>
        <v>718643</v>
      </c>
      <c r="O3" s="177">
        <f t="shared" si="1"/>
        <v>825015.8</v>
      </c>
    </row>
    <row r="5" spans="1:15">
      <c r="B5" s="172" t="s">
        <v>9</v>
      </c>
      <c r="E5" s="173">
        <v>46039</v>
      </c>
      <c r="F5" s="173">
        <v>55519</v>
      </c>
      <c r="G5" s="173">
        <v>66001</v>
      </c>
      <c r="H5" s="173">
        <v>74989</v>
      </c>
      <c r="I5" s="173">
        <v>90272</v>
      </c>
      <c r="J5" s="173">
        <v>110855</v>
      </c>
      <c r="K5" s="173">
        <v>136819</v>
      </c>
      <c r="L5" s="173">
        <v>161857</v>
      </c>
      <c r="M5" s="173">
        <v>182527</v>
      </c>
      <c r="N5" s="173">
        <v>257637</v>
      </c>
      <c r="O5" s="173">
        <v>282836</v>
      </c>
    </row>
    <row r="6" spans="1:15">
      <c r="B6" s="172" t="s">
        <v>7</v>
      </c>
      <c r="C6" s="173">
        <v>62484</v>
      </c>
      <c r="D6" s="173">
        <v>69943</v>
      </c>
      <c r="E6" s="173">
        <v>73723</v>
      </c>
      <c r="F6" s="173">
        <v>77849</v>
      </c>
      <c r="G6" s="173">
        <v>86833</v>
      </c>
      <c r="H6" s="173">
        <v>93580</v>
      </c>
      <c r="I6" s="173">
        <v>85320</v>
      </c>
      <c r="J6" s="173">
        <v>96571</v>
      </c>
      <c r="K6" s="173">
        <v>110360</v>
      </c>
      <c r="L6" s="173">
        <v>125843</v>
      </c>
      <c r="M6" s="173">
        <v>143015</v>
      </c>
      <c r="N6" s="173">
        <v>184903</v>
      </c>
      <c r="O6" s="173">
        <v>204094</v>
      </c>
    </row>
    <row r="7" spans="1:15">
      <c r="B7" s="172" t="s">
        <v>13</v>
      </c>
      <c r="F7" s="173">
        <v>7872</v>
      </c>
      <c r="G7" s="173">
        <v>12466</v>
      </c>
      <c r="H7" s="173">
        <v>17928</v>
      </c>
      <c r="I7" s="173">
        <v>27638</v>
      </c>
      <c r="J7" s="173">
        <v>40653</v>
      </c>
      <c r="K7" s="173">
        <v>55838</v>
      </c>
      <c r="L7" s="173">
        <v>70697</v>
      </c>
      <c r="M7" s="173">
        <v>85965</v>
      </c>
      <c r="N7" s="173">
        <v>117929</v>
      </c>
      <c r="O7" s="173">
        <v>116609</v>
      </c>
    </row>
    <row r="8" spans="1:15">
      <c r="B8" s="172" t="s">
        <v>486</v>
      </c>
      <c r="G8" s="173">
        <v>4644</v>
      </c>
      <c r="H8" s="173">
        <v>7880</v>
      </c>
      <c r="I8" s="173">
        <v>12219</v>
      </c>
      <c r="J8" s="173">
        <v>17459</v>
      </c>
      <c r="K8" s="173">
        <v>25655</v>
      </c>
      <c r="L8" s="173">
        <v>35026</v>
      </c>
      <c r="M8" s="173">
        <v>45370</v>
      </c>
      <c r="N8" s="173">
        <v>62202</v>
      </c>
      <c r="O8" s="173">
        <v>80096</v>
      </c>
    </row>
    <row r="9" spans="1:15">
      <c r="B9" s="172" t="s">
        <v>23</v>
      </c>
      <c r="I9" s="173">
        <v>37728</v>
      </c>
      <c r="J9" s="173">
        <v>39831</v>
      </c>
      <c r="K9" s="173">
        <v>39506</v>
      </c>
      <c r="L9" s="173">
        <v>39068</v>
      </c>
      <c r="M9" s="173">
        <v>40479</v>
      </c>
      <c r="N9" s="173">
        <v>42440</v>
      </c>
      <c r="O9" s="173">
        <v>46073</v>
      </c>
    </row>
    <row r="10" spans="1:15">
      <c r="B10" s="172" t="s">
        <v>25</v>
      </c>
      <c r="N10" s="173">
        <v>27843</v>
      </c>
      <c r="O10" s="174">
        <f>N10*1.1</f>
        <v>30627.300000000003</v>
      </c>
    </row>
    <row r="11" spans="1:15">
      <c r="B11" s="172" t="s">
        <v>21</v>
      </c>
      <c r="O11" s="174">
        <v>30294</v>
      </c>
    </row>
    <row r="12" spans="1:15">
      <c r="B12" s="172" t="s">
        <v>19</v>
      </c>
      <c r="N12" s="173">
        <v>15785</v>
      </c>
      <c r="O12" s="174">
        <f>N12*1.1</f>
        <v>17363.5</v>
      </c>
    </row>
    <row r="13" spans="1:15">
      <c r="B13" s="172" t="s">
        <v>487</v>
      </c>
      <c r="J13" s="173">
        <v>63</v>
      </c>
      <c r="K13" s="173">
        <v>150</v>
      </c>
      <c r="L13" s="173">
        <v>350</v>
      </c>
      <c r="M13" s="173">
        <v>2640</v>
      </c>
      <c r="N13" s="173">
        <v>4697</v>
      </c>
      <c r="O13" s="173">
        <v>9401</v>
      </c>
    </row>
    <row r="14" spans="1:15">
      <c r="B14" s="172" t="s">
        <v>264</v>
      </c>
    </row>
    <row r="15" spans="1:15">
      <c r="B15" s="172" t="s">
        <v>44</v>
      </c>
    </row>
    <row r="16" spans="1:15">
      <c r="B16" s="172" t="s">
        <v>178</v>
      </c>
    </row>
    <row r="17" spans="2:15">
      <c r="B17" s="172" t="s">
        <v>29</v>
      </c>
    </row>
    <row r="18" spans="2:15">
      <c r="B18" s="172" t="s">
        <v>488</v>
      </c>
    </row>
    <row r="19" spans="2:15">
      <c r="B19" s="176" t="s">
        <v>180</v>
      </c>
      <c r="K19" s="173">
        <v>3061</v>
      </c>
      <c r="L19" s="173">
        <v>3489</v>
      </c>
      <c r="M19" s="173">
        <v>3969</v>
      </c>
      <c r="N19" s="173">
        <v>5107</v>
      </c>
      <c r="O19" s="173">
        <v>6622</v>
      </c>
    </row>
    <row r="20" spans="2:15">
      <c r="B20" s="172" t="s">
        <v>33</v>
      </c>
    </row>
    <row r="21" spans="2:15">
      <c r="B21" s="172" t="s">
        <v>401</v>
      </c>
      <c r="N21" s="173">
        <v>100</v>
      </c>
      <c r="O21" s="173">
        <v>1000</v>
      </c>
    </row>
    <row r="22" spans="2:15">
      <c r="B22" s="172" t="s">
        <v>40</v>
      </c>
    </row>
    <row r="23" spans="2:15">
      <c r="B23" s="172" t="s">
        <v>50</v>
      </c>
    </row>
    <row r="24" spans="2:15">
      <c r="B24" s="172" t="s">
        <v>52</v>
      </c>
    </row>
    <row r="25" spans="2:15">
      <c r="B25" s="172" t="s">
        <v>304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Z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0" sqref="D20"/>
    </sheetView>
  </sheetViews>
  <sheetFormatPr baseColWidth="10" defaultColWidth="9.1640625" defaultRowHeight="13"/>
  <cols>
    <col min="1" max="1" width="5" style="10" bestFit="1" customWidth="1"/>
    <col min="2" max="2" width="13.6640625" style="10" customWidth="1"/>
    <col min="3" max="3" width="9.1640625" style="10"/>
    <col min="4" max="4" width="10" style="10" bestFit="1" customWidth="1"/>
    <col min="5" max="9" width="9.1640625" style="10"/>
    <col min="10" max="10" width="10.33203125" style="10" customWidth="1"/>
    <col min="11" max="16384" width="9.1640625" style="10"/>
  </cols>
  <sheetData>
    <row r="1" spans="1:26">
      <c r="A1" s="5" t="s">
        <v>146</v>
      </c>
    </row>
    <row r="2" spans="1:26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  <c r="Y2" s="188" t="s">
        <v>533</v>
      </c>
    </row>
    <row r="3" spans="1:26">
      <c r="A3" s="72" t="s">
        <v>261</v>
      </c>
      <c r="B3" s="5" t="s">
        <v>7</v>
      </c>
      <c r="C3" s="20" t="s">
        <v>8</v>
      </c>
      <c r="D3" s="21">
        <v>252</v>
      </c>
      <c r="E3" s="22">
        <f>D3*[1]Main!$L$3</f>
        <v>1883196</v>
      </c>
      <c r="F3" s="22">
        <f>[1]Main!$L$5-[1]Main!$L$6</f>
        <v>58489</v>
      </c>
      <c r="G3" s="22">
        <f>+E3-F3</f>
        <v>1824707</v>
      </c>
      <c r="H3" s="22">
        <f>+[1]Main!$L$3</f>
        <v>7473</v>
      </c>
      <c r="I3" s="23" t="s">
        <v>14</v>
      </c>
    </row>
    <row r="4" spans="1:26">
      <c r="A4" s="72" t="s">
        <v>261</v>
      </c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</row>
    <row r="5" spans="1:26" s="20" customFormat="1">
      <c r="A5" s="82" t="s">
        <v>261</v>
      </c>
      <c r="B5" s="5" t="s">
        <v>19</v>
      </c>
      <c r="C5" s="20" t="s">
        <v>20</v>
      </c>
      <c r="D5" s="21">
        <v>309.18</v>
      </c>
      <c r="E5" s="22">
        <f>+D5*[28]Main!$N$3</f>
        <v>146087.55000000002</v>
      </c>
      <c r="F5" s="22">
        <f>+[28]Main!$N$5-[28]Main!$N$6</f>
        <v>1173</v>
      </c>
      <c r="G5" s="22">
        <f t="shared" ref="G5:G8" si="0">+E5-F5</f>
        <v>144914.55000000002</v>
      </c>
      <c r="H5" s="22">
        <f>+[28]Main!$N$3</f>
        <v>472.5</v>
      </c>
      <c r="I5" s="23" t="s">
        <v>208</v>
      </c>
      <c r="J5" s="43">
        <v>44823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6" s="20" customFormat="1">
      <c r="A6" s="82" t="s">
        <v>261</v>
      </c>
      <c r="B6" s="5" t="s">
        <v>267</v>
      </c>
      <c r="C6" s="82" t="s">
        <v>268</v>
      </c>
      <c r="D6" s="154">
        <v>12025</v>
      </c>
      <c r="E6" s="22">
        <f>D6*H6/JPY</f>
        <v>108755.68776016941</v>
      </c>
      <c r="F6" s="22">
        <f>([29]Main!$O$7-[29]Main!$O$8)/JPY</f>
        <v>3147.411085956328</v>
      </c>
      <c r="G6" s="22">
        <f t="shared" si="0"/>
        <v>105608.27667421309</v>
      </c>
      <c r="H6" s="22">
        <f>[29]Main!$O$4</f>
        <v>1238.413</v>
      </c>
      <c r="I6" s="155" t="s">
        <v>390</v>
      </c>
      <c r="J6" s="43">
        <v>44994</v>
      </c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6" s="20" customFormat="1">
      <c r="A7" s="153" t="s">
        <v>261</v>
      </c>
      <c r="B7" s="5" t="s">
        <v>267</v>
      </c>
      <c r="C7" s="153" t="s">
        <v>391</v>
      </c>
      <c r="D7" s="21">
        <v>87.8</v>
      </c>
      <c r="E7" s="22">
        <f>D7*H7</f>
        <v>108732.6614</v>
      </c>
      <c r="F7" s="22">
        <f>([29]Main!$O$7-[29]Main!$O$8)/JPY</f>
        <v>3147.411085956328</v>
      </c>
      <c r="G7" s="22">
        <f t="shared" si="0"/>
        <v>105585.25031404367</v>
      </c>
      <c r="H7" s="22">
        <f>[29]Main!$O$4</f>
        <v>1238.413</v>
      </c>
      <c r="I7" s="155" t="s">
        <v>390</v>
      </c>
      <c r="J7" s="43">
        <v>44994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6" s="20" customFormat="1">
      <c r="A8" s="85" t="s">
        <v>261</v>
      </c>
      <c r="B8" s="85" t="s">
        <v>271</v>
      </c>
      <c r="C8" s="85" t="s">
        <v>272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6">
      <c r="A9" s="87" t="s">
        <v>261</v>
      </c>
      <c r="B9" s="5" t="s">
        <v>175</v>
      </c>
      <c r="C9" s="10" t="s">
        <v>176</v>
      </c>
      <c r="D9" s="10">
        <v>73.88</v>
      </c>
      <c r="E9" s="52">
        <f>+D9*H9</f>
        <v>57820.358567719995</v>
      </c>
      <c r="F9" s="52">
        <f>+[30]Main!$J$5-[30]Main!$J$6</f>
        <v>7078</v>
      </c>
      <c r="G9" s="22">
        <f t="shared" ref="G9" si="1">+E9-F9</f>
        <v>50742.358567719995</v>
      </c>
      <c r="H9" s="52">
        <f>+[30]Main!$J$3</f>
        <v>782.62531899999999</v>
      </c>
      <c r="I9" s="144" t="s">
        <v>359</v>
      </c>
      <c r="J9" s="67">
        <v>44946</v>
      </c>
    </row>
    <row r="10" spans="1:26">
      <c r="A10" s="87" t="s">
        <v>261</v>
      </c>
      <c r="B10" s="10" t="s">
        <v>177</v>
      </c>
      <c r="C10" s="46" t="s">
        <v>240</v>
      </c>
      <c r="D10" s="52">
        <v>59910</v>
      </c>
      <c r="E10" s="52" cm="1">
        <f t="array" ref="E10">6975000/JPY</f>
        <v>50938.435697071494</v>
      </c>
    </row>
    <row r="11" spans="1:26">
      <c r="A11" s="88" t="s">
        <v>261</v>
      </c>
      <c r="B11" s="88" t="s">
        <v>275</v>
      </c>
      <c r="C11" s="88" t="s">
        <v>276</v>
      </c>
      <c r="D11" s="52"/>
      <c r="E11" s="52"/>
    </row>
    <row r="12" spans="1:26">
      <c r="A12" s="98" t="s">
        <v>261</v>
      </c>
      <c r="B12" s="98" t="s">
        <v>293</v>
      </c>
      <c r="C12" s="98" t="s">
        <v>294</v>
      </c>
      <c r="D12" s="52"/>
      <c r="E12" s="52"/>
    </row>
    <row r="13" spans="1:26">
      <c r="A13" s="98" t="s">
        <v>261</v>
      </c>
      <c r="B13" s="5" t="s">
        <v>171</v>
      </c>
      <c r="C13" s="10" t="s">
        <v>172</v>
      </c>
      <c r="D13" s="10">
        <v>130.47999999999999</v>
      </c>
      <c r="E13" s="52">
        <f>+D13*H13</f>
        <v>36664.879999999997</v>
      </c>
      <c r="F13" s="52">
        <f>+[31]Main!$N$5-[31]Main!$N$6</f>
        <v>538</v>
      </c>
      <c r="G13" s="52">
        <f>+E13-F13</f>
        <v>36126.879999999997</v>
      </c>
      <c r="H13" s="10">
        <f>+[31]Main!$N$3</f>
        <v>281</v>
      </c>
      <c r="I13" s="66" t="s">
        <v>208</v>
      </c>
      <c r="J13" s="67">
        <v>44799</v>
      </c>
      <c r="X13" s="10">
        <v>1982</v>
      </c>
    </row>
    <row r="14" spans="1:26" s="1" customFormat="1">
      <c r="A14" s="1" t="s">
        <v>261</v>
      </c>
      <c r="B14" s="5" t="s">
        <v>77</v>
      </c>
      <c r="C14" s="1" t="s">
        <v>78</v>
      </c>
      <c r="D14" s="2">
        <v>37.76</v>
      </c>
      <c r="E14" s="3">
        <f>D14*H14</f>
        <v>22849.913459200001</v>
      </c>
      <c r="F14" s="3">
        <f>[32]Main!$L$5-[32]Main!$L$6</f>
        <v>1988</v>
      </c>
      <c r="G14" s="3">
        <f>+E14-F14</f>
        <v>20861.913459200001</v>
      </c>
      <c r="H14" s="3">
        <f>[32]Main!$L$3</f>
        <v>605.13542000000007</v>
      </c>
      <c r="I14" s="4" t="s">
        <v>390</v>
      </c>
      <c r="J14" s="152">
        <v>44987</v>
      </c>
      <c r="X14" s="1">
        <v>2004</v>
      </c>
      <c r="Y14" s="1">
        <v>56</v>
      </c>
      <c r="Z14" s="190">
        <f>G14/Y14</f>
        <v>372.53416891428571</v>
      </c>
    </row>
    <row r="15" spans="1:26" s="1" customFormat="1">
      <c r="A15" s="1" t="s">
        <v>261</v>
      </c>
      <c r="B15" s="136" t="s">
        <v>340</v>
      </c>
      <c r="C15" s="1" t="s">
        <v>341</v>
      </c>
      <c r="D15" s="2"/>
      <c r="E15" s="3"/>
      <c r="F15" s="3"/>
      <c r="G15" s="3"/>
      <c r="H15" s="4"/>
      <c r="I15" s="4"/>
    </row>
    <row r="16" spans="1:26">
      <c r="B16" s="10" t="s">
        <v>173</v>
      </c>
      <c r="C16" s="10" t="s">
        <v>174</v>
      </c>
      <c r="D16" s="10">
        <v>127.74</v>
      </c>
      <c r="E16" s="52">
        <v>21290</v>
      </c>
    </row>
    <row r="17" spans="2:26" s="1" customFormat="1">
      <c r="B17" s="1" t="s">
        <v>88</v>
      </c>
      <c r="C17" s="1" t="s">
        <v>89</v>
      </c>
      <c r="D17" s="2">
        <v>45.8</v>
      </c>
      <c r="E17" s="3">
        <v>14330</v>
      </c>
      <c r="F17" s="4"/>
      <c r="G17" s="4"/>
      <c r="H17" s="4"/>
    </row>
    <row r="18" spans="2:26" s="1" customFormat="1">
      <c r="B18" s="1" t="s">
        <v>259</v>
      </c>
      <c r="C18" s="1" t="s">
        <v>260</v>
      </c>
      <c r="D18" s="2"/>
      <c r="E18" s="3"/>
      <c r="F18" s="4"/>
      <c r="G18" s="4"/>
      <c r="H18" s="4"/>
    </row>
    <row r="19" spans="2:26" s="20" customFormat="1">
      <c r="B19" s="114" t="s">
        <v>75</v>
      </c>
      <c r="C19" s="20" t="s">
        <v>76</v>
      </c>
      <c r="D19" s="21">
        <v>102.23</v>
      </c>
      <c r="E19" s="22">
        <f>+D19*[33]Main!$K$3</f>
        <v>20147.20788088</v>
      </c>
      <c r="F19" s="22">
        <f>+[33]Main!$K$5-[33]Main!$K$6</f>
        <v>3155</v>
      </c>
      <c r="G19" s="22">
        <f>E19-F19</f>
        <v>16992.20788088</v>
      </c>
      <c r="H19" s="22"/>
      <c r="I19" s="23" t="s">
        <v>14</v>
      </c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</row>
    <row r="20" spans="2:26" s="20" customFormat="1">
      <c r="B20" s="65" t="s">
        <v>258</v>
      </c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6" s="20" customFormat="1">
      <c r="D21" s="21"/>
      <c r="E21" s="22"/>
      <c r="F21" s="23"/>
      <c r="G21" s="23"/>
      <c r="H21" s="23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6" s="20" customFormat="1">
      <c r="D22" s="21"/>
      <c r="E22" s="22"/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2:26" s="20" customFormat="1"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2:26">
      <c r="B24" s="1" t="s">
        <v>54</v>
      </c>
      <c r="C24" s="1"/>
      <c r="D24" s="2"/>
      <c r="E24" s="3">
        <v>31500</v>
      </c>
      <c r="G24" s="52">
        <f>E24</f>
        <v>31500</v>
      </c>
      <c r="Y24" s="10">
        <v>270</v>
      </c>
      <c r="Z24" s="190">
        <f>G24/Y24</f>
        <v>116.66666666666667</v>
      </c>
    </row>
    <row r="25" spans="2:26" s="20" customFormat="1">
      <c r="B25" s="20" t="s">
        <v>58</v>
      </c>
      <c r="D25" s="21"/>
      <c r="E25" s="22">
        <v>27000</v>
      </c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2:26" s="20" customFormat="1">
      <c r="B26" s="20" t="s">
        <v>110</v>
      </c>
      <c r="D26" s="21"/>
      <c r="E26" s="22">
        <v>10000</v>
      </c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2:26">
      <c r="B27" s="63" t="s">
        <v>257</v>
      </c>
    </row>
    <row r="28" spans="2:26">
      <c r="B28" s="165" t="s">
        <v>481</v>
      </c>
    </row>
    <row r="29" spans="2:26">
      <c r="B29" s="206" t="s">
        <v>624</v>
      </c>
      <c r="E29" s="10">
        <v>100</v>
      </c>
      <c r="H29" s="206" t="s">
        <v>625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19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35"/>
  <sheetViews>
    <sheetView zoomScale="235" zoomScaleNormal="23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baseColWidth="10" defaultColWidth="9.1640625" defaultRowHeight="13"/>
  <cols>
    <col min="1" max="1" width="5" style="10" bestFit="1" customWidth="1"/>
    <col min="2" max="2" width="18.33203125" style="10" customWidth="1"/>
    <col min="3" max="3" width="10.5" style="10" bestFit="1" customWidth="1"/>
    <col min="4" max="9" width="9.1640625" style="68"/>
    <col min="10" max="16384" width="9.1640625" style="10"/>
  </cols>
  <sheetData>
    <row r="1" spans="1:24">
      <c r="A1" s="5" t="s">
        <v>146</v>
      </c>
    </row>
    <row r="2" spans="1:24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221</v>
      </c>
      <c r="I2" s="17" t="s">
        <v>6</v>
      </c>
      <c r="J2" s="42" t="s">
        <v>232</v>
      </c>
      <c r="K2" s="18" t="s">
        <v>216</v>
      </c>
      <c r="L2" s="18" t="s">
        <v>220</v>
      </c>
      <c r="M2" s="18" t="s">
        <v>217</v>
      </c>
      <c r="N2" s="18" t="s">
        <v>218</v>
      </c>
      <c r="O2" s="19" t="s">
        <v>219</v>
      </c>
      <c r="P2" s="48" t="s">
        <v>237</v>
      </c>
      <c r="Q2" s="50" t="s">
        <v>238</v>
      </c>
      <c r="R2" s="50" t="s">
        <v>239</v>
      </c>
      <c r="S2" s="19">
        <v>2025</v>
      </c>
      <c r="T2" s="48" t="s">
        <v>236</v>
      </c>
      <c r="U2" s="18">
        <v>2023</v>
      </c>
      <c r="V2" s="18">
        <v>2024</v>
      </c>
      <c r="W2" s="19">
        <v>2025</v>
      </c>
      <c r="X2" s="51" t="s">
        <v>222</v>
      </c>
    </row>
    <row r="3" spans="1:24" s="52" customFormat="1">
      <c r="A3" s="71" t="s">
        <v>261</v>
      </c>
      <c r="B3" s="52" t="s">
        <v>166</v>
      </c>
      <c r="C3" s="52" t="s">
        <v>167</v>
      </c>
      <c r="D3" s="69">
        <v>206.8</v>
      </c>
      <c r="E3" s="70">
        <v>427830</v>
      </c>
      <c r="F3" s="70"/>
      <c r="G3" s="70"/>
      <c r="H3" s="70"/>
      <c r="I3" s="70"/>
    </row>
    <row r="4" spans="1:24" s="52" customFormat="1">
      <c r="A4" s="71" t="s">
        <v>261</v>
      </c>
      <c r="B4" s="52" t="s">
        <v>168</v>
      </c>
      <c r="C4" s="112" t="s">
        <v>323</v>
      </c>
      <c r="D4" s="69">
        <v>340.89</v>
      </c>
      <c r="E4" s="70">
        <v>329430</v>
      </c>
      <c r="F4" s="70"/>
      <c r="G4" s="70"/>
      <c r="H4" s="70"/>
      <c r="I4" s="70"/>
    </row>
    <row r="5" spans="1:24" s="52" customFormat="1">
      <c r="A5" s="83" t="s">
        <v>261</v>
      </c>
      <c r="B5" s="83" t="s">
        <v>265</v>
      </c>
      <c r="C5" s="83" t="s">
        <v>266</v>
      </c>
      <c r="D5" s="69"/>
      <c r="E5" s="70"/>
      <c r="F5" s="70"/>
      <c r="G5" s="70"/>
      <c r="H5" s="70"/>
      <c r="I5" s="70"/>
    </row>
    <row r="6" spans="1:24" s="52" customFormat="1">
      <c r="A6" s="84" t="s">
        <v>261</v>
      </c>
      <c r="B6" s="84" t="s">
        <v>269</v>
      </c>
      <c r="C6" s="84" t="s">
        <v>270</v>
      </c>
      <c r="D6" s="69"/>
      <c r="E6" s="70"/>
      <c r="F6" s="70"/>
      <c r="G6" s="70"/>
      <c r="H6" s="70"/>
      <c r="I6" s="70"/>
    </row>
    <row r="7" spans="1:24" s="20" customFormat="1">
      <c r="A7" s="82" t="s">
        <v>261</v>
      </c>
      <c r="B7" s="142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[34]Main!$L$5-[34]Main!$L$6</f>
        <v>-2851</v>
      </c>
      <c r="G7" s="22">
        <f>E7-F7</f>
        <v>119466.20633988002</v>
      </c>
      <c r="H7" s="22">
        <f>+[34]Main!$L$3</f>
        <v>281.86987900000003</v>
      </c>
      <c r="I7" s="131" t="s">
        <v>208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2" customFormat="1">
      <c r="A8" s="84" t="s">
        <v>261</v>
      </c>
      <c r="B8" s="186" t="s">
        <v>31</v>
      </c>
      <c r="C8" s="57" t="s">
        <v>32</v>
      </c>
      <c r="D8" s="60">
        <v>65</v>
      </c>
      <c r="E8" s="3">
        <f>D8*H8</f>
        <v>74360</v>
      </c>
      <c r="F8" s="70">
        <f>[35]Main!$M$5-[35]Main!$M$6</f>
        <v>5469</v>
      </c>
      <c r="G8" s="22">
        <f>E8-F8</f>
        <v>68891</v>
      </c>
      <c r="H8" s="70">
        <f>[35]Main!$M$3</f>
        <v>1144</v>
      </c>
      <c r="I8" s="187" t="s">
        <v>390</v>
      </c>
      <c r="J8" s="43">
        <v>45069</v>
      </c>
    </row>
    <row r="9" spans="1:24">
      <c r="A9" s="87" t="s">
        <v>261</v>
      </c>
      <c r="B9" s="87" t="s">
        <v>273</v>
      </c>
      <c r="C9" s="87" t="s">
        <v>274</v>
      </c>
    </row>
    <row r="10" spans="1:24">
      <c r="A10" s="88" t="s">
        <v>261</v>
      </c>
      <c r="B10" s="88" t="s">
        <v>277</v>
      </c>
      <c r="C10" s="88" t="s">
        <v>278</v>
      </c>
    </row>
    <row r="11" spans="1:24" s="52" customFormat="1">
      <c r="A11" s="91" t="s">
        <v>261</v>
      </c>
      <c r="B11" s="59" t="s">
        <v>251</v>
      </c>
      <c r="C11" s="52" t="s">
        <v>165</v>
      </c>
      <c r="D11" s="69">
        <v>70.94</v>
      </c>
      <c r="E11" s="70">
        <v>41870</v>
      </c>
      <c r="F11" s="70"/>
      <c r="G11" s="70"/>
      <c r="H11" s="70"/>
      <c r="I11" s="70"/>
    </row>
    <row r="12" spans="1:24" s="52" customFormat="1">
      <c r="A12" s="91" t="s">
        <v>261</v>
      </c>
      <c r="B12" s="91" t="s">
        <v>279</v>
      </c>
      <c r="C12" s="91" t="s">
        <v>280</v>
      </c>
      <c r="D12" s="69"/>
      <c r="E12" s="70"/>
      <c r="F12" s="70"/>
      <c r="G12" s="70"/>
      <c r="H12" s="70"/>
      <c r="I12" s="70"/>
    </row>
    <row r="13" spans="1:24" s="52" customFormat="1">
      <c r="A13" s="93" t="s">
        <v>261</v>
      </c>
      <c r="B13" s="93" t="s">
        <v>281</v>
      </c>
      <c r="C13" s="93" t="s">
        <v>282</v>
      </c>
      <c r="D13" s="69"/>
      <c r="E13" s="70"/>
      <c r="F13" s="70"/>
      <c r="G13" s="70"/>
      <c r="H13" s="70"/>
      <c r="I13" s="70"/>
    </row>
    <row r="14" spans="1:24" s="52" customFormat="1">
      <c r="A14" s="99" t="s">
        <v>261</v>
      </c>
      <c r="B14" s="99" t="s">
        <v>297</v>
      </c>
      <c r="C14" s="99" t="s">
        <v>297</v>
      </c>
      <c r="D14" s="69"/>
      <c r="E14" s="70"/>
      <c r="F14" s="70"/>
      <c r="G14" s="70"/>
      <c r="H14" s="70"/>
      <c r="I14" s="70"/>
    </row>
    <row r="15" spans="1:24" s="52" customFormat="1">
      <c r="A15" s="99" t="s">
        <v>261</v>
      </c>
      <c r="B15" s="99" t="s">
        <v>298</v>
      </c>
      <c r="C15" s="99" t="s">
        <v>299</v>
      </c>
      <c r="D15" s="69"/>
      <c r="E15" s="70"/>
      <c r="F15" s="70"/>
      <c r="G15" s="70"/>
      <c r="H15" s="70"/>
      <c r="I15" s="70"/>
    </row>
    <row r="16" spans="1:24" s="52" customFormat="1">
      <c r="A16" s="104" t="s">
        <v>261</v>
      </c>
      <c r="B16" s="104" t="s">
        <v>302</v>
      </c>
      <c r="C16" s="104" t="s">
        <v>303</v>
      </c>
      <c r="D16" s="69"/>
      <c r="E16" s="70"/>
      <c r="F16" s="70"/>
      <c r="G16" s="70"/>
      <c r="H16" s="70"/>
      <c r="I16" s="70"/>
    </row>
    <row r="17" spans="1:23" s="52" customFormat="1">
      <c r="A17" s="106" t="s">
        <v>261</v>
      </c>
      <c r="B17" s="106" t="s">
        <v>305</v>
      </c>
      <c r="C17" s="106" t="s">
        <v>306</v>
      </c>
      <c r="D17" s="69"/>
      <c r="E17" s="70"/>
      <c r="F17" s="70"/>
      <c r="G17" s="70"/>
      <c r="H17" s="70"/>
      <c r="I17" s="70"/>
    </row>
    <row r="18" spans="1:23" s="52" customFormat="1">
      <c r="A18" s="109" t="s">
        <v>261</v>
      </c>
      <c r="B18" s="109" t="s">
        <v>315</v>
      </c>
      <c r="C18" s="109" t="s">
        <v>316</v>
      </c>
      <c r="D18" s="69"/>
      <c r="E18" s="70"/>
      <c r="F18" s="70"/>
      <c r="G18" s="70"/>
      <c r="H18" s="70"/>
      <c r="I18" s="70"/>
    </row>
    <row r="19" spans="1:23" s="52" customFormat="1">
      <c r="B19" s="57" t="s">
        <v>71</v>
      </c>
      <c r="C19" s="57" t="s">
        <v>72</v>
      </c>
      <c r="D19" s="60">
        <v>68.930000000000007</v>
      </c>
      <c r="E19" s="3">
        <v>18053</v>
      </c>
      <c r="F19" s="70"/>
      <c r="G19" s="70"/>
      <c r="H19" s="70"/>
      <c r="I19" s="70"/>
    </row>
    <row r="20" spans="1:23" s="52" customFormat="1">
      <c r="B20" s="52" t="s">
        <v>83</v>
      </c>
      <c r="C20" s="52" t="s">
        <v>84</v>
      </c>
      <c r="D20" s="69">
        <v>58.75</v>
      </c>
      <c r="E20" s="70">
        <v>14980</v>
      </c>
      <c r="F20" s="70"/>
      <c r="G20" s="70"/>
      <c r="H20" s="70"/>
      <c r="I20" s="70"/>
    </row>
    <row r="21" spans="1:23" s="52" customFormat="1">
      <c r="B21" s="57" t="s">
        <v>104</v>
      </c>
      <c r="C21" s="57" t="s">
        <v>105</v>
      </c>
      <c r="D21" s="60">
        <v>184.44</v>
      </c>
      <c r="E21" s="3">
        <v>10400</v>
      </c>
      <c r="F21" s="70"/>
      <c r="G21" s="70"/>
      <c r="H21" s="70"/>
      <c r="I21" s="70"/>
    </row>
    <row r="22" spans="1:23" s="20" customFormat="1">
      <c r="A22" s="108" t="s">
        <v>261</v>
      </c>
      <c r="B22" s="117" t="s">
        <v>309</v>
      </c>
      <c r="C22" s="108" t="s">
        <v>310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>
      <c r="B23" s="120" t="s">
        <v>65</v>
      </c>
      <c r="C23" s="20" t="s">
        <v>66</v>
      </c>
      <c r="D23" s="21">
        <v>312</v>
      </c>
      <c r="E23" s="22">
        <v>19090</v>
      </c>
    </row>
    <row r="24" spans="1:23">
      <c r="B24" s="194" t="s">
        <v>541</v>
      </c>
      <c r="C24" s="194" t="s">
        <v>542</v>
      </c>
    </row>
    <row r="25" spans="1:23">
      <c r="B25" s="194" t="s">
        <v>547</v>
      </c>
      <c r="C25" s="194" t="s">
        <v>548</v>
      </c>
    </row>
    <row r="27" spans="1:23" s="52" customFormat="1">
      <c r="B27" s="58" t="s">
        <v>33</v>
      </c>
      <c r="C27" s="58" t="s">
        <v>154</v>
      </c>
      <c r="D27" s="61">
        <v>0</v>
      </c>
      <c r="E27" s="9">
        <v>100000</v>
      </c>
      <c r="F27" s="70"/>
      <c r="G27" s="70"/>
      <c r="H27" s="70"/>
      <c r="I27" s="70"/>
    </row>
    <row r="28" spans="1:23">
      <c r="B28" s="166" t="s">
        <v>59</v>
      </c>
      <c r="C28" s="166"/>
      <c r="D28" s="167">
        <v>0</v>
      </c>
      <c r="E28" s="168">
        <v>26000</v>
      </c>
    </row>
    <row r="29" spans="1:23">
      <c r="B29" s="57" t="s">
        <v>87</v>
      </c>
      <c r="C29" s="57"/>
      <c r="D29" s="61">
        <v>0</v>
      </c>
      <c r="E29" s="3">
        <v>15000</v>
      </c>
    </row>
    <row r="30" spans="1:23">
      <c r="B30" s="56" t="s">
        <v>250</v>
      </c>
      <c r="D30" s="61">
        <v>0</v>
      </c>
      <c r="E30" s="68">
        <v>75</v>
      </c>
    </row>
    <row r="31" spans="1:23">
      <c r="B31" s="62" t="s">
        <v>252</v>
      </c>
      <c r="D31" s="61">
        <v>0</v>
      </c>
    </row>
    <row r="32" spans="1:23">
      <c r="B32" s="94" t="s">
        <v>283</v>
      </c>
      <c r="E32" s="68">
        <v>424</v>
      </c>
    </row>
    <row r="33" spans="2:5">
      <c r="B33" s="94" t="s">
        <v>285</v>
      </c>
      <c r="E33" s="68">
        <v>159.5</v>
      </c>
    </row>
    <row r="34" spans="2:5">
      <c r="B34" s="165" t="s">
        <v>482</v>
      </c>
    </row>
    <row r="35" spans="2:5">
      <c r="B35" s="165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1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6" sqref="B26"/>
    </sheetView>
  </sheetViews>
  <sheetFormatPr baseColWidth="10" defaultColWidth="9.1640625" defaultRowHeight="13"/>
  <cols>
    <col min="1" max="1" width="5" style="10" bestFit="1" customWidth="1"/>
    <col min="2" max="2" width="11.83203125" style="10" customWidth="1"/>
    <col min="3" max="16384" width="9.1640625" style="10"/>
  </cols>
  <sheetData>
    <row r="1" spans="1:24">
      <c r="A1" s="5" t="s">
        <v>146</v>
      </c>
    </row>
    <row r="2" spans="1:24" s="72" customFormat="1">
      <c r="B2" s="73" t="s">
        <v>0</v>
      </c>
      <c r="C2" s="74" t="s">
        <v>1</v>
      </c>
      <c r="D2" s="75" t="s">
        <v>2</v>
      </c>
      <c r="E2" s="76" t="s">
        <v>3</v>
      </c>
      <c r="F2" s="77" t="s">
        <v>4</v>
      </c>
      <c r="G2" s="77" t="s">
        <v>5</v>
      </c>
      <c r="H2" s="77" t="s">
        <v>221</v>
      </c>
      <c r="I2" s="77" t="s">
        <v>6</v>
      </c>
      <c r="J2" s="77" t="s">
        <v>232</v>
      </c>
      <c r="K2" s="78" t="s">
        <v>216</v>
      </c>
      <c r="L2" s="78" t="s">
        <v>220</v>
      </c>
      <c r="M2" s="78" t="s">
        <v>217</v>
      </c>
      <c r="N2" s="78" t="s">
        <v>218</v>
      </c>
      <c r="O2" s="79" t="s">
        <v>219</v>
      </c>
      <c r="P2" s="80" t="s">
        <v>237</v>
      </c>
      <c r="Q2" s="81" t="s">
        <v>238</v>
      </c>
      <c r="R2" s="81" t="s">
        <v>239</v>
      </c>
      <c r="S2" s="79">
        <v>2025</v>
      </c>
      <c r="T2" s="80" t="s">
        <v>236</v>
      </c>
      <c r="U2" s="78">
        <v>2023</v>
      </c>
      <c r="V2" s="78">
        <v>2024</v>
      </c>
      <c r="W2" s="79">
        <v>2025</v>
      </c>
      <c r="X2" s="72" t="s">
        <v>222</v>
      </c>
    </row>
    <row r="3" spans="1:24">
      <c r="A3" s="72" t="s">
        <v>261</v>
      </c>
      <c r="B3" s="5" t="s">
        <v>11</v>
      </c>
      <c r="C3" s="1" t="s">
        <v>12</v>
      </c>
      <c r="D3" s="2">
        <v>98.24</v>
      </c>
      <c r="E3" s="3">
        <f>+D3*H3</f>
        <v>1014917.44</v>
      </c>
      <c r="F3" s="3">
        <f>[6]Main!$K$5-[6]Main!$K$6</f>
        <v>-257</v>
      </c>
      <c r="G3" s="3">
        <f>+E3-F3</f>
        <v>1015174.44</v>
      </c>
      <c r="H3" s="52">
        <f>+[6]Main!$K$3</f>
        <v>10331</v>
      </c>
      <c r="I3" s="4" t="s">
        <v>14</v>
      </c>
      <c r="J3" s="67">
        <v>44967</v>
      </c>
    </row>
    <row r="4" spans="1:24" s="20" customFormat="1">
      <c r="A4" s="72" t="s">
        <v>261</v>
      </c>
      <c r="B4" s="5" t="s">
        <v>17</v>
      </c>
      <c r="C4" s="20" t="s">
        <v>18</v>
      </c>
      <c r="D4" s="21">
        <v>115.9</v>
      </c>
      <c r="E4" s="22">
        <f>D4*[36]Main!$L$3</f>
        <v>310046.98749999999</v>
      </c>
      <c r="F4" s="22" cm="1">
        <f t="array" ref="F4">([36]Main!$L$5-[36]Main!$L$6)/RMB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>
      <c r="A5" s="72" t="s">
        <v>261</v>
      </c>
      <c r="B5" s="5" t="s">
        <v>17</v>
      </c>
      <c r="C5" s="1" t="s">
        <v>18</v>
      </c>
      <c r="D5" s="2">
        <v>115.9</v>
      </c>
      <c r="E5" s="3">
        <f>D5*[36]Main!$L$3</f>
        <v>310046.98749999999</v>
      </c>
      <c r="F5" s="3" cm="1">
        <f t="array" ref="F5">([36]Main!$L$5-[36]Main!$L$6)/RMB</f>
        <v>119719.43620178041</v>
      </c>
      <c r="G5" s="3">
        <f>+E5-F5</f>
        <v>190327.55129821959</v>
      </c>
      <c r="I5" s="4" t="s">
        <v>14</v>
      </c>
    </row>
    <row r="6" spans="1:24">
      <c r="A6" s="82" t="s">
        <v>261</v>
      </c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>
      <c r="A7" s="82" t="s">
        <v>261</v>
      </c>
      <c r="B7" s="82" t="s">
        <v>262</v>
      </c>
      <c r="C7" s="82" t="s">
        <v>263</v>
      </c>
    </row>
    <row r="8" spans="1:24">
      <c r="A8" s="86" t="s">
        <v>261</v>
      </c>
      <c r="B8" s="11" t="s">
        <v>206</v>
      </c>
      <c r="C8" s="11" t="s">
        <v>207</v>
      </c>
    </row>
    <row r="9" spans="1:24">
      <c r="A9" s="87" t="s">
        <v>261</v>
      </c>
      <c r="B9" s="5" t="s">
        <v>34</v>
      </c>
      <c r="C9" s="10" t="s">
        <v>35</v>
      </c>
      <c r="D9" s="10">
        <v>116.42</v>
      </c>
      <c r="E9" s="52">
        <f>+D9*H9</f>
        <v>73714.487644859997</v>
      </c>
      <c r="F9" s="52">
        <f>+[37]Main!$L$5-[37]Main!$L$6</f>
        <v>7643.4470000000001</v>
      </c>
      <c r="G9" s="22">
        <f>E9-F9</f>
        <v>66071.040644859997</v>
      </c>
      <c r="H9" s="52">
        <f>+[37]Main!$L$3</f>
        <v>633.17718300000001</v>
      </c>
      <c r="I9" s="151" t="s">
        <v>359</v>
      </c>
      <c r="J9" s="67">
        <v>44971</v>
      </c>
    </row>
    <row r="10" spans="1:24">
      <c r="A10" s="86" t="s">
        <v>261</v>
      </c>
      <c r="B10" s="11" t="s">
        <v>204</v>
      </c>
      <c r="C10" s="11" t="s">
        <v>205</v>
      </c>
    </row>
    <row r="11" spans="1:24">
      <c r="A11" s="98" t="s">
        <v>261</v>
      </c>
      <c r="B11" s="98" t="s">
        <v>293</v>
      </c>
      <c r="C11" s="98" t="s">
        <v>294</v>
      </c>
    </row>
    <row r="12" spans="1:24">
      <c r="A12" s="96" t="s">
        <v>261</v>
      </c>
      <c r="B12" s="10" t="s">
        <v>42</v>
      </c>
      <c r="C12" s="10" t="s">
        <v>43</v>
      </c>
    </row>
    <row r="13" spans="1:24" s="20" customFormat="1">
      <c r="A13" s="98" t="s">
        <v>261</v>
      </c>
      <c r="B13" s="5" t="s">
        <v>36</v>
      </c>
      <c r="C13" s="20" t="s">
        <v>37</v>
      </c>
      <c r="D13" s="21">
        <v>36.71</v>
      </c>
      <c r="E13" s="22">
        <f>+D13*[38]Main!$M$3</f>
        <v>46254.6</v>
      </c>
      <c r="F13" s="22">
        <f>+[38]Main!$M$5-[38]Main!$M$6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>
      <c r="A14" s="98" t="s">
        <v>261</v>
      </c>
      <c r="B14" s="98" t="s">
        <v>295</v>
      </c>
      <c r="C14" s="98" t="s">
        <v>296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>
      <c r="A15" s="108" t="s">
        <v>261</v>
      </c>
      <c r="B15" s="1" t="s">
        <v>60</v>
      </c>
      <c r="C15" s="1" t="s">
        <v>61</v>
      </c>
      <c r="D15" s="2">
        <v>71.66</v>
      </c>
      <c r="E15" s="3">
        <v>25171</v>
      </c>
    </row>
    <row r="16" spans="1:24">
      <c r="A16" s="108" t="s">
        <v>261</v>
      </c>
      <c r="B16" s="108" t="s">
        <v>311</v>
      </c>
      <c r="C16" s="108" t="s">
        <v>312</v>
      </c>
    </row>
    <row r="17" spans="1:23">
      <c r="A17" s="108" t="s">
        <v>261</v>
      </c>
      <c r="B17" s="108" t="s">
        <v>313</v>
      </c>
      <c r="C17" s="108" t="s">
        <v>314</v>
      </c>
    </row>
    <row r="18" spans="1:23">
      <c r="A18" s="110" t="s">
        <v>261</v>
      </c>
      <c r="B18" s="110" t="s">
        <v>317</v>
      </c>
      <c r="C18" s="110" t="s">
        <v>318</v>
      </c>
    </row>
    <row r="19" spans="1:23">
      <c r="A19" s="111" t="s">
        <v>261</v>
      </c>
      <c r="B19" s="111" t="s">
        <v>319</v>
      </c>
      <c r="C19" s="111" t="s">
        <v>320</v>
      </c>
    </row>
    <row r="20" spans="1:23">
      <c r="A20" s="134" t="s">
        <v>261</v>
      </c>
      <c r="B20" s="10" t="s">
        <v>161</v>
      </c>
      <c r="C20" s="10" t="s">
        <v>162</v>
      </c>
    </row>
    <row r="21" spans="1:23">
      <c r="B21" s="1" t="s">
        <v>97</v>
      </c>
      <c r="C21" s="1" t="s">
        <v>98</v>
      </c>
      <c r="D21" s="2">
        <v>2.5099999999999998</v>
      </c>
      <c r="E21" s="3">
        <v>12580</v>
      </c>
    </row>
    <row r="22" spans="1:23">
      <c r="B22" s="10" t="s">
        <v>163</v>
      </c>
      <c r="C22" s="10" t="s">
        <v>164</v>
      </c>
    </row>
    <row r="23" spans="1:23" s="20" customFormat="1">
      <c r="B23" s="20" t="s">
        <v>135</v>
      </c>
      <c r="C23" s="20" t="s">
        <v>136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>
      <c r="B24" s="5" t="s">
        <v>387</v>
      </c>
      <c r="C24" s="146" t="s">
        <v>388</v>
      </c>
      <c r="D24" s="10">
        <v>8.86</v>
      </c>
      <c r="E24" s="52">
        <f>+D24*H24</f>
        <v>963.51364147999993</v>
      </c>
      <c r="F24" s="52">
        <f>+[39]Main!$K$5-[39]Main!$K$6</f>
        <v>-1163.2909999999999</v>
      </c>
      <c r="G24" s="52">
        <f>+E24-F24</f>
        <v>2126.8046414800001</v>
      </c>
      <c r="H24" s="52">
        <f>+[39]Main!$K$3</f>
        <v>108.748718</v>
      </c>
      <c r="I24" s="150" t="s">
        <v>359</v>
      </c>
      <c r="J24" s="67">
        <v>44965</v>
      </c>
    </row>
    <row r="25" spans="1:23">
      <c r="B25" s="149" t="s">
        <v>389</v>
      </c>
    </row>
    <row r="29" spans="1:23">
      <c r="B29" s="1" t="s">
        <v>119</v>
      </c>
      <c r="C29" s="1"/>
      <c r="D29" s="2"/>
      <c r="E29" s="3">
        <v>8333</v>
      </c>
    </row>
    <row r="30" spans="1:23">
      <c r="B30" s="20" t="s">
        <v>64</v>
      </c>
      <c r="C30" s="20"/>
      <c r="D30" s="21"/>
      <c r="E30" s="22">
        <v>22000</v>
      </c>
    </row>
    <row r="31" spans="1:23">
      <c r="B31" s="20" t="s">
        <v>55</v>
      </c>
      <c r="C31" s="20"/>
      <c r="D31" s="21"/>
      <c r="E31" s="22">
        <v>30000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24" r:id="rId5" xr:uid="{E112D5EE-DF74-4C8E-8A8A-40FA1E1DA6A2}"/>
    <hyperlink ref="B9" r:id="rId6" xr:uid="{0E4A8717-CB7F-480C-A1D1-B315F728D1CA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0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0" sqref="D10"/>
    </sheetView>
  </sheetViews>
  <sheetFormatPr baseColWidth="10" defaultColWidth="9.1640625" defaultRowHeight="13"/>
  <cols>
    <col min="1" max="1" width="5" style="10" bestFit="1" customWidth="1"/>
    <col min="2" max="2" width="17" style="10" bestFit="1" customWidth="1"/>
    <col min="3" max="16384" width="9.1640625" style="10"/>
  </cols>
  <sheetData>
    <row r="1" spans="1:8">
      <c r="A1" s="5" t="s">
        <v>146</v>
      </c>
    </row>
    <row r="2" spans="1:8">
      <c r="B2" s="10" t="s">
        <v>0</v>
      </c>
      <c r="C2" s="10" t="s">
        <v>1</v>
      </c>
      <c r="D2" s="10" t="s">
        <v>2</v>
      </c>
      <c r="E2" s="10" t="s">
        <v>3</v>
      </c>
    </row>
    <row r="3" spans="1:8">
      <c r="A3" s="89" t="s">
        <v>261</v>
      </c>
      <c r="B3" s="10" t="s">
        <v>155</v>
      </c>
      <c r="C3" s="10" t="s">
        <v>156</v>
      </c>
    </row>
    <row r="4" spans="1:8">
      <c r="A4" s="90" t="s">
        <v>261</v>
      </c>
      <c r="B4" s="10" t="s">
        <v>160</v>
      </c>
      <c r="C4" s="10" t="s">
        <v>159</v>
      </c>
    </row>
    <row r="5" spans="1:8">
      <c r="A5" s="92" t="s">
        <v>261</v>
      </c>
      <c r="B5" s="10" t="s">
        <v>157</v>
      </c>
      <c r="C5" s="10" t="s">
        <v>158</v>
      </c>
    </row>
    <row r="6" spans="1:8">
      <c r="A6" s="101" t="s">
        <v>261</v>
      </c>
      <c r="B6" s="101" t="s">
        <v>300</v>
      </c>
      <c r="C6" s="101" t="s">
        <v>301</v>
      </c>
    </row>
    <row r="7" spans="1:8" s="1" customFormat="1">
      <c r="B7" s="1" t="s">
        <v>81</v>
      </c>
      <c r="C7" s="1" t="s">
        <v>82</v>
      </c>
      <c r="D7" s="2">
        <v>128.05000000000001</v>
      </c>
      <c r="E7" s="3">
        <v>16470</v>
      </c>
      <c r="F7" s="4"/>
      <c r="G7" s="4"/>
      <c r="H7" s="4"/>
    </row>
    <row r="8" spans="1:8">
      <c r="B8" s="10" t="s">
        <v>197</v>
      </c>
      <c r="C8" s="10" t="s">
        <v>198</v>
      </c>
    </row>
    <row r="9" spans="1:8">
      <c r="B9" s="120" t="s">
        <v>189</v>
      </c>
      <c r="C9" s="20" t="s">
        <v>190</v>
      </c>
      <c r="D9" s="21">
        <v>181.71</v>
      </c>
      <c r="E9" s="22">
        <v>25220</v>
      </c>
    </row>
    <row r="10" spans="1:8">
      <c r="B10" s="194" t="s">
        <v>551</v>
      </c>
      <c r="C10" s="194" t="s">
        <v>552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baseColWidth="10" defaultColWidth="9.1640625" defaultRowHeight="13"/>
  <cols>
    <col min="1" max="1" width="5" style="45" bestFit="1" customWidth="1"/>
    <col min="2" max="16384" width="9.1640625" style="45"/>
  </cols>
  <sheetData>
    <row r="1" spans="1:3">
      <c r="A1" s="5" t="s">
        <v>146</v>
      </c>
    </row>
    <row r="2" spans="1:3">
      <c r="B2" s="45" t="s">
        <v>150</v>
      </c>
      <c r="C2" s="45">
        <v>7.8498000000000001</v>
      </c>
    </row>
    <row r="3" spans="1:3">
      <c r="B3" s="45" t="s">
        <v>151</v>
      </c>
      <c r="C3" s="45">
        <v>6.74</v>
      </c>
    </row>
    <row r="4" spans="1:3">
      <c r="B4" s="45" t="s">
        <v>215</v>
      </c>
      <c r="C4" s="45">
        <v>1.01</v>
      </c>
    </row>
    <row r="5" spans="1:3">
      <c r="B5" s="45" t="s">
        <v>233</v>
      </c>
      <c r="C5" s="45">
        <v>10.3437</v>
      </c>
    </row>
    <row r="6" spans="1:3">
      <c r="B6" s="46" t="s">
        <v>241</v>
      </c>
      <c r="C6" s="45">
        <v>136.93</v>
      </c>
    </row>
    <row r="7" spans="1:3">
      <c r="B7" s="46" t="s">
        <v>242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baseColWidth="10" defaultColWidth="9.1640625" defaultRowHeight="13"/>
  <cols>
    <col min="1" max="1" width="5" style="6" bestFit="1" customWidth="1"/>
    <col min="2" max="2" width="19.6640625" style="6" bestFit="1" customWidth="1"/>
    <col min="3" max="3" width="9.1640625" style="7"/>
    <col min="4" max="16384" width="9.1640625" style="6"/>
  </cols>
  <sheetData>
    <row r="1" spans="1:7">
      <c r="A1" s="5" t="s">
        <v>146</v>
      </c>
    </row>
    <row r="2" spans="1:7">
      <c r="B2" s="6" t="s">
        <v>0</v>
      </c>
      <c r="C2" s="7" t="s">
        <v>149</v>
      </c>
      <c r="D2" s="12" t="s">
        <v>211</v>
      </c>
      <c r="E2" s="46" t="s">
        <v>222</v>
      </c>
      <c r="F2" s="46" t="s">
        <v>244</v>
      </c>
      <c r="G2" s="53" t="s">
        <v>248</v>
      </c>
    </row>
    <row r="3" spans="1:7">
      <c r="B3" s="8" t="s">
        <v>33</v>
      </c>
      <c r="C3" s="7">
        <v>100000</v>
      </c>
      <c r="D3" s="12" t="s">
        <v>212</v>
      </c>
    </row>
    <row r="4" spans="1:7">
      <c r="B4" s="6" t="s">
        <v>87</v>
      </c>
      <c r="C4" s="7">
        <v>15000</v>
      </c>
      <c r="D4" s="12" t="s">
        <v>212</v>
      </c>
    </row>
    <row r="5" spans="1:7">
      <c r="B5" s="6" t="s">
        <v>124</v>
      </c>
      <c r="C5" s="7">
        <v>8000</v>
      </c>
      <c r="D5" s="12" t="s">
        <v>213</v>
      </c>
    </row>
    <row r="6" spans="1:7">
      <c r="B6" s="6" t="s">
        <v>144</v>
      </c>
      <c r="D6" s="12" t="s">
        <v>214</v>
      </c>
    </row>
    <row r="7" spans="1:7">
      <c r="B7" s="6" t="s">
        <v>145</v>
      </c>
      <c r="D7" s="12" t="s">
        <v>214</v>
      </c>
    </row>
    <row r="8" spans="1:7">
      <c r="B8" s="12" t="s">
        <v>209</v>
      </c>
      <c r="D8" s="12" t="s">
        <v>210</v>
      </c>
    </row>
    <row r="9" spans="1:7">
      <c r="B9" s="46" t="s">
        <v>243</v>
      </c>
      <c r="D9" s="46" t="s">
        <v>212</v>
      </c>
      <c r="E9" s="6">
        <v>2021</v>
      </c>
      <c r="F9" s="46" t="s">
        <v>245</v>
      </c>
      <c r="G9" s="53" t="s">
        <v>249</v>
      </c>
    </row>
    <row r="10" spans="1:7">
      <c r="B10" s="53" t="s">
        <v>246</v>
      </c>
      <c r="D10" s="53" t="s">
        <v>247</v>
      </c>
      <c r="E10" s="6">
        <v>2021</v>
      </c>
      <c r="G10" s="53" t="s">
        <v>249</v>
      </c>
    </row>
    <row r="11" spans="1:7">
      <c r="B11" s="162" t="s">
        <v>399</v>
      </c>
      <c r="D11" s="162" t="s">
        <v>400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6</vt:i4>
      </vt:variant>
    </vt:vector>
  </HeadingPairs>
  <TitlesOfParts>
    <vt:vector size="21" baseType="lpstr">
      <vt:lpstr>People</vt:lpstr>
      <vt:lpstr>Glossary</vt:lpstr>
      <vt:lpstr>Historical</vt:lpstr>
      <vt:lpstr>Main</vt:lpstr>
      <vt:lpstr>Enterprise-Cloud</vt:lpstr>
      <vt:lpstr>Social-Dating</vt:lpstr>
      <vt:lpstr>Simulation-Technical Design</vt:lpstr>
      <vt:lpstr>AI</vt:lpstr>
      <vt:lpstr>Revenue</vt:lpstr>
      <vt:lpstr>Media-Games-Design</vt:lpstr>
      <vt:lpstr>Fintech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2023-06-09T01:28:40Z</dcterms:modified>
  <cp:category/>
  <cp:contentStatus/>
</cp:coreProperties>
</file>