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0513CF9-68AE-456A-B3AE-B5A2890F4A4D}" xr6:coauthVersionLast="47" xr6:coauthVersionMax="47" xr10:uidLastSave="{00000000-0000-0000-0000-000000000000}"/>
  <bookViews>
    <workbookView xWindow="-51690" yWindow="1020" windowWidth="16290" windowHeight="18240" activeTab="1" xr2:uid="{EA2824C1-1697-4288-88B1-60A32E5E15B0}"/>
  </bookViews>
  <sheets>
    <sheet name="Main" sheetId="3" r:id="rId1"/>
    <sheet name="Model" sheetId="1" r:id="rId2"/>
    <sheet name="Quarterly Earnings Previ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8" i="1" l="1"/>
  <c r="R58" i="1"/>
  <c r="Q58" i="1"/>
  <c r="P58" i="1"/>
  <c r="L58" i="1"/>
  <c r="M58" i="1"/>
  <c r="N58" i="1"/>
  <c r="O58" i="1"/>
  <c r="O93" i="1"/>
  <c r="O98" i="1"/>
  <c r="O99" i="1" s="1"/>
  <c r="O96" i="1"/>
  <c r="O97" i="1"/>
  <c r="O95" i="1"/>
  <c r="O94" i="1"/>
  <c r="O92" i="1"/>
  <c r="O101" i="1"/>
  <c r="O87" i="1"/>
  <c r="O90" i="1" s="1"/>
  <c r="O89" i="1"/>
  <c r="O88" i="1"/>
  <c r="O81" i="1"/>
  <c r="O85" i="1" s="1"/>
  <c r="O84" i="1"/>
  <c r="O83" i="1"/>
  <c r="O82" i="1"/>
  <c r="O80" i="1"/>
  <c r="O79" i="1"/>
  <c r="O78" i="1"/>
  <c r="O76" i="1"/>
  <c r="O72" i="1"/>
  <c r="O68" i="1"/>
  <c r="O65" i="1"/>
  <c r="O59" i="1"/>
  <c r="AA48" i="1"/>
  <c r="AA49" i="1" s="1"/>
  <c r="AA46" i="1"/>
  <c r="AA45" i="1"/>
  <c r="AA44" i="1"/>
  <c r="AA43" i="1"/>
  <c r="AA40" i="1"/>
  <c r="Z48" i="1"/>
  <c r="Z49" i="1" s="1"/>
  <c r="Z46" i="1"/>
  <c r="Z45" i="1"/>
  <c r="Z44" i="1"/>
  <c r="Z43" i="1"/>
  <c r="Z40" i="1"/>
  <c r="Z52" i="1"/>
  <c r="Y49" i="1"/>
  <c r="Y48" i="1"/>
  <c r="Y46" i="1"/>
  <c r="Y45" i="1"/>
  <c r="Y44" i="1"/>
  <c r="Y43" i="1"/>
  <c r="Y40" i="1"/>
  <c r="Y38" i="1"/>
  <c r="O25" i="1"/>
  <c r="P42" i="1"/>
  <c r="P41" i="1"/>
  <c r="Q41" i="1" s="1"/>
  <c r="S40" i="1"/>
  <c r="S55" i="1" s="1"/>
  <c r="R40" i="1"/>
  <c r="R39" i="1" s="1"/>
  <c r="Q40" i="1"/>
  <c r="Q55" i="1" s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K4" i="3"/>
  <c r="K7" i="3" s="1"/>
  <c r="AB38" i="1"/>
  <c r="P50" i="1"/>
  <c r="Q50" i="1" s="1"/>
  <c r="R50" i="1" s="1"/>
  <c r="P45" i="1"/>
  <c r="Q45" i="1" s="1"/>
  <c r="R45" i="1" s="1"/>
  <c r="S45" i="1" s="1"/>
  <c r="P40" i="1"/>
  <c r="P55" i="1" s="1"/>
  <c r="S56" i="1"/>
  <c r="R56" i="1"/>
  <c r="Q56" i="1"/>
  <c r="R55" i="1"/>
  <c r="S54" i="1"/>
  <c r="R54" i="1"/>
  <c r="S53" i="1"/>
  <c r="R53" i="1"/>
  <c r="Q53" i="1"/>
  <c r="M27" i="1"/>
  <c r="M24" i="1"/>
  <c r="S24" i="1"/>
  <c r="R24" i="1"/>
  <c r="Q24" i="1"/>
  <c r="P24" i="1"/>
  <c r="P36" i="1" s="1"/>
  <c r="O24" i="1"/>
  <c r="N24" i="1"/>
  <c r="S39" i="1" l="1"/>
  <c r="P56" i="1"/>
  <c r="P54" i="1"/>
  <c r="Q54" i="1"/>
  <c r="P43" i="1"/>
  <c r="P44" i="1" s="1"/>
  <c r="P46" i="1" s="1"/>
  <c r="P47" i="1" s="1"/>
  <c r="Q42" i="1"/>
  <c r="R42" i="1" s="1"/>
  <c r="S42" i="1" s="1"/>
  <c r="S50" i="1"/>
  <c r="R41" i="1"/>
  <c r="Q39" i="1"/>
  <c r="P48" i="1"/>
  <c r="P49" i="1" s="1"/>
  <c r="P39" i="1"/>
  <c r="N27" i="1"/>
  <c r="R2" i="1"/>
  <c r="P2" i="1"/>
  <c r="G52" i="1"/>
  <c r="H52" i="1"/>
  <c r="I52" i="1"/>
  <c r="K52" i="1"/>
  <c r="D53" i="1"/>
  <c r="E53" i="1"/>
  <c r="F53" i="1"/>
  <c r="G53" i="1"/>
  <c r="H53" i="1"/>
  <c r="I53" i="1"/>
  <c r="M54" i="1"/>
  <c r="S2" i="1"/>
  <c r="AB2" i="1" s="1"/>
  <c r="E54" i="1"/>
  <c r="F54" i="1"/>
  <c r="G54" i="1"/>
  <c r="H54" i="1"/>
  <c r="I54" i="1"/>
  <c r="J54" i="1"/>
  <c r="K54" i="1"/>
  <c r="L54" i="1"/>
  <c r="N54" i="1"/>
  <c r="O33" i="1"/>
  <c r="N38" i="1"/>
  <c r="J38" i="1"/>
  <c r="N52" i="1" s="1"/>
  <c r="N72" i="1"/>
  <c r="N76" i="1" s="1"/>
  <c r="N65" i="1"/>
  <c r="N59" i="1"/>
  <c r="J43" i="1"/>
  <c r="N45" i="1"/>
  <c r="N43" i="1"/>
  <c r="M94" i="1"/>
  <c r="N94" i="1" s="1"/>
  <c r="M95" i="1"/>
  <c r="N95" i="1" s="1"/>
  <c r="M96" i="1"/>
  <c r="N96" i="1" s="1"/>
  <c r="M97" i="1"/>
  <c r="N97" i="1" s="1"/>
  <c r="M93" i="1"/>
  <c r="N93" i="1" s="1"/>
  <c r="M88" i="1"/>
  <c r="N88" i="1" s="1"/>
  <c r="M89" i="1"/>
  <c r="N89" i="1" s="1"/>
  <c r="M83" i="1"/>
  <c r="N83" i="1" s="1"/>
  <c r="M82" i="1"/>
  <c r="N82" i="1" s="1"/>
  <c r="M81" i="1"/>
  <c r="N81" i="1" s="1"/>
  <c r="M80" i="1"/>
  <c r="N80" i="1" s="1"/>
  <c r="M79" i="1"/>
  <c r="N79" i="1" s="1"/>
  <c r="L38" i="1"/>
  <c r="L92" i="1"/>
  <c r="L98" i="1" s="1"/>
  <c r="L87" i="1"/>
  <c r="L90" i="1" s="1"/>
  <c r="L84" i="1"/>
  <c r="M84" i="1" s="1"/>
  <c r="N84" i="1" s="1"/>
  <c r="L73" i="1"/>
  <c r="L72" i="1"/>
  <c r="L76" i="1" s="1"/>
  <c r="L65" i="1"/>
  <c r="L59" i="1"/>
  <c r="M38" i="1"/>
  <c r="M72" i="1"/>
  <c r="M76" i="1" s="1"/>
  <c r="M65" i="1"/>
  <c r="M59" i="1"/>
  <c r="M45" i="1"/>
  <c r="M43" i="1"/>
  <c r="E43" i="1"/>
  <c r="E40" i="1"/>
  <c r="E55" i="1" s="1"/>
  <c r="I43" i="1"/>
  <c r="I40" i="1"/>
  <c r="I55" i="1" s="1"/>
  <c r="D43" i="1"/>
  <c r="D40" i="1"/>
  <c r="D55" i="1" s="1"/>
  <c r="H56" i="1"/>
  <c r="G56" i="1"/>
  <c r="F56" i="1"/>
  <c r="E56" i="1"/>
  <c r="D56" i="1"/>
  <c r="C56" i="1"/>
  <c r="C43" i="1"/>
  <c r="C40" i="1"/>
  <c r="C55" i="1" s="1"/>
  <c r="G43" i="1"/>
  <c r="G40" i="1"/>
  <c r="G55" i="1" s="1"/>
  <c r="I2" i="1"/>
  <c r="M2" i="1" s="1"/>
  <c r="Q2" i="1" s="1"/>
  <c r="E2" i="1"/>
  <c r="K56" i="1"/>
  <c r="I56" i="1"/>
  <c r="H45" i="1"/>
  <c r="L45" i="1"/>
  <c r="L43" i="1"/>
  <c r="H43" i="1"/>
  <c r="H40" i="1"/>
  <c r="H55" i="1" s="1"/>
  <c r="N101" i="1" l="1"/>
  <c r="R52" i="1"/>
  <c r="L40" i="1"/>
  <c r="P52" i="1"/>
  <c r="M101" i="1"/>
  <c r="Q52" i="1"/>
  <c r="J56" i="1"/>
  <c r="Z38" i="1"/>
  <c r="Q43" i="1"/>
  <c r="Q44" i="1" s="1"/>
  <c r="Q46" i="1" s="1"/>
  <c r="S41" i="1"/>
  <c r="S43" i="1" s="1"/>
  <c r="S44" i="1" s="1"/>
  <c r="S46" i="1" s="1"/>
  <c r="R43" i="1"/>
  <c r="R44" i="1" s="1"/>
  <c r="R46" i="1" s="1"/>
  <c r="L68" i="1"/>
  <c r="O43" i="1"/>
  <c r="L52" i="1"/>
  <c r="M92" i="1"/>
  <c r="N92" i="1" s="1"/>
  <c r="N98" i="1" s="1"/>
  <c r="K53" i="1"/>
  <c r="M52" i="1"/>
  <c r="N53" i="1"/>
  <c r="M53" i="1"/>
  <c r="L53" i="1"/>
  <c r="J52" i="1"/>
  <c r="J53" i="1"/>
  <c r="M68" i="1"/>
  <c r="N68" i="1"/>
  <c r="M56" i="1"/>
  <c r="N56" i="1"/>
  <c r="L101" i="1"/>
  <c r="N40" i="1"/>
  <c r="N44" i="1" s="1"/>
  <c r="N46" i="1" s="1"/>
  <c r="M87" i="1"/>
  <c r="L56" i="1"/>
  <c r="J40" i="1"/>
  <c r="L44" i="1"/>
  <c r="L46" i="1" s="1"/>
  <c r="L48" i="1" s="1"/>
  <c r="L55" i="1"/>
  <c r="M40" i="1"/>
  <c r="M44" i="1" s="1"/>
  <c r="M46" i="1" s="1"/>
  <c r="M48" i="1" s="1"/>
  <c r="E44" i="1"/>
  <c r="E46" i="1" s="1"/>
  <c r="E48" i="1" s="1"/>
  <c r="E49" i="1" s="1"/>
  <c r="C44" i="1"/>
  <c r="C46" i="1" s="1"/>
  <c r="C48" i="1" s="1"/>
  <c r="C49" i="1" s="1"/>
  <c r="I44" i="1"/>
  <c r="I46" i="1" s="1"/>
  <c r="I48" i="1" s="1"/>
  <c r="I49" i="1" s="1"/>
  <c r="D44" i="1"/>
  <c r="D46" i="1" s="1"/>
  <c r="D48" i="1" s="1"/>
  <c r="D49" i="1" s="1"/>
  <c r="G44" i="1"/>
  <c r="G46" i="1" s="1"/>
  <c r="G48" i="1" s="1"/>
  <c r="G49" i="1" s="1"/>
  <c r="H44" i="1"/>
  <c r="H46" i="1" s="1"/>
  <c r="H48" i="1" s="1"/>
  <c r="H49" i="1" s="1"/>
  <c r="S47" i="1" l="1"/>
  <c r="S48" i="1" s="1"/>
  <c r="S49" i="1" s="1"/>
  <c r="R47" i="1"/>
  <c r="R48" i="1"/>
  <c r="R49" i="1" s="1"/>
  <c r="M98" i="1"/>
  <c r="Q47" i="1"/>
  <c r="Q48" i="1"/>
  <c r="Q49" i="1" s="1"/>
  <c r="N55" i="1"/>
  <c r="M55" i="1"/>
  <c r="J44" i="1"/>
  <c r="J46" i="1" s="1"/>
  <c r="J48" i="1" s="1"/>
  <c r="J49" i="1" s="1"/>
  <c r="J55" i="1"/>
  <c r="M90" i="1"/>
  <c r="N87" i="1"/>
  <c r="N90" i="1" s="1"/>
  <c r="N48" i="1"/>
  <c r="M49" i="1"/>
  <c r="M78" i="1"/>
  <c r="M85" i="1" s="1"/>
  <c r="L49" i="1"/>
  <c r="L78" i="1"/>
  <c r="L85" i="1" s="1"/>
  <c r="L99" i="1" s="1"/>
  <c r="M99" i="1" l="1"/>
  <c r="N49" i="1"/>
  <c r="N78" i="1"/>
  <c r="N85" i="1" s="1"/>
  <c r="N99" i="1" s="1"/>
  <c r="O38" i="1" l="1"/>
  <c r="O54" i="1"/>
  <c r="O52" i="1" l="1"/>
  <c r="P53" i="1"/>
  <c r="S52" i="1"/>
  <c r="O40" i="1"/>
  <c r="AA38" i="1"/>
  <c r="O53" i="1"/>
  <c r="O56" i="1"/>
  <c r="AA52" i="1" l="1"/>
  <c r="AB52" i="1"/>
  <c r="O44" i="1"/>
  <c r="O46" i="1" s="1"/>
  <c r="O48" i="1" s="1"/>
  <c r="O49" i="1" s="1"/>
  <c r="O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tc={3CFE94FA-5EAC-7E47-B7D3-031052D60B7C}</author>
    <author>tc={23E40331-82EE-794B-BF71-362AABD49EB0}</author>
    <author>tc={7661685F-D234-EE4D-9EE3-823EB4FBA0E2}</author>
    <author>tc={195B7556-9D37-2C4A-AE00-5F1730A1F989}</author>
  </authors>
  <commentList>
    <comment ref="L36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L38" authorId="1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M38" authorId="2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N38" authorId="3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P38" authorId="4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</commentList>
</comments>
</file>

<file path=xl/sharedStrings.xml><?xml version="1.0" encoding="utf-8"?>
<sst xmlns="http://schemas.openxmlformats.org/spreadsheetml/2006/main" count="182" uniqueCount="166">
  <si>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</si>
  <si>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</si>
  <si>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</si>
  <si>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</si>
  <si>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</si>
  <si>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</si>
  <si>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</si>
  <si>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</si>
  <si>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</si>
  <si>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</si>
  <si>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</si>
  <si>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</si>
  <si>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</si>
  <si>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</si>
  <si>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</si>
  <si>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</si>
  <si>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</si>
  <si>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</si>
  <si>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</si>
  <si>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</si>
  <si>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</si>
  <si>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</si>
  <si>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</si>
  <si>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</si>
  <si>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</si>
  <si>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</si>
  <si>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</si>
  <si>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</si>
  <si>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</si>
  <si>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</si>
  <si>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</si>
  <si>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</si>
  <si>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</si>
  <si>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</si>
  <si>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</si>
  <si>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</si>
  <si>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</si>
  <si>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</si>
  <si>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</si>
  <si>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</si>
  <si>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</si>
  <si>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</si>
  <si>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</si>
  <si>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</si>
  <si>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</si>
  <si>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</si>
  <si>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</si>
  <si>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</si>
  <si>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</si>
  <si>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</si>
  <si>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</si>
  <si>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</si>
  <si>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</si>
  <si>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</si>
  <si>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</si>
  <si>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</si>
  <si>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</si>
  <si>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</si>
  <si>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</si>
  <si>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</si>
  <si>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</si>
  <si>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</si>
  <si>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</si>
  <si>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</si>
  <si>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</si>
  <si>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</si>
  <si>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</si>
  <si>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</si>
  <si>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</si>
  <si>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</si>
  <si>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</si>
  <si>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</si>
  <si>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</si>
  <si>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</si>
  <si>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</si>
  <si>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</si>
  <si>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</si>
  <si>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</si>
  <si>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</si>
  <si>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</si>
  <si>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</si>
  <si>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</si>
  <si>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</si>
  <si>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</si>
  <si>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Tesla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</si>
  <si>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</si>
  <si>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</si>
  <si>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</si>
  <si>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</si>
  <si>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</si>
  <si>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</si>
  <si>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</si>
  <si>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</si>
  <si>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</si>
  <si>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</si>
  <si>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</si>
  <si>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</si>
  <si>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</si>
  <si>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</si>
  <si>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</si>
  <si>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</si>
  <si>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</si>
  <si>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</si>
  <si>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</si>
  <si>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</si>
  <si>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</si>
  <si>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</si>
  <si>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</si>
  <si>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</si>
  <si>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</si>
  <si>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</si>
  <si>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</si>
  <si>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</si>
  <si>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</si>
  <si>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</si>
  <si>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</si>
  <si>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</si>
  <si>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</si>
  <si>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</si>
  <si>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</si>
  <si>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2020: Mellanox acquisition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</si>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</sst>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5" formatCode="m/d/yy;@"/>
    <numFmt numFmtId="166" formatCode="0.0"/>
    <numFmt numFmtId="167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 quotePrefix="1"/>
    <xf numFmtId="166" fontId="0" fillId="0" borderId="0" xfId="0" applyNumberFormat="1"/>
    <xf numFmtId="4" fontId="0" fillId="0" borderId="0" xfId="0" applyNumberFormat="1"/>
    <xf numFmtId="167" fontId="0" fillId="0" borderId="0" xfId="0" applyNumberFormat="1"/>
    <xf numFmtId="9" fontId="1" fillId="0" borderId="0" xfId="0" applyNumberFormat="1" applyFont="1"/>
    <xf numFmtId="9" fontId="0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54051</xdr:colOff>
      <xdr:row>0</xdr:row>
      <xdr:rowOff>0</xdr:rowOff>
    </xdr:from>
    <xdr:to>
      <xdr:col>15</xdr:col>
      <xdr:colOff>54051</xdr:colOff>
      <xdr:row>107</xdr:row>
      <xdr:rowOff>99785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1858247" y="0"/>
          <a:ext cx="0" cy="16918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26836</xdr:colOff>
      <xdr:row>0</xdr:row>
      <xdr:rowOff>0</xdr:rowOff>
    </xdr:from>
    <xdr:to>
      <xdr:col>27</xdr:col>
      <xdr:colOff>26836</xdr:colOff>
      <xdr:row>107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6" dT="2024-02-21T20:05:44.73" personId="{C526F2C0-66C0-534F-AADF-50BFCB37FCD4}" id="{E320785E-9BCE-AC4E-B37C-7EB104B6CF82}">
    <text>H100 started shipping</text>
  </threadedComment>
  <threadedComment ref="L38" dT="2024-02-21T20:05:14.08" personId="{C526F2C0-66C0-534F-AADF-50BFCB37FCD4}" id="{3CFE94FA-5EAC-7E47-B7D3-031052D60B7C}">
    <text>6.5B guidance</text>
  </threadedComment>
  <threadedComment ref="M38" dT="2024-02-21T19:58:52.64" personId="{C526F2C0-66C0-534F-AADF-50BFCB37FCD4}" id="{23E40331-82EE-794B-BF71-362AABD49EB0}">
    <text>Guidance was 11B</text>
  </threadedComment>
  <threadedComment ref="N38" dT="2024-02-21T19:55:06.51" personId="{C526F2C0-66C0-534F-AADF-50BFCB37FCD4}" id="{7661685F-D234-EE4D-9EE3-823EB4FBA0E2}">
    <text>Guidance was 16B</text>
  </threadedComment>
  <threadedComment ref="P38" dT="2024-02-21T20:21:53.11" personId="{C526F2C0-66C0-534F-AADF-50BFCB37FCD4}" id="{195B7556-9D37-2C4A-AE00-5F1730A1F989}">
    <text>Consensus 20.570B
2/21/24 guided to 23.52-24.48B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90" zoomScaleNormal="190" workbookViewId="0">
      <selection activeCell="K8" sqref="K8"/>
    </sheetView>
  </sheetViews>
  <sheetFormatPr defaultRowHeight="12.75" x14ac:dyDescent="0.2"/>
  <cols>
    <col min="11" max="11" width="10.140625" customWidth="1"/>
  </cols>
  <sheetData>
    <row r="2" spans="2:12" x14ac:dyDescent="0.2">
      <c r="B2" t="s">
        <v>133</v>
      </c>
      <c r="J2" t="s">
        <v>113</v>
      </c>
      <c r="K2">
        <v>953.86</v>
      </c>
    </row>
    <row r="3" spans="2:12" x14ac:dyDescent="0.2">
      <c r="B3" t="s">
        <v>121</v>
      </c>
      <c r="C3" t="s">
        <v>132</v>
      </c>
      <c r="J3" t="s">
        <v>13</v>
      </c>
      <c r="K3" s="2">
        <v>2500</v>
      </c>
      <c r="L3" s="3" t="s">
        <v>18</v>
      </c>
    </row>
    <row r="4" spans="2:12" x14ac:dyDescent="0.2">
      <c r="B4" t="s">
        <v>122</v>
      </c>
      <c r="C4" t="s">
        <v>132</v>
      </c>
      <c r="J4" t="s">
        <v>114</v>
      </c>
      <c r="K4" s="2">
        <f>+K2*K3</f>
        <v>2384650</v>
      </c>
    </row>
    <row r="5" spans="2:12" x14ac:dyDescent="0.2">
      <c r="B5" t="s">
        <v>123</v>
      </c>
      <c r="C5" t="s">
        <v>132</v>
      </c>
      <c r="J5" t="s">
        <v>38</v>
      </c>
      <c r="L5" s="3" t="s">
        <v>18</v>
      </c>
    </row>
    <row r="6" spans="2:12" x14ac:dyDescent="0.2">
      <c r="B6" s="14" t="s">
        <v>124</v>
      </c>
      <c r="C6" t="s">
        <v>131</v>
      </c>
      <c r="J6" t="s">
        <v>34</v>
      </c>
      <c r="L6" s="3" t="s">
        <v>18</v>
      </c>
    </row>
    <row r="7" spans="2:12" x14ac:dyDescent="0.2">
      <c r="B7" t="s">
        <v>125</v>
      </c>
      <c r="C7" t="s">
        <v>126</v>
      </c>
      <c r="J7" t="s">
        <v>115</v>
      </c>
      <c r="K7" s="2">
        <f>+K4-K5+K6</f>
        <v>2384650</v>
      </c>
    </row>
    <row r="8" spans="2:12" x14ac:dyDescent="0.2">
      <c r="B8" t="s">
        <v>127</v>
      </c>
      <c r="C8" t="s">
        <v>130</v>
      </c>
      <c r="K8" s="2"/>
    </row>
    <row r="9" spans="2:12" x14ac:dyDescent="0.2">
      <c r="B9" t="s">
        <v>128</v>
      </c>
      <c r="C9" t="s">
        <v>129</v>
      </c>
      <c r="K9" s="2"/>
    </row>
    <row r="10" spans="2:12" x14ac:dyDescent="0.2">
      <c r="B10" t="s">
        <v>136</v>
      </c>
      <c r="C10" t="s">
        <v>137</v>
      </c>
    </row>
    <row r="11" spans="2:12" x14ac:dyDescent="0.2">
      <c r="B11" t="s">
        <v>138</v>
      </c>
      <c r="C11" t="s">
        <v>139</v>
      </c>
    </row>
    <row r="12" spans="2:12" x14ac:dyDescent="0.2">
      <c r="B12" t="s">
        <v>140</v>
      </c>
    </row>
    <row r="13" spans="2:12" x14ac:dyDescent="0.2">
      <c r="B13" t="s">
        <v>141</v>
      </c>
    </row>
    <row r="14" spans="2:12" x14ac:dyDescent="0.2">
      <c r="B14" t="s">
        <v>142</v>
      </c>
    </row>
    <row r="16" spans="2:12" x14ac:dyDescent="0.2">
      <c r="B16" t="s">
        <v>143</v>
      </c>
      <c r="C16" t="s">
        <v>144</v>
      </c>
      <c r="H16" t="s">
        <v>120</v>
      </c>
    </row>
    <row r="17" spans="2:8" x14ac:dyDescent="0.2">
      <c r="B17" t="s">
        <v>145</v>
      </c>
      <c r="C17" t="s">
        <v>146</v>
      </c>
      <c r="H17" t="s">
        <v>119</v>
      </c>
    </row>
    <row r="18" spans="2:8" x14ac:dyDescent="0.2">
      <c r="B18" t="s">
        <v>147</v>
      </c>
      <c r="C18" t="s">
        <v>148</v>
      </c>
      <c r="H18" t="s">
        <v>117</v>
      </c>
    </row>
    <row r="19" spans="2:8" x14ac:dyDescent="0.2">
      <c r="H19" t="s">
        <v>118</v>
      </c>
    </row>
    <row r="20" spans="2:8" x14ac:dyDescent="0.2">
      <c r="H20" t="s">
        <v>116</v>
      </c>
    </row>
    <row r="21" spans="2:8" x14ac:dyDescent="0.2">
      <c r="B21" t="s">
        <v>161</v>
      </c>
      <c r="H21" t="s">
        <v>134</v>
      </c>
    </row>
    <row r="22" spans="2:8" x14ac:dyDescent="0.2">
      <c r="H22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AK104"/>
  <sheetViews>
    <sheetView tabSelected="1" zoomScale="140" zoomScaleNormal="140" workbookViewId="0">
      <pane xSplit="2" ySplit="3" topLeftCell="N45" activePane="bottomRight" state="frozen"/>
      <selection pane="topRight" activeCell="C1" sqref="C1"/>
      <selection pane="bottomLeft" activeCell="A4" sqref="A4"/>
      <selection pane="bottomRight" activeCell="O59" sqref="O59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2" width="9.7109375" style="3" customWidth="1"/>
    <col min="13" max="14" width="9.7109375" customWidth="1"/>
    <col min="15" max="19" width="10.140625" customWidth="1"/>
    <col min="27" max="28" width="9.85546875" bestFit="1" customWidth="1"/>
  </cols>
  <sheetData>
    <row r="1" spans="1:37" x14ac:dyDescent="0.2">
      <c r="A1" t="s">
        <v>0</v>
      </c>
    </row>
    <row r="2" spans="1:37" x14ac:dyDescent="0.2">
      <c r="C2" s="13">
        <v>44227</v>
      </c>
      <c r="D2" s="13">
        <v>44318</v>
      </c>
      <c r="E2" s="13">
        <f>+F2-92</f>
        <v>44408</v>
      </c>
      <c r="F2" s="13">
        <v>44500</v>
      </c>
      <c r="G2" s="13">
        <v>44591</v>
      </c>
      <c r="H2" s="13">
        <v>44682</v>
      </c>
      <c r="I2" s="13">
        <f>+J2-91</f>
        <v>44773</v>
      </c>
      <c r="J2" s="13">
        <v>44864</v>
      </c>
      <c r="K2" s="13">
        <v>44955</v>
      </c>
      <c r="L2" s="13">
        <v>45046</v>
      </c>
      <c r="M2" s="13">
        <f>+I2+365</f>
        <v>45138</v>
      </c>
      <c r="N2" s="13">
        <v>45228</v>
      </c>
      <c r="O2" s="13">
        <v>45319</v>
      </c>
      <c r="P2" s="13">
        <f>+L2+366</f>
        <v>45412</v>
      </c>
      <c r="Q2" s="13">
        <f>+M2+366</f>
        <v>45504</v>
      </c>
      <c r="R2" s="13">
        <f>+N2+366</f>
        <v>45594</v>
      </c>
      <c r="S2" s="13">
        <f>+O2+366</f>
        <v>45685</v>
      </c>
      <c r="AA2" s="1">
        <v>45320</v>
      </c>
      <c r="AB2" s="1">
        <f>S2</f>
        <v>45685</v>
      </c>
    </row>
    <row r="3" spans="1:37" x14ac:dyDescent="0.2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V3" s="4" t="s">
        <v>97</v>
      </c>
      <c r="W3" s="4" t="s">
        <v>98</v>
      </c>
      <c r="X3" s="4" t="s">
        <v>99</v>
      </c>
      <c r="Y3" s="4" t="s">
        <v>100</v>
      </c>
      <c r="Z3" s="4" t="s">
        <v>101</v>
      </c>
      <c r="AA3" s="4" t="s">
        <v>102</v>
      </c>
      <c r="AB3" s="4" t="s">
        <v>103</v>
      </c>
      <c r="AC3" s="4" t="s">
        <v>104</v>
      </c>
      <c r="AD3" s="4" t="s">
        <v>105</v>
      </c>
      <c r="AE3" s="4" t="s">
        <v>106</v>
      </c>
      <c r="AF3" s="4" t="s">
        <v>107</v>
      </c>
      <c r="AG3" s="4" t="s">
        <v>108</v>
      </c>
      <c r="AH3" s="4" t="s">
        <v>109</v>
      </c>
      <c r="AI3" s="4" t="s">
        <v>110</v>
      </c>
      <c r="AJ3" s="4" t="s">
        <v>111</v>
      </c>
      <c r="AK3" s="4" t="s">
        <v>112</v>
      </c>
    </row>
    <row r="4" spans="1:37" x14ac:dyDescent="0.2">
      <c r="B4" t="s">
        <v>76</v>
      </c>
      <c r="C4" s="4"/>
      <c r="D4" s="4"/>
      <c r="E4" s="4"/>
      <c r="F4" s="4"/>
      <c r="G4" s="4"/>
      <c r="H4" s="4"/>
      <c r="I4" s="4"/>
      <c r="J4" s="4"/>
      <c r="K4" s="4"/>
      <c r="L4" s="4"/>
      <c r="M4" s="5">
        <v>16</v>
      </c>
      <c r="N4" s="5">
        <v>25</v>
      </c>
      <c r="O4" s="5">
        <v>75</v>
      </c>
      <c r="P4" s="5">
        <v>75</v>
      </c>
      <c r="Q4" s="5">
        <v>60</v>
      </c>
      <c r="R4" s="5">
        <v>50</v>
      </c>
      <c r="S4" s="5">
        <v>50</v>
      </c>
    </row>
    <row r="5" spans="1:37" x14ac:dyDescent="0.2">
      <c r="B5" t="s">
        <v>77</v>
      </c>
      <c r="C5" s="4"/>
      <c r="D5" s="4"/>
      <c r="E5" s="4"/>
      <c r="F5" s="4"/>
      <c r="G5" s="4"/>
      <c r="H5" s="4"/>
      <c r="I5" s="4"/>
      <c r="J5" s="4"/>
      <c r="K5" s="4"/>
      <c r="L5" s="4"/>
      <c r="M5" s="5">
        <v>15</v>
      </c>
      <c r="N5" s="5">
        <v>25</v>
      </c>
      <c r="O5" s="5">
        <v>25</v>
      </c>
      <c r="P5" s="5">
        <v>25</v>
      </c>
      <c r="Q5" s="5">
        <v>25</v>
      </c>
      <c r="R5" s="5">
        <v>25</v>
      </c>
      <c r="S5" s="5">
        <v>25</v>
      </c>
    </row>
    <row r="6" spans="1:37" x14ac:dyDescent="0.2">
      <c r="B6" t="s">
        <v>88</v>
      </c>
      <c r="C6" s="4"/>
      <c r="D6" s="4"/>
      <c r="E6" s="4"/>
      <c r="F6" s="4"/>
      <c r="G6" s="4"/>
      <c r="H6" s="4"/>
      <c r="I6" s="4"/>
      <c r="J6" s="4"/>
      <c r="K6" s="4"/>
      <c r="L6" s="4"/>
      <c r="M6" s="5">
        <v>15</v>
      </c>
      <c r="N6" s="5">
        <v>25</v>
      </c>
      <c r="O6" s="5">
        <v>50</v>
      </c>
      <c r="P6" s="5">
        <v>50</v>
      </c>
      <c r="Q6" s="5">
        <v>50</v>
      </c>
      <c r="R6" s="5">
        <v>50</v>
      </c>
      <c r="S6" s="5">
        <v>50</v>
      </c>
    </row>
    <row r="7" spans="1:37" x14ac:dyDescent="0.2">
      <c r="B7" t="s">
        <v>78</v>
      </c>
      <c r="C7" s="4"/>
      <c r="D7" s="4"/>
      <c r="E7" s="4"/>
      <c r="F7" s="4"/>
      <c r="G7" s="4"/>
      <c r="H7" s="4"/>
      <c r="I7" s="4"/>
      <c r="J7" s="4"/>
      <c r="K7" s="4"/>
      <c r="L7" s="4"/>
      <c r="M7" s="5">
        <v>25</v>
      </c>
      <c r="N7" s="5">
        <v>25</v>
      </c>
      <c r="O7" s="5">
        <v>50</v>
      </c>
      <c r="P7" s="5">
        <v>50</v>
      </c>
      <c r="Q7" s="5">
        <v>50</v>
      </c>
      <c r="R7" s="5">
        <v>50</v>
      </c>
      <c r="S7" s="5">
        <v>50</v>
      </c>
    </row>
    <row r="8" spans="1:37" x14ac:dyDescent="0.2">
      <c r="B8" t="s">
        <v>79</v>
      </c>
      <c r="C8" s="4"/>
      <c r="D8" s="4"/>
      <c r="E8" s="4"/>
      <c r="F8" s="4"/>
      <c r="G8" s="4"/>
      <c r="H8" s="4"/>
      <c r="I8" s="4"/>
      <c r="J8" s="4"/>
      <c r="K8" s="4"/>
      <c r="L8" s="4"/>
      <c r="M8" s="5">
        <v>16</v>
      </c>
      <c r="N8" s="5">
        <v>20</v>
      </c>
      <c r="O8" s="5">
        <v>25</v>
      </c>
      <c r="P8" s="5">
        <v>25</v>
      </c>
      <c r="Q8" s="5">
        <v>25</v>
      </c>
      <c r="R8" s="5">
        <v>25</v>
      </c>
      <c r="S8" s="5">
        <v>25</v>
      </c>
    </row>
    <row r="9" spans="1:37" x14ac:dyDescent="0.2">
      <c r="B9" t="s">
        <v>89</v>
      </c>
      <c r="C9" s="4"/>
      <c r="D9" s="4"/>
      <c r="E9" s="4"/>
      <c r="F9" s="4"/>
      <c r="G9" s="4"/>
      <c r="H9" s="4"/>
      <c r="I9" s="4"/>
      <c r="J9" s="4"/>
      <c r="K9" s="4"/>
      <c r="L9" s="4"/>
      <c r="M9" s="5">
        <v>25</v>
      </c>
      <c r="N9" s="5">
        <v>30</v>
      </c>
      <c r="O9" s="5">
        <v>75</v>
      </c>
      <c r="P9" s="5">
        <v>100</v>
      </c>
      <c r="Q9" s="5">
        <v>100</v>
      </c>
      <c r="R9" s="5">
        <v>100</v>
      </c>
      <c r="S9" s="5">
        <v>100</v>
      </c>
    </row>
    <row r="10" spans="1:37" x14ac:dyDescent="0.2">
      <c r="B10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>
        <v>6</v>
      </c>
      <c r="N10" s="5">
        <v>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/>
    </row>
    <row r="11" spans="1:37" x14ac:dyDescent="0.2">
      <c r="B11" t="s">
        <v>81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5">
        <v>15</v>
      </c>
      <c r="N11" s="5">
        <v>30</v>
      </c>
      <c r="O11" s="5">
        <v>40</v>
      </c>
      <c r="P11" s="5">
        <v>100</v>
      </c>
      <c r="Q11" s="5">
        <v>100</v>
      </c>
      <c r="R11" s="5">
        <v>100</v>
      </c>
      <c r="S11" s="5">
        <v>100</v>
      </c>
    </row>
    <row r="12" spans="1:37" x14ac:dyDescent="0.2">
      <c r="B12" t="s">
        <v>90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5">
        <v>7</v>
      </c>
      <c r="N12" s="5">
        <v>25</v>
      </c>
      <c r="O12" s="5">
        <v>25</v>
      </c>
      <c r="P12" s="5">
        <v>25</v>
      </c>
      <c r="Q12" s="5">
        <v>25</v>
      </c>
      <c r="R12" s="5">
        <v>25</v>
      </c>
      <c r="S12" s="5">
        <v>25</v>
      </c>
    </row>
    <row r="13" spans="1:37" x14ac:dyDescent="0.2">
      <c r="B13" s="11" t="s">
        <v>82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v>10</v>
      </c>
      <c r="N13" s="5">
        <v>20</v>
      </c>
      <c r="O13" s="5">
        <v>20</v>
      </c>
      <c r="P13" s="5">
        <v>25</v>
      </c>
      <c r="Q13" s="5">
        <v>25</v>
      </c>
      <c r="R13" s="5">
        <v>25</v>
      </c>
      <c r="S13" s="5">
        <v>25</v>
      </c>
    </row>
    <row r="14" spans="1:37" x14ac:dyDescent="0.2">
      <c r="B14" t="s">
        <v>83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>
        <v>10</v>
      </c>
      <c r="N14" s="5">
        <v>20</v>
      </c>
      <c r="O14" s="5">
        <v>20</v>
      </c>
      <c r="P14" s="5">
        <v>25</v>
      </c>
      <c r="Q14" s="5">
        <v>25</v>
      </c>
      <c r="R14" s="5">
        <v>25</v>
      </c>
      <c r="S14" s="5">
        <v>25</v>
      </c>
    </row>
    <row r="15" spans="1:37" x14ac:dyDescent="0.2">
      <c r="B15" t="s">
        <v>84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v>6</v>
      </c>
      <c r="N15" s="5">
        <v>5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37" x14ac:dyDescent="0.2">
      <c r="B16" t="s">
        <v>85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>
        <v>5</v>
      </c>
      <c r="N16" s="5">
        <v>5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</row>
    <row r="17" spans="2:27" x14ac:dyDescent="0.2">
      <c r="B17" t="s">
        <v>86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5">
        <v>25</v>
      </c>
      <c r="N17" s="5">
        <v>30</v>
      </c>
      <c r="O17" s="5">
        <v>35</v>
      </c>
      <c r="P17" s="5">
        <v>50</v>
      </c>
      <c r="Q17" s="5">
        <v>50</v>
      </c>
      <c r="R17" s="5">
        <v>50</v>
      </c>
      <c r="S17" s="5">
        <v>50</v>
      </c>
    </row>
    <row r="18" spans="2:27" x14ac:dyDescent="0.2">
      <c r="B18" t="s">
        <v>87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5">
        <v>25</v>
      </c>
      <c r="N18" s="5">
        <v>30</v>
      </c>
      <c r="O18" s="5">
        <v>35</v>
      </c>
      <c r="P18" s="5">
        <v>50</v>
      </c>
      <c r="Q18" s="5">
        <v>50</v>
      </c>
      <c r="R18" s="5">
        <v>50</v>
      </c>
      <c r="S18" s="5">
        <v>50</v>
      </c>
    </row>
    <row r="19" spans="2:27" x14ac:dyDescent="0.2">
      <c r="B19" t="s">
        <v>91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5">
        <v>5</v>
      </c>
      <c r="N19" s="5">
        <v>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</row>
    <row r="20" spans="2:27" x14ac:dyDescent="0.2">
      <c r="B20" t="s">
        <v>94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5">
        <v>15</v>
      </c>
      <c r="N20" s="5">
        <v>20</v>
      </c>
      <c r="O20" s="5">
        <v>20</v>
      </c>
      <c r="P20" s="5">
        <v>50</v>
      </c>
      <c r="Q20" s="5">
        <v>50</v>
      </c>
      <c r="R20" s="5">
        <v>50</v>
      </c>
      <c r="S20" s="5">
        <v>50</v>
      </c>
    </row>
    <row r="21" spans="2:27" x14ac:dyDescent="0.2">
      <c r="B21" t="s">
        <v>95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5">
        <v>5</v>
      </c>
      <c r="N21" s="5">
        <v>5</v>
      </c>
      <c r="O21" s="5">
        <v>5</v>
      </c>
      <c r="P21" s="5">
        <v>50</v>
      </c>
      <c r="Q21" s="5">
        <v>50</v>
      </c>
      <c r="R21" s="5">
        <v>50</v>
      </c>
      <c r="S21" s="5">
        <v>50</v>
      </c>
    </row>
    <row r="22" spans="2:27" x14ac:dyDescent="0.2">
      <c r="B22" t="s">
        <v>92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5">
        <v>6</v>
      </c>
      <c r="N22" s="5">
        <v>5</v>
      </c>
      <c r="O22" s="5">
        <v>0</v>
      </c>
      <c r="P22" s="5">
        <v>5</v>
      </c>
      <c r="Q22" s="5">
        <v>10</v>
      </c>
      <c r="R22" s="5">
        <v>10</v>
      </c>
      <c r="S22" s="5">
        <v>10</v>
      </c>
    </row>
    <row r="23" spans="2:27" x14ac:dyDescent="0.2">
      <c r="B23" t="s">
        <v>93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5">
        <v>6</v>
      </c>
      <c r="N23" s="5">
        <v>5</v>
      </c>
      <c r="O23" s="5">
        <v>0</v>
      </c>
      <c r="P23" s="5">
        <v>5</v>
      </c>
      <c r="Q23" s="5">
        <v>10</v>
      </c>
      <c r="R23" s="5">
        <v>10</v>
      </c>
      <c r="S23" s="5">
        <v>10</v>
      </c>
    </row>
    <row r="24" spans="2:27" s="11" customFormat="1" x14ac:dyDescent="0.2">
      <c r="B24" s="11" t="s">
        <v>96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9">
        <f>SUM(M4:M23)</f>
        <v>258</v>
      </c>
      <c r="N24" s="9">
        <f>SUM(N4:N23)</f>
        <v>360</v>
      </c>
      <c r="O24" s="9">
        <f t="shared" ref="O24:S24" si="0">SUM(O4:O23)</f>
        <v>500</v>
      </c>
      <c r="P24" s="9">
        <f t="shared" si="0"/>
        <v>710</v>
      </c>
      <c r="Q24" s="9">
        <f t="shared" si="0"/>
        <v>705</v>
      </c>
      <c r="R24" s="9">
        <f t="shared" si="0"/>
        <v>695</v>
      </c>
      <c r="S24" s="9">
        <f t="shared" si="0"/>
        <v>695</v>
      </c>
    </row>
    <row r="25" spans="2:27" s="11" customFormat="1" x14ac:dyDescent="0.2">
      <c r="B25" s="11" t="s">
        <v>162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9"/>
      <c r="N25" s="9"/>
      <c r="O25" s="9">
        <f>+O5+O6+O8+O9+O11+O12+O13+O14</f>
        <v>280</v>
      </c>
      <c r="P25" s="9"/>
      <c r="Q25" s="9"/>
      <c r="R25" s="9"/>
      <c r="S25" s="9"/>
    </row>
    <row r="26" spans="2:27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27" s="11" customFormat="1" x14ac:dyDescent="0.2">
      <c r="B27" s="11" t="s">
        <v>74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9">
        <f>+M36/M28</f>
        <v>258.07499999999999</v>
      </c>
      <c r="N27" s="9">
        <f>+N36/N28</f>
        <v>362.85</v>
      </c>
      <c r="O27" s="9">
        <v>450</v>
      </c>
      <c r="P27" s="12"/>
      <c r="Q27" s="12"/>
      <c r="R27" s="12"/>
      <c r="S27" s="12"/>
    </row>
    <row r="28" spans="2:27" x14ac:dyDescent="0.2">
      <c r="B28" t="s">
        <v>75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">
        <v>40</v>
      </c>
      <c r="N28" s="5">
        <v>40</v>
      </c>
      <c r="O28" s="5">
        <v>40</v>
      </c>
      <c r="P28" s="5">
        <v>40</v>
      </c>
      <c r="Q28" s="4"/>
      <c r="R28" s="4"/>
      <c r="S28" s="4"/>
    </row>
    <row r="29" spans="2:27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27" x14ac:dyDescent="0.2">
      <c r="B30" t="s">
        <v>163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Z30" s="2">
        <v>15068</v>
      </c>
      <c r="AA30" s="2">
        <v>47405</v>
      </c>
    </row>
    <row r="31" spans="2:27" x14ac:dyDescent="0.2">
      <c r="B31" t="s">
        <v>164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Z31" s="2">
        <v>11906</v>
      </c>
      <c r="AA31" s="2">
        <v>13517</v>
      </c>
    </row>
    <row r="32" spans="2:27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28" x14ac:dyDescent="0.2">
      <c r="B33" t="s">
        <v>46</v>
      </c>
      <c r="C33" s="4"/>
      <c r="D33" s="4"/>
      <c r="E33" s="4"/>
      <c r="F33" s="4"/>
      <c r="G33" s="4"/>
      <c r="H33" s="4"/>
      <c r="I33" s="4"/>
      <c r="J33" s="5">
        <v>73</v>
      </c>
      <c r="K33" s="4"/>
      <c r="L33" s="5">
        <v>77</v>
      </c>
      <c r="M33" s="5">
        <v>66</v>
      </c>
      <c r="N33">
        <v>73</v>
      </c>
      <c r="O33">
        <f>+N33</f>
        <v>73</v>
      </c>
    </row>
    <row r="34" spans="2:28" x14ac:dyDescent="0.2">
      <c r="B34" t="s">
        <v>20</v>
      </c>
      <c r="C34" s="5"/>
      <c r="D34" s="5">
        <v>372</v>
      </c>
      <c r="E34" s="5"/>
      <c r="F34" s="5"/>
      <c r="G34" s="5">
        <v>643</v>
      </c>
      <c r="H34" s="5">
        <v>622</v>
      </c>
      <c r="I34" s="5">
        <v>496</v>
      </c>
      <c r="J34" s="5">
        <v>200</v>
      </c>
      <c r="K34" s="5">
        <v>226</v>
      </c>
      <c r="L34" s="5">
        <v>295</v>
      </c>
      <c r="M34" s="5">
        <v>379</v>
      </c>
      <c r="N34" s="2">
        <v>416</v>
      </c>
      <c r="O34">
        <v>463</v>
      </c>
    </row>
    <row r="35" spans="2:28" x14ac:dyDescent="0.2">
      <c r="B35" t="s">
        <v>21</v>
      </c>
      <c r="C35" s="5"/>
      <c r="D35" s="5">
        <v>154</v>
      </c>
      <c r="E35" s="5"/>
      <c r="F35" s="5"/>
      <c r="G35" s="5">
        <v>125</v>
      </c>
      <c r="H35" s="5">
        <v>138</v>
      </c>
      <c r="I35" s="5">
        <v>220</v>
      </c>
      <c r="J35" s="5">
        <v>251</v>
      </c>
      <c r="K35" s="5">
        <v>294</v>
      </c>
      <c r="L35" s="5">
        <v>296</v>
      </c>
      <c r="M35" s="5">
        <v>253</v>
      </c>
      <c r="N35" s="2">
        <v>261</v>
      </c>
      <c r="O35" s="2">
        <v>281</v>
      </c>
    </row>
    <row r="36" spans="2:28" x14ac:dyDescent="0.2">
      <c r="B36" t="s">
        <v>22</v>
      </c>
      <c r="C36" s="5"/>
      <c r="D36" s="5">
        <v>2050</v>
      </c>
      <c r="E36" s="5">
        <v>2370</v>
      </c>
      <c r="F36" s="5">
        <v>2940</v>
      </c>
      <c r="G36" s="5">
        <v>3260</v>
      </c>
      <c r="H36" s="5">
        <v>3750</v>
      </c>
      <c r="I36" s="5">
        <v>3810</v>
      </c>
      <c r="J36" s="5">
        <v>3833</v>
      </c>
      <c r="K36" s="5">
        <v>3620</v>
      </c>
      <c r="L36" s="5">
        <v>4284</v>
      </c>
      <c r="M36" s="2">
        <v>10323</v>
      </c>
      <c r="N36" s="2">
        <v>14514</v>
      </c>
      <c r="O36" s="5">
        <v>18386</v>
      </c>
      <c r="P36" s="2">
        <f>+P24*P28</f>
        <v>28400</v>
      </c>
    </row>
    <row r="37" spans="2:28" x14ac:dyDescent="0.2">
      <c r="B37" t="s">
        <v>19</v>
      </c>
      <c r="C37" s="5"/>
      <c r="D37" s="5">
        <v>2760</v>
      </c>
      <c r="E37" s="5"/>
      <c r="F37" s="5"/>
      <c r="G37" s="5">
        <v>3420</v>
      </c>
      <c r="H37" s="5">
        <v>3620</v>
      </c>
      <c r="I37" s="5">
        <v>2040</v>
      </c>
      <c r="J37" s="5">
        <v>1574</v>
      </c>
      <c r="K37" s="5">
        <v>1830</v>
      </c>
      <c r="L37" s="5">
        <v>2240</v>
      </c>
      <c r="M37" s="5">
        <v>2486</v>
      </c>
      <c r="N37" s="2">
        <v>2856</v>
      </c>
      <c r="O37" s="2">
        <v>2900</v>
      </c>
    </row>
    <row r="38" spans="2:28" s="8" customFormat="1" x14ac:dyDescent="0.2">
      <c r="B38" s="8" t="s">
        <v>1</v>
      </c>
      <c r="C38" s="9">
        <v>5003</v>
      </c>
      <c r="D38" s="9">
        <v>5661</v>
      </c>
      <c r="E38" s="9">
        <v>6507</v>
      </c>
      <c r="F38" s="9">
        <v>7103</v>
      </c>
      <c r="G38" s="9">
        <v>7643</v>
      </c>
      <c r="H38" s="9">
        <v>8288</v>
      </c>
      <c r="I38" s="9">
        <v>6704</v>
      </c>
      <c r="J38" s="9">
        <f>SUM(J33:J37)</f>
        <v>5931</v>
      </c>
      <c r="K38" s="9">
        <v>6051</v>
      </c>
      <c r="L38" s="8">
        <f>SUM(L33:L37)</f>
        <v>7192</v>
      </c>
      <c r="M38" s="8">
        <f>SUM(M33:M37)</f>
        <v>13507</v>
      </c>
      <c r="N38" s="9">
        <f>SUM(N33:N37)</f>
        <v>18120</v>
      </c>
      <c r="O38" s="9">
        <f>SUM(O33:O37)</f>
        <v>22103</v>
      </c>
      <c r="P38" s="5">
        <v>24690</v>
      </c>
      <c r="Q38" s="9">
        <v>26820</v>
      </c>
      <c r="R38" s="9">
        <v>29360</v>
      </c>
      <c r="S38" s="9">
        <v>31950</v>
      </c>
      <c r="Y38" s="8">
        <f>SUM(D38:G38)</f>
        <v>26914</v>
      </c>
      <c r="Z38" s="8">
        <f>SUM(H38:K38)</f>
        <v>26974</v>
      </c>
      <c r="AA38" s="8">
        <f>SUM(L38:O38)</f>
        <v>60922</v>
      </c>
      <c r="AB38" s="8">
        <f>SUM(P38:S38)</f>
        <v>112820</v>
      </c>
    </row>
    <row r="39" spans="2:28" s="2" customFormat="1" x14ac:dyDescent="0.2">
      <c r="B39" s="2" t="s">
        <v>4</v>
      </c>
      <c r="C39" s="5">
        <v>1846</v>
      </c>
      <c r="D39" s="5">
        <v>2032</v>
      </c>
      <c r="E39" s="5">
        <v>2292</v>
      </c>
      <c r="F39" s="5"/>
      <c r="G39" s="5">
        <v>2644</v>
      </c>
      <c r="H39" s="5">
        <v>2857</v>
      </c>
      <c r="I39" s="5">
        <v>3789</v>
      </c>
      <c r="J39" s="5">
        <v>2754</v>
      </c>
      <c r="K39" s="5"/>
      <c r="L39" s="5">
        <v>2544</v>
      </c>
      <c r="M39" s="2">
        <v>4045</v>
      </c>
      <c r="N39" s="2">
        <v>4720</v>
      </c>
      <c r="O39" s="2">
        <v>5312</v>
      </c>
      <c r="P39" s="2">
        <f>+P38-P40</f>
        <v>5925.5999999999985</v>
      </c>
      <c r="Q39" s="2">
        <f t="shared" ref="Q39:S39" si="1">+Q38-Q40</f>
        <v>6168.5999999999985</v>
      </c>
      <c r="R39" s="2">
        <f t="shared" si="1"/>
        <v>6752.7999999999993</v>
      </c>
      <c r="S39" s="2">
        <f t="shared" si="1"/>
        <v>7029</v>
      </c>
      <c r="Y39" s="2">
        <v>9439</v>
      </c>
      <c r="Z39" s="20">
        <v>11618</v>
      </c>
      <c r="AA39" s="2">
        <v>16621</v>
      </c>
    </row>
    <row r="40" spans="2:28" s="2" customFormat="1" x14ac:dyDescent="0.2">
      <c r="B40" s="2" t="s">
        <v>5</v>
      </c>
      <c r="C40" s="5">
        <f>+C38-C39</f>
        <v>3157</v>
      </c>
      <c r="D40" s="5">
        <f>+D38-D39</f>
        <v>3629</v>
      </c>
      <c r="E40" s="5">
        <f>+E38-E39</f>
        <v>4215</v>
      </c>
      <c r="F40" s="5"/>
      <c r="G40" s="5">
        <f>+G38-G39</f>
        <v>4999</v>
      </c>
      <c r="H40" s="5">
        <f>+H38-H39</f>
        <v>5431</v>
      </c>
      <c r="I40" s="5">
        <f>+I38-I39</f>
        <v>2915</v>
      </c>
      <c r="J40" s="5">
        <f>+J38-J39</f>
        <v>3177</v>
      </c>
      <c r="K40" s="5"/>
      <c r="L40" s="5">
        <f>+L38-L39</f>
        <v>4648</v>
      </c>
      <c r="M40" s="2">
        <f>M38-M39</f>
        <v>9462</v>
      </c>
      <c r="N40" s="2">
        <f>+N38-N39</f>
        <v>13400</v>
      </c>
      <c r="O40" s="2">
        <f>+O38-O39</f>
        <v>16791</v>
      </c>
      <c r="P40" s="2">
        <f>+P38*0.76</f>
        <v>18764.400000000001</v>
      </c>
      <c r="Q40" s="2">
        <f>+Q38*0.77</f>
        <v>20651.400000000001</v>
      </c>
      <c r="R40" s="2">
        <f>+R38*0.77</f>
        <v>22607.200000000001</v>
      </c>
      <c r="S40" s="2">
        <f>+S38*0.78</f>
        <v>24921</v>
      </c>
      <c r="Y40" s="2">
        <f>+Y38-Y39</f>
        <v>17475</v>
      </c>
      <c r="Z40" s="2">
        <f>+Z38-Z39</f>
        <v>15356</v>
      </c>
      <c r="AA40" s="2">
        <f>+AA38-AA39</f>
        <v>44301</v>
      </c>
    </row>
    <row r="41" spans="2:28" s="2" customFormat="1" x14ac:dyDescent="0.2">
      <c r="B41" s="2" t="s">
        <v>6</v>
      </c>
      <c r="C41" s="5">
        <v>1147</v>
      </c>
      <c r="D41" s="5">
        <v>1153</v>
      </c>
      <c r="E41" s="5">
        <v>1245</v>
      </c>
      <c r="F41" s="5"/>
      <c r="G41" s="5">
        <v>1466</v>
      </c>
      <c r="H41" s="5">
        <v>1618</v>
      </c>
      <c r="I41" s="5">
        <v>1824</v>
      </c>
      <c r="J41" s="5">
        <v>1945</v>
      </c>
      <c r="K41" s="5"/>
      <c r="L41" s="5">
        <v>1875</v>
      </c>
      <c r="M41" s="2">
        <v>2040</v>
      </c>
      <c r="N41" s="2">
        <v>2294</v>
      </c>
      <c r="O41" s="2">
        <v>2465</v>
      </c>
      <c r="P41" s="2">
        <f>+O41+100</f>
        <v>2565</v>
      </c>
      <c r="Q41" s="2">
        <f t="shared" ref="Q41:S41" si="2">+P41+100</f>
        <v>2665</v>
      </c>
      <c r="R41" s="2">
        <f t="shared" si="2"/>
        <v>2765</v>
      </c>
      <c r="S41" s="2">
        <f t="shared" si="2"/>
        <v>2865</v>
      </c>
      <c r="Y41" s="2">
        <v>5268</v>
      </c>
      <c r="Z41" s="2">
        <v>7339</v>
      </c>
      <c r="AA41" s="2">
        <v>8675</v>
      </c>
    </row>
    <row r="42" spans="2:28" s="2" customFormat="1" x14ac:dyDescent="0.2">
      <c r="B42" s="2" t="s">
        <v>7</v>
      </c>
      <c r="C42" s="5">
        <v>503</v>
      </c>
      <c r="D42" s="5">
        <v>520</v>
      </c>
      <c r="E42" s="5">
        <v>526</v>
      </c>
      <c r="F42" s="5"/>
      <c r="G42" s="5">
        <v>563</v>
      </c>
      <c r="H42" s="5">
        <v>592</v>
      </c>
      <c r="I42" s="5">
        <v>592</v>
      </c>
      <c r="J42" s="5">
        <v>631</v>
      </c>
      <c r="K42" s="5"/>
      <c r="L42" s="5">
        <v>633</v>
      </c>
      <c r="M42" s="2">
        <v>622</v>
      </c>
      <c r="N42" s="2">
        <v>689</v>
      </c>
      <c r="O42" s="2">
        <v>711</v>
      </c>
      <c r="P42" s="2">
        <f>+O42+25</f>
        <v>736</v>
      </c>
      <c r="Q42" s="2">
        <f>+P42+25</f>
        <v>761</v>
      </c>
      <c r="R42" s="2">
        <f>+Q42+25</f>
        <v>786</v>
      </c>
      <c r="S42" s="2">
        <f>+R42+25</f>
        <v>811</v>
      </c>
      <c r="Y42" s="2">
        <v>2166</v>
      </c>
      <c r="Z42" s="2">
        <v>2440</v>
      </c>
      <c r="AA42" s="2">
        <v>2654</v>
      </c>
    </row>
    <row r="43" spans="2:28" s="2" customFormat="1" x14ac:dyDescent="0.2">
      <c r="B43" s="2" t="s">
        <v>3</v>
      </c>
      <c r="C43" s="5">
        <f t="shared" ref="C43" si="3">+C41+C42</f>
        <v>1650</v>
      </c>
      <c r="D43" s="5">
        <f t="shared" ref="D43:E43" si="4">+D41+D42</f>
        <v>1673</v>
      </c>
      <c r="E43" s="5">
        <f t="shared" si="4"/>
        <v>1771</v>
      </c>
      <c r="F43" s="5"/>
      <c r="G43" s="5">
        <f t="shared" ref="G43" si="5">+G41+G42</f>
        <v>2029</v>
      </c>
      <c r="H43" s="5">
        <f>+H41+H42</f>
        <v>2210</v>
      </c>
      <c r="I43" s="5">
        <f t="shared" ref="I43" si="6">+I41+I42</f>
        <v>2416</v>
      </c>
      <c r="J43" s="5">
        <f>+J41+J42</f>
        <v>2576</v>
      </c>
      <c r="K43" s="5"/>
      <c r="L43" s="5">
        <f>+L41+L42</f>
        <v>2508</v>
      </c>
      <c r="M43" s="5">
        <f>+M41+M42</f>
        <v>2662</v>
      </c>
      <c r="N43" s="5">
        <f t="shared" ref="N43:P43" si="7">+N41+N42</f>
        <v>2983</v>
      </c>
      <c r="O43" s="5">
        <f t="shared" si="7"/>
        <v>3176</v>
      </c>
      <c r="P43" s="5">
        <f t="shared" si="7"/>
        <v>3301</v>
      </c>
      <c r="Q43" s="5">
        <f t="shared" ref="Q43:S43" si="8">+Q41+Q42</f>
        <v>3426</v>
      </c>
      <c r="R43" s="5">
        <f t="shared" si="8"/>
        <v>3551</v>
      </c>
      <c r="S43" s="5">
        <f t="shared" si="8"/>
        <v>3676</v>
      </c>
      <c r="Y43" s="2">
        <f>+Y41+Y42</f>
        <v>7434</v>
      </c>
      <c r="Z43" s="2">
        <f>+Z41+Z42</f>
        <v>9779</v>
      </c>
      <c r="AA43" s="2">
        <f>+AA41+AA42</f>
        <v>11329</v>
      </c>
    </row>
    <row r="44" spans="2:28" s="2" customFormat="1" x14ac:dyDescent="0.2">
      <c r="B44" s="2" t="s">
        <v>2</v>
      </c>
      <c r="C44" s="5">
        <f t="shared" ref="C44" si="9">+C40-C43</f>
        <v>1507</v>
      </c>
      <c r="D44" s="5">
        <f t="shared" ref="D44:E44" si="10">+D40-D43</f>
        <v>1956</v>
      </c>
      <c r="E44" s="5">
        <f t="shared" si="10"/>
        <v>2444</v>
      </c>
      <c r="F44" s="5"/>
      <c r="G44" s="5">
        <f t="shared" ref="G44" si="11">+G40-G43</f>
        <v>2970</v>
      </c>
      <c r="H44" s="5">
        <f>+H40-H43</f>
        <v>3221</v>
      </c>
      <c r="I44" s="5">
        <f t="shared" ref="I44" si="12">+I40-I43</f>
        <v>499</v>
      </c>
      <c r="J44" s="5">
        <f>+J40-J43</f>
        <v>601</v>
      </c>
      <c r="K44" s="5"/>
      <c r="L44" s="5">
        <f>+L40-L43</f>
        <v>2140</v>
      </c>
      <c r="M44" s="5">
        <f>+M40-M43</f>
        <v>6800</v>
      </c>
      <c r="N44" s="5">
        <f t="shared" ref="N44:P44" si="13">+N40-N43</f>
        <v>10417</v>
      </c>
      <c r="O44" s="5">
        <f t="shared" si="13"/>
        <v>13615</v>
      </c>
      <c r="P44" s="5">
        <f t="shared" si="13"/>
        <v>15463.400000000001</v>
      </c>
      <c r="Q44" s="5">
        <f t="shared" ref="Q44:S44" si="14">+Q40-Q43</f>
        <v>17225.400000000001</v>
      </c>
      <c r="R44" s="5">
        <f t="shared" si="14"/>
        <v>19056.2</v>
      </c>
      <c r="S44" s="5">
        <f t="shared" si="14"/>
        <v>21245</v>
      </c>
      <c r="Y44" s="2">
        <f>+Y40-Y43</f>
        <v>10041</v>
      </c>
      <c r="Z44" s="2">
        <f>+Z40-Z43</f>
        <v>5577</v>
      </c>
      <c r="AA44" s="2">
        <f>+AA40-AA43</f>
        <v>32972</v>
      </c>
    </row>
    <row r="45" spans="2:28" s="2" customFormat="1" x14ac:dyDescent="0.2">
      <c r="B45" s="2" t="s">
        <v>11</v>
      </c>
      <c r="C45" s="5">
        <v>-37</v>
      </c>
      <c r="D45" s="5">
        <v>88</v>
      </c>
      <c r="E45" s="5">
        <v>-50</v>
      </c>
      <c r="F45" s="5"/>
      <c r="G45" s="5">
        <v>-105</v>
      </c>
      <c r="H45" s="5">
        <f>18-68-13</f>
        <v>-63</v>
      </c>
      <c r="I45" s="5">
        <v>-24</v>
      </c>
      <c r="J45" s="5">
        <v>12</v>
      </c>
      <c r="K45" s="5"/>
      <c r="L45" s="5">
        <f>150-66-15</f>
        <v>69</v>
      </c>
      <c r="M45" s="2">
        <f>187-65+59</f>
        <v>181</v>
      </c>
      <c r="N45" s="2">
        <f>234-63-66</f>
        <v>105</v>
      </c>
      <c r="O45" s="2">
        <v>491</v>
      </c>
      <c r="P45" s="2">
        <f>+O45</f>
        <v>491</v>
      </c>
      <c r="Q45" s="2">
        <f>+P45</f>
        <v>491</v>
      </c>
      <c r="R45" s="2">
        <f>+Q45</f>
        <v>491</v>
      </c>
      <c r="S45" s="2">
        <f>+R45</f>
        <v>491</v>
      </c>
      <c r="Y45" s="2">
        <f>29-236+107</f>
        <v>-100</v>
      </c>
      <c r="Z45" s="2">
        <f>267-262-48</f>
        <v>-43</v>
      </c>
      <c r="AA45" s="2">
        <f>866-257+237</f>
        <v>846</v>
      </c>
    </row>
    <row r="46" spans="2:28" s="2" customFormat="1" x14ac:dyDescent="0.2">
      <c r="B46" s="2" t="s">
        <v>10</v>
      </c>
      <c r="C46" s="5">
        <f>+C44+C45</f>
        <v>1470</v>
      </c>
      <c r="D46" s="5">
        <f>+D44+D45</f>
        <v>2044</v>
      </c>
      <c r="E46" s="5">
        <f>+E44+E45</f>
        <v>2394</v>
      </c>
      <c r="F46" s="5"/>
      <c r="G46" s="5">
        <f>+G44+G45</f>
        <v>2865</v>
      </c>
      <c r="H46" s="5">
        <f>+H44+H45</f>
        <v>3158</v>
      </c>
      <c r="I46" s="5">
        <f>+I44+I45</f>
        <v>475</v>
      </c>
      <c r="J46" s="5">
        <f>+J44+J45</f>
        <v>613</v>
      </c>
      <c r="K46" s="5"/>
      <c r="L46" s="5">
        <f>+L44+L45</f>
        <v>2209</v>
      </c>
      <c r="M46" s="5">
        <f>+M44+M45</f>
        <v>6981</v>
      </c>
      <c r="N46" s="5">
        <f t="shared" ref="N46:S46" si="15">+N44+N45</f>
        <v>10522</v>
      </c>
      <c r="O46" s="5">
        <f t="shared" si="15"/>
        <v>14106</v>
      </c>
      <c r="P46" s="5">
        <f t="shared" si="15"/>
        <v>15954.400000000001</v>
      </c>
      <c r="Q46" s="5">
        <f t="shared" si="15"/>
        <v>17716.400000000001</v>
      </c>
      <c r="R46" s="5">
        <f t="shared" si="15"/>
        <v>19547.2</v>
      </c>
      <c r="S46" s="5">
        <f t="shared" si="15"/>
        <v>21736</v>
      </c>
      <c r="Y46" s="2">
        <f>+Y44+Y45</f>
        <v>9941</v>
      </c>
      <c r="Z46" s="2">
        <f>+Z44+Z45</f>
        <v>5534</v>
      </c>
      <c r="AA46" s="2">
        <f>+AA44+AA45</f>
        <v>33818</v>
      </c>
    </row>
    <row r="47" spans="2:28" s="2" customFormat="1" x14ac:dyDescent="0.2">
      <c r="B47" s="2" t="s">
        <v>9</v>
      </c>
      <c r="C47" s="5">
        <v>13</v>
      </c>
      <c r="D47" s="5">
        <v>132</v>
      </c>
      <c r="E47" s="5">
        <v>20</v>
      </c>
      <c r="F47" s="5"/>
      <c r="G47" s="5">
        <v>-138</v>
      </c>
      <c r="H47" s="5">
        <v>187</v>
      </c>
      <c r="I47" s="5">
        <v>-181</v>
      </c>
      <c r="J47" s="5">
        <v>-67</v>
      </c>
      <c r="K47" s="5"/>
      <c r="L47" s="5">
        <v>166</v>
      </c>
      <c r="M47" s="2">
        <v>793</v>
      </c>
      <c r="N47" s="2">
        <v>1279</v>
      </c>
      <c r="O47" s="2">
        <v>1821</v>
      </c>
      <c r="P47" s="2">
        <f>+P46*0.15</f>
        <v>2393.1600000000003</v>
      </c>
      <c r="Q47" s="2">
        <f>+Q46*0.15</f>
        <v>2657.46</v>
      </c>
      <c r="R47" s="2">
        <f>+R46*0.15</f>
        <v>2932.08</v>
      </c>
      <c r="S47" s="2">
        <f>+S46*0.15</f>
        <v>3260.4</v>
      </c>
      <c r="Y47" s="2">
        <v>189</v>
      </c>
      <c r="Z47" s="2">
        <v>0</v>
      </c>
      <c r="AA47" s="2">
        <v>4058</v>
      </c>
    </row>
    <row r="48" spans="2:28" s="2" customFormat="1" x14ac:dyDescent="0.2">
      <c r="B48" s="2" t="s">
        <v>8</v>
      </c>
      <c r="C48" s="5">
        <f>+C46-C47</f>
        <v>1457</v>
      </c>
      <c r="D48" s="5">
        <f>+D46-D47</f>
        <v>1912</v>
      </c>
      <c r="E48" s="5">
        <f>+E46-E47</f>
        <v>2374</v>
      </c>
      <c r="F48" s="5"/>
      <c r="G48" s="5">
        <f>+G46-G47</f>
        <v>3003</v>
      </c>
      <c r="H48" s="5">
        <f>+H46-H47</f>
        <v>2971</v>
      </c>
      <c r="I48" s="5">
        <f>+I46-I47</f>
        <v>656</v>
      </c>
      <c r="J48" s="5">
        <f>+J46-J47</f>
        <v>680</v>
      </c>
      <c r="K48" s="5"/>
      <c r="L48" s="5">
        <f>+L46-L47</f>
        <v>2043</v>
      </c>
      <c r="M48" s="2">
        <f>M46-M47</f>
        <v>6188</v>
      </c>
      <c r="N48" s="2">
        <f t="shared" ref="N48" si="16">N46-N47</f>
        <v>9243</v>
      </c>
      <c r="O48" s="2">
        <f>+O46-O47</f>
        <v>12285</v>
      </c>
      <c r="P48" s="2">
        <f>+P46-P47</f>
        <v>13561.240000000002</v>
      </c>
      <c r="Q48" s="2">
        <f t="shared" ref="Q48:S48" si="17">+Q46-Q47</f>
        <v>15058.940000000002</v>
      </c>
      <c r="R48" s="2">
        <f t="shared" si="17"/>
        <v>16615.120000000003</v>
      </c>
      <c r="S48" s="2">
        <f t="shared" si="17"/>
        <v>18475.599999999999</v>
      </c>
      <c r="Y48" s="2">
        <f>+Y46-Y47</f>
        <v>9752</v>
      </c>
      <c r="Z48" s="2">
        <f>+Z46-Z47</f>
        <v>5534</v>
      </c>
      <c r="AA48" s="2">
        <f>+AA46-AA47</f>
        <v>29760</v>
      </c>
    </row>
    <row r="49" spans="2:28" x14ac:dyDescent="0.2">
      <c r="B49" t="s">
        <v>12</v>
      </c>
      <c r="C49" s="6">
        <f>+C48/C50</f>
        <v>0.57725832012678291</v>
      </c>
      <c r="D49" s="6">
        <f>+D48/D50</f>
        <v>0.75632911392405067</v>
      </c>
      <c r="E49" s="6">
        <f>+E48/E50</f>
        <v>0.93759873617693523</v>
      </c>
      <c r="F49" s="6"/>
      <c r="G49" s="6">
        <f>+G48/G50</f>
        <v>1.1799607072691551</v>
      </c>
      <c r="H49" s="6">
        <f>+H48/H50</f>
        <v>1.1710681907765077</v>
      </c>
      <c r="I49" s="6">
        <f>+I48/I50</f>
        <v>0.26073131955484896</v>
      </c>
      <c r="J49" s="6">
        <f>+J48/J50</f>
        <v>0.27210884353741499</v>
      </c>
      <c r="K49" s="6"/>
      <c r="L49" s="6">
        <f>+L48/L50</f>
        <v>0.82048192771084338</v>
      </c>
      <c r="M49" s="6">
        <f>+M48/M50</f>
        <v>2.4761904761904763</v>
      </c>
      <c r="N49" s="6">
        <f t="shared" ref="N49:P49" si="18">+N48/N50</f>
        <v>3.7060946271050521</v>
      </c>
      <c r="O49" s="6">
        <f t="shared" si="18"/>
        <v>4.9337349397590362</v>
      </c>
      <c r="P49" s="6">
        <f t="shared" si="18"/>
        <v>5.4462811244979923</v>
      </c>
      <c r="Q49" s="6">
        <f t="shared" ref="Q49:S49" si="19">+Q48/Q50</f>
        <v>6.0477670682730933</v>
      </c>
      <c r="R49" s="6">
        <f t="shared" si="19"/>
        <v>6.6727389558232941</v>
      </c>
      <c r="S49" s="6">
        <f t="shared" si="19"/>
        <v>7.4199196787148587</v>
      </c>
      <c r="Y49" s="16">
        <f>+Y48/Y50</f>
        <v>3.8469428007889546</v>
      </c>
      <c r="Z49" s="16">
        <f>+Z48/Z50</f>
        <v>2.2074192261667331</v>
      </c>
      <c r="AA49" s="16">
        <f>+AA48/AA50</f>
        <v>11.932638331996792</v>
      </c>
    </row>
    <row r="50" spans="2:28" x14ac:dyDescent="0.2">
      <c r="B50" t="s">
        <v>13</v>
      </c>
      <c r="C50" s="5">
        <v>2524</v>
      </c>
      <c r="D50" s="5">
        <v>2528</v>
      </c>
      <c r="E50" s="5">
        <v>2532</v>
      </c>
      <c r="G50" s="5">
        <v>2545</v>
      </c>
      <c r="H50" s="5">
        <v>2537</v>
      </c>
      <c r="I50" s="5">
        <v>2516</v>
      </c>
      <c r="J50" s="5">
        <v>2499</v>
      </c>
      <c r="K50" s="5"/>
      <c r="L50" s="5">
        <v>2490</v>
      </c>
      <c r="M50" s="5">
        <v>2499</v>
      </c>
      <c r="N50" s="5">
        <v>2494</v>
      </c>
      <c r="O50" s="2">
        <v>2490</v>
      </c>
      <c r="P50" s="2">
        <f>+O50</f>
        <v>2490</v>
      </c>
      <c r="Q50" s="2">
        <f t="shared" ref="Q50:S50" si="20">+P50</f>
        <v>2490</v>
      </c>
      <c r="R50" s="2">
        <f t="shared" si="20"/>
        <v>2490</v>
      </c>
      <c r="S50" s="2">
        <f t="shared" si="20"/>
        <v>2490</v>
      </c>
      <c r="Y50" s="2">
        <v>2535</v>
      </c>
      <c r="Z50" s="2">
        <v>2507</v>
      </c>
      <c r="AA50" s="2">
        <v>2494</v>
      </c>
    </row>
    <row r="52" spans="2:28" x14ac:dyDescent="0.2">
      <c r="B52" t="s">
        <v>71</v>
      </c>
      <c r="F52" s="10"/>
      <c r="G52" s="10">
        <f t="shared" ref="G52:O52" si="21">+G38/C38-1</f>
        <v>0.52768338996602049</v>
      </c>
      <c r="H52" s="10">
        <f t="shared" si="21"/>
        <v>0.46405228758169925</v>
      </c>
      <c r="I52" s="10">
        <f t="shared" si="21"/>
        <v>3.0275088366374714E-2</v>
      </c>
      <c r="J52" s="10">
        <f t="shared" si="21"/>
        <v>-0.16500070392791777</v>
      </c>
      <c r="K52" s="10">
        <f t="shared" si="21"/>
        <v>-0.20829517205285886</v>
      </c>
      <c r="L52" s="19">
        <f t="shared" si="21"/>
        <v>-0.13223938223938225</v>
      </c>
      <c r="M52" s="19">
        <f t="shared" si="21"/>
        <v>1.0147673031026252</v>
      </c>
      <c r="N52" s="19">
        <f t="shared" si="21"/>
        <v>2.0551340414769852</v>
      </c>
      <c r="O52" s="19">
        <f t="shared" si="21"/>
        <v>2.6527846636919516</v>
      </c>
      <c r="P52" s="19">
        <f t="shared" ref="P52" si="22">+P38/L38-1</f>
        <v>2.4329810901001112</v>
      </c>
      <c r="Q52" s="19">
        <f t="shared" ref="Q52" si="23">+Q38/M38-1</f>
        <v>0.98563707707114823</v>
      </c>
      <c r="R52" s="19">
        <f t="shared" ref="R52" si="24">+R38/N38-1</f>
        <v>0.62030905077262699</v>
      </c>
      <c r="S52" s="19">
        <f t="shared" ref="S52" si="25">+S38/O38-1</f>
        <v>0.4455051350495407</v>
      </c>
      <c r="Z52" s="10">
        <f>+Z38/Y38-1</f>
        <v>2.2293230289069932E-3</v>
      </c>
      <c r="AA52" s="10">
        <f>+AA38/Z38-1</f>
        <v>1.2585452658115224</v>
      </c>
      <c r="AB52" s="10">
        <f>+AB38/AA38-1</f>
        <v>0.85187616952824929</v>
      </c>
    </row>
    <row r="53" spans="2:28" x14ac:dyDescent="0.2">
      <c r="B53" t="s">
        <v>72</v>
      </c>
      <c r="D53" s="10">
        <f t="shared" ref="D53:O53" si="26">+D38/C38-1</f>
        <v>0.13152108734759138</v>
      </c>
      <c r="E53" s="10">
        <f t="shared" si="26"/>
        <v>0.14944356120826718</v>
      </c>
      <c r="F53" s="10">
        <f t="shared" si="26"/>
        <v>9.1593668357153879E-2</v>
      </c>
      <c r="G53" s="10">
        <f t="shared" si="26"/>
        <v>7.6024215120371608E-2</v>
      </c>
      <c r="H53" s="10">
        <f t="shared" si="26"/>
        <v>8.4390945963626951E-2</v>
      </c>
      <c r="I53" s="10">
        <f t="shared" si="26"/>
        <v>-0.19111969111969107</v>
      </c>
      <c r="J53" s="10">
        <f t="shared" si="26"/>
        <v>-0.11530429594272074</v>
      </c>
      <c r="K53" s="10">
        <f t="shared" si="26"/>
        <v>2.0232675771370667E-2</v>
      </c>
      <c r="L53" s="10">
        <f t="shared" si="26"/>
        <v>0.1885638737398776</v>
      </c>
      <c r="M53" s="10">
        <f t="shared" si="26"/>
        <v>0.87805895439377091</v>
      </c>
      <c r="N53" s="10">
        <f t="shared" si="26"/>
        <v>0.34152661582882948</v>
      </c>
      <c r="O53" s="10">
        <f t="shared" si="26"/>
        <v>0.21981236203090515</v>
      </c>
      <c r="P53" s="10">
        <f t="shared" ref="P53" si="27">+P38/O38-1</f>
        <v>0.11704293534814281</v>
      </c>
      <c r="Q53" s="10">
        <f t="shared" ref="Q53" si="28">+Q38/P38-1</f>
        <v>8.6269744835965945E-2</v>
      </c>
      <c r="R53" s="10">
        <f t="shared" ref="R53" si="29">+R38/Q38-1</f>
        <v>9.4705443698732239E-2</v>
      </c>
      <c r="S53" s="10">
        <f t="shared" ref="S53" si="30">+S38/R38-1</f>
        <v>8.8215258855585788E-2</v>
      </c>
    </row>
    <row r="54" spans="2:28" x14ac:dyDescent="0.2">
      <c r="B54" t="s">
        <v>73</v>
      </c>
      <c r="E54" s="10">
        <f t="shared" ref="E54:O54" si="31">+E36/D36-1</f>
        <v>0.15609756097560967</v>
      </c>
      <c r="F54" s="10">
        <f t="shared" si="31"/>
        <v>0.240506329113924</v>
      </c>
      <c r="G54" s="10">
        <f t="shared" si="31"/>
        <v>0.10884353741496589</v>
      </c>
      <c r="H54" s="10">
        <f t="shared" si="31"/>
        <v>0.15030674846625769</v>
      </c>
      <c r="I54" s="10">
        <f t="shared" si="31"/>
        <v>1.6000000000000014E-2</v>
      </c>
      <c r="J54" s="10">
        <f t="shared" si="31"/>
        <v>6.0367454068241955E-3</v>
      </c>
      <c r="K54" s="10">
        <f t="shared" si="31"/>
        <v>-5.5570049569527824E-2</v>
      </c>
      <c r="L54" s="10">
        <f t="shared" si="31"/>
        <v>0.18342541436464099</v>
      </c>
      <c r="M54" s="10">
        <f t="shared" si="31"/>
        <v>1.4096638655462184</v>
      </c>
      <c r="N54" s="10">
        <f t="shared" si="31"/>
        <v>0.40598663179308336</v>
      </c>
      <c r="O54" s="10">
        <f t="shared" si="31"/>
        <v>0.26677690505718621</v>
      </c>
      <c r="P54" s="10">
        <f t="shared" ref="P54" si="32">+P36/O36-1</f>
        <v>0.54465354073751771</v>
      </c>
      <c r="Q54" s="10">
        <f t="shared" ref="Q54" si="33">+Q36/P36-1</f>
        <v>-1</v>
      </c>
      <c r="R54" s="10" t="e">
        <f t="shared" ref="R54" si="34">+R36/Q36-1</f>
        <v>#DIV/0!</v>
      </c>
      <c r="S54" s="10" t="e">
        <f t="shared" ref="S54" si="35">+S36/R36-1</f>
        <v>#DIV/0!</v>
      </c>
    </row>
    <row r="55" spans="2:28" x14ac:dyDescent="0.2">
      <c r="B55" t="s">
        <v>5</v>
      </c>
      <c r="C55" s="7">
        <f>C40/C38</f>
        <v>0.6310213871676994</v>
      </c>
      <c r="D55" s="7">
        <f>D40/D38</f>
        <v>0.6410528175234057</v>
      </c>
      <c r="E55" s="7">
        <f>E40/E38</f>
        <v>0.64776394651913327</v>
      </c>
      <c r="F55" s="7"/>
      <c r="G55" s="7">
        <f>G40/G38</f>
        <v>0.65406254088708626</v>
      </c>
      <c r="H55" s="7">
        <f>H40/H38</f>
        <v>0.65528474903474898</v>
      </c>
      <c r="I55" s="7">
        <f>I40/I38</f>
        <v>0.43481503579952269</v>
      </c>
      <c r="J55" s="7">
        <f>J40/J38</f>
        <v>0.53566009104704093</v>
      </c>
      <c r="K55" s="7"/>
      <c r="L55" s="7">
        <f>L40/L38</f>
        <v>0.64627363737486099</v>
      </c>
      <c r="M55" s="7">
        <f>M40/M38</f>
        <v>0.7005256533649219</v>
      </c>
      <c r="N55" s="7">
        <f>N40/N38</f>
        <v>0.73951434878587197</v>
      </c>
      <c r="O55" s="7">
        <f>O40/O38</f>
        <v>0.75967063294575399</v>
      </c>
      <c r="P55" s="7">
        <f t="shared" ref="P55:S55" si="36">P40/P38</f>
        <v>0.76</v>
      </c>
      <c r="Q55" s="7">
        <f t="shared" si="36"/>
        <v>0.77</v>
      </c>
      <c r="R55" s="7">
        <f t="shared" si="36"/>
        <v>0.77</v>
      </c>
      <c r="S55" s="7">
        <f t="shared" si="36"/>
        <v>0.78</v>
      </c>
    </row>
    <row r="56" spans="2:28" x14ac:dyDescent="0.2">
      <c r="B56" t="s">
        <v>24</v>
      </c>
      <c r="C56" s="7">
        <f t="shared" ref="C56:H56" si="37">C36/C38</f>
        <v>0</v>
      </c>
      <c r="D56" s="7">
        <f t="shared" si="37"/>
        <v>0.36212683271506801</v>
      </c>
      <c r="E56" s="7">
        <f t="shared" si="37"/>
        <v>0.36422314430613184</v>
      </c>
      <c r="F56" s="7">
        <f t="shared" si="37"/>
        <v>0.41390961565535689</v>
      </c>
      <c r="G56" s="7">
        <f t="shared" si="37"/>
        <v>0.42653408347507521</v>
      </c>
      <c r="H56" s="7">
        <f t="shared" si="37"/>
        <v>0.45246138996138996</v>
      </c>
      <c r="I56" s="7">
        <f t="shared" ref="I56:N56" si="38">I36/I38</f>
        <v>0.56831742243436756</v>
      </c>
      <c r="J56" s="7">
        <f t="shared" si="38"/>
        <v>0.64626538526386779</v>
      </c>
      <c r="K56" s="7">
        <f t="shared" si="38"/>
        <v>0.59824822343414308</v>
      </c>
      <c r="L56" s="7">
        <f t="shared" si="38"/>
        <v>0.59566184649610676</v>
      </c>
      <c r="M56" s="7">
        <f t="shared" si="38"/>
        <v>0.76427037832235134</v>
      </c>
      <c r="N56" s="7">
        <f t="shared" si="38"/>
        <v>0.80099337748344368</v>
      </c>
      <c r="O56" s="7">
        <f t="shared" ref="O56:S56" si="39">O36/O38</f>
        <v>0.83183278288015206</v>
      </c>
      <c r="P56" s="7">
        <f t="shared" si="39"/>
        <v>1.1502632644795463</v>
      </c>
      <c r="Q56" s="7">
        <f t="shared" si="39"/>
        <v>0</v>
      </c>
      <c r="R56" s="7">
        <f t="shared" si="39"/>
        <v>0</v>
      </c>
      <c r="S56" s="7">
        <f t="shared" si="39"/>
        <v>0</v>
      </c>
    </row>
    <row r="58" spans="2:28" x14ac:dyDescent="0.2">
      <c r="B58" t="s">
        <v>165</v>
      </c>
      <c r="L58" s="2">
        <f>+L59-L72</f>
        <v>4366</v>
      </c>
      <c r="M58" s="2">
        <f>+M59-M72</f>
        <v>6318</v>
      </c>
      <c r="N58" s="2">
        <f>+N59-N72</f>
        <v>8575</v>
      </c>
      <c r="O58" s="2">
        <f>+O59-O72</f>
        <v>16275</v>
      </c>
      <c r="P58" s="2">
        <f t="shared" ref="P58:S58" si="40">+P59-P72</f>
        <v>0</v>
      </c>
      <c r="Q58" s="2">
        <f t="shared" si="40"/>
        <v>0</v>
      </c>
      <c r="R58" s="2">
        <f t="shared" si="40"/>
        <v>0</v>
      </c>
      <c r="S58" s="2">
        <f t="shared" si="40"/>
        <v>0</v>
      </c>
    </row>
    <row r="59" spans="2:28" s="2" customFormat="1" x14ac:dyDescent="0.2">
      <c r="B59" s="2" t="s">
        <v>38</v>
      </c>
      <c r="C59" s="5"/>
      <c r="D59" s="5"/>
      <c r="E59" s="5"/>
      <c r="F59" s="5"/>
      <c r="G59" s="5"/>
      <c r="H59" s="5"/>
      <c r="I59" s="5"/>
      <c r="J59" s="5"/>
      <c r="K59" s="5"/>
      <c r="L59" s="2">
        <f>5079+10241</f>
        <v>15320</v>
      </c>
      <c r="M59" s="2">
        <f>5783+10240</f>
        <v>16023</v>
      </c>
      <c r="N59" s="2">
        <f>5519+12762</f>
        <v>18281</v>
      </c>
      <c r="O59" s="2">
        <f>7280+18704</f>
        <v>25984</v>
      </c>
    </row>
    <row r="60" spans="2:28" s="2" customFormat="1" x14ac:dyDescent="0.2">
      <c r="B60" s="2" t="s">
        <v>39</v>
      </c>
      <c r="C60" s="5"/>
      <c r="D60" s="5"/>
      <c r="E60" s="5"/>
      <c r="F60" s="5"/>
      <c r="G60" s="5"/>
      <c r="H60" s="5"/>
      <c r="I60" s="5"/>
      <c r="J60" s="5"/>
      <c r="K60" s="5"/>
      <c r="L60" s="2">
        <v>4080</v>
      </c>
      <c r="M60" s="2">
        <v>7066</v>
      </c>
      <c r="N60" s="2">
        <v>8309</v>
      </c>
      <c r="O60" s="2">
        <v>9999</v>
      </c>
    </row>
    <row r="61" spans="2:28" s="2" customFormat="1" x14ac:dyDescent="0.2">
      <c r="B61" s="2" t="s">
        <v>40</v>
      </c>
      <c r="C61" s="5"/>
      <c r="D61" s="5"/>
      <c r="E61" s="5"/>
      <c r="F61" s="5"/>
      <c r="G61" s="5"/>
      <c r="H61" s="5"/>
      <c r="I61" s="5"/>
      <c r="J61" s="5"/>
      <c r="K61" s="5"/>
      <c r="L61" s="2">
        <v>4611</v>
      </c>
      <c r="M61" s="2">
        <v>4319</v>
      </c>
      <c r="N61" s="2">
        <v>4779</v>
      </c>
      <c r="O61" s="2">
        <v>5282</v>
      </c>
    </row>
    <row r="62" spans="2:28" s="2" customFormat="1" x14ac:dyDescent="0.2">
      <c r="B62" s="2" t="s">
        <v>41</v>
      </c>
      <c r="C62" s="5"/>
      <c r="D62" s="5"/>
      <c r="E62" s="5"/>
      <c r="F62" s="5"/>
      <c r="G62" s="5"/>
      <c r="H62" s="5"/>
      <c r="I62" s="5"/>
      <c r="J62" s="5"/>
      <c r="K62" s="5"/>
      <c r="L62" s="2">
        <v>872</v>
      </c>
      <c r="M62" s="2">
        <v>1389</v>
      </c>
      <c r="N62" s="2">
        <v>1289</v>
      </c>
      <c r="O62" s="2">
        <v>3080</v>
      </c>
    </row>
    <row r="63" spans="2:28" s="2" customFormat="1" x14ac:dyDescent="0.2">
      <c r="B63" s="2" t="s">
        <v>42</v>
      </c>
      <c r="C63" s="5"/>
      <c r="D63" s="5"/>
      <c r="E63" s="5"/>
      <c r="F63" s="5"/>
      <c r="G63" s="5"/>
      <c r="H63" s="5"/>
      <c r="I63" s="5"/>
      <c r="J63" s="5"/>
      <c r="K63" s="5"/>
      <c r="L63" s="2">
        <v>3740</v>
      </c>
      <c r="M63" s="2">
        <v>3799</v>
      </c>
      <c r="N63" s="2">
        <v>3844</v>
      </c>
      <c r="O63" s="2">
        <v>3914</v>
      </c>
    </row>
    <row r="64" spans="2:28" s="2" customFormat="1" x14ac:dyDescent="0.2">
      <c r="B64" s="2" t="s">
        <v>43</v>
      </c>
      <c r="C64" s="5"/>
      <c r="D64" s="5"/>
      <c r="E64" s="5"/>
      <c r="F64" s="5"/>
      <c r="G64" s="5"/>
      <c r="H64" s="5"/>
      <c r="I64" s="5"/>
      <c r="J64" s="5"/>
      <c r="K64" s="5"/>
      <c r="L64" s="2">
        <v>1094</v>
      </c>
      <c r="M64" s="2">
        <v>1235</v>
      </c>
      <c r="N64" s="2">
        <v>1316</v>
      </c>
      <c r="O64" s="2">
        <v>1346</v>
      </c>
    </row>
    <row r="65" spans="2:15" s="2" customFormat="1" x14ac:dyDescent="0.2">
      <c r="B65" s="2" t="s">
        <v>44</v>
      </c>
      <c r="C65" s="5"/>
      <c r="D65" s="5"/>
      <c r="E65" s="5"/>
      <c r="F65" s="5"/>
      <c r="G65" s="5"/>
      <c r="H65" s="5"/>
      <c r="I65" s="5"/>
      <c r="J65" s="5"/>
      <c r="K65" s="5"/>
      <c r="L65" s="2">
        <f>4430+1541</f>
        <v>5971</v>
      </c>
      <c r="M65" s="2">
        <f>4430+1395</f>
        <v>5825</v>
      </c>
      <c r="N65" s="2">
        <f>4430+1251</f>
        <v>5681</v>
      </c>
      <c r="O65" s="2">
        <f>4430+1112</f>
        <v>5542</v>
      </c>
    </row>
    <row r="66" spans="2:15" s="2" customFormat="1" x14ac:dyDescent="0.2">
      <c r="B66" s="2" t="s">
        <v>9</v>
      </c>
      <c r="C66" s="5"/>
      <c r="D66" s="5"/>
      <c r="E66" s="5"/>
      <c r="F66" s="5"/>
      <c r="G66" s="5"/>
      <c r="H66" s="5"/>
      <c r="I66" s="5"/>
      <c r="J66" s="5"/>
      <c r="K66" s="5"/>
      <c r="L66" s="2">
        <v>4568</v>
      </c>
      <c r="M66" s="2">
        <v>5398</v>
      </c>
      <c r="N66" s="2">
        <v>5982</v>
      </c>
      <c r="O66" s="2">
        <v>6081</v>
      </c>
    </row>
    <row r="67" spans="2:15" s="2" customFormat="1" x14ac:dyDescent="0.2">
      <c r="B67" s="2" t="s">
        <v>45</v>
      </c>
      <c r="C67" s="5"/>
      <c r="D67" s="5"/>
      <c r="E67" s="5"/>
      <c r="F67" s="5"/>
      <c r="G67" s="5"/>
      <c r="H67" s="5"/>
      <c r="I67" s="5"/>
      <c r="J67" s="5"/>
      <c r="K67" s="5"/>
      <c r="L67" s="2">
        <v>4204</v>
      </c>
      <c r="M67" s="2">
        <v>4501</v>
      </c>
      <c r="N67" s="2">
        <v>4667</v>
      </c>
      <c r="O67" s="2">
        <v>4500</v>
      </c>
    </row>
    <row r="68" spans="2:15" s="2" customFormat="1" x14ac:dyDescent="0.2">
      <c r="B68" s="2" t="s">
        <v>37</v>
      </c>
      <c r="C68" s="5"/>
      <c r="D68" s="5"/>
      <c r="E68" s="5"/>
      <c r="F68" s="5"/>
      <c r="G68" s="5"/>
      <c r="H68" s="5"/>
      <c r="I68" s="5"/>
      <c r="J68" s="5"/>
      <c r="K68" s="5"/>
      <c r="L68" s="2">
        <f t="shared" ref="L68" si="41">SUM(L59:L67)</f>
        <v>44460</v>
      </c>
      <c r="M68" s="2">
        <f>SUM(M59:M67)</f>
        <v>49555</v>
      </c>
      <c r="N68" s="2">
        <f>SUM(N59:N67)</f>
        <v>54148</v>
      </c>
      <c r="O68" s="2">
        <f>SUM(O59:O67)</f>
        <v>65728</v>
      </c>
    </row>
    <row r="69" spans="2:15" s="2" customFormat="1" x14ac:dyDescent="0.2">
      <c r="C69" s="5"/>
      <c r="D69" s="5"/>
      <c r="E69" s="5"/>
      <c r="F69" s="5"/>
      <c r="G69" s="5"/>
      <c r="H69" s="5"/>
      <c r="I69" s="5"/>
      <c r="J69" s="5"/>
      <c r="K69" s="5"/>
    </row>
    <row r="70" spans="2:15" s="2" customFormat="1" x14ac:dyDescent="0.2">
      <c r="B70" s="2" t="s">
        <v>36</v>
      </c>
      <c r="C70" s="5"/>
      <c r="D70" s="5"/>
      <c r="E70" s="5"/>
      <c r="F70" s="5"/>
      <c r="G70" s="5"/>
      <c r="H70" s="5"/>
      <c r="I70" s="5"/>
      <c r="J70" s="5"/>
      <c r="K70" s="5"/>
      <c r="L70" s="2">
        <v>1141</v>
      </c>
      <c r="M70" s="2">
        <v>1929</v>
      </c>
      <c r="N70" s="2">
        <v>2380</v>
      </c>
      <c r="O70" s="2">
        <v>2699</v>
      </c>
    </row>
    <row r="71" spans="2:15" s="2" customFormat="1" x14ac:dyDescent="0.2">
      <c r="B71" s="2" t="s">
        <v>35</v>
      </c>
      <c r="C71" s="5"/>
      <c r="D71" s="5"/>
      <c r="E71" s="5"/>
      <c r="F71" s="5"/>
      <c r="G71" s="5"/>
      <c r="H71" s="5"/>
      <c r="I71" s="5"/>
      <c r="J71" s="5"/>
      <c r="K71" s="5"/>
      <c r="L71" s="2">
        <v>4869</v>
      </c>
      <c r="M71" s="2">
        <v>7156</v>
      </c>
      <c r="N71" s="2">
        <v>5472</v>
      </c>
      <c r="O71" s="2">
        <v>6682</v>
      </c>
    </row>
    <row r="72" spans="2:15" s="2" customFormat="1" x14ac:dyDescent="0.2">
      <c r="B72" s="2" t="s">
        <v>34</v>
      </c>
      <c r="C72" s="5"/>
      <c r="D72" s="5"/>
      <c r="E72" s="5"/>
      <c r="F72" s="5"/>
      <c r="G72" s="5"/>
      <c r="H72" s="5"/>
      <c r="I72" s="5"/>
      <c r="J72" s="5"/>
      <c r="K72" s="5"/>
      <c r="L72" s="2">
        <f>1250+9704</f>
        <v>10954</v>
      </c>
      <c r="M72" s="2">
        <f>1249+8456</f>
        <v>9705</v>
      </c>
      <c r="N72" s="2">
        <f>1249+8457</f>
        <v>9706</v>
      </c>
      <c r="O72" s="2">
        <f>1250+8459</f>
        <v>9709</v>
      </c>
    </row>
    <row r="73" spans="2:15" s="2" customFormat="1" x14ac:dyDescent="0.2">
      <c r="B73" s="2" t="s">
        <v>33</v>
      </c>
      <c r="C73" s="5"/>
      <c r="D73" s="5"/>
      <c r="E73" s="5"/>
      <c r="F73" s="5"/>
      <c r="G73" s="5"/>
      <c r="H73" s="5"/>
      <c r="I73" s="5"/>
      <c r="J73" s="5"/>
      <c r="K73" s="5"/>
      <c r="L73" s="2">
        <f>939</f>
        <v>939</v>
      </c>
      <c r="M73" s="2">
        <v>1041</v>
      </c>
      <c r="N73" s="2">
        <v>1091</v>
      </c>
      <c r="O73" s="2">
        <v>1119</v>
      </c>
    </row>
    <row r="74" spans="2:15" s="2" customFormat="1" x14ac:dyDescent="0.2">
      <c r="B74" s="2" t="s">
        <v>32</v>
      </c>
      <c r="C74" s="5"/>
      <c r="D74" s="5"/>
      <c r="E74" s="5"/>
      <c r="F74" s="5"/>
      <c r="G74" s="5"/>
      <c r="H74" s="5"/>
      <c r="I74" s="5"/>
      <c r="J74" s="5"/>
      <c r="K74" s="5"/>
      <c r="L74" s="2">
        <v>2037</v>
      </c>
      <c r="M74" s="2">
        <v>2223</v>
      </c>
      <c r="N74" s="2">
        <v>2234</v>
      </c>
      <c r="O74" s="2">
        <v>2541</v>
      </c>
    </row>
    <row r="75" spans="2:15" s="2" customFormat="1" x14ac:dyDescent="0.2">
      <c r="B75" s="2" t="s">
        <v>31</v>
      </c>
      <c r="C75" s="5"/>
      <c r="D75" s="5"/>
      <c r="E75" s="5"/>
      <c r="F75" s="5"/>
      <c r="G75" s="5"/>
      <c r="H75" s="5"/>
      <c r="I75" s="5"/>
      <c r="J75" s="5"/>
      <c r="K75" s="5"/>
      <c r="L75" s="2">
        <v>24520</v>
      </c>
      <c r="M75" s="2">
        <v>27501</v>
      </c>
      <c r="N75" s="2">
        <v>33265</v>
      </c>
      <c r="O75" s="2">
        <v>42978</v>
      </c>
    </row>
    <row r="76" spans="2:15" s="2" customFormat="1" x14ac:dyDescent="0.2">
      <c r="B76" s="2" t="s">
        <v>30</v>
      </c>
      <c r="C76" s="5"/>
      <c r="D76" s="5"/>
      <c r="E76" s="5"/>
      <c r="F76" s="5"/>
      <c r="G76" s="5"/>
      <c r="H76" s="5"/>
      <c r="I76" s="5"/>
      <c r="J76" s="5"/>
      <c r="K76" s="5"/>
      <c r="L76" s="2">
        <f t="shared" ref="L76" si="42">SUM(L70:L75)</f>
        <v>44460</v>
      </c>
      <c r="M76" s="2">
        <f>SUM(M70:M75)</f>
        <v>49555</v>
      </c>
      <c r="N76" s="2">
        <f>SUM(N70:N75)</f>
        <v>54148</v>
      </c>
      <c r="O76" s="2">
        <f>SUM(O70:O75)</f>
        <v>65728</v>
      </c>
    </row>
    <row r="77" spans="2:15" x14ac:dyDescent="0.2">
      <c r="L77" s="5"/>
      <c r="M77" s="2"/>
      <c r="N77" s="2"/>
    </row>
    <row r="78" spans="2:15" x14ac:dyDescent="0.2">
      <c r="B78" s="2" t="s">
        <v>8</v>
      </c>
      <c r="L78" s="5">
        <f>L48</f>
        <v>2043</v>
      </c>
      <c r="M78" s="5">
        <f>M48</f>
        <v>6188</v>
      </c>
      <c r="N78" s="5">
        <f>N48</f>
        <v>9243</v>
      </c>
      <c r="O78" s="5">
        <f>O48</f>
        <v>12285</v>
      </c>
    </row>
    <row r="79" spans="2:15" x14ac:dyDescent="0.2">
      <c r="B79" s="2" t="s">
        <v>53</v>
      </c>
      <c r="L79" s="5">
        <v>735</v>
      </c>
      <c r="M79" s="2">
        <f>1576-L79</f>
        <v>841</v>
      </c>
      <c r="N79" s="2">
        <f>2555-M79-L79</f>
        <v>979</v>
      </c>
      <c r="O79" s="2">
        <f>3549-N79-M79-L79</f>
        <v>994</v>
      </c>
    </row>
    <row r="80" spans="2:15" x14ac:dyDescent="0.2">
      <c r="B80" s="2" t="s">
        <v>55</v>
      </c>
      <c r="L80" s="5">
        <v>384</v>
      </c>
      <c r="M80" s="2">
        <f>749-L80</f>
        <v>365</v>
      </c>
      <c r="N80" s="2">
        <f>1121-M80-L80</f>
        <v>372</v>
      </c>
      <c r="O80" s="2">
        <f>1508-N80-M80-L80</f>
        <v>387</v>
      </c>
    </row>
    <row r="81" spans="2:15" x14ac:dyDescent="0.2">
      <c r="B81" s="2" t="s">
        <v>56</v>
      </c>
      <c r="L81" s="5">
        <v>14</v>
      </c>
      <c r="M81" s="2">
        <f>-45-L81</f>
        <v>-59</v>
      </c>
      <c r="N81" s="2">
        <f>24-M81-L81</f>
        <v>69</v>
      </c>
      <c r="O81" s="2">
        <f>-238-N81-M81-L81</f>
        <v>-262</v>
      </c>
    </row>
    <row r="82" spans="2:15" x14ac:dyDescent="0.2">
      <c r="B82" s="2" t="s">
        <v>57</v>
      </c>
      <c r="L82" s="5">
        <v>-1135</v>
      </c>
      <c r="M82" s="2">
        <f>-1881-L82</f>
        <v>-746</v>
      </c>
      <c r="N82" s="2">
        <f>-2411-M82-L82</f>
        <v>-530</v>
      </c>
      <c r="O82" s="2">
        <f>-2489-N82-M82-L82</f>
        <v>-78</v>
      </c>
    </row>
    <row r="83" spans="2:15" x14ac:dyDescent="0.2">
      <c r="B83" s="2" t="s">
        <v>46</v>
      </c>
      <c r="L83" s="5">
        <v>-34</v>
      </c>
      <c r="M83" s="2">
        <f>-102-L83</f>
        <v>-68</v>
      </c>
      <c r="N83" s="2">
        <f>-170-M83-L83</f>
        <v>-68</v>
      </c>
      <c r="O83" s="2">
        <f>-278-N83-M83-L83</f>
        <v>-108</v>
      </c>
    </row>
    <row r="84" spans="2:15" x14ac:dyDescent="0.2">
      <c r="B84" s="2" t="s">
        <v>58</v>
      </c>
      <c r="L84" s="5">
        <f>-252+566-215+11+689+105</f>
        <v>904</v>
      </c>
      <c r="M84" s="2">
        <f>-3239+861-592+789+2675+236-L84</f>
        <v>-174</v>
      </c>
      <c r="N84" s="2">
        <f>-4482+405-337+1250+953+208-M84-L84</f>
        <v>-2733</v>
      </c>
      <c r="O84" s="2">
        <f>-6172-98-1522+1531+2025+514-N84-M84-L84</f>
        <v>-1719</v>
      </c>
    </row>
    <row r="85" spans="2:15" x14ac:dyDescent="0.2">
      <c r="B85" t="s">
        <v>54</v>
      </c>
      <c r="L85" s="5">
        <f>SUM(L78:L84)</f>
        <v>2911</v>
      </c>
      <c r="M85" s="5">
        <f>SUM(M78:M84)</f>
        <v>6347</v>
      </c>
      <c r="N85" s="5">
        <f>SUM(N78:N84)</f>
        <v>7332</v>
      </c>
      <c r="O85" s="5">
        <f>SUM(O78:O84)</f>
        <v>11499</v>
      </c>
    </row>
    <row r="86" spans="2:15" x14ac:dyDescent="0.2">
      <c r="L86" s="5"/>
      <c r="M86" s="2"/>
      <c r="N86" s="2"/>
    </row>
    <row r="87" spans="2:15" x14ac:dyDescent="0.2">
      <c r="B87" s="2" t="s">
        <v>59</v>
      </c>
      <c r="L87" s="5">
        <f>2512-2801-221</f>
        <v>-510</v>
      </c>
      <c r="M87" s="2">
        <f>5111-5343-L87-435</f>
        <v>-157</v>
      </c>
      <c r="N87" s="2">
        <f>8001-10688-M87-L87-872</f>
        <v>-2892</v>
      </c>
      <c r="O87" s="2">
        <f>9732+50-18211-N87-M87-L87-985</f>
        <v>-5855</v>
      </c>
    </row>
    <row r="88" spans="2:15" x14ac:dyDescent="0.2">
      <c r="B88" s="2" t="s">
        <v>60</v>
      </c>
      <c r="L88" s="5">
        <v>-248</v>
      </c>
      <c r="M88" s="2">
        <f>-537-L88</f>
        <v>-289</v>
      </c>
      <c r="N88" s="2">
        <f>-815-M88-L88</f>
        <v>-278</v>
      </c>
      <c r="O88" s="2">
        <f>-1069-N88-M88-L88</f>
        <v>-254</v>
      </c>
    </row>
    <row r="89" spans="2:15" x14ac:dyDescent="0.2">
      <c r="B89" s="2" t="s">
        <v>61</v>
      </c>
      <c r="L89" s="5">
        <v>-83</v>
      </c>
      <c r="M89" s="2">
        <f>-83-L89</f>
        <v>0</v>
      </c>
      <c r="N89" s="2">
        <f>-83-M89-L89</f>
        <v>0</v>
      </c>
      <c r="O89" s="2">
        <f>-83-N89-M89-L89</f>
        <v>0</v>
      </c>
    </row>
    <row r="90" spans="2:15" x14ac:dyDescent="0.2">
      <c r="B90" s="2" t="s">
        <v>62</v>
      </c>
      <c r="L90" s="5">
        <f>SUM(L87:L89)</f>
        <v>-841</v>
      </c>
      <c r="M90" s="5">
        <f>SUM(M87:M89)</f>
        <v>-446</v>
      </c>
      <c r="N90" s="5">
        <f>SUM(N87:N89)</f>
        <v>-3170</v>
      </c>
      <c r="O90" s="5">
        <f>SUM(O87:O89)</f>
        <v>-6109</v>
      </c>
    </row>
    <row r="92" spans="2:15" x14ac:dyDescent="0.2">
      <c r="B92" s="2" t="s">
        <v>65</v>
      </c>
      <c r="L92" s="5">
        <f>246</f>
        <v>246</v>
      </c>
      <c r="M92" s="2">
        <f>247-L92</f>
        <v>1</v>
      </c>
      <c r="N92" s="2">
        <f>403-M92-L92</f>
        <v>156</v>
      </c>
      <c r="O92" s="2">
        <f>403-N92-M92-L92</f>
        <v>0</v>
      </c>
    </row>
    <row r="93" spans="2:15" x14ac:dyDescent="0.2">
      <c r="B93" s="2" t="s">
        <v>66</v>
      </c>
      <c r="L93" s="5">
        <v>-507</v>
      </c>
      <c r="M93" s="2">
        <f>-1179-L93</f>
        <v>-672</v>
      </c>
      <c r="N93" s="2">
        <f>-1942-M93-L93</f>
        <v>-763</v>
      </c>
      <c r="O93" s="2">
        <f>-2783-N93-M93-L93</f>
        <v>-841</v>
      </c>
    </row>
    <row r="94" spans="2:15" x14ac:dyDescent="0.2">
      <c r="B94" s="2" t="s">
        <v>67</v>
      </c>
      <c r="L94" s="5">
        <v>-99</v>
      </c>
      <c r="M94" s="2">
        <f>-199-L94</f>
        <v>-100</v>
      </c>
      <c r="N94" s="2">
        <f>-296-M94-L94</f>
        <v>-97</v>
      </c>
      <c r="O94" s="2">
        <f>-395-N94-M94-L94</f>
        <v>-99</v>
      </c>
    </row>
    <row r="95" spans="2:15" x14ac:dyDescent="0.2">
      <c r="B95" s="2" t="s">
        <v>69</v>
      </c>
      <c r="L95" s="5">
        <v>0</v>
      </c>
      <c r="M95" s="2">
        <f>-3067-L95</f>
        <v>-3067</v>
      </c>
      <c r="N95" s="2">
        <f>-6874-M95-L95</f>
        <v>-3807</v>
      </c>
      <c r="O95" s="2">
        <f>-9533-N95-M95-L95</f>
        <v>-2659</v>
      </c>
    </row>
    <row r="96" spans="2:15" x14ac:dyDescent="0.2">
      <c r="B96" s="2" t="s">
        <v>34</v>
      </c>
      <c r="L96" s="5">
        <v>0</v>
      </c>
      <c r="M96" s="2">
        <f>-1250-L96</f>
        <v>-1250</v>
      </c>
      <c r="N96" s="2">
        <f>-1250-M96-L96</f>
        <v>0</v>
      </c>
      <c r="O96" s="2">
        <f>-1250-N96-M96-L96</f>
        <v>0</v>
      </c>
    </row>
    <row r="97" spans="2:37" x14ac:dyDescent="0.2">
      <c r="B97" s="2" t="s">
        <v>68</v>
      </c>
      <c r="L97" s="5">
        <v>-20</v>
      </c>
      <c r="M97" s="2">
        <f>-31-L97</f>
        <v>-11</v>
      </c>
      <c r="N97" s="2">
        <f>-44-M97-L97</f>
        <v>-13</v>
      </c>
      <c r="O97" s="2">
        <f>-74-N97-M97-L97</f>
        <v>-30</v>
      </c>
    </row>
    <row r="98" spans="2:37" x14ac:dyDescent="0.2">
      <c r="B98" t="s">
        <v>64</v>
      </c>
      <c r="L98" s="5">
        <f>SUM(L92:L97)</f>
        <v>-380</v>
      </c>
      <c r="M98" s="5">
        <f>SUM(M92:M97)</f>
        <v>-5099</v>
      </c>
      <c r="N98" s="5">
        <f>SUM(N92:N97)</f>
        <v>-4524</v>
      </c>
      <c r="O98" s="5">
        <f>SUM(O92:O97)</f>
        <v>-3629</v>
      </c>
    </row>
    <row r="99" spans="2:37" x14ac:dyDescent="0.2">
      <c r="B99" t="s">
        <v>63</v>
      </c>
      <c r="L99" s="5">
        <f>L98+L90+L85</f>
        <v>1690</v>
      </c>
      <c r="M99" s="5">
        <f>M98+M90+M85</f>
        <v>802</v>
      </c>
      <c r="N99" s="5">
        <f>N98+N90+N85</f>
        <v>-362</v>
      </c>
      <c r="O99" s="5">
        <f>O98+O90+O85</f>
        <v>1761</v>
      </c>
    </row>
    <row r="101" spans="2:37" x14ac:dyDescent="0.2">
      <c r="B101" t="s">
        <v>70</v>
      </c>
      <c r="L101" s="5">
        <f>(L60/L38)*90</f>
        <v>51.056729699666299</v>
      </c>
      <c r="M101" s="5">
        <f>(M60/M38)*90</f>
        <v>47.082253646257499</v>
      </c>
      <c r="N101" s="5">
        <f>(N60/N38)*90</f>
        <v>41.269867549668874</v>
      </c>
      <c r="O101" s="5">
        <f>(O60/O38)*90</f>
        <v>40.714382662986928</v>
      </c>
    </row>
    <row r="103" spans="2:37" x14ac:dyDescent="0.2">
      <c r="B103" t="s">
        <v>149</v>
      </c>
      <c r="P103">
        <v>5.65</v>
      </c>
      <c r="Q103">
        <v>6.03</v>
      </c>
      <c r="R103">
        <v>6.58</v>
      </c>
      <c r="S103">
        <v>7.19</v>
      </c>
      <c r="AB103">
        <v>25.36</v>
      </c>
      <c r="AC103">
        <v>31.51</v>
      </c>
      <c r="AD103">
        <v>34.94</v>
      </c>
      <c r="AE103">
        <v>37.049999999999997</v>
      </c>
      <c r="AF103">
        <v>36.58</v>
      </c>
      <c r="AG103">
        <v>44.15</v>
      </c>
      <c r="AH103">
        <v>49.91</v>
      </c>
      <c r="AI103">
        <v>81.459999999999994</v>
      </c>
      <c r="AJ103">
        <v>92.67</v>
      </c>
      <c r="AK103">
        <v>105.45</v>
      </c>
    </row>
    <row r="104" spans="2:37" x14ac:dyDescent="0.2">
      <c r="B104" t="s">
        <v>150</v>
      </c>
      <c r="P104" s="15">
        <v>24.69</v>
      </c>
      <c r="Q104" s="15">
        <v>26.8</v>
      </c>
      <c r="R104" s="15">
        <v>29.36</v>
      </c>
      <c r="S104" s="15">
        <v>31.95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>
      <selection activeCell="H10" sqref="H10"/>
    </sheetView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151</v>
      </c>
      <c r="F4" t="s">
        <v>156</v>
      </c>
    </row>
    <row r="5" spans="1:11" x14ac:dyDescent="0.2">
      <c r="B5" t="s">
        <v>152</v>
      </c>
      <c r="C5">
        <v>24690</v>
      </c>
      <c r="F5" t="s">
        <v>152</v>
      </c>
      <c r="G5">
        <v>26820</v>
      </c>
    </row>
    <row r="6" spans="1:11" x14ac:dyDescent="0.2">
      <c r="B6" t="s">
        <v>153</v>
      </c>
      <c r="C6">
        <v>23520</v>
      </c>
    </row>
    <row r="7" spans="1:11" x14ac:dyDescent="0.2">
      <c r="B7" t="s">
        <v>154</v>
      </c>
      <c r="C7">
        <v>24480</v>
      </c>
    </row>
    <row r="10" spans="1:11" x14ac:dyDescent="0.2">
      <c r="B10" t="s">
        <v>155</v>
      </c>
      <c r="C10">
        <v>24690</v>
      </c>
      <c r="D10" s="10">
        <v>-0.1</v>
      </c>
      <c r="F10" t="s">
        <v>155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8">
        <v>-0.03</v>
      </c>
      <c r="E12" s="11"/>
      <c r="F12" s="11"/>
      <c r="G12" s="11">
        <f t="shared" ref="G12:G18" si="0">G11+500</f>
        <v>27820</v>
      </c>
      <c r="H12" s="18">
        <v>-0.03</v>
      </c>
    </row>
    <row r="13" spans="1:11" x14ac:dyDescent="0.2">
      <c r="C13" s="11">
        <v>26000</v>
      </c>
      <c r="D13" s="18">
        <v>-0.01</v>
      </c>
      <c r="E13" s="11"/>
      <c r="F13" s="11"/>
      <c r="G13" s="11">
        <f t="shared" si="0"/>
        <v>28320</v>
      </c>
      <c r="H13" s="18">
        <v>-0.01</v>
      </c>
    </row>
    <row r="14" spans="1:11" x14ac:dyDescent="0.2">
      <c r="C14" s="11">
        <v>26500</v>
      </c>
      <c r="D14" s="18">
        <v>0</v>
      </c>
      <c r="E14" s="11"/>
      <c r="F14" s="11"/>
      <c r="G14" s="11">
        <f t="shared" si="0"/>
        <v>28820</v>
      </c>
      <c r="H14" s="18">
        <v>0</v>
      </c>
    </row>
    <row r="15" spans="1:11" x14ac:dyDescent="0.2">
      <c r="C15" s="11">
        <v>27000</v>
      </c>
      <c r="D15" s="18">
        <v>0</v>
      </c>
      <c r="E15" s="11"/>
      <c r="F15" s="11"/>
      <c r="G15" s="11">
        <f t="shared" si="0"/>
        <v>29320</v>
      </c>
      <c r="H15" s="18">
        <v>0</v>
      </c>
    </row>
    <row r="16" spans="1:11" x14ac:dyDescent="0.2">
      <c r="C16" s="11">
        <v>27500</v>
      </c>
      <c r="D16" s="18">
        <v>0.03</v>
      </c>
      <c r="E16" s="11"/>
      <c r="F16" s="11"/>
      <c r="G16" s="11">
        <f t="shared" si="0"/>
        <v>29820</v>
      </c>
      <c r="H16" s="18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157</v>
      </c>
      <c r="C20" s="16">
        <v>954</v>
      </c>
    </row>
    <row r="21" spans="2:11" x14ac:dyDescent="0.2">
      <c r="B21" t="s">
        <v>158</v>
      </c>
      <c r="C21" s="16">
        <v>39</v>
      </c>
    </row>
    <row r="22" spans="2:11" x14ac:dyDescent="0.2">
      <c r="B22" t="s">
        <v>159</v>
      </c>
      <c r="C22" s="16">
        <v>40</v>
      </c>
    </row>
    <row r="23" spans="2:11" x14ac:dyDescent="0.2">
      <c r="B23" t="s">
        <v>160</v>
      </c>
      <c r="C23" s="16">
        <f>C21+C22</f>
        <v>79</v>
      </c>
    </row>
    <row r="24" spans="2:11" x14ac:dyDescent="0.2">
      <c r="C24" s="17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2024-05-22T04:21:11Z</dcterms:modified>
</cp:coreProperties>
</file>