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41EA87F6-DABB-4DC3-B66C-481EEDA841D5}" xr6:coauthVersionLast="47" xr6:coauthVersionMax="47" xr10:uidLastSave="{00000000-0000-0000-0000-000000000000}"/>
  <bookViews>
    <workbookView xWindow="-120" yWindow="-120" windowWidth="51840" windowHeight="21120" xr2:uid="{AF5D6250-CC2E-478D-A72E-6EAEA79B8F65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40" i="2" l="1"/>
  <c r="AJ40" i="2"/>
  <c r="AI40" i="2"/>
  <c r="AH40" i="2"/>
  <c r="AG40" i="2"/>
  <c r="AF40" i="2"/>
  <c r="AE40" i="2"/>
  <c r="AD40" i="2"/>
  <c r="AC40" i="2"/>
  <c r="AB40" i="2"/>
  <c r="AA40" i="2"/>
  <c r="Z40" i="2"/>
  <c r="Y40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40" i="2"/>
  <c r="X39" i="2"/>
  <c r="AN37" i="2"/>
  <c r="AN38" i="2" s="1"/>
  <c r="AE33" i="2"/>
  <c r="AD33" i="2"/>
  <c r="AF25" i="2"/>
  <c r="AG25" i="2" s="1"/>
  <c r="AH25" i="2" s="1"/>
  <c r="AI25" i="2" s="1"/>
  <c r="AJ25" i="2" s="1"/>
  <c r="AK25" i="2" s="1"/>
  <c r="AE25" i="2"/>
  <c r="AF24" i="2"/>
  <c r="AG24" i="2" s="1"/>
  <c r="AH24" i="2" s="1"/>
  <c r="AI24" i="2" s="1"/>
  <c r="AJ24" i="2" s="1"/>
  <c r="AK24" i="2" s="1"/>
  <c r="AE24" i="2"/>
  <c r="AF23" i="2"/>
  <c r="AG23" i="2" s="1"/>
  <c r="AH23" i="2" s="1"/>
  <c r="AI23" i="2" s="1"/>
  <c r="AJ23" i="2" s="1"/>
  <c r="AK23" i="2" s="1"/>
  <c r="AE23" i="2"/>
  <c r="AK22" i="2"/>
  <c r="AJ22" i="2"/>
  <c r="AI22" i="2"/>
  <c r="AH22" i="2"/>
  <c r="AG22" i="2"/>
  <c r="AF22" i="2"/>
  <c r="AE22" i="2"/>
  <c r="AD22" i="2"/>
  <c r="AF21" i="2"/>
  <c r="AE21" i="2"/>
  <c r="AD21" i="2"/>
  <c r="AK20" i="2"/>
  <c r="AJ20" i="2"/>
  <c r="AI20" i="2"/>
  <c r="AH20" i="2"/>
  <c r="AG20" i="2"/>
  <c r="AF20" i="2"/>
  <c r="AE20" i="2"/>
  <c r="AK19" i="2"/>
  <c r="AJ19" i="2"/>
  <c r="AI19" i="2"/>
  <c r="AH19" i="2"/>
  <c r="AG19" i="2"/>
  <c r="AF19" i="2"/>
  <c r="AE19" i="2"/>
  <c r="V20" i="2"/>
  <c r="V40" i="2" s="1"/>
  <c r="U20" i="2"/>
  <c r="T20" i="2"/>
  <c r="S20" i="2"/>
  <c r="R20" i="2"/>
  <c r="Q20" i="2"/>
  <c r="V19" i="2"/>
  <c r="U19" i="2"/>
  <c r="T19" i="2"/>
  <c r="S19" i="2"/>
  <c r="R19" i="2"/>
  <c r="Q19" i="2"/>
  <c r="G40" i="2"/>
  <c r="F40" i="2"/>
  <c r="I39" i="2"/>
  <c r="H39" i="2"/>
  <c r="G39" i="2"/>
  <c r="F39" i="2"/>
  <c r="K40" i="2"/>
  <c r="J40" i="2"/>
  <c r="I40" i="2"/>
  <c r="H40" i="2"/>
  <c r="L39" i="2"/>
  <c r="K39" i="2"/>
  <c r="J39" i="2"/>
  <c r="O40" i="2"/>
  <c r="N40" i="2"/>
  <c r="M40" i="2"/>
  <c r="L40" i="2"/>
  <c r="U40" i="2"/>
  <c r="T40" i="2"/>
  <c r="S40" i="2"/>
  <c r="R40" i="2"/>
  <c r="Q40" i="2"/>
  <c r="P40" i="2"/>
  <c r="O39" i="2"/>
  <c r="N39" i="2"/>
  <c r="M39" i="2"/>
  <c r="P39" i="2"/>
  <c r="AD19" i="2"/>
  <c r="AD20" i="2"/>
  <c r="Q17" i="2"/>
  <c r="U17" i="2" s="1"/>
  <c r="Q16" i="2"/>
  <c r="U16" i="2" s="1"/>
  <c r="U39" i="2" s="1"/>
  <c r="U13" i="2"/>
  <c r="T17" i="2"/>
  <c r="T16" i="2"/>
  <c r="T18" i="2" s="1"/>
  <c r="S16" i="2"/>
  <c r="S39" i="2" s="1"/>
  <c r="S17" i="2"/>
  <c r="T25" i="2"/>
  <c r="U24" i="2"/>
  <c r="T24" i="2"/>
  <c r="S24" i="2"/>
  <c r="V23" i="2"/>
  <c r="V26" i="2" s="1"/>
  <c r="T23" i="2"/>
  <c r="S23" i="2"/>
  <c r="S25" i="2"/>
  <c r="R17" i="2"/>
  <c r="V17" i="2" s="1"/>
  <c r="R16" i="2"/>
  <c r="V16" i="2" s="1"/>
  <c r="V18" i="2" s="1"/>
  <c r="Q14" i="2"/>
  <c r="U14" i="2" s="1"/>
  <c r="Q13" i="2"/>
  <c r="Q12" i="2"/>
  <c r="U12" i="2" s="1"/>
  <c r="P18" i="2"/>
  <c r="R72" i="2"/>
  <c r="Q72" i="2"/>
  <c r="R63" i="2"/>
  <c r="Q63" i="2"/>
  <c r="R43" i="2"/>
  <c r="Q43" i="2"/>
  <c r="R52" i="2"/>
  <c r="Q52" i="2"/>
  <c r="P82" i="2"/>
  <c r="P85" i="2" s="1"/>
  <c r="P76" i="2"/>
  <c r="P78" i="2" s="1"/>
  <c r="P71" i="2"/>
  <c r="P72" i="2" s="1"/>
  <c r="P89" i="2" s="1"/>
  <c r="P58" i="2"/>
  <c r="P57" i="2"/>
  <c r="P55" i="2"/>
  <c r="P50" i="2"/>
  <c r="P44" i="2"/>
  <c r="P26" i="2"/>
  <c r="P21" i="2"/>
  <c r="O21" i="2"/>
  <c r="Q33" i="2"/>
  <c r="R33" i="2" s="1"/>
  <c r="S33" i="2" s="1"/>
  <c r="T33" i="2" s="1"/>
  <c r="U33" i="2" s="1"/>
  <c r="V33" i="2" s="1"/>
  <c r="Q28" i="2"/>
  <c r="R28" i="2" s="1"/>
  <c r="S28" i="2" s="1"/>
  <c r="T28" i="2" s="1"/>
  <c r="U28" i="2" s="1"/>
  <c r="R25" i="2"/>
  <c r="V25" i="2" s="1"/>
  <c r="Q25" i="2"/>
  <c r="AD25" i="2" s="1"/>
  <c r="R24" i="2"/>
  <c r="V24" i="2" s="1"/>
  <c r="Q24" i="2"/>
  <c r="AD24" i="2" s="1"/>
  <c r="R23" i="2"/>
  <c r="Q23" i="2"/>
  <c r="AD23" i="2" s="1"/>
  <c r="O82" i="2"/>
  <c r="O85" i="2" s="1"/>
  <c r="O76" i="2"/>
  <c r="O78" i="2" s="1"/>
  <c r="O71" i="2"/>
  <c r="O72" i="2" s="1"/>
  <c r="O89" i="2" s="1"/>
  <c r="T39" i="2" l="1"/>
  <c r="U18" i="2"/>
  <c r="V39" i="2"/>
  <c r="T26" i="2"/>
  <c r="Q39" i="2"/>
  <c r="R39" i="2"/>
  <c r="U23" i="2"/>
  <c r="AD16" i="2"/>
  <c r="S18" i="2"/>
  <c r="S22" i="2" s="1"/>
  <c r="AD17" i="2"/>
  <c r="S26" i="2"/>
  <c r="Q18" i="2"/>
  <c r="Q22" i="2" s="1"/>
  <c r="Q37" i="2" s="1"/>
  <c r="U22" i="2"/>
  <c r="U37" i="2" s="1"/>
  <c r="U35" i="2"/>
  <c r="V22" i="2"/>
  <c r="V37" i="2" s="1"/>
  <c r="T22" i="2"/>
  <c r="T27" i="2" s="1"/>
  <c r="T29" i="2" s="1"/>
  <c r="T30" i="2" s="1"/>
  <c r="T38" i="2" s="1"/>
  <c r="T35" i="2"/>
  <c r="Q35" i="2"/>
  <c r="U25" i="2"/>
  <c r="U26" i="2" s="1"/>
  <c r="U27" i="2" s="1"/>
  <c r="U29" i="2" s="1"/>
  <c r="R18" i="2"/>
  <c r="R22" i="2" s="1"/>
  <c r="R37" i="2" s="1"/>
  <c r="V21" i="2"/>
  <c r="U21" i="2"/>
  <c r="V27" i="2"/>
  <c r="V28" i="2"/>
  <c r="P43" i="2"/>
  <c r="R26" i="2"/>
  <c r="Q26" i="2"/>
  <c r="P52" i="2"/>
  <c r="P63" i="2"/>
  <c r="P22" i="2"/>
  <c r="P87" i="2"/>
  <c r="O87" i="2"/>
  <c r="O58" i="2"/>
  <c r="O57" i="2"/>
  <c r="O55" i="2"/>
  <c r="O50" i="2"/>
  <c r="O44" i="2"/>
  <c r="M43" i="2"/>
  <c r="O26" i="2"/>
  <c r="O18" i="2"/>
  <c r="S35" i="2" s="1"/>
  <c r="F26" i="2"/>
  <c r="F21" i="2"/>
  <c r="F18" i="2"/>
  <c r="X26" i="2"/>
  <c r="X21" i="2"/>
  <c r="X18" i="2"/>
  <c r="Y26" i="2"/>
  <c r="Y21" i="2"/>
  <c r="Y18" i="2"/>
  <c r="AE2" i="2"/>
  <c r="AF2" i="2" s="1"/>
  <c r="AG2" i="2" s="1"/>
  <c r="AH2" i="2" s="1"/>
  <c r="AI2" i="2" s="1"/>
  <c r="AJ2" i="2" s="1"/>
  <c r="AK2" i="2" s="1"/>
  <c r="AF33" i="2"/>
  <c r="AG33" i="2" s="1"/>
  <c r="AH33" i="2" s="1"/>
  <c r="AI33" i="2" s="1"/>
  <c r="AJ33" i="2" s="1"/>
  <c r="AK33" i="2" s="1"/>
  <c r="AC30" i="2"/>
  <c r="AC28" i="2"/>
  <c r="AC33" i="2"/>
  <c r="AB33" i="2"/>
  <c r="AB30" i="2"/>
  <c r="AB28" i="2"/>
  <c r="AA26" i="2"/>
  <c r="Z26" i="2"/>
  <c r="AA21" i="2"/>
  <c r="Z21" i="2"/>
  <c r="Z18" i="2"/>
  <c r="Z35" i="2" s="1"/>
  <c r="AA18" i="2"/>
  <c r="AB2" i="2"/>
  <c r="AC2" i="2"/>
  <c r="R2" i="2"/>
  <c r="Q2" i="2"/>
  <c r="P2" i="2"/>
  <c r="T2" i="2" s="1"/>
  <c r="O2" i="2"/>
  <c r="S2" i="2" s="1"/>
  <c r="AB25" i="2"/>
  <c r="AB24" i="2"/>
  <c r="AB23" i="2"/>
  <c r="AC25" i="2"/>
  <c r="AC24" i="2"/>
  <c r="AC23" i="2"/>
  <c r="AC20" i="2"/>
  <c r="AC19" i="2"/>
  <c r="AB20" i="2"/>
  <c r="AB19" i="2"/>
  <c r="AB12" i="2"/>
  <c r="AB13" i="2"/>
  <c r="AB14" i="2"/>
  <c r="AB17" i="2"/>
  <c r="AB16" i="2"/>
  <c r="AC17" i="2"/>
  <c r="AC16" i="2"/>
  <c r="AE16" i="2" s="1"/>
  <c r="AF16" i="2" s="1"/>
  <c r="AG16" i="2" s="1"/>
  <c r="AH16" i="2" s="1"/>
  <c r="AI16" i="2" s="1"/>
  <c r="AJ16" i="2" s="1"/>
  <c r="AK16" i="2" s="1"/>
  <c r="AC14" i="2"/>
  <c r="AC13" i="2"/>
  <c r="AC12" i="2"/>
  <c r="N9" i="2"/>
  <c r="N82" i="2"/>
  <c r="N85" i="2" s="1"/>
  <c r="N76" i="2"/>
  <c r="N78" i="2" s="1"/>
  <c r="N71" i="2"/>
  <c r="N72" i="2" s="1"/>
  <c r="N89" i="2" s="1"/>
  <c r="N57" i="2"/>
  <c r="N58" i="2"/>
  <c r="N55" i="2"/>
  <c r="N44" i="2"/>
  <c r="N43" i="2" s="1"/>
  <c r="AC43" i="2" s="1"/>
  <c r="AD28" i="2" s="1"/>
  <c r="N50" i="2"/>
  <c r="N26" i="2"/>
  <c r="K82" i="2"/>
  <c r="K85" i="2" s="1"/>
  <c r="K76" i="2"/>
  <c r="K78" i="2" s="1"/>
  <c r="K71" i="2"/>
  <c r="K72" i="2" s="1"/>
  <c r="K89" i="2" s="1"/>
  <c r="K58" i="2"/>
  <c r="K57" i="2"/>
  <c r="K55" i="2"/>
  <c r="K50" i="2"/>
  <c r="K44" i="2"/>
  <c r="L82" i="2"/>
  <c r="L85" i="2" s="1"/>
  <c r="L76" i="2"/>
  <c r="L78" i="2" s="1"/>
  <c r="L71" i="2"/>
  <c r="L72" i="2" s="1"/>
  <c r="L89" i="2" s="1"/>
  <c r="L58" i="2"/>
  <c r="L57" i="2"/>
  <c r="L55" i="2"/>
  <c r="L50" i="2"/>
  <c r="L44" i="2"/>
  <c r="M82" i="2"/>
  <c r="M85" i="2" s="1"/>
  <c r="M76" i="2"/>
  <c r="M78" i="2" s="1"/>
  <c r="M71" i="2"/>
  <c r="M72" i="2" s="1"/>
  <c r="M89" i="2" s="1"/>
  <c r="M57" i="2"/>
  <c r="M58" i="2"/>
  <c r="M55" i="2"/>
  <c r="M50" i="2"/>
  <c r="M44" i="2"/>
  <c r="L4" i="1"/>
  <c r="L7" i="1" s="1"/>
  <c r="L26" i="2"/>
  <c r="K26" i="2"/>
  <c r="J26" i="2"/>
  <c r="I26" i="2"/>
  <c r="H26" i="2"/>
  <c r="G26" i="2"/>
  <c r="M26" i="2"/>
  <c r="N21" i="2"/>
  <c r="N18" i="2"/>
  <c r="G18" i="2"/>
  <c r="H21" i="2"/>
  <c r="G21" i="2"/>
  <c r="M21" i="2"/>
  <c r="L21" i="2"/>
  <c r="K21" i="2"/>
  <c r="J21" i="2"/>
  <c r="I21" i="2"/>
  <c r="L18" i="2"/>
  <c r="P35" i="2" s="1"/>
  <c r="K18" i="2"/>
  <c r="J18" i="2"/>
  <c r="I18" i="2"/>
  <c r="H18" i="2"/>
  <c r="M18" i="2"/>
  <c r="R35" i="2" l="1"/>
  <c r="V29" i="2"/>
  <c r="R21" i="2"/>
  <c r="R27" i="2"/>
  <c r="R29" i="2" s="1"/>
  <c r="R30" i="2" s="1"/>
  <c r="R38" i="2" s="1"/>
  <c r="V35" i="2"/>
  <c r="S21" i="2"/>
  <c r="S37" i="2"/>
  <c r="T21" i="2"/>
  <c r="T37" i="2"/>
  <c r="S27" i="2"/>
  <c r="S29" i="2" s="1"/>
  <c r="S30" i="2" s="1"/>
  <c r="T31" i="2"/>
  <c r="T32" i="2" s="1"/>
  <c r="V30" i="2"/>
  <c r="U30" i="2"/>
  <c r="U38" i="2" s="1"/>
  <c r="U31" i="2"/>
  <c r="U32" i="2" s="1"/>
  <c r="Q21" i="2"/>
  <c r="Q27" i="2"/>
  <c r="Q29" i="2" s="1"/>
  <c r="Q30" i="2" s="1"/>
  <c r="Q38" i="2" s="1"/>
  <c r="J35" i="2"/>
  <c r="AB21" i="2"/>
  <c r="L43" i="2"/>
  <c r="O35" i="2"/>
  <c r="O22" i="2"/>
  <c r="O37" i="2" s="1"/>
  <c r="O52" i="2"/>
  <c r="O43" i="2"/>
  <c r="K43" i="2"/>
  <c r="P37" i="2"/>
  <c r="P27" i="2"/>
  <c r="P29" i="2" s="1"/>
  <c r="P38" i="2" s="1"/>
  <c r="P90" i="2"/>
  <c r="O90" i="2"/>
  <c r="N90" i="2"/>
  <c r="O63" i="2"/>
  <c r="Y22" i="2"/>
  <c r="Y27" i="2" s="1"/>
  <c r="Y29" i="2" s="1"/>
  <c r="F22" i="2"/>
  <c r="F27" i="2" s="1"/>
  <c r="F29" i="2" s="1"/>
  <c r="X22" i="2"/>
  <c r="X27" i="2" s="1"/>
  <c r="X29" i="2" s="1"/>
  <c r="X31" i="2" s="1"/>
  <c r="X32" i="2" s="1"/>
  <c r="X37" i="2"/>
  <c r="Y35" i="2"/>
  <c r="AC26" i="2"/>
  <c r="AA35" i="2"/>
  <c r="AC18" i="2"/>
  <c r="AB26" i="2"/>
  <c r="AA22" i="2"/>
  <c r="AA37" i="2" s="1"/>
  <c r="Z22" i="2"/>
  <c r="Z37" i="2" s="1"/>
  <c r="AC21" i="2"/>
  <c r="AB18" i="2"/>
  <c r="AB22" i="2" s="1"/>
  <c r="N63" i="2"/>
  <c r="Z27" i="2"/>
  <c r="Z29" i="2" s="1"/>
  <c r="K63" i="2"/>
  <c r="N87" i="2"/>
  <c r="K52" i="2"/>
  <c r="N52" i="2"/>
  <c r="L35" i="2"/>
  <c r="K35" i="2"/>
  <c r="M63" i="2"/>
  <c r="K87" i="2"/>
  <c r="N35" i="2"/>
  <c r="L52" i="2"/>
  <c r="L87" i="2"/>
  <c r="G22" i="2"/>
  <c r="G37" i="2" s="1"/>
  <c r="L63" i="2"/>
  <c r="M22" i="2"/>
  <c r="M27" i="2" s="1"/>
  <c r="M29" i="2" s="1"/>
  <c r="I22" i="2"/>
  <c r="I37" i="2" s="1"/>
  <c r="M52" i="2"/>
  <c r="M87" i="2"/>
  <c r="M35" i="2"/>
  <c r="J22" i="2"/>
  <c r="J37" i="2" s="1"/>
  <c r="K22" i="2"/>
  <c r="K37" i="2" s="1"/>
  <c r="L22" i="2"/>
  <c r="L37" i="2" s="1"/>
  <c r="H22" i="2"/>
  <c r="N22" i="2"/>
  <c r="N37" i="2" s="1"/>
  <c r="R31" i="2" l="1"/>
  <c r="S31" i="2"/>
  <c r="S32" i="2" s="1"/>
  <c r="S38" i="2"/>
  <c r="O27" i="2"/>
  <c r="O29" i="2" s="1"/>
  <c r="V31" i="2"/>
  <c r="V32" i="2" s="1"/>
  <c r="V38" i="2"/>
  <c r="Y37" i="2"/>
  <c r="AF26" i="2"/>
  <c r="R32" i="2"/>
  <c r="R65" i="2"/>
  <c r="AD26" i="2"/>
  <c r="AC22" i="2"/>
  <c r="AE26" i="2"/>
  <c r="Q31" i="2"/>
  <c r="P31" i="2"/>
  <c r="AC37" i="2"/>
  <c r="AC27" i="2"/>
  <c r="AC29" i="2" s="1"/>
  <c r="AC38" i="2" s="1"/>
  <c r="AA27" i="2"/>
  <c r="AA29" i="2" s="1"/>
  <c r="AA31" i="2" s="1"/>
  <c r="AA32" i="2" s="1"/>
  <c r="M37" i="2"/>
  <c r="O38" i="2"/>
  <c r="O31" i="2"/>
  <c r="F37" i="2"/>
  <c r="F38" i="2"/>
  <c r="F31" i="2"/>
  <c r="F32" i="2" s="1"/>
  <c r="X38" i="2"/>
  <c r="Y31" i="2"/>
  <c r="Y32" i="2" s="1"/>
  <c r="Y38" i="2"/>
  <c r="AB37" i="2"/>
  <c r="AB27" i="2"/>
  <c r="AB29" i="2" s="1"/>
  <c r="Z31" i="2"/>
  <c r="Z32" i="2" s="1"/>
  <c r="Z38" i="2"/>
  <c r="AD18" i="2"/>
  <c r="AE17" i="2"/>
  <c r="M31" i="2"/>
  <c r="M32" i="2" s="1"/>
  <c r="M38" i="2"/>
  <c r="AG26" i="2"/>
  <c r="AB35" i="2"/>
  <c r="AC35" i="2"/>
  <c r="N27" i="2"/>
  <c r="N29" i="2" s="1"/>
  <c r="I27" i="2"/>
  <c r="I29" i="2" s="1"/>
  <c r="G27" i="2"/>
  <c r="G29" i="2" s="1"/>
  <c r="H27" i="2"/>
  <c r="H29" i="2" s="1"/>
  <c r="H37" i="2"/>
  <c r="L27" i="2"/>
  <c r="L29" i="2" s="1"/>
  <c r="K27" i="2"/>
  <c r="K29" i="2" s="1"/>
  <c r="J27" i="2"/>
  <c r="J29" i="2" s="1"/>
  <c r="AC31" i="2" l="1"/>
  <c r="AC32" i="2" s="1"/>
  <c r="Q32" i="2"/>
  <c r="Q65" i="2"/>
  <c r="AA38" i="2"/>
  <c r="P32" i="2"/>
  <c r="P65" i="2"/>
  <c r="O65" i="2"/>
  <c r="O32" i="2"/>
  <c r="N31" i="2"/>
  <c r="N65" i="2" s="1"/>
  <c r="N38" i="2"/>
  <c r="M65" i="2"/>
  <c r="G31" i="2"/>
  <c r="G32" i="2" s="1"/>
  <c r="G38" i="2"/>
  <c r="K31" i="2"/>
  <c r="K32" i="2" s="1"/>
  <c r="K38" i="2"/>
  <c r="H31" i="2"/>
  <c r="H32" i="2" s="1"/>
  <c r="H38" i="2"/>
  <c r="AE18" i="2"/>
  <c r="AF17" i="2"/>
  <c r="AB31" i="2"/>
  <c r="AB32" i="2" s="1"/>
  <c r="AB38" i="2"/>
  <c r="I31" i="2"/>
  <c r="I32" i="2" s="1"/>
  <c r="I38" i="2"/>
  <c r="AD35" i="2"/>
  <c r="J31" i="2"/>
  <c r="J32" i="2" s="1"/>
  <c r="J38" i="2"/>
  <c r="L31" i="2"/>
  <c r="L32" i="2" s="1"/>
  <c r="L38" i="2"/>
  <c r="AH26" i="2"/>
  <c r="K65" i="2" l="1"/>
  <c r="AE35" i="2"/>
  <c r="AD37" i="2"/>
  <c r="AD27" i="2"/>
  <c r="AD29" i="2" s="1"/>
  <c r="AG17" i="2"/>
  <c r="AF18" i="2"/>
  <c r="L65" i="2"/>
  <c r="N32" i="2"/>
  <c r="AI26" i="2"/>
  <c r="AD30" i="2" l="1"/>
  <c r="AD38" i="2" s="1"/>
  <c r="AF35" i="2"/>
  <c r="AE27" i="2"/>
  <c r="AE37" i="2"/>
  <c r="AH17" i="2"/>
  <c r="AG18" i="2"/>
  <c r="AK26" i="2"/>
  <c r="AJ26" i="2"/>
  <c r="AD31" i="2" l="1"/>
  <c r="AD43" i="2" s="1"/>
  <c r="AE28" i="2" s="1"/>
  <c r="AE29" i="2" s="1"/>
  <c r="AE30" i="2" s="1"/>
  <c r="AE38" i="2" s="1"/>
  <c r="AG35" i="2"/>
  <c r="AI17" i="2"/>
  <c r="AH18" i="2"/>
  <c r="AF37" i="2"/>
  <c r="AF27" i="2"/>
  <c r="AD32" i="2" l="1"/>
  <c r="AE31" i="2"/>
  <c r="AE32" i="2" s="1"/>
  <c r="AH35" i="2"/>
  <c r="AJ17" i="2"/>
  <c r="AI18" i="2"/>
  <c r="AG21" i="2"/>
  <c r="AG37" i="2"/>
  <c r="AG27" i="2"/>
  <c r="AE43" i="2" l="1"/>
  <c r="AF28" i="2" s="1"/>
  <c r="AF29" i="2" s="1"/>
  <c r="AI35" i="2"/>
  <c r="AH37" i="2"/>
  <c r="AH27" i="2"/>
  <c r="AH21" i="2"/>
  <c r="AK17" i="2"/>
  <c r="AK18" i="2" s="1"/>
  <c r="AJ18" i="2"/>
  <c r="AJ35" i="2" l="1"/>
  <c r="AK35" i="2"/>
  <c r="AI27" i="2"/>
  <c r="AI21" i="2"/>
  <c r="AI37" i="2"/>
  <c r="AF30" i="2"/>
  <c r="AF38" i="2" s="1"/>
  <c r="AF31" i="2" l="1"/>
  <c r="AF32" i="2" s="1"/>
  <c r="AK37" i="2"/>
  <c r="AK21" i="2"/>
  <c r="AK27" i="2"/>
  <c r="AJ21" i="2"/>
  <c r="AJ37" i="2"/>
  <c r="AJ27" i="2"/>
  <c r="AF43" i="2"/>
  <c r="AG28" i="2" l="1"/>
  <c r="AG29" i="2" s="1"/>
  <c r="AG30" i="2" l="1"/>
  <c r="AG38" i="2" s="1"/>
  <c r="AG31" i="2" l="1"/>
  <c r="AG43" i="2" s="1"/>
  <c r="AG32" i="2" l="1"/>
  <c r="AH28" i="2"/>
  <c r="AH29" i="2" s="1"/>
  <c r="AH30" i="2" l="1"/>
  <c r="AH38" i="2" s="1"/>
  <c r="AH31" i="2" l="1"/>
  <c r="AH32" i="2" s="1"/>
  <c r="AH43" i="2" l="1"/>
  <c r="AI28" i="2"/>
  <c r="AI29" i="2" s="1"/>
  <c r="AI30" i="2" l="1"/>
  <c r="AI38" i="2" s="1"/>
  <c r="AI31" i="2" l="1"/>
  <c r="AI32" i="2" s="1"/>
  <c r="AI43" i="2" l="1"/>
  <c r="AJ28" i="2"/>
  <c r="AJ29" i="2" s="1"/>
  <c r="AJ30" i="2" l="1"/>
  <c r="AJ38" i="2" s="1"/>
  <c r="AJ31" i="2" l="1"/>
  <c r="AJ32" i="2" s="1"/>
  <c r="AJ43" i="2" l="1"/>
  <c r="AK28" i="2" s="1"/>
  <c r="AK29" i="2" s="1"/>
  <c r="AK30" i="2" l="1"/>
  <c r="AK38" i="2" s="1"/>
  <c r="AK31" i="2" l="1"/>
  <c r="AL31" i="2" s="1"/>
  <c r="AM31" i="2" s="1"/>
  <c r="AN31" i="2" s="1"/>
  <c r="AO31" i="2" s="1"/>
  <c r="AP31" i="2" s="1"/>
  <c r="AQ31" i="2" s="1"/>
  <c r="AR31" i="2" s="1"/>
  <c r="AS31" i="2" s="1"/>
  <c r="AT31" i="2" s="1"/>
  <c r="AU31" i="2" s="1"/>
  <c r="AV31" i="2" s="1"/>
  <c r="AW31" i="2" s="1"/>
  <c r="AX31" i="2" s="1"/>
  <c r="AY31" i="2" s="1"/>
  <c r="AZ31" i="2" s="1"/>
  <c r="BA31" i="2" s="1"/>
  <c r="BB31" i="2" s="1"/>
  <c r="BC31" i="2" s="1"/>
  <c r="BD31" i="2" s="1"/>
  <c r="BE31" i="2" s="1"/>
  <c r="BF31" i="2" s="1"/>
  <c r="BG31" i="2" s="1"/>
  <c r="BH31" i="2" s="1"/>
  <c r="BI31" i="2" s="1"/>
  <c r="BJ31" i="2" s="1"/>
  <c r="BK31" i="2" s="1"/>
  <c r="BL31" i="2" s="1"/>
  <c r="BM31" i="2" s="1"/>
  <c r="BN31" i="2" s="1"/>
  <c r="BO31" i="2" s="1"/>
  <c r="BP31" i="2" s="1"/>
  <c r="BQ31" i="2" s="1"/>
  <c r="BR31" i="2" s="1"/>
  <c r="BS31" i="2" s="1"/>
  <c r="BT31" i="2" s="1"/>
  <c r="BU31" i="2" s="1"/>
  <c r="BV31" i="2" s="1"/>
  <c r="BW31" i="2" s="1"/>
  <c r="BX31" i="2" s="1"/>
  <c r="BY31" i="2" s="1"/>
  <c r="BZ31" i="2" s="1"/>
  <c r="CA31" i="2" s="1"/>
  <c r="CB31" i="2" s="1"/>
  <c r="CC31" i="2" s="1"/>
  <c r="CD31" i="2" s="1"/>
  <c r="CE31" i="2" s="1"/>
  <c r="CF31" i="2" s="1"/>
  <c r="CG31" i="2" s="1"/>
  <c r="CH31" i="2" s="1"/>
  <c r="CI31" i="2" s="1"/>
  <c r="CJ31" i="2" s="1"/>
  <c r="CK31" i="2" s="1"/>
  <c r="CL31" i="2" s="1"/>
  <c r="CM31" i="2" s="1"/>
  <c r="CN31" i="2" s="1"/>
  <c r="CO31" i="2" s="1"/>
  <c r="CP31" i="2" s="1"/>
  <c r="CQ31" i="2" s="1"/>
  <c r="AK43" i="2" l="1"/>
  <c r="AK3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tc={A9B57C90-F042-456E-9599-71B00A53636C}</author>
  </authors>
  <commentList>
    <comment ref="B17" authorId="0" shapeId="0" xr:uid="{A9B57C90-F042-456E-9599-71B00A53636C}">
      <text>
        <t>[Threaded comment]
Your version of Excel allows you to read this threaded comment; however, any edits to it will get removed if the file is opened in a newer version of Excel. Learn more: https://go.microsoft.com/fwlink/?linkid=870924
Comment:
    280m MAU CQ422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tc={C3B43970-9624-4440-A221-208CFA9224F4}</author>
    <author>tc={ECADAB22-36B1-41A2-AD23-FFF1F2EAB8AC}</author>
    <author>tc={2883B5CB-9CE6-4897-A415-6E91690048D2}</author>
    <author>tc={6A5307CC-CCBA-4CAC-BF0C-55B40FBD45DC}</author>
    <author>tc={1194B53B-11DF-4936-8FD7-77F49319A1C9}</author>
    <author>tc={B7D8227E-9C6A-4B9D-BCEB-E38F55E93FBB}</author>
    <author>tc={C7BC1CA5-759B-43A0-833B-88C4CD54B000}</author>
    <author>tc={F728FAC2-51F0-4023-AB40-41F83CEF5C89}</author>
    <author>tc={A9249A39-B9EC-4BC7-B87E-1B27108C92D8}</author>
    <author>tc={246E0C01-DF1D-4F91-A337-4DE00EFEDDC8}</author>
    <author>tc={6550F107-B2DD-468B-9840-A88B103B8C6E}</author>
    <author>tc={B0B4B47A-77DB-4469-A3F3-BA8FF53995B8}</author>
    <author>tc={672EF133-CF99-4F62-BC53-D74F59EFAF45}</author>
    <author>tc={207240C6-AA0E-47C1-A8DC-C70F3CF7F6CF}</author>
  </authors>
  <commentList>
    <comment ref="P4" authorId="0" shapeId="0" xr:uid="{C3B43970-9624-4440-A221-208CFA9224F4}">
      <text>
        <t>[Threaded comment]
Your version of Excel allows you to read this threaded comment; however, any edits to it will get removed if the file is opened in a newer version of Excel. Learn more: https://go.microsoft.com/fwlink/?linkid=870924
Comment:
    45% NTM</t>
      </text>
    </comment>
    <comment ref="P9" authorId="1" shapeId="0" xr:uid="{ECADAB22-36B1-41A2-AD23-FFF1F2EAB8AC}">
      <text>
        <t>[Threaded comment]
Your version of Excel allows you to read this threaded comment; however, any edits to it will get removed if the file is opened in a newer version of Excel. Learn more: https://go.microsoft.com/fwlink/?linkid=870924
Comment:
    +14% CC</t>
      </text>
    </comment>
    <comment ref="P12" authorId="2" shapeId="0" xr:uid="{2883B5CB-9CE6-4897-A415-6E91690048D2}">
      <text>
        <t>[Threaded comment]
Your version of Excel allows you to read this threaded comment; however, any edits to it will get removed if the file is opened in a newer version of Excel. Learn more: https://go.microsoft.com/fwlink/?linkid=870924
Comment:
    Dynamics +20%</t>
      </text>
    </comment>
    <comment ref="Q12" authorId="3" shapeId="0" xr:uid="{6A5307CC-CCBA-4CAC-BF0C-55B40FBD45DC}">
      <text>
        <t>[Threaded comment]
Your version of Excel allows you to read this threaded comment; however, any edits to it will get removed if the file is opened in a newer version of Excel. Learn more: https://go.microsoft.com/fwlink/?linkid=870924
Comment:
    +11-13%
16.9-17.2B</t>
      </text>
    </comment>
    <comment ref="K13" authorId="4" shapeId="0" xr:uid="{1194B53B-11DF-4936-8FD7-77F49319A1C9}">
      <text>
        <t>[Threaded comment]
Your version of Excel allows you to read this threaded comment; however, any edits to it will get removed if the file is opened in a newer version of Excel. Learn more: https://go.microsoft.com/fwlink/?linkid=870924
Comment:
    16964 old</t>
      </text>
    </comment>
    <comment ref="P13" authorId="5" shapeId="0" xr:uid="{B7D8227E-9C6A-4B9D-BCEB-E38F55E93FBB}">
      <text>
        <t>[Threaded comment]
Your version of Excel allows you to read this threaded comment; however, any edits to it will get removed if the file is opened in a newer version of Excel. Learn more: https://go.microsoft.com/fwlink/?linkid=870924
Comment:
    Azure growth moderated
Grew from Nuance</t>
      </text>
    </comment>
    <comment ref="Q13" authorId="6" shapeId="0" xr:uid="{C7BC1CA5-759B-43A0-833B-88C4CD54B000}">
      <text>
        <t>[Threaded comment]
Your version of Excel allows you to read this threaded comment; however, any edits to it will get removed if the file is opened in a newer version of Excel. Learn more: https://go.microsoft.com/fwlink/?linkid=870924
Comment:
    Q223 guidance: 21.7-22.0B</t>
      </text>
    </comment>
    <comment ref="K14" authorId="7" shapeId="0" xr:uid="{F728FAC2-51F0-4023-AB40-41F83CEF5C89}">
      <text>
        <t>[Threaded comment]
Your version of Excel allows you to read this threaded comment; however, any edits to it will get removed if the file is opened in a newer version of Excel. Learn more: https://go.microsoft.com/fwlink/?linkid=870924
Comment:
    13314 prior</t>
      </text>
    </comment>
    <comment ref="P14" authorId="8" shapeId="0" xr:uid="{A9249A39-B9EC-4BC7-B87E-1B27108C92D8}">
      <text>
        <t>[Threaded comment]
Your version of Excel allows you to read this threaded comment; however, any edits to it will get removed if the file is opened in a newer version of Excel. Learn more: https://go.microsoft.com/fwlink/?linkid=870924
Comment:
    Windows OEM -39% inline, Windows 11 referral caused strong comp
PC in-line
Surface "execution challenges" on new product launches</t>
      </text>
    </comment>
    <comment ref="Q14" authorId="9" shapeId="0" xr:uid="{246E0C01-DF1D-4F91-A337-4DE00EFEDDC8}">
      <text>
        <t>[Threaded comment]
Your version of Excel allows you to read this threaded comment; however, any edits to it will get removed if the file is opened in a newer version of Excel. Learn more: https://go.microsoft.com/fwlink/?linkid=870924
Comment:
    FQ223 guidance: 11.9-12.3B</t>
      </text>
    </comment>
    <comment ref="P18" authorId="10" shapeId="0" xr:uid="{6550F107-B2DD-468B-9840-A88B103B8C6E}">
      <text>
        <t>[Threaded comment]
Your version of Excel allows you to read this threaded comment; however, any edits to it will get removed if the file is opened in a newer version of Excel. Learn more: https://go.microsoft.com/fwlink/?linkid=870924
Comment:
    Saw weakening in December
US weaker than expected</t>
      </text>
    </comment>
    <comment ref="Q18" authorId="11" shapeId="0" xr:uid="{B0B4B47A-77DB-4469-A3F3-BA8FF53995B8}">
      <text>
        <t>[Threaded comment]
Your version of Excel allows you to read this threaded comment; however, any edits to it will get removed if the file is opened in a newer version of Excel. Learn more: https://go.microsoft.com/fwlink/?linkid=870924
Comment:
    4/25/23 Consensus: 51.02B
Q223 guidance: 50.5-51.5B</t>
      </text>
    </comment>
    <comment ref="R18" authorId="12" shapeId="0" xr:uid="{672EF133-CF99-4F62-BC53-D74F59EFAF45}">
      <text>
        <t>[Threaded comment]
Your version of Excel allows you to read this threaded comment; however, any edits to it will get removed if the file is opened in a newer version of Excel. Learn more: https://go.microsoft.com/fwlink/?linkid=870924
Comment:
    4/24/23: 54.84B consensus</t>
      </text>
    </comment>
    <comment ref="P36" authorId="13" shapeId="0" xr:uid="{207240C6-AA0E-47C1-A8DC-C70F3CF7F6CF}">
      <text>
        <t>[Threaded comment]
Your version of Excel allows you to read this threaded comment; however, any edits to it will get removed if the file is opened in a newer version of Excel. Learn more: https://go.microsoft.com/fwlink/?linkid=870924
Comment:
    Bookings +4% y/y</t>
      </text>
    </comment>
  </commentList>
</comments>
</file>

<file path=xl/sharedStrings.xml><?xml version="1.0" encoding="utf-8"?>
<sst xmlns="http://schemas.openxmlformats.org/spreadsheetml/2006/main" count="173" uniqueCount="162">
  <si>
    <t>Price</t>
  </si>
  <si>
    <t>Shares</t>
  </si>
  <si>
    <t>MC</t>
  </si>
  <si>
    <t>Cash</t>
  </si>
  <si>
    <t>Debt</t>
  </si>
  <si>
    <t>EV</t>
  </si>
  <si>
    <t>Main</t>
  </si>
  <si>
    <t>4/26/22: FQ322 results</t>
  </si>
  <si>
    <t>Revenue</t>
  </si>
  <si>
    <t>FQ121</t>
  </si>
  <si>
    <t>FQ221</t>
  </si>
  <si>
    <t>FQ321</t>
  </si>
  <si>
    <t>FQ421</t>
  </si>
  <si>
    <t>FQ122</t>
  </si>
  <si>
    <t>FQ222</t>
  </si>
  <si>
    <t>FQ322</t>
  </si>
  <si>
    <t>FQ422</t>
  </si>
  <si>
    <t>Product</t>
  </si>
  <si>
    <t>Service</t>
  </si>
  <si>
    <t>CoP</t>
  </si>
  <si>
    <t>CoS</t>
  </si>
  <si>
    <t>COGS</t>
  </si>
  <si>
    <t>Gross Margin</t>
  </si>
  <si>
    <t>Operating Expenses</t>
  </si>
  <si>
    <t>Operating Income</t>
  </si>
  <si>
    <t>R&amp;D</t>
  </si>
  <si>
    <t>S&amp;M</t>
  </si>
  <si>
    <t>G&amp;A</t>
  </si>
  <si>
    <t>Other</t>
  </si>
  <si>
    <t>Pretax Income</t>
  </si>
  <si>
    <t>Taxes</t>
  </si>
  <si>
    <t>Net Income</t>
  </si>
  <si>
    <t>S/O</t>
  </si>
  <si>
    <t>EPS</t>
  </si>
  <si>
    <t>Revenue Growth</t>
  </si>
  <si>
    <t>AR</t>
  </si>
  <si>
    <t>Inventories</t>
  </si>
  <si>
    <t>OCA</t>
  </si>
  <si>
    <t>PP&amp;E</t>
  </si>
  <si>
    <t>Lease</t>
  </si>
  <si>
    <t>Goodwill</t>
  </si>
  <si>
    <t>Assets</t>
  </si>
  <si>
    <t>OLTA</t>
  </si>
  <si>
    <t>AP</t>
  </si>
  <si>
    <t>DR</t>
  </si>
  <si>
    <t>Compensation</t>
  </si>
  <si>
    <t>OCL</t>
  </si>
  <si>
    <t>SE</t>
  </si>
  <si>
    <t>OLTL</t>
  </si>
  <si>
    <t>Model NI</t>
  </si>
  <si>
    <t>Reported NI</t>
  </si>
  <si>
    <t>CFFO</t>
  </si>
  <si>
    <t>D&amp;A</t>
  </si>
  <si>
    <t>SBC</t>
  </si>
  <si>
    <t>Gains on Investment</t>
  </si>
  <si>
    <t>DT</t>
  </si>
  <si>
    <t>WC</t>
  </si>
  <si>
    <t>CFFI</t>
  </si>
  <si>
    <t>CapEx</t>
  </si>
  <si>
    <t>Acquisitions</t>
  </si>
  <si>
    <t>Investments</t>
  </si>
  <si>
    <t>Debt Exchange</t>
  </si>
  <si>
    <t>Repayment of Debt</t>
  </si>
  <si>
    <t>Stock issuance</t>
  </si>
  <si>
    <t>Dividends</t>
  </si>
  <si>
    <t>CFFF</t>
  </si>
  <si>
    <t>FX</t>
  </si>
  <si>
    <t>CIC</t>
  </si>
  <si>
    <t>Intelligent Cloud</t>
  </si>
  <si>
    <t>Productivity/Business</t>
  </si>
  <si>
    <t>Personal</t>
  </si>
  <si>
    <t>L+SE</t>
  </si>
  <si>
    <t>FCF</t>
  </si>
  <si>
    <t>Founded</t>
  </si>
  <si>
    <t>F2021</t>
  </si>
  <si>
    <t>F2022</t>
  </si>
  <si>
    <t>F2023</t>
  </si>
  <si>
    <t>F2020</t>
  </si>
  <si>
    <t>FQ420</t>
  </si>
  <si>
    <t>FQ320</t>
  </si>
  <si>
    <t>FQ220</t>
  </si>
  <si>
    <t>FQ120</t>
  </si>
  <si>
    <t>Net Cash</t>
  </si>
  <si>
    <t>FQ123</t>
  </si>
  <si>
    <t>FQ223</t>
  </si>
  <si>
    <t>FQ323</t>
  </si>
  <si>
    <t>FQ423</t>
  </si>
  <si>
    <t>LinkedIn</t>
  </si>
  <si>
    <t>F2019</t>
  </si>
  <si>
    <t>Tax Rate</t>
  </si>
  <si>
    <t>F2024</t>
  </si>
  <si>
    <t>F2025</t>
  </si>
  <si>
    <t>F2026</t>
  </si>
  <si>
    <t>F2027</t>
  </si>
  <si>
    <t>F2028</t>
  </si>
  <si>
    <t>F2029</t>
  </si>
  <si>
    <t>F2030</t>
  </si>
  <si>
    <t>Discount</t>
  </si>
  <si>
    <t>Terminal</t>
  </si>
  <si>
    <t>ROIC</t>
  </si>
  <si>
    <t>NPV</t>
  </si>
  <si>
    <t>F2018</t>
  </si>
  <si>
    <t>F2017</t>
  </si>
  <si>
    <t xml:space="preserve">  TTM 12mo</t>
  </si>
  <si>
    <t>Revenue c/c</t>
  </si>
  <si>
    <t>Share</t>
  </si>
  <si>
    <t>Office</t>
  </si>
  <si>
    <t>Outlook, Excel, Powerpoint</t>
  </si>
  <si>
    <t>Teams</t>
  </si>
  <si>
    <t>Xbox</t>
  </si>
  <si>
    <t>Windows</t>
  </si>
  <si>
    <t>Dynamics</t>
  </si>
  <si>
    <t>CRM</t>
  </si>
  <si>
    <t>OS</t>
  </si>
  <si>
    <t>Games</t>
  </si>
  <si>
    <t>Azure</t>
  </si>
  <si>
    <t>Bing</t>
  </si>
  <si>
    <t>1990: $1B revenue</t>
  </si>
  <si>
    <t>1991: MS-DOS 5.0. DOS was installed on 75% of all computers at that point (60m PCs)</t>
  </si>
  <si>
    <t>1975: Microsoft founded, signed MITS BASIC deal for $3,000 upfront, with royalties capped at $180,000.</t>
  </si>
  <si>
    <t>1977: Terminates MITS license agreement. FORTRAN, 6800, 6502 but not 8080 BASIC. MITS/Pertec litigation returns BASIC to Microsoft. COBOL released. Tandy &amp; Apple sign BASIC deals.</t>
  </si>
  <si>
    <t>1976: 4K, 8K, Extended, ROM and Disk BASIC. NCR and GE purchased BASIC. $200,000 revenue.</t>
  </si>
  <si>
    <t>1978: Nearly $1m in revenue by 1978.</t>
  </si>
  <si>
    <t>1979: Establishes consumer products division with Raburn: Typing Tutor and Adventure. $4m revenue.</t>
  </si>
  <si>
    <t>1980: Enters OS market with UNIX license "XENIX". IBM deal for MS-DOS. Releases "SoftCard", hardware product for Apple II. $8m revenue. BASIC for Atari in development. 86-QDOS created by Seattle Computer.</t>
  </si>
  <si>
    <t>CEO</t>
  </si>
  <si>
    <t>CFO</t>
  </si>
  <si>
    <t>Amy Hood</t>
  </si>
  <si>
    <t>Satya Nadella</t>
  </si>
  <si>
    <t>Productivity &amp; Business Processes</t>
  </si>
  <si>
    <t>Server</t>
  </si>
  <si>
    <t>GitHub?</t>
  </si>
  <si>
    <t>Visual Studio?</t>
  </si>
  <si>
    <t>More Personal Computing</t>
  </si>
  <si>
    <t>Surface</t>
  </si>
  <si>
    <t>Edge?</t>
  </si>
  <si>
    <t>OpenAI?</t>
  </si>
  <si>
    <t>CAO</t>
  </si>
  <si>
    <t>Alice Jolla</t>
  </si>
  <si>
    <t>Deputy GC</t>
  </si>
  <si>
    <t>Keith Dolliver</t>
  </si>
  <si>
    <t>VP IR</t>
  </si>
  <si>
    <t>Brett Iversen</t>
  </si>
  <si>
    <t>Viva (Yammer replacement)</t>
  </si>
  <si>
    <t>Clipchamp</t>
  </si>
  <si>
    <t>Loop (Notion ripoff)</t>
  </si>
  <si>
    <t>Create</t>
  </si>
  <si>
    <t>Power Pages (no code)</t>
  </si>
  <si>
    <t>Security: $20B business!?</t>
  </si>
  <si>
    <t>FQ124</t>
  </si>
  <si>
    <t>FQ224</t>
  </si>
  <si>
    <t>Defender, Sentinel</t>
  </si>
  <si>
    <t>Social Network: 900m members</t>
  </si>
  <si>
    <t>Commercial RPO</t>
  </si>
  <si>
    <t>y/y</t>
  </si>
  <si>
    <t>Microsoft Cloud</t>
  </si>
  <si>
    <t>Consumer 365 users</t>
  </si>
  <si>
    <t>FQ324</t>
  </si>
  <si>
    <t>FQ424</t>
  </si>
  <si>
    <t>Product GM%</t>
  </si>
  <si>
    <t>Service GM%</t>
  </si>
  <si>
    <t>Q422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</si>
</sst>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m/d/yy;@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9" fontId="1" fillId="0" borderId="0" xfId="0" applyNumberFormat="1" applyFont="1" applyAlignment="1">
      <alignment horizontal="right"/>
    </xf>
    <xf numFmtId="4" fontId="1" fillId="0" borderId="0" xfId="0" applyNumberFormat="1" applyFont="1"/>
    <xf numFmtId="9" fontId="0" fillId="0" borderId="0" xfId="0" applyNumberFormat="1"/>
    <xf numFmtId="164" fontId="1" fillId="0" borderId="0" xfId="0" applyNumberFormat="1" applyFont="1"/>
    <xf numFmtId="0" fontId="2" fillId="0" borderId="0" xfId="1"/>
    <xf numFmtId="165" fontId="0" fillId="0" borderId="0" xfId="0" applyNumberFormat="1"/>
    <xf numFmtId="165" fontId="0" fillId="0" borderId="0" xfId="0" applyNumberFormat="1" applyAlignment="1">
      <alignment horizontal="right"/>
    </xf>
    <xf numFmtId="0" fontId="3" fillId="0" borderId="0" xfId="0" applyFont="1"/>
    <xf numFmtId="9" fontId="1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right"/>
    </xf>
    <xf numFmtId="9" fontId="4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D0542937-2D0E-4E8A-A81E-0E53A37F25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47823</xdr:colOff>
      <xdr:row>0</xdr:row>
      <xdr:rowOff>0</xdr:rowOff>
    </xdr:from>
    <xdr:to>
      <xdr:col>16</xdr:col>
      <xdr:colOff>47823</xdr:colOff>
      <xdr:row>98</xdr:row>
      <xdr:rowOff>28575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111A066-3CA7-17B5-FD95-08FD116C4F32}"/>
            </a:ext>
          </a:extLst>
        </xdr:cNvPr>
        <xdr:cNvCxnSpPr/>
      </xdr:nvCxnSpPr>
      <xdr:spPr>
        <a:xfrm>
          <a:off x="10955853" y="0"/>
          <a:ext cx="0" cy="146094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28575</xdr:colOff>
      <xdr:row>0</xdr:row>
      <xdr:rowOff>0</xdr:rowOff>
    </xdr:from>
    <xdr:to>
      <xdr:col>29</xdr:col>
      <xdr:colOff>28575</xdr:colOff>
      <xdr:row>98</xdr:row>
      <xdr:rowOff>28575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07B9D41-FFFB-4E99-B485-4D3A996704DA}"/>
            </a:ext>
          </a:extLst>
        </xdr:cNvPr>
        <xdr:cNvCxnSpPr/>
      </xdr:nvCxnSpPr>
      <xdr:spPr>
        <a:xfrm>
          <a:off x="15278100" y="0"/>
          <a:ext cx="0" cy="14116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2ADAC7E3-86EF-4E60-96A3-ED0BEE011F1E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7" dT="2023-04-25T17:20:02.39" personId="{2ADAC7E3-86EF-4E60-96A3-ED0BEE011F1E}" id="{A9B57C90-F042-456E-9599-71B00A53636C}">
    <text>280m MAU CQ422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P4" dT="2023-04-25T17:34:54.10" personId="{2ADAC7E3-86EF-4E60-96A3-ED0BEE011F1E}" id="{C3B43970-9624-4440-A221-208CFA9224F4}">
    <text>45% NTM</text>
  </threadedComment>
  <threadedComment ref="P9" dT="2023-04-25T17:43:15.37" personId="{2ADAC7E3-86EF-4E60-96A3-ED0BEE011F1E}" id="{ECADAB22-36B1-41A2-AD23-FFF1F2EAB8AC}">
    <text>+14% CC</text>
  </threadedComment>
  <threadedComment ref="P12" dT="2023-04-25T17:42:46.88" personId="{2ADAC7E3-86EF-4E60-96A3-ED0BEE011F1E}" id="{2883B5CB-9CE6-4897-A415-6E91690048D2}">
    <text>Dynamics +20%</text>
  </threadedComment>
  <threadedComment ref="Q12" dT="2023-04-25T17:51:08.94" personId="{2ADAC7E3-86EF-4E60-96A3-ED0BEE011F1E}" id="{6A5307CC-CCBA-4CAC-BF0C-55B40FBD45DC}">
    <text>+11-13%
16.9-17.2B</text>
  </threadedComment>
  <threadedComment ref="K13" dT="2023-01-12T14:11:54.08" personId="{2ADAC7E3-86EF-4E60-96A3-ED0BEE011F1E}" id="{1194B53B-11DF-4936-8FD7-77F49319A1C9}">
    <text>16964 old</text>
  </threadedComment>
  <threadedComment ref="P13" dT="2023-04-25T17:30:58.20" personId="{2ADAC7E3-86EF-4E60-96A3-ED0BEE011F1E}" id="{B7D8227E-9C6A-4B9D-BCEB-E38F55E93FBB}">
    <text>Azure growth moderated
Grew from Nuance</text>
  </threadedComment>
  <threadedComment ref="Q13" dT="2023-04-25T17:52:22.56" personId="{2ADAC7E3-86EF-4E60-96A3-ED0BEE011F1E}" id="{C7BC1CA5-759B-43A0-833B-88C4CD54B000}">
    <text>Q223 guidance: 21.7-22.0B</text>
  </threadedComment>
  <threadedComment ref="K14" dT="2023-01-12T14:11:37.67" personId="{2ADAC7E3-86EF-4E60-96A3-ED0BEE011F1E}" id="{F728FAC2-51F0-4023-AB40-41F83CEF5C89}">
    <text>13314 prior</text>
  </threadedComment>
  <threadedComment ref="P14" dT="2023-04-25T16:02:39.70" personId="{2ADAC7E3-86EF-4E60-96A3-ED0BEE011F1E}" id="{A9249A39-B9EC-4BC7-B87E-1B27108C92D8}">
    <text>Windows OEM -39% inline, Windows 11 referral caused strong comp
PC in-line
Surface "execution challenges" on new product launches</text>
  </threadedComment>
  <threadedComment ref="Q14" dT="2023-04-25T17:53:27.39" personId="{2ADAC7E3-86EF-4E60-96A3-ED0BEE011F1E}" id="{246E0C01-DF1D-4F91-A337-4DE00EFEDDC8}">
    <text>FQ223 guidance: 11.9-12.3B</text>
  </threadedComment>
  <threadedComment ref="P18" dT="2023-04-25T17:28:33.19" personId="{2ADAC7E3-86EF-4E60-96A3-ED0BEE011F1E}" id="{6550F107-B2DD-468B-9840-A88B103B8C6E}">
    <text>Saw weakening in December
US weaker than expected</text>
  </threadedComment>
  <threadedComment ref="Q18" dT="2023-04-25T17:53:49.93" personId="{2ADAC7E3-86EF-4E60-96A3-ED0BEE011F1E}" id="{B0B4B47A-77DB-4469-A3F3-BA8FF53995B8}">
    <text>4/25/23 Consensus: 51.02B
Q223 guidance: 50.5-51.5B</text>
  </threadedComment>
  <threadedComment ref="R18" dT="2023-04-25T17:54:04.57" personId="{2ADAC7E3-86EF-4E60-96A3-ED0BEE011F1E}" id="{672EF133-CF99-4F62-BC53-D74F59EFAF45}">
    <text>4/24/23: 54.84B consensus</text>
  </threadedComment>
  <threadedComment ref="P36" dT="2023-04-25T17:32:36.53" personId="{2ADAC7E3-86EF-4E60-96A3-ED0BEE011F1E}" id="{207240C6-AA0E-47C1-A8DC-C70F3CF7F6CF}">
    <text>Bookings +4% y/y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0B22-A151-4F95-B31A-D44A037C9EC9}">
  <dimension ref="B2:M32"/>
  <sheetViews>
    <sheetView tabSelected="1" zoomScale="265" zoomScaleNormal="265" workbookViewId="0">
      <selection activeCell="L4" sqref="L4"/>
    </sheetView>
  </sheetViews>
  <sheetFormatPr defaultRowHeight="12.75" x14ac:dyDescent="0.2"/>
  <cols>
    <col min="1" max="1" width="3.7109375" customWidth="1"/>
    <col min="11" max="11" width="11.5703125" customWidth="1"/>
    <col min="12" max="12" width="13.5703125" customWidth="1"/>
  </cols>
  <sheetData>
    <row r="2" spans="2:13" x14ac:dyDescent="0.2">
      <c r="B2" s="17" t="s">
        <v>133</v>
      </c>
      <c r="K2" t="s">
        <v>0</v>
      </c>
      <c r="L2" s="1">
        <v>278.93</v>
      </c>
    </row>
    <row r="3" spans="2:13" x14ac:dyDescent="0.2">
      <c r="B3" t="s">
        <v>110</v>
      </c>
      <c r="C3" t="s">
        <v>113</v>
      </c>
      <c r="K3" t="s">
        <v>1</v>
      </c>
      <c r="L3" s="4">
        <v>7473</v>
      </c>
      <c r="M3" s="2" t="s">
        <v>161</v>
      </c>
    </row>
    <row r="4" spans="2:13" x14ac:dyDescent="0.2">
      <c r="B4" t="s">
        <v>109</v>
      </c>
      <c r="C4" t="s">
        <v>114</v>
      </c>
      <c r="K4" t="s">
        <v>2</v>
      </c>
      <c r="L4" s="4">
        <f>L2*L3</f>
        <v>2084443.8900000001</v>
      </c>
    </row>
    <row r="5" spans="2:13" x14ac:dyDescent="0.2">
      <c r="B5" t="s">
        <v>116</v>
      </c>
      <c r="K5" t="s">
        <v>3</v>
      </c>
      <c r="L5" s="4">
        <v>106605</v>
      </c>
      <c r="M5" s="2" t="s">
        <v>161</v>
      </c>
    </row>
    <row r="6" spans="2:13" x14ac:dyDescent="0.2">
      <c r="B6" t="s">
        <v>134</v>
      </c>
      <c r="K6" t="s">
        <v>4</v>
      </c>
      <c r="L6" s="4">
        <v>48116</v>
      </c>
      <c r="M6" s="2" t="s">
        <v>161</v>
      </c>
    </row>
    <row r="7" spans="2:13" x14ac:dyDescent="0.2">
      <c r="K7" t="s">
        <v>5</v>
      </c>
      <c r="L7" s="4">
        <f>L4-L5+L6</f>
        <v>2025954.8900000001</v>
      </c>
    </row>
    <row r="8" spans="2:13" x14ac:dyDescent="0.2">
      <c r="B8" t="s">
        <v>135</v>
      </c>
    </row>
    <row r="9" spans="2:13" x14ac:dyDescent="0.2">
      <c r="K9" t="s">
        <v>73</v>
      </c>
      <c r="L9">
        <v>1975</v>
      </c>
    </row>
    <row r="11" spans="2:13" x14ac:dyDescent="0.2">
      <c r="B11" s="17" t="s">
        <v>129</v>
      </c>
      <c r="G11" s="17" t="s">
        <v>68</v>
      </c>
      <c r="K11" t="s">
        <v>125</v>
      </c>
      <c r="L11" t="s">
        <v>128</v>
      </c>
    </row>
    <row r="12" spans="2:13" x14ac:dyDescent="0.2">
      <c r="B12" t="s">
        <v>106</v>
      </c>
      <c r="G12" t="s">
        <v>115</v>
      </c>
      <c r="K12" t="s">
        <v>126</v>
      </c>
      <c r="L12" t="s">
        <v>127</v>
      </c>
    </row>
    <row r="13" spans="2:13" x14ac:dyDescent="0.2">
      <c r="C13" t="s">
        <v>107</v>
      </c>
      <c r="G13" t="s">
        <v>130</v>
      </c>
      <c r="K13" t="s">
        <v>137</v>
      </c>
      <c r="L13" t="s">
        <v>138</v>
      </c>
    </row>
    <row r="14" spans="2:13" x14ac:dyDescent="0.2">
      <c r="B14" t="s">
        <v>87</v>
      </c>
      <c r="C14" t="s">
        <v>152</v>
      </c>
      <c r="K14" t="s">
        <v>139</v>
      </c>
      <c r="L14" t="s">
        <v>140</v>
      </c>
    </row>
    <row r="15" spans="2:13" x14ac:dyDescent="0.2">
      <c r="B15" t="s">
        <v>111</v>
      </c>
      <c r="C15" t="s">
        <v>112</v>
      </c>
      <c r="G15" t="s">
        <v>136</v>
      </c>
      <c r="K15" t="s">
        <v>141</v>
      </c>
      <c r="L15" t="s">
        <v>142</v>
      </c>
    </row>
    <row r="16" spans="2:13" x14ac:dyDescent="0.2">
      <c r="G16" t="s">
        <v>148</v>
      </c>
    </row>
    <row r="17" spans="2:8" x14ac:dyDescent="0.2">
      <c r="B17" t="s">
        <v>108</v>
      </c>
      <c r="C17" t="s">
        <v>143</v>
      </c>
      <c r="H17" t="s">
        <v>151</v>
      </c>
    </row>
    <row r="18" spans="2:8" x14ac:dyDescent="0.2">
      <c r="B18" t="s">
        <v>131</v>
      </c>
    </row>
    <row r="19" spans="2:8" x14ac:dyDescent="0.2">
      <c r="B19" t="s">
        <v>132</v>
      </c>
    </row>
    <row r="20" spans="2:8" x14ac:dyDescent="0.2">
      <c r="B20" t="s">
        <v>144</v>
      </c>
      <c r="C20" t="s">
        <v>146</v>
      </c>
    </row>
    <row r="21" spans="2:8" x14ac:dyDescent="0.2">
      <c r="B21" t="s">
        <v>145</v>
      </c>
      <c r="D21" t="s">
        <v>147</v>
      </c>
    </row>
    <row r="23" spans="2:8" x14ac:dyDescent="0.2">
      <c r="B23" t="s">
        <v>7</v>
      </c>
    </row>
    <row r="25" spans="2:8" x14ac:dyDescent="0.2">
      <c r="B25" t="s">
        <v>118</v>
      </c>
    </row>
    <row r="26" spans="2:8" x14ac:dyDescent="0.2">
      <c r="B26" t="s">
        <v>117</v>
      </c>
    </row>
    <row r="27" spans="2:8" x14ac:dyDescent="0.2">
      <c r="B27" t="s">
        <v>124</v>
      </c>
    </row>
    <row r="28" spans="2:8" x14ac:dyDescent="0.2">
      <c r="B28" t="s">
        <v>123</v>
      </c>
    </row>
    <row r="29" spans="2:8" x14ac:dyDescent="0.2">
      <c r="B29" t="s">
        <v>122</v>
      </c>
    </row>
    <row r="30" spans="2:8" x14ac:dyDescent="0.2">
      <c r="B30" t="s">
        <v>120</v>
      </c>
    </row>
    <row r="31" spans="2:8" x14ac:dyDescent="0.2">
      <c r="B31" t="s">
        <v>121</v>
      </c>
    </row>
    <row r="32" spans="2:8" x14ac:dyDescent="0.2">
      <c r="B32" t="s">
        <v>119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F587-D152-4A1D-9598-E8BABDD84FA8}">
  <dimension ref="A1:CQ90"/>
  <sheetViews>
    <sheetView zoomScale="145" zoomScaleNormal="145" workbookViewId="0">
      <pane xSplit="2" ySplit="3" topLeftCell="L4" activePane="bottomRight" state="frozen"/>
      <selection pane="topRight" activeCell="C1" sqref="C1"/>
      <selection pane="bottomLeft" activeCell="A4" sqref="A4"/>
      <selection pane="bottomRight" activeCell="P13" sqref="P13"/>
    </sheetView>
  </sheetViews>
  <sheetFormatPr defaultRowHeight="12.75" x14ac:dyDescent="0.2"/>
  <cols>
    <col min="1" max="1" width="5" bestFit="1" customWidth="1"/>
    <col min="2" max="2" width="19.7109375" customWidth="1"/>
    <col min="3" max="6" width="10" style="2" customWidth="1"/>
    <col min="7" max="14" width="9.85546875" style="2" customWidth="1"/>
    <col min="15" max="22" width="9.85546875" customWidth="1"/>
    <col min="27" max="30" width="9.140625" style="2"/>
    <col min="40" max="40" width="10.7109375" customWidth="1"/>
  </cols>
  <sheetData>
    <row r="1" spans="1:37" x14ac:dyDescent="0.2">
      <c r="A1" s="14" t="s">
        <v>6</v>
      </c>
    </row>
    <row r="2" spans="1:37" s="15" customFormat="1" x14ac:dyDescent="0.2">
      <c r="C2" s="16"/>
      <c r="D2" s="16"/>
      <c r="E2" s="16"/>
      <c r="F2" s="16">
        <v>44012</v>
      </c>
      <c r="G2" s="16">
        <v>44104</v>
      </c>
      <c r="H2" s="16">
        <v>44196</v>
      </c>
      <c r="I2" s="16">
        <v>44286</v>
      </c>
      <c r="J2" s="16">
        <v>44377</v>
      </c>
      <c r="K2" s="16">
        <v>44469</v>
      </c>
      <c r="L2" s="16">
        <v>44561</v>
      </c>
      <c r="M2" s="16">
        <v>44651</v>
      </c>
      <c r="N2" s="16">
        <v>44742</v>
      </c>
      <c r="O2" s="15">
        <f t="shared" ref="O2:T2" si="0">+K2+365</f>
        <v>44834</v>
      </c>
      <c r="P2" s="15">
        <f t="shared" si="0"/>
        <v>44926</v>
      </c>
      <c r="Q2" s="15">
        <f t="shared" si="0"/>
        <v>45016</v>
      </c>
      <c r="R2" s="15">
        <f t="shared" si="0"/>
        <v>45107</v>
      </c>
      <c r="S2" s="15">
        <f t="shared" si="0"/>
        <v>45199</v>
      </c>
      <c r="T2" s="15">
        <f t="shared" si="0"/>
        <v>45291</v>
      </c>
      <c r="U2" s="15">
        <v>45016</v>
      </c>
      <c r="V2" s="15">
        <v>45107</v>
      </c>
      <c r="X2" s="15">
        <v>42916</v>
      </c>
      <c r="Y2" s="15">
        <v>43281</v>
      </c>
      <c r="Z2" s="15">
        <v>43646</v>
      </c>
      <c r="AA2" s="16">
        <v>44012</v>
      </c>
      <c r="AB2" s="16">
        <f>+J2</f>
        <v>44377</v>
      </c>
      <c r="AC2" s="16">
        <f>+N2</f>
        <v>44742</v>
      </c>
      <c r="AD2" s="16">
        <v>45107</v>
      </c>
      <c r="AE2" s="15">
        <f>+AD2+366</f>
        <v>45473</v>
      </c>
      <c r="AF2" s="15">
        <f>+AE2+365</f>
        <v>45838</v>
      </c>
      <c r="AG2" s="15">
        <f>+AF2+365</f>
        <v>46203</v>
      </c>
      <c r="AH2" s="15">
        <f>+AG2+365</f>
        <v>46568</v>
      </c>
      <c r="AI2" s="15">
        <f>+AH2+366</f>
        <v>46934</v>
      </c>
      <c r="AJ2" s="15">
        <f>+AI2+365</f>
        <v>47299</v>
      </c>
      <c r="AK2" s="15">
        <f>+AJ2+365</f>
        <v>47664</v>
      </c>
    </row>
    <row r="3" spans="1:37" x14ac:dyDescent="0.2">
      <c r="C3" s="2" t="s">
        <v>81</v>
      </c>
      <c r="D3" s="2" t="s">
        <v>80</v>
      </c>
      <c r="E3" s="2" t="s">
        <v>79</v>
      </c>
      <c r="F3" s="2" t="s">
        <v>78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83</v>
      </c>
      <c r="P3" s="2" t="s">
        <v>84</v>
      </c>
      <c r="Q3" s="2" t="s">
        <v>85</v>
      </c>
      <c r="R3" s="2" t="s">
        <v>86</v>
      </c>
      <c r="S3" s="2" t="s">
        <v>149</v>
      </c>
      <c r="T3" s="2" t="s">
        <v>150</v>
      </c>
      <c r="U3" s="2" t="s">
        <v>157</v>
      </c>
      <c r="V3" s="2" t="s">
        <v>158</v>
      </c>
      <c r="X3" s="2" t="s">
        <v>102</v>
      </c>
      <c r="Y3" s="2" t="s">
        <v>101</v>
      </c>
      <c r="Z3" s="2" t="s">
        <v>88</v>
      </c>
      <c r="AA3" s="2" t="s">
        <v>77</v>
      </c>
      <c r="AB3" s="2" t="s">
        <v>74</v>
      </c>
      <c r="AC3" s="2" t="s">
        <v>75</v>
      </c>
      <c r="AD3" s="2" t="s">
        <v>76</v>
      </c>
      <c r="AE3" s="2" t="s">
        <v>90</v>
      </c>
      <c r="AF3" s="2" t="s">
        <v>91</v>
      </c>
      <c r="AG3" s="2" t="s">
        <v>92</v>
      </c>
      <c r="AH3" s="2" t="s">
        <v>93</v>
      </c>
      <c r="AI3" s="2" t="s">
        <v>94</v>
      </c>
      <c r="AJ3" s="2" t="s">
        <v>95</v>
      </c>
      <c r="AK3" s="2" t="s">
        <v>96</v>
      </c>
    </row>
    <row r="4" spans="1:37" x14ac:dyDescent="0.2">
      <c r="B4" t="s">
        <v>153</v>
      </c>
      <c r="L4" s="2">
        <v>147</v>
      </c>
      <c r="M4" s="2">
        <v>155</v>
      </c>
      <c r="N4" s="2">
        <v>189</v>
      </c>
      <c r="O4" s="2">
        <v>180</v>
      </c>
      <c r="P4" s="2">
        <v>189</v>
      </c>
      <c r="Q4" s="2"/>
      <c r="R4" s="2"/>
      <c r="S4" s="2"/>
      <c r="T4" s="2"/>
      <c r="U4" s="2"/>
      <c r="V4" s="2"/>
      <c r="X4" s="2"/>
      <c r="Y4" s="2"/>
      <c r="Z4" s="2"/>
      <c r="AE4" s="2"/>
      <c r="AF4" s="2"/>
      <c r="AG4" s="2"/>
      <c r="AH4" s="2"/>
      <c r="AI4" s="2"/>
      <c r="AJ4" s="2"/>
      <c r="AK4" s="2"/>
    </row>
    <row r="5" spans="1:37" s="19" customFormat="1" x14ac:dyDescent="0.2">
      <c r="B5" s="19" t="s">
        <v>154</v>
      </c>
      <c r="C5" s="20"/>
      <c r="D5" s="20"/>
      <c r="E5" s="20"/>
      <c r="F5" s="20"/>
      <c r="G5" s="20"/>
      <c r="H5" s="20"/>
      <c r="I5" s="20"/>
      <c r="J5" s="20"/>
      <c r="K5" s="20"/>
      <c r="L5" s="21">
        <v>0.37</v>
      </c>
      <c r="M5" s="21">
        <v>0.35</v>
      </c>
      <c r="N5" s="21">
        <v>0.35</v>
      </c>
      <c r="O5" s="21">
        <v>0.16</v>
      </c>
      <c r="P5" s="21">
        <v>0.04</v>
      </c>
      <c r="Q5" s="20"/>
      <c r="R5" s="20"/>
      <c r="S5" s="20"/>
      <c r="T5" s="20"/>
      <c r="U5" s="20"/>
      <c r="V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</row>
    <row r="6" spans="1:37" s="19" customFormat="1" x14ac:dyDescent="0.2">
      <c r="C6" s="20"/>
      <c r="D6" s="20"/>
      <c r="E6" s="20"/>
      <c r="F6" s="20"/>
      <c r="G6" s="20"/>
      <c r="H6" s="20"/>
      <c r="I6" s="20"/>
      <c r="J6" s="20"/>
      <c r="K6" s="20"/>
      <c r="L6" s="21"/>
      <c r="M6" s="21"/>
      <c r="N6" s="21"/>
      <c r="O6" s="21"/>
      <c r="P6" s="21"/>
      <c r="Q6" s="20"/>
      <c r="R6" s="20"/>
      <c r="S6" s="20"/>
      <c r="T6" s="20"/>
      <c r="U6" s="20"/>
      <c r="V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</row>
    <row r="7" spans="1:37" s="19" customFormat="1" x14ac:dyDescent="0.2">
      <c r="B7" t="s">
        <v>155</v>
      </c>
      <c r="C7" s="20"/>
      <c r="D7" s="20"/>
      <c r="E7" s="20"/>
      <c r="F7" s="20"/>
      <c r="G7" s="20"/>
      <c r="H7" s="20"/>
      <c r="I7" s="20"/>
      <c r="J7" s="20"/>
      <c r="K7" s="20"/>
      <c r="L7" s="7">
        <v>22000</v>
      </c>
      <c r="M7" s="7">
        <v>23400</v>
      </c>
      <c r="N7" s="7">
        <v>25100</v>
      </c>
      <c r="O7" s="7">
        <v>25700</v>
      </c>
      <c r="P7" s="7">
        <v>27100</v>
      </c>
      <c r="Q7" s="20"/>
      <c r="R7" s="20"/>
      <c r="S7" s="20"/>
      <c r="T7" s="20"/>
      <c r="U7" s="20"/>
      <c r="V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</row>
    <row r="8" spans="1:37" s="19" customFormat="1" x14ac:dyDescent="0.2">
      <c r="C8" s="20"/>
      <c r="D8" s="20"/>
      <c r="E8" s="20"/>
      <c r="F8" s="20"/>
      <c r="G8" s="20"/>
      <c r="H8" s="20"/>
      <c r="I8" s="20"/>
      <c r="J8" s="20"/>
      <c r="K8" s="20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 spans="1:37" x14ac:dyDescent="0.2">
      <c r="B9" t="s">
        <v>87</v>
      </c>
      <c r="N9" s="2">
        <f>+J9+768</f>
        <v>768</v>
      </c>
      <c r="O9" s="2"/>
      <c r="P9" s="2"/>
      <c r="Q9" s="2"/>
      <c r="R9" s="2"/>
      <c r="S9" s="2"/>
      <c r="T9" s="2"/>
      <c r="U9" s="2"/>
      <c r="V9" s="2"/>
    </row>
    <row r="10" spans="1:37" x14ac:dyDescent="0.2">
      <c r="B10" s="19" t="s">
        <v>156</v>
      </c>
      <c r="L10" s="2">
        <v>56.4</v>
      </c>
      <c r="M10" s="2">
        <v>58.4</v>
      </c>
      <c r="N10" s="2">
        <v>59.7</v>
      </c>
      <c r="O10" s="2">
        <v>61.3</v>
      </c>
      <c r="P10" s="2">
        <v>63.2</v>
      </c>
      <c r="Q10" s="2"/>
      <c r="R10" s="2"/>
      <c r="S10" s="2"/>
      <c r="T10" s="2"/>
      <c r="U10" s="2"/>
      <c r="V10" s="2"/>
    </row>
    <row r="11" spans="1:37" x14ac:dyDescent="0.2">
      <c r="O11" s="2"/>
      <c r="P11" s="2"/>
      <c r="Q11" s="2"/>
      <c r="R11" s="2"/>
      <c r="S11" s="2"/>
      <c r="T11" s="2"/>
      <c r="U11" s="2"/>
      <c r="V11" s="2"/>
    </row>
    <row r="12" spans="1:37" s="4" customFormat="1" x14ac:dyDescent="0.2">
      <c r="B12" s="4" t="s">
        <v>69</v>
      </c>
      <c r="C12" s="5"/>
      <c r="D12" s="5"/>
      <c r="E12" s="5"/>
      <c r="F12" s="5">
        <v>11752</v>
      </c>
      <c r="G12" s="5">
        <v>12319</v>
      </c>
      <c r="H12" s="5">
        <v>13353</v>
      </c>
      <c r="I12" s="5">
        <v>13552</v>
      </c>
      <c r="J12" s="5">
        <v>14691</v>
      </c>
      <c r="K12" s="5">
        <v>15039</v>
      </c>
      <c r="L12" s="5">
        <v>15936</v>
      </c>
      <c r="M12" s="5">
        <v>15789</v>
      </c>
      <c r="N12" s="5">
        <v>16600</v>
      </c>
      <c r="O12" s="4">
        <v>16465</v>
      </c>
      <c r="P12" s="4">
        <v>17002</v>
      </c>
      <c r="Q12" s="4">
        <f>M12*1.08</f>
        <v>17052.120000000003</v>
      </c>
      <c r="U12" s="4">
        <f t="shared" ref="U12:U13" si="1">Q12*1.05</f>
        <v>17904.726000000002</v>
      </c>
      <c r="AA12" s="5"/>
      <c r="AB12" s="5">
        <f>SUM(G12:J12)</f>
        <v>53915</v>
      </c>
      <c r="AC12" s="5">
        <f>SUM(K12:N12)</f>
        <v>63364</v>
      </c>
      <c r="AD12" s="5"/>
    </row>
    <row r="13" spans="1:37" s="4" customFormat="1" x14ac:dyDescent="0.2">
      <c r="B13" s="4" t="s">
        <v>68</v>
      </c>
      <c r="C13" s="5"/>
      <c r="D13" s="5"/>
      <c r="E13" s="5"/>
      <c r="F13" s="5">
        <v>13371</v>
      </c>
      <c r="G13" s="5">
        <v>12986</v>
      </c>
      <c r="H13" s="5">
        <v>14601</v>
      </c>
      <c r="I13" s="5">
        <v>15118</v>
      </c>
      <c r="J13" s="5">
        <v>17375</v>
      </c>
      <c r="K13" s="5">
        <v>16912</v>
      </c>
      <c r="L13" s="5">
        <v>18327</v>
      </c>
      <c r="M13" s="5">
        <v>19051</v>
      </c>
      <c r="N13" s="5">
        <v>20909</v>
      </c>
      <c r="O13" s="4">
        <v>20325</v>
      </c>
      <c r="P13" s="4">
        <v>21508</v>
      </c>
      <c r="Q13" s="4">
        <f>M13*1.15</f>
        <v>21908.649999999998</v>
      </c>
      <c r="U13" s="4">
        <f t="shared" si="1"/>
        <v>23004.0825</v>
      </c>
      <c r="AA13" s="5"/>
      <c r="AB13" s="5">
        <f>SUM(G13:J13)</f>
        <v>60080</v>
      </c>
      <c r="AC13" s="5">
        <f t="shared" ref="AC13:AC20" si="2">SUM(K13:N13)</f>
        <v>75199</v>
      </c>
      <c r="AD13" s="5"/>
    </row>
    <row r="14" spans="1:37" s="4" customFormat="1" x14ac:dyDescent="0.2">
      <c r="B14" s="4" t="s">
        <v>70</v>
      </c>
      <c r="C14" s="5"/>
      <c r="D14" s="5"/>
      <c r="E14" s="5"/>
      <c r="F14" s="5">
        <v>12910</v>
      </c>
      <c r="G14" s="5">
        <v>11849</v>
      </c>
      <c r="H14" s="5">
        <v>15122</v>
      </c>
      <c r="I14" s="5">
        <v>13036</v>
      </c>
      <c r="J14" s="5">
        <v>14086</v>
      </c>
      <c r="K14" s="5">
        <v>13366</v>
      </c>
      <c r="L14" s="5">
        <v>17465</v>
      </c>
      <c r="M14" s="5">
        <v>14520</v>
      </c>
      <c r="N14" s="5">
        <v>14356</v>
      </c>
      <c r="O14" s="4">
        <v>13332</v>
      </c>
      <c r="P14" s="4">
        <v>14237</v>
      </c>
      <c r="Q14" s="4">
        <f>M14*0.83</f>
        <v>12051.599999999999</v>
      </c>
      <c r="U14" s="4">
        <f>Q14*1.05</f>
        <v>12654.179999999998</v>
      </c>
      <c r="AA14" s="5"/>
      <c r="AB14" s="5">
        <f>SUM(G14:J14)</f>
        <v>54093</v>
      </c>
      <c r="AC14" s="5">
        <f t="shared" si="2"/>
        <v>59707</v>
      </c>
      <c r="AD14" s="5"/>
    </row>
    <row r="16" spans="1:37" s="4" customFormat="1" x14ac:dyDescent="0.2">
      <c r="B16" s="4" t="s">
        <v>17</v>
      </c>
      <c r="C16" s="5"/>
      <c r="D16" s="5"/>
      <c r="E16" s="5"/>
      <c r="F16" s="5">
        <v>18147</v>
      </c>
      <c r="G16" s="5">
        <v>15803</v>
      </c>
      <c r="H16" s="5">
        <v>19460</v>
      </c>
      <c r="I16" s="5">
        <v>16873</v>
      </c>
      <c r="J16" s="5">
        <v>18938</v>
      </c>
      <c r="K16" s="5">
        <v>16631</v>
      </c>
      <c r="L16" s="5">
        <v>20779</v>
      </c>
      <c r="M16" s="5">
        <v>17366</v>
      </c>
      <c r="N16" s="5">
        <v>17956</v>
      </c>
      <c r="O16" s="4">
        <v>15741</v>
      </c>
      <c r="P16" s="4">
        <v>16517</v>
      </c>
      <c r="Q16" s="4">
        <f>M16*1.03</f>
        <v>17886.98</v>
      </c>
      <c r="R16" s="4">
        <f>+N16*1.02</f>
        <v>18315.12</v>
      </c>
      <c r="S16" s="4">
        <f t="shared" ref="S16" si="3">O16*1.05</f>
        <v>16528.05</v>
      </c>
      <c r="T16" s="4">
        <f t="shared" ref="T16:T17" si="4">P16*1.05</f>
        <v>17342.850000000002</v>
      </c>
      <c r="U16" s="4">
        <f t="shared" ref="U16:U17" si="5">Q16*1.05</f>
        <v>18781.329000000002</v>
      </c>
      <c r="V16" s="4">
        <f t="shared" ref="V16:V17" si="6">R16*1.05</f>
        <v>19230.876</v>
      </c>
      <c r="X16" s="4">
        <v>63811</v>
      </c>
      <c r="Y16" s="4">
        <v>64497</v>
      </c>
      <c r="Z16" s="4">
        <v>66069</v>
      </c>
      <c r="AA16" s="5">
        <v>68041</v>
      </c>
      <c r="AB16" s="5">
        <f>SUM(G16:J16)</f>
        <v>71074</v>
      </c>
      <c r="AC16" s="5">
        <f t="shared" si="2"/>
        <v>72732</v>
      </c>
      <c r="AD16" s="5">
        <f>SUM(O16:R16)</f>
        <v>68460.099999999991</v>
      </c>
      <c r="AE16" s="5">
        <f>+AD16*1.03</f>
        <v>70513.902999999991</v>
      </c>
      <c r="AF16" s="5">
        <f t="shared" ref="AF16:AK16" si="7">+AE16*1.03</f>
        <v>72629.320089999994</v>
      </c>
      <c r="AG16" s="5">
        <f t="shared" si="7"/>
        <v>74808.1996927</v>
      </c>
      <c r="AH16" s="5">
        <f t="shared" si="7"/>
        <v>77052.445683480997</v>
      </c>
      <c r="AI16" s="5">
        <f t="shared" si="7"/>
        <v>79364.019053985423</v>
      </c>
      <c r="AJ16" s="5">
        <f t="shared" si="7"/>
        <v>81744.939625604995</v>
      </c>
      <c r="AK16" s="5">
        <f t="shared" si="7"/>
        <v>84197.28781437315</v>
      </c>
    </row>
    <row r="17" spans="2:95" s="4" customFormat="1" x14ac:dyDescent="0.2">
      <c r="B17" s="4" t="s">
        <v>18</v>
      </c>
      <c r="C17" s="5"/>
      <c r="D17" s="5"/>
      <c r="E17" s="5"/>
      <c r="F17" s="5">
        <v>19886</v>
      </c>
      <c r="G17" s="5">
        <v>21351</v>
      </c>
      <c r="H17" s="5">
        <v>23616</v>
      </c>
      <c r="I17" s="5">
        <v>24833</v>
      </c>
      <c r="J17" s="5">
        <v>27214</v>
      </c>
      <c r="K17" s="5">
        <v>28686</v>
      </c>
      <c r="L17" s="5">
        <v>30949</v>
      </c>
      <c r="M17" s="5">
        <v>31994</v>
      </c>
      <c r="N17" s="5">
        <v>33909</v>
      </c>
      <c r="O17" s="4">
        <v>34381</v>
      </c>
      <c r="P17" s="4">
        <v>36230</v>
      </c>
      <c r="Q17" s="4">
        <f>M17*1.03</f>
        <v>32953.82</v>
      </c>
      <c r="R17" s="4">
        <f>+N17*1.08</f>
        <v>36621.72</v>
      </c>
      <c r="S17" s="4">
        <f>O17*1.05</f>
        <v>36100.050000000003</v>
      </c>
      <c r="T17" s="4">
        <f t="shared" si="4"/>
        <v>38041.5</v>
      </c>
      <c r="U17" s="4">
        <f t="shared" si="5"/>
        <v>34601.510999999999</v>
      </c>
      <c r="V17" s="4">
        <f t="shared" si="6"/>
        <v>38452.806000000004</v>
      </c>
      <c r="X17" s="4">
        <v>32760</v>
      </c>
      <c r="Y17" s="4">
        <v>45863</v>
      </c>
      <c r="Z17" s="4">
        <v>59774</v>
      </c>
      <c r="AA17" s="5">
        <v>74974</v>
      </c>
      <c r="AB17" s="5">
        <f>SUM(G17:J17)</f>
        <v>97014</v>
      </c>
      <c r="AC17" s="5">
        <f t="shared" si="2"/>
        <v>125538</v>
      </c>
      <c r="AD17" s="5">
        <f>SUM(O17:R17)</f>
        <v>140186.54</v>
      </c>
      <c r="AE17" s="5">
        <f>+AD17*1.15</f>
        <v>161214.52100000001</v>
      </c>
      <c r="AF17" s="5">
        <f>+AE17*1.1</f>
        <v>177335.97310000003</v>
      </c>
      <c r="AG17" s="5">
        <f t="shared" ref="AG17:AK17" si="8">+AF17*1.1</f>
        <v>195069.57041000004</v>
      </c>
      <c r="AH17" s="5">
        <f t="shared" si="8"/>
        <v>214576.52745100006</v>
      </c>
      <c r="AI17" s="5">
        <f t="shared" si="8"/>
        <v>236034.18019610009</v>
      </c>
      <c r="AJ17" s="5">
        <f t="shared" si="8"/>
        <v>259637.59821571011</v>
      </c>
      <c r="AK17" s="5">
        <f t="shared" si="8"/>
        <v>285601.35803728114</v>
      </c>
    </row>
    <row r="18" spans="2:95" s="6" customFormat="1" x14ac:dyDescent="0.2">
      <c r="B18" s="6" t="s">
        <v>8</v>
      </c>
      <c r="C18" s="7"/>
      <c r="D18" s="7"/>
      <c r="E18" s="7"/>
      <c r="F18" s="7">
        <f t="shared" ref="F18:G18" si="9">F16+F17</f>
        <v>38033</v>
      </c>
      <c r="G18" s="7">
        <f t="shared" si="9"/>
        <v>37154</v>
      </c>
      <c r="H18" s="7">
        <f t="shared" ref="H18:L18" si="10">H16+H17</f>
        <v>43076</v>
      </c>
      <c r="I18" s="7">
        <f t="shared" si="10"/>
        <v>41706</v>
      </c>
      <c r="J18" s="7">
        <f t="shared" si="10"/>
        <v>46152</v>
      </c>
      <c r="K18" s="7">
        <f t="shared" si="10"/>
        <v>45317</v>
      </c>
      <c r="L18" s="7">
        <f t="shared" si="10"/>
        <v>51728</v>
      </c>
      <c r="M18" s="7">
        <f>M16+M17</f>
        <v>49360</v>
      </c>
      <c r="N18" s="7">
        <f t="shared" ref="N18:V18" si="11">N16+N17</f>
        <v>51865</v>
      </c>
      <c r="O18" s="7">
        <f t="shared" si="11"/>
        <v>50122</v>
      </c>
      <c r="P18" s="7">
        <f>P16+P17</f>
        <v>52747</v>
      </c>
      <c r="Q18" s="7">
        <f>SUM(Q12:Q14)</f>
        <v>51012.37</v>
      </c>
      <c r="R18" s="7">
        <f t="shared" si="11"/>
        <v>54936.84</v>
      </c>
      <c r="S18" s="7">
        <f t="shared" si="11"/>
        <v>52628.100000000006</v>
      </c>
      <c r="T18" s="7">
        <f t="shared" si="11"/>
        <v>55384.350000000006</v>
      </c>
      <c r="U18" s="7">
        <f>U14+U13+U12</f>
        <v>53562.988499999999</v>
      </c>
      <c r="V18" s="7">
        <f t="shared" si="11"/>
        <v>57683.682000000001</v>
      </c>
      <c r="X18" s="7">
        <f t="shared" ref="X18:AD18" si="12">+X17+X16</f>
        <v>96571</v>
      </c>
      <c r="Y18" s="7">
        <f t="shared" si="12"/>
        <v>110360</v>
      </c>
      <c r="Z18" s="7">
        <f t="shared" si="12"/>
        <v>125843</v>
      </c>
      <c r="AA18" s="7">
        <f t="shared" si="12"/>
        <v>143015</v>
      </c>
      <c r="AB18" s="7">
        <f t="shared" si="12"/>
        <v>168088</v>
      </c>
      <c r="AC18" s="7">
        <f t="shared" si="12"/>
        <v>198270</v>
      </c>
      <c r="AD18" s="7">
        <f t="shared" si="12"/>
        <v>208646.64</v>
      </c>
      <c r="AE18" s="7">
        <f t="shared" ref="AE18:AK18" si="13">+AE17+AE16</f>
        <v>231728.424</v>
      </c>
      <c r="AF18" s="7">
        <f t="shared" si="13"/>
        <v>249965.29319000003</v>
      </c>
      <c r="AG18" s="7">
        <f t="shared" si="13"/>
        <v>269877.77010270004</v>
      </c>
      <c r="AH18" s="7">
        <f t="shared" si="13"/>
        <v>291628.97313448106</v>
      </c>
      <c r="AI18" s="7">
        <f t="shared" si="13"/>
        <v>315398.19925008551</v>
      </c>
      <c r="AJ18" s="7">
        <f t="shared" si="13"/>
        <v>341382.53784131509</v>
      </c>
      <c r="AK18" s="7">
        <f t="shared" si="13"/>
        <v>369798.64585165429</v>
      </c>
    </row>
    <row r="19" spans="2:95" s="4" customFormat="1" x14ac:dyDescent="0.2">
      <c r="B19" s="4" t="s">
        <v>19</v>
      </c>
      <c r="C19" s="5"/>
      <c r="D19" s="5"/>
      <c r="E19" s="5"/>
      <c r="F19" s="5">
        <v>4370</v>
      </c>
      <c r="G19" s="5">
        <v>3597</v>
      </c>
      <c r="H19" s="5">
        <v>6058</v>
      </c>
      <c r="I19" s="5">
        <v>4277</v>
      </c>
      <c r="J19" s="5">
        <v>4287</v>
      </c>
      <c r="K19" s="5">
        <v>3792</v>
      </c>
      <c r="L19" s="5">
        <v>6331</v>
      </c>
      <c r="M19" s="5">
        <v>4584</v>
      </c>
      <c r="N19" s="5">
        <v>4357</v>
      </c>
      <c r="O19" s="4">
        <v>4302</v>
      </c>
      <c r="P19" s="4">
        <v>5690</v>
      </c>
      <c r="Q19" s="4">
        <f>Q16*0.25</f>
        <v>4471.7449999999999</v>
      </c>
      <c r="R19" s="4">
        <f t="shared" ref="R19:V19" si="14">R16*0.25</f>
        <v>4578.78</v>
      </c>
      <c r="S19" s="4">
        <f t="shared" si="14"/>
        <v>4132.0124999999998</v>
      </c>
      <c r="T19" s="4">
        <f t="shared" si="14"/>
        <v>4335.7125000000005</v>
      </c>
      <c r="U19" s="4">
        <f t="shared" si="14"/>
        <v>4695.3322500000004</v>
      </c>
      <c r="V19" s="4">
        <f t="shared" si="14"/>
        <v>4807.7190000000001</v>
      </c>
      <c r="X19" s="4">
        <v>15175</v>
      </c>
      <c r="Y19" s="4">
        <v>15420</v>
      </c>
      <c r="Z19" s="4">
        <v>16273</v>
      </c>
      <c r="AA19" s="5">
        <v>16017</v>
      </c>
      <c r="AB19" s="5">
        <f>SUM(G19:J19)</f>
        <v>18219</v>
      </c>
      <c r="AC19" s="5">
        <f t="shared" si="2"/>
        <v>19064</v>
      </c>
      <c r="AD19" s="5">
        <f>SUM(O19:R19)</f>
        <v>19042.524999999998</v>
      </c>
      <c r="AE19" s="5">
        <f>AE16*0.25</f>
        <v>17628.475749999998</v>
      </c>
      <c r="AF19" s="5">
        <f t="shared" ref="AF19:AK19" si="15">AF16*0.25</f>
        <v>18157.330022499998</v>
      </c>
      <c r="AG19" s="5">
        <f t="shared" si="15"/>
        <v>18702.049923175</v>
      </c>
      <c r="AH19" s="5">
        <f t="shared" si="15"/>
        <v>19263.111420870249</v>
      </c>
      <c r="AI19" s="5">
        <f t="shared" si="15"/>
        <v>19841.004763496356</v>
      </c>
      <c r="AJ19" s="5">
        <f t="shared" si="15"/>
        <v>20436.234906401249</v>
      </c>
      <c r="AK19" s="5">
        <f t="shared" si="15"/>
        <v>21049.321953593288</v>
      </c>
    </row>
    <row r="20" spans="2:95" s="4" customFormat="1" x14ac:dyDescent="0.2">
      <c r="B20" s="4" t="s">
        <v>20</v>
      </c>
      <c r="C20" s="5"/>
      <c r="D20" s="5"/>
      <c r="E20" s="5"/>
      <c r="F20" s="5">
        <v>7969</v>
      </c>
      <c r="G20" s="5">
        <v>7405</v>
      </c>
      <c r="H20" s="5">
        <v>8136</v>
      </c>
      <c r="I20" s="5">
        <v>8768</v>
      </c>
      <c r="J20" s="5">
        <v>9704</v>
      </c>
      <c r="K20" s="5">
        <v>9854</v>
      </c>
      <c r="L20" s="5">
        <v>10629</v>
      </c>
      <c r="M20" s="5">
        <v>11031</v>
      </c>
      <c r="N20" s="5">
        <v>12072</v>
      </c>
      <c r="O20" s="4">
        <v>11150</v>
      </c>
      <c r="P20" s="4">
        <v>11798</v>
      </c>
      <c r="Q20" s="4">
        <f>Q17*0.35</f>
        <v>11533.837</v>
      </c>
      <c r="R20" s="4">
        <f t="shared" ref="R20:V20" si="16">R17*0.35</f>
        <v>12817.601999999999</v>
      </c>
      <c r="S20" s="4">
        <f t="shared" si="16"/>
        <v>12635.0175</v>
      </c>
      <c r="T20" s="4">
        <f t="shared" si="16"/>
        <v>13314.525</v>
      </c>
      <c r="U20" s="4">
        <f t="shared" si="16"/>
        <v>12110.528849999999</v>
      </c>
      <c r="V20" s="4">
        <f t="shared" si="16"/>
        <v>13458.482100000001</v>
      </c>
      <c r="X20" s="4">
        <v>19086</v>
      </c>
      <c r="Y20" s="4">
        <v>22933</v>
      </c>
      <c r="Z20" s="4">
        <v>26637</v>
      </c>
      <c r="AA20" s="5">
        <v>30061</v>
      </c>
      <c r="AB20" s="5">
        <f>SUM(G20:J20)</f>
        <v>34013</v>
      </c>
      <c r="AC20" s="5">
        <f t="shared" si="2"/>
        <v>43586</v>
      </c>
      <c r="AD20" s="5">
        <f>SUM(O20:R20)</f>
        <v>47299.438999999998</v>
      </c>
      <c r="AE20" s="5">
        <f>AE17*0.35</f>
        <v>56425.082349999997</v>
      </c>
      <c r="AF20" s="5">
        <f t="shared" ref="AF20:AK20" si="17">AF17*0.35</f>
        <v>62067.590585000005</v>
      </c>
      <c r="AG20" s="5">
        <f t="shared" si="17"/>
        <v>68274.349643500012</v>
      </c>
      <c r="AH20" s="5">
        <f t="shared" si="17"/>
        <v>75101.784607850015</v>
      </c>
      <c r="AI20" s="5">
        <f t="shared" si="17"/>
        <v>82611.963068635028</v>
      </c>
      <c r="AJ20" s="5">
        <f t="shared" si="17"/>
        <v>90873.159375498537</v>
      </c>
      <c r="AK20" s="5">
        <f t="shared" si="17"/>
        <v>99960.475313048388</v>
      </c>
    </row>
    <row r="21" spans="2:95" s="4" customFormat="1" x14ac:dyDescent="0.2">
      <c r="B21" s="4" t="s">
        <v>21</v>
      </c>
      <c r="C21" s="5"/>
      <c r="D21" s="5"/>
      <c r="E21" s="5"/>
      <c r="F21" s="5">
        <f t="shared" ref="F21" si="18">F19+F20</f>
        <v>12339</v>
      </c>
      <c r="G21" s="5">
        <f t="shared" ref="G21:H21" si="19">G19+G20</f>
        <v>11002</v>
      </c>
      <c r="H21" s="5">
        <f t="shared" si="19"/>
        <v>14194</v>
      </c>
      <c r="I21" s="5">
        <f>I19+I20</f>
        <v>13045</v>
      </c>
      <c r="J21" s="5">
        <f t="shared" ref="J21:M21" si="20">J19+J20</f>
        <v>13991</v>
      </c>
      <c r="K21" s="5">
        <f t="shared" si="20"/>
        <v>13646</v>
      </c>
      <c r="L21" s="5">
        <f t="shared" si="20"/>
        <v>16960</v>
      </c>
      <c r="M21" s="5">
        <f t="shared" si="20"/>
        <v>15615</v>
      </c>
      <c r="N21" s="5">
        <f t="shared" ref="N21" si="21">N19+N20</f>
        <v>16429</v>
      </c>
      <c r="O21" s="5">
        <f>O19+O20</f>
        <v>15452</v>
      </c>
      <c r="P21" s="5">
        <f>P19+P20</f>
        <v>17488</v>
      </c>
      <c r="Q21" s="4">
        <f t="shared" ref="Q21:R21" si="22">+Q18-Q22</f>
        <v>15813.834700000007</v>
      </c>
      <c r="R21" s="4">
        <f t="shared" si="22"/>
        <v>17030.420400000003</v>
      </c>
      <c r="S21" s="4">
        <f t="shared" ref="S21:T21" si="23">+S18-S22</f>
        <v>16314.711000000003</v>
      </c>
      <c r="T21" s="4">
        <f t="shared" si="23"/>
        <v>17169.148500000003</v>
      </c>
      <c r="U21" s="4">
        <f t="shared" ref="U21:V21" si="24">+U18-U22</f>
        <v>16604.526435</v>
      </c>
      <c r="V21" s="4">
        <f t="shared" si="24"/>
        <v>17881.941420000003</v>
      </c>
      <c r="X21" s="5">
        <f t="shared" ref="X21:Y21" si="25">X19+X20</f>
        <v>34261</v>
      </c>
      <c r="Y21" s="5">
        <f t="shared" si="25"/>
        <v>38353</v>
      </c>
      <c r="Z21" s="5">
        <f t="shared" ref="Z21:AA21" si="26">Z19+Z20</f>
        <v>42910</v>
      </c>
      <c r="AA21" s="5">
        <f t="shared" si="26"/>
        <v>46078</v>
      </c>
      <c r="AB21" s="5">
        <f t="shared" ref="AB21:AC21" si="27">AB19+AB20</f>
        <v>52232</v>
      </c>
      <c r="AC21" s="5">
        <f t="shared" si="27"/>
        <v>62650</v>
      </c>
      <c r="AD21" s="5">
        <f>AD19+AD20</f>
        <v>66341.963999999993</v>
      </c>
      <c r="AE21" s="5">
        <f>+AE18-AE22</f>
        <v>76470.379919999978</v>
      </c>
      <c r="AF21" s="5">
        <f>+AF18-AF22</f>
        <v>82488.5467527</v>
      </c>
      <c r="AG21" s="5">
        <f t="shared" ref="AG21:AK21" si="28">+AG18-AG22</f>
        <v>89059.664133890998</v>
      </c>
      <c r="AH21" s="5">
        <f t="shared" si="28"/>
        <v>96237.561134378746</v>
      </c>
      <c r="AI21" s="5">
        <f t="shared" si="28"/>
        <v>104081.4057525282</v>
      </c>
      <c r="AJ21" s="5">
        <f t="shared" si="28"/>
        <v>112656.23748763397</v>
      </c>
      <c r="AK21" s="5">
        <f t="shared" si="28"/>
        <v>122033.55313104589</v>
      </c>
    </row>
    <row r="22" spans="2:95" s="4" customFormat="1" x14ac:dyDescent="0.2">
      <c r="B22" s="4" t="s">
        <v>22</v>
      </c>
      <c r="C22" s="5"/>
      <c r="D22" s="5"/>
      <c r="E22" s="5"/>
      <c r="F22" s="5">
        <f t="shared" ref="F22" si="29">F18-F21</f>
        <v>25694</v>
      </c>
      <c r="G22" s="5">
        <f t="shared" ref="G22:H22" si="30">G18-G21</f>
        <v>26152</v>
      </c>
      <c r="H22" s="5">
        <f t="shared" si="30"/>
        <v>28882</v>
      </c>
      <c r="I22" s="5">
        <f>I18-I21</f>
        <v>28661</v>
      </c>
      <c r="J22" s="5">
        <f t="shared" ref="J22:M22" si="31">J18-J21</f>
        <v>32161</v>
      </c>
      <c r="K22" s="5">
        <f t="shared" si="31"/>
        <v>31671</v>
      </c>
      <c r="L22" s="5">
        <f t="shared" si="31"/>
        <v>34768</v>
      </c>
      <c r="M22" s="5">
        <f t="shared" si="31"/>
        <v>33745</v>
      </c>
      <c r="N22" s="5">
        <f t="shared" ref="N22" si="32">N18-N21</f>
        <v>35436</v>
      </c>
      <c r="O22" s="5">
        <f>O18-O21</f>
        <v>34670</v>
      </c>
      <c r="P22" s="5">
        <f>P18-P21</f>
        <v>35259</v>
      </c>
      <c r="Q22" s="4">
        <f t="shared" ref="Q22:R22" si="33">+Q18*0.69</f>
        <v>35198.535299999996</v>
      </c>
      <c r="R22" s="4">
        <f t="shared" si="33"/>
        <v>37906.419599999994</v>
      </c>
      <c r="S22" s="4">
        <f t="shared" ref="S22:T22" si="34">+S18*0.69</f>
        <v>36313.389000000003</v>
      </c>
      <c r="T22" s="4">
        <f t="shared" si="34"/>
        <v>38215.201500000003</v>
      </c>
      <c r="U22" s="4">
        <f t="shared" ref="U22:V22" si="35">+U18*0.69</f>
        <v>36958.462065</v>
      </c>
      <c r="V22" s="4">
        <f t="shared" si="35"/>
        <v>39801.740579999998</v>
      </c>
      <c r="X22" s="5">
        <f t="shared" ref="X22:Y22" si="36">X18-X21</f>
        <v>62310</v>
      </c>
      <c r="Y22" s="5">
        <f t="shared" si="36"/>
        <v>72007</v>
      </c>
      <c r="Z22" s="5">
        <f t="shared" ref="Z22:AA22" si="37">Z18-Z21</f>
        <v>82933</v>
      </c>
      <c r="AA22" s="5">
        <f t="shared" si="37"/>
        <v>96937</v>
      </c>
      <c r="AB22" s="5">
        <f t="shared" ref="AB22:AC22" si="38">AB18-AB21</f>
        <v>115856</v>
      </c>
      <c r="AC22" s="5">
        <f t="shared" si="38"/>
        <v>135620</v>
      </c>
      <c r="AD22" s="5">
        <f>AD18-AD21</f>
        <v>142304.67600000004</v>
      </c>
      <c r="AE22" s="5">
        <f t="shared" ref="AE22:AK22" si="39">+AE18*0.67</f>
        <v>155258.04408000002</v>
      </c>
      <c r="AF22" s="5">
        <f t="shared" si="39"/>
        <v>167476.74643730003</v>
      </c>
      <c r="AG22" s="5">
        <f t="shared" si="39"/>
        <v>180818.10596880905</v>
      </c>
      <c r="AH22" s="5">
        <f t="shared" si="39"/>
        <v>195391.41200010231</v>
      </c>
      <c r="AI22" s="5">
        <f t="shared" si="39"/>
        <v>211316.79349755732</v>
      </c>
      <c r="AJ22" s="5">
        <f t="shared" si="39"/>
        <v>228726.30035368112</v>
      </c>
      <c r="AK22" s="5">
        <f t="shared" si="39"/>
        <v>247765.0927206084</v>
      </c>
    </row>
    <row r="23" spans="2:95" s="4" customFormat="1" x14ac:dyDescent="0.2">
      <c r="B23" s="4" t="s">
        <v>25</v>
      </c>
      <c r="C23" s="5"/>
      <c r="D23" s="5"/>
      <c r="E23" s="5"/>
      <c r="F23" s="5">
        <v>5214</v>
      </c>
      <c r="G23" s="5">
        <v>4926</v>
      </c>
      <c r="H23" s="5">
        <v>4899</v>
      </c>
      <c r="I23" s="5">
        <v>5204</v>
      </c>
      <c r="J23" s="5">
        <v>5687</v>
      </c>
      <c r="K23" s="5">
        <v>5599</v>
      </c>
      <c r="L23" s="5">
        <v>5758</v>
      </c>
      <c r="M23" s="5">
        <v>6306</v>
      </c>
      <c r="N23" s="5">
        <v>6849</v>
      </c>
      <c r="O23" s="4">
        <v>6628</v>
      </c>
      <c r="P23" s="4">
        <v>6844</v>
      </c>
      <c r="Q23" s="4">
        <f t="shared" ref="Q23:R23" si="40">+M23*1.05</f>
        <v>6621.3</v>
      </c>
      <c r="R23" s="4">
        <f t="shared" si="40"/>
        <v>7191.4500000000007</v>
      </c>
      <c r="S23" s="4">
        <f t="shared" ref="S23:S24" si="41">O23*1.01</f>
        <v>6694.28</v>
      </c>
      <c r="T23" s="4">
        <f t="shared" ref="T23:T25" si="42">P23*1.01</f>
        <v>6912.4400000000005</v>
      </c>
      <c r="U23" s="4">
        <f t="shared" ref="U23:U25" si="43">Q23*1.01</f>
        <v>6687.5129999999999</v>
      </c>
      <c r="V23" s="4">
        <f t="shared" ref="V23:V25" si="44">R23*1.01</f>
        <v>7263.3645000000006</v>
      </c>
      <c r="X23" s="4">
        <v>13037</v>
      </c>
      <c r="Y23" s="4">
        <v>14726</v>
      </c>
      <c r="Z23" s="4">
        <v>16876</v>
      </c>
      <c r="AA23" s="5">
        <v>19269</v>
      </c>
      <c r="AB23" s="5">
        <f>SUM(G23:J23)</f>
        <v>20716</v>
      </c>
      <c r="AC23" s="5">
        <f t="shared" ref="AC23:AC25" si="45">SUM(K23:N23)</f>
        <v>24512</v>
      </c>
      <c r="AD23" s="5">
        <f t="shared" ref="AD23:AD25" si="46">SUM(O23:R23)</f>
        <v>27284.75</v>
      </c>
      <c r="AE23" s="5">
        <f>+AD23*1.03</f>
        <v>28103.2925</v>
      </c>
      <c r="AF23" s="5">
        <f t="shared" ref="AF23:AK23" si="47">+AE23*1.03</f>
        <v>28946.391275000002</v>
      </c>
      <c r="AG23" s="5">
        <f t="shared" si="47"/>
        <v>29814.783013250002</v>
      </c>
      <c r="AH23" s="5">
        <f t="shared" si="47"/>
        <v>30709.226503647504</v>
      </c>
      <c r="AI23" s="5">
        <f t="shared" si="47"/>
        <v>31630.503298756928</v>
      </c>
      <c r="AJ23" s="5">
        <f t="shared" si="47"/>
        <v>32579.418397719637</v>
      </c>
      <c r="AK23" s="5">
        <f t="shared" si="47"/>
        <v>33556.800949651224</v>
      </c>
    </row>
    <row r="24" spans="2:95" s="4" customFormat="1" x14ac:dyDescent="0.2">
      <c r="B24" s="4" t="s">
        <v>26</v>
      </c>
      <c r="C24" s="5"/>
      <c r="D24" s="5"/>
      <c r="E24" s="5"/>
      <c r="F24" s="5">
        <v>5417</v>
      </c>
      <c r="G24" s="5">
        <v>4231</v>
      </c>
      <c r="H24" s="5">
        <v>4947</v>
      </c>
      <c r="I24" s="5">
        <v>5082</v>
      </c>
      <c r="J24" s="5">
        <v>5857</v>
      </c>
      <c r="K24" s="5">
        <v>4547</v>
      </c>
      <c r="L24" s="5">
        <v>5379</v>
      </c>
      <c r="M24" s="5">
        <v>5595</v>
      </c>
      <c r="N24" s="5">
        <v>6304</v>
      </c>
      <c r="O24" s="4">
        <v>5126</v>
      </c>
      <c r="P24" s="4">
        <v>5679</v>
      </c>
      <c r="Q24" s="4">
        <f t="shared" ref="Q24:Q25" si="48">+M24*1.05</f>
        <v>5874.75</v>
      </c>
      <c r="R24" s="4">
        <f t="shared" ref="R24:R25" si="49">+N24*1.05</f>
        <v>6619.2000000000007</v>
      </c>
      <c r="S24" s="4">
        <f t="shared" si="41"/>
        <v>5177.26</v>
      </c>
      <c r="T24" s="4">
        <f t="shared" si="42"/>
        <v>5735.79</v>
      </c>
      <c r="U24" s="4">
        <f t="shared" si="43"/>
        <v>5933.4975000000004</v>
      </c>
      <c r="V24" s="4">
        <f t="shared" si="44"/>
        <v>6685.3920000000007</v>
      </c>
      <c r="X24" s="4">
        <v>15461</v>
      </c>
      <c r="Y24" s="4">
        <v>17469</v>
      </c>
      <c r="Z24" s="4">
        <v>18213</v>
      </c>
      <c r="AA24" s="5">
        <v>19598</v>
      </c>
      <c r="AB24" s="5">
        <f>SUM(G24:J24)</f>
        <v>20117</v>
      </c>
      <c r="AC24" s="5">
        <f t="shared" si="45"/>
        <v>21825</v>
      </c>
      <c r="AD24" s="5">
        <f t="shared" si="46"/>
        <v>23298.95</v>
      </c>
      <c r="AE24" s="5">
        <f>+AD24*1.03</f>
        <v>23997.9185</v>
      </c>
      <c r="AF24" s="5">
        <f t="shared" ref="AF24:AK24" si="50">+AE24*1.03</f>
        <v>24717.856055</v>
      </c>
      <c r="AG24" s="5">
        <f t="shared" si="50"/>
        <v>25459.391736649999</v>
      </c>
      <c r="AH24" s="5">
        <f t="shared" si="50"/>
        <v>26223.1734887495</v>
      </c>
      <c r="AI24" s="5">
        <f t="shared" si="50"/>
        <v>27009.868693411987</v>
      </c>
      <c r="AJ24" s="5">
        <f t="shared" si="50"/>
        <v>27820.164754214347</v>
      </c>
      <c r="AK24" s="5">
        <f t="shared" si="50"/>
        <v>28654.76969684078</v>
      </c>
    </row>
    <row r="25" spans="2:95" s="4" customFormat="1" x14ac:dyDescent="0.2">
      <c r="B25" s="4" t="s">
        <v>27</v>
      </c>
      <c r="C25" s="5"/>
      <c r="D25" s="5"/>
      <c r="E25" s="5"/>
      <c r="F25" s="5">
        <v>1656</v>
      </c>
      <c r="G25" s="5">
        <v>1119</v>
      </c>
      <c r="H25" s="5">
        <v>1139</v>
      </c>
      <c r="I25" s="5">
        <v>1327</v>
      </c>
      <c r="J25" s="5">
        <v>1522</v>
      </c>
      <c r="K25" s="5">
        <v>1287</v>
      </c>
      <c r="L25" s="5">
        <v>1384</v>
      </c>
      <c r="M25" s="5">
        <v>1480</v>
      </c>
      <c r="N25" s="5">
        <v>1749</v>
      </c>
      <c r="O25" s="4">
        <v>1398</v>
      </c>
      <c r="P25" s="4">
        <v>2337</v>
      </c>
      <c r="Q25" s="4">
        <f t="shared" si="48"/>
        <v>1554</v>
      </c>
      <c r="R25" s="4">
        <f t="shared" si="49"/>
        <v>1836.45</v>
      </c>
      <c r="S25" s="4">
        <f>O25*1.01</f>
        <v>1411.98</v>
      </c>
      <c r="T25" s="4">
        <f t="shared" si="42"/>
        <v>2360.37</v>
      </c>
      <c r="U25" s="4">
        <f t="shared" si="43"/>
        <v>1569.54</v>
      </c>
      <c r="V25" s="4">
        <f t="shared" si="44"/>
        <v>1854.8145</v>
      </c>
      <c r="X25" s="4">
        <v>4481</v>
      </c>
      <c r="Y25" s="4">
        <v>4754</v>
      </c>
      <c r="Z25" s="4">
        <v>4885</v>
      </c>
      <c r="AA25" s="5">
        <v>5111</v>
      </c>
      <c r="AB25" s="5">
        <f>SUM(G25:J25)</f>
        <v>5107</v>
      </c>
      <c r="AC25" s="5">
        <f t="shared" si="45"/>
        <v>5900</v>
      </c>
      <c r="AD25" s="5">
        <f t="shared" si="46"/>
        <v>7125.45</v>
      </c>
      <c r="AE25" s="5">
        <f>+AD25*1.03</f>
        <v>7339.2134999999998</v>
      </c>
      <c r="AF25" s="5">
        <f t="shared" ref="AF25:AK25" si="51">+AE25*1.03</f>
        <v>7559.389905</v>
      </c>
      <c r="AG25" s="5">
        <f t="shared" si="51"/>
        <v>7786.1716021500006</v>
      </c>
      <c r="AH25" s="5">
        <f t="shared" si="51"/>
        <v>8019.7567502145012</v>
      </c>
      <c r="AI25" s="5">
        <f t="shared" si="51"/>
        <v>8260.3494527209368</v>
      </c>
      <c r="AJ25" s="5">
        <f t="shared" si="51"/>
        <v>8508.1599363025653</v>
      </c>
      <c r="AK25" s="5">
        <f t="shared" si="51"/>
        <v>8763.4047343916427</v>
      </c>
    </row>
    <row r="26" spans="2:95" s="4" customFormat="1" x14ac:dyDescent="0.2">
      <c r="B26" s="4" t="s">
        <v>23</v>
      </c>
      <c r="C26" s="5"/>
      <c r="D26" s="5"/>
      <c r="E26" s="5"/>
      <c r="F26" s="5">
        <f t="shared" ref="F26" si="52">SUM(F23:F25)</f>
        <v>12287</v>
      </c>
      <c r="G26" s="5">
        <f t="shared" ref="G26:L26" si="53">SUM(G23:G25)</f>
        <v>10276</v>
      </c>
      <c r="H26" s="5">
        <f t="shared" si="53"/>
        <v>10985</v>
      </c>
      <c r="I26" s="5">
        <f t="shared" si="53"/>
        <v>11613</v>
      </c>
      <c r="J26" s="5">
        <f t="shared" si="53"/>
        <v>13066</v>
      </c>
      <c r="K26" s="5">
        <f t="shared" si="53"/>
        <v>11433</v>
      </c>
      <c r="L26" s="5">
        <f t="shared" si="53"/>
        <v>12521</v>
      </c>
      <c r="M26" s="5">
        <f>SUM(M23:M25)</f>
        <v>13381</v>
      </c>
      <c r="N26" s="5">
        <f t="shared" ref="N26:O26" si="54">SUM(N23:N25)</f>
        <v>14902</v>
      </c>
      <c r="O26" s="5">
        <f t="shared" si="54"/>
        <v>13152</v>
      </c>
      <c r="P26" s="5">
        <f>SUM(P23:P25)</f>
        <v>14860</v>
      </c>
      <c r="Q26" s="5">
        <f t="shared" ref="Q26:R26" si="55">SUM(Q23:Q25)</f>
        <v>14050.05</v>
      </c>
      <c r="R26" s="5">
        <f t="shared" si="55"/>
        <v>15647.100000000002</v>
      </c>
      <c r="S26" s="5">
        <f t="shared" ref="S26:U26" si="56">SUM(S23:S25)</f>
        <v>13283.52</v>
      </c>
      <c r="T26" s="5">
        <f t="shared" si="56"/>
        <v>15008.599999999999</v>
      </c>
      <c r="U26" s="5">
        <f t="shared" si="56"/>
        <v>14190.550500000001</v>
      </c>
      <c r="V26" s="5">
        <f t="shared" ref="V26" si="57">SUM(V23:V25)</f>
        <v>15803.571000000002</v>
      </c>
      <c r="W26" s="5"/>
      <c r="X26" s="5">
        <f t="shared" ref="X26" si="58">SUM(X23:X25)</f>
        <v>32979</v>
      </c>
      <c r="Y26" s="5">
        <f t="shared" ref="Y26:Z26" si="59">SUM(Y23:Y25)</f>
        <v>36949</v>
      </c>
      <c r="Z26" s="5">
        <f t="shared" si="59"/>
        <v>39974</v>
      </c>
      <c r="AA26" s="5">
        <f t="shared" ref="AA26" si="60">SUM(AA23:AA25)</f>
        <v>43978</v>
      </c>
      <c r="AB26" s="5">
        <f t="shared" ref="AB26:AD26" si="61">SUM(AB23:AB25)</f>
        <v>45940</v>
      </c>
      <c r="AC26" s="5">
        <f t="shared" si="61"/>
        <v>52237</v>
      </c>
      <c r="AD26" s="5">
        <f t="shared" si="61"/>
        <v>57709.149999999994</v>
      </c>
      <c r="AE26" s="5">
        <f t="shared" ref="AE26" si="62">SUM(AE23:AE25)</f>
        <v>59440.424499999994</v>
      </c>
      <c r="AF26" s="5">
        <f t="shared" ref="AF26" si="63">SUM(AF23:AF25)</f>
        <v>61223.637235000002</v>
      </c>
      <c r="AG26" s="5">
        <f t="shared" ref="AG26" si="64">SUM(AG23:AG25)</f>
        <v>63060.346352050008</v>
      </c>
      <c r="AH26" s="5">
        <f t="shared" ref="AH26" si="65">SUM(AH23:AH25)</f>
        <v>64952.156742611507</v>
      </c>
      <c r="AI26" s="5">
        <f t="shared" ref="AI26" si="66">SUM(AI23:AI25)</f>
        <v>66900.721444889859</v>
      </c>
      <c r="AJ26" s="5">
        <f t="shared" ref="AJ26" si="67">SUM(AJ23:AJ25)</f>
        <v>68907.743088236544</v>
      </c>
      <c r="AK26" s="5">
        <f t="shared" ref="AK26" si="68">SUM(AK23:AK25)</f>
        <v>70974.975380883654</v>
      </c>
    </row>
    <row r="27" spans="2:95" s="4" customFormat="1" x14ac:dyDescent="0.2">
      <c r="B27" s="4" t="s">
        <v>24</v>
      </c>
      <c r="C27" s="5"/>
      <c r="D27" s="5"/>
      <c r="E27" s="5"/>
      <c r="F27" s="5">
        <f t="shared" ref="F27" si="69">F22-F26</f>
        <v>13407</v>
      </c>
      <c r="G27" s="5">
        <f t="shared" ref="G27:L27" si="70">G22-G26</f>
        <v>15876</v>
      </c>
      <c r="H27" s="5">
        <f t="shared" si="70"/>
        <v>17897</v>
      </c>
      <c r="I27" s="5">
        <f t="shared" si="70"/>
        <v>17048</v>
      </c>
      <c r="J27" s="5">
        <f t="shared" si="70"/>
        <v>19095</v>
      </c>
      <c r="K27" s="5">
        <f t="shared" si="70"/>
        <v>20238</v>
      </c>
      <c r="L27" s="5">
        <f t="shared" si="70"/>
        <v>22247</v>
      </c>
      <c r="M27" s="5">
        <f>M22-M26</f>
        <v>20364</v>
      </c>
      <c r="N27" s="5">
        <f t="shared" ref="N27:O27" si="71">N22-N26</f>
        <v>20534</v>
      </c>
      <c r="O27" s="5">
        <f t="shared" si="71"/>
        <v>21518</v>
      </c>
      <c r="P27" s="5">
        <f>P22-P26</f>
        <v>20399</v>
      </c>
      <c r="Q27" s="5">
        <f>Q22-Q26</f>
        <v>21148.485299999997</v>
      </c>
      <c r="R27" s="5">
        <f t="shared" ref="R27:U27" si="72">R22-R26</f>
        <v>22259.319599999992</v>
      </c>
      <c r="S27" s="5">
        <f t="shared" si="72"/>
        <v>23029.869000000002</v>
      </c>
      <c r="T27" s="5">
        <f t="shared" si="72"/>
        <v>23206.601500000004</v>
      </c>
      <c r="U27" s="5">
        <f t="shared" si="72"/>
        <v>22767.911564999999</v>
      </c>
      <c r="V27" s="5">
        <f t="shared" ref="V27" si="73">V22-V26</f>
        <v>23998.169579999994</v>
      </c>
      <c r="W27" s="5"/>
      <c r="X27" s="5">
        <f t="shared" ref="X27" si="74">X22-X26</f>
        <v>29331</v>
      </c>
      <c r="Y27" s="5">
        <f t="shared" ref="Y27:Z27" si="75">Y22-Y26</f>
        <v>35058</v>
      </c>
      <c r="Z27" s="5">
        <f t="shared" si="75"/>
        <v>42959</v>
      </c>
      <c r="AA27" s="5">
        <f t="shared" ref="AA27" si="76">AA22-AA26</f>
        <v>52959</v>
      </c>
      <c r="AB27" s="5">
        <f t="shared" ref="AB27:AD27" si="77">AB22-AB26</f>
        <v>69916</v>
      </c>
      <c r="AC27" s="5">
        <f t="shared" si="77"/>
        <v>83383</v>
      </c>
      <c r="AD27" s="5">
        <f t="shared" si="77"/>
        <v>84595.526000000042</v>
      </c>
      <c r="AE27" s="5">
        <f t="shared" ref="AE27" si="78">AE22-AE26</f>
        <v>95817.619580000028</v>
      </c>
      <c r="AF27" s="5">
        <f t="shared" ref="AF27" si="79">AF22-AF26</f>
        <v>106253.10920230002</v>
      </c>
      <c r="AG27" s="5">
        <f t="shared" ref="AG27" si="80">AG22-AG26</f>
        <v>117757.75961675904</v>
      </c>
      <c r="AH27" s="5">
        <f t="shared" ref="AH27" si="81">AH22-AH26</f>
        <v>130439.2552574908</v>
      </c>
      <c r="AI27" s="5">
        <f t="shared" ref="AI27" si="82">AI22-AI26</f>
        <v>144416.07205266744</v>
      </c>
      <c r="AJ27" s="5">
        <f t="shared" ref="AJ27" si="83">AJ22-AJ26</f>
        <v>159818.55726544457</v>
      </c>
      <c r="AK27" s="5">
        <f t="shared" ref="AK27" si="84">AK22-AK26</f>
        <v>176790.11733972473</v>
      </c>
    </row>
    <row r="28" spans="2:95" x14ac:dyDescent="0.2">
      <c r="B28" s="4" t="s">
        <v>28</v>
      </c>
      <c r="F28" s="2">
        <v>15</v>
      </c>
      <c r="G28" s="2">
        <v>248</v>
      </c>
      <c r="H28" s="2">
        <v>440</v>
      </c>
      <c r="I28" s="2">
        <v>188</v>
      </c>
      <c r="J28" s="2">
        <v>310</v>
      </c>
      <c r="K28" s="2">
        <v>286</v>
      </c>
      <c r="L28" s="2">
        <v>268</v>
      </c>
      <c r="M28" s="2">
        <v>-174</v>
      </c>
      <c r="N28" s="2">
        <v>-47</v>
      </c>
      <c r="O28" s="4">
        <v>54</v>
      </c>
      <c r="P28" s="4">
        <v>-60</v>
      </c>
      <c r="Q28" s="4">
        <f t="shared" ref="Q28:R28" si="85">AVERAGE(M28:P28)</f>
        <v>-56.75</v>
      </c>
      <c r="R28" s="4">
        <f t="shared" si="85"/>
        <v>-27.4375</v>
      </c>
      <c r="S28" s="4">
        <f>R28</f>
        <v>-27.4375</v>
      </c>
      <c r="T28" s="4">
        <f t="shared" ref="T28:V28" si="86">S28</f>
        <v>-27.4375</v>
      </c>
      <c r="U28" s="4">
        <f t="shared" si="86"/>
        <v>-27.4375</v>
      </c>
      <c r="V28" s="4">
        <f t="shared" si="86"/>
        <v>-27.4375</v>
      </c>
      <c r="X28" s="4">
        <v>876</v>
      </c>
      <c r="Y28" s="4">
        <v>1416</v>
      </c>
      <c r="Z28" s="4">
        <v>729</v>
      </c>
      <c r="AA28" s="2">
        <v>77</v>
      </c>
      <c r="AB28" s="5">
        <f>SUM(G28:J28)</f>
        <v>1186</v>
      </c>
      <c r="AC28" s="5">
        <f t="shared" ref="AC28" si="87">SUM(K28:N28)</f>
        <v>333</v>
      </c>
      <c r="AD28" s="5">
        <f t="shared" ref="AD28:AK28" si="88">+AC43*$AN$36</f>
        <v>618.66999999999996</v>
      </c>
      <c r="AE28" s="5">
        <f t="shared" si="88"/>
        <v>1342.9906660000001</v>
      </c>
      <c r="AF28" s="5">
        <f t="shared" si="88"/>
        <v>2168.8558530910004</v>
      </c>
      <c r="AG28" s="5">
        <f t="shared" si="88"/>
        <v>3090.4425560618238</v>
      </c>
      <c r="AH28" s="5">
        <f t="shared" si="88"/>
        <v>4117.6522745308012</v>
      </c>
      <c r="AI28" s="5">
        <f t="shared" si="88"/>
        <v>5261.3859885529846</v>
      </c>
      <c r="AJ28" s="5">
        <f t="shared" si="88"/>
        <v>6533.6443819033593</v>
      </c>
      <c r="AK28" s="5">
        <f t="shared" si="88"/>
        <v>7947.638095905816</v>
      </c>
    </row>
    <row r="29" spans="2:95" x14ac:dyDescent="0.2">
      <c r="B29" s="4" t="s">
        <v>29</v>
      </c>
      <c r="C29" s="5"/>
      <c r="D29" s="5"/>
      <c r="E29" s="5"/>
      <c r="F29" s="5">
        <f t="shared" ref="F29" si="89">F27+F28</f>
        <v>13422</v>
      </c>
      <c r="G29" s="5">
        <f>G27+G28</f>
        <v>16124</v>
      </c>
      <c r="H29" s="5">
        <f t="shared" ref="H29:V29" si="90">H27+H28</f>
        <v>18337</v>
      </c>
      <c r="I29" s="5">
        <f t="shared" si="90"/>
        <v>17236</v>
      </c>
      <c r="J29" s="5">
        <f t="shared" si="90"/>
        <v>19405</v>
      </c>
      <c r="K29" s="5">
        <f t="shared" si="90"/>
        <v>20524</v>
      </c>
      <c r="L29" s="5">
        <f t="shared" si="90"/>
        <v>22515</v>
      </c>
      <c r="M29" s="5">
        <f t="shared" si="90"/>
        <v>20190</v>
      </c>
      <c r="N29" s="5">
        <f t="shared" si="90"/>
        <v>20487</v>
      </c>
      <c r="O29" s="5">
        <f t="shared" si="90"/>
        <v>21572</v>
      </c>
      <c r="P29" s="5">
        <f t="shared" si="90"/>
        <v>20339</v>
      </c>
      <c r="Q29" s="5">
        <f t="shared" si="90"/>
        <v>21091.735299999997</v>
      </c>
      <c r="R29" s="5">
        <f t="shared" si="90"/>
        <v>22231.882099999992</v>
      </c>
      <c r="S29" s="5">
        <f t="shared" si="90"/>
        <v>23002.431500000002</v>
      </c>
      <c r="T29" s="5">
        <f t="shared" si="90"/>
        <v>23179.164000000004</v>
      </c>
      <c r="U29" s="5">
        <f t="shared" si="90"/>
        <v>22740.474064999999</v>
      </c>
      <c r="V29" s="5">
        <f t="shared" si="90"/>
        <v>23970.732079999994</v>
      </c>
      <c r="X29" s="4">
        <f>+X27+X28</f>
        <v>30207</v>
      </c>
      <c r="Y29" s="4">
        <f>+Y27+Y28</f>
        <v>36474</v>
      </c>
      <c r="Z29" s="4">
        <f>+Z27+Z28</f>
        <v>43688</v>
      </c>
      <c r="AA29" s="5">
        <f>+AA27+AA28</f>
        <v>53036</v>
      </c>
      <c r="AB29" s="5">
        <f t="shared" ref="AB29:AD29" si="91">+AB27+AB28</f>
        <v>71102</v>
      </c>
      <c r="AC29" s="5">
        <f t="shared" si="91"/>
        <v>83716</v>
      </c>
      <c r="AD29" s="5">
        <f t="shared" si="91"/>
        <v>85214.19600000004</v>
      </c>
      <c r="AE29" s="5">
        <f t="shared" ref="AE29" si="92">+AE27+AE28</f>
        <v>97160.610246000026</v>
      </c>
      <c r="AF29" s="5">
        <f t="shared" ref="AF29" si="93">+AF27+AF28</f>
        <v>108421.96505539102</v>
      </c>
      <c r="AG29" s="5">
        <f t="shared" ref="AG29" si="94">+AG27+AG28</f>
        <v>120848.20217282086</v>
      </c>
      <c r="AH29" s="5">
        <f t="shared" ref="AH29" si="95">+AH27+AH28</f>
        <v>134556.90753202161</v>
      </c>
      <c r="AI29" s="5">
        <f t="shared" ref="AI29" si="96">+AI27+AI28</f>
        <v>149677.45804122044</v>
      </c>
      <c r="AJ29" s="5">
        <f t="shared" ref="AJ29" si="97">+AJ27+AJ28</f>
        <v>166352.20164734795</v>
      </c>
      <c r="AK29" s="5">
        <f t="shared" ref="AK29" si="98">+AK27+AK28</f>
        <v>184737.75543563056</v>
      </c>
    </row>
    <row r="30" spans="2:95" s="4" customFormat="1" x14ac:dyDescent="0.2">
      <c r="B30" s="4" t="s">
        <v>30</v>
      </c>
      <c r="C30" s="5"/>
      <c r="D30" s="5"/>
      <c r="E30" s="5"/>
      <c r="F30" s="5">
        <v>2220</v>
      </c>
      <c r="G30" s="5">
        <v>2231</v>
      </c>
      <c r="H30" s="5">
        <v>2874</v>
      </c>
      <c r="I30" s="5">
        <v>1779</v>
      </c>
      <c r="J30" s="5">
        <v>2947</v>
      </c>
      <c r="K30" s="5">
        <v>19</v>
      </c>
      <c r="L30" s="5">
        <v>3750</v>
      </c>
      <c r="M30" s="5">
        <v>3462</v>
      </c>
      <c r="N30" s="5">
        <v>3747</v>
      </c>
      <c r="O30" s="4">
        <v>4016</v>
      </c>
      <c r="P30" s="4">
        <v>3914</v>
      </c>
      <c r="Q30" s="4">
        <f t="shared" ref="Q30:R30" si="99">+Q29*0.2</f>
        <v>4218.3470599999991</v>
      </c>
      <c r="R30" s="4">
        <f t="shared" si="99"/>
        <v>4446.3764199999987</v>
      </c>
      <c r="S30" s="4">
        <f>S29*0.2</f>
        <v>4600.4863000000005</v>
      </c>
      <c r="T30" s="4">
        <f t="shared" ref="T30:V30" si="100">T29*0.2</f>
        <v>4635.832800000001</v>
      </c>
      <c r="U30" s="4">
        <f t="shared" si="100"/>
        <v>4548.0948129999997</v>
      </c>
      <c r="V30" s="4">
        <f t="shared" si="100"/>
        <v>4794.1464159999987</v>
      </c>
      <c r="X30" s="4">
        <v>4412</v>
      </c>
      <c r="Y30" s="4">
        <v>19903</v>
      </c>
      <c r="Z30" s="4">
        <v>4448</v>
      </c>
      <c r="AA30" s="5">
        <v>8755</v>
      </c>
      <c r="AB30" s="5">
        <f>SUM(G30:J30)</f>
        <v>9831</v>
      </c>
      <c r="AC30" s="5">
        <f t="shared" ref="AC30" si="101">SUM(K30:N30)</f>
        <v>10978</v>
      </c>
      <c r="AD30" s="5">
        <f>+AD29*0.15</f>
        <v>12782.129400000005</v>
      </c>
      <c r="AE30" s="5">
        <f t="shared" ref="AE30:AK30" si="102">+AE29*0.15</f>
        <v>14574.091536900003</v>
      </c>
      <c r="AF30" s="5">
        <f t="shared" si="102"/>
        <v>16263.294758308652</v>
      </c>
      <c r="AG30" s="5">
        <f t="shared" si="102"/>
        <v>18127.23032592313</v>
      </c>
      <c r="AH30" s="5">
        <f t="shared" si="102"/>
        <v>20183.53612980324</v>
      </c>
      <c r="AI30" s="5">
        <f t="shared" si="102"/>
        <v>22451.618706183064</v>
      </c>
      <c r="AJ30" s="5">
        <f t="shared" si="102"/>
        <v>24952.830247102193</v>
      </c>
      <c r="AK30" s="5">
        <f t="shared" si="102"/>
        <v>27710.663315344584</v>
      </c>
    </row>
    <row r="31" spans="2:95" s="4" customFormat="1" x14ac:dyDescent="0.2">
      <c r="B31" s="4" t="s">
        <v>31</v>
      </c>
      <c r="C31" s="5"/>
      <c r="D31" s="5"/>
      <c r="E31" s="5"/>
      <c r="F31" s="5">
        <f t="shared" ref="F31" si="103">F29-F30</f>
        <v>11202</v>
      </c>
      <c r="G31" s="5">
        <f>G29-G30</f>
        <v>13893</v>
      </c>
      <c r="H31" s="5">
        <f t="shared" ref="H31:V31" si="104">H29-H30</f>
        <v>15463</v>
      </c>
      <c r="I31" s="5">
        <f t="shared" si="104"/>
        <v>15457</v>
      </c>
      <c r="J31" s="5">
        <f t="shared" si="104"/>
        <v>16458</v>
      </c>
      <c r="K31" s="5">
        <f t="shared" si="104"/>
        <v>20505</v>
      </c>
      <c r="L31" s="5">
        <f t="shared" si="104"/>
        <v>18765</v>
      </c>
      <c r="M31" s="5">
        <f t="shared" si="104"/>
        <v>16728</v>
      </c>
      <c r="N31" s="5">
        <f t="shared" si="104"/>
        <v>16740</v>
      </c>
      <c r="O31" s="5">
        <f t="shared" si="104"/>
        <v>17556</v>
      </c>
      <c r="P31" s="5">
        <f t="shared" si="104"/>
        <v>16425</v>
      </c>
      <c r="Q31" s="5">
        <f t="shared" si="104"/>
        <v>16873.388239999997</v>
      </c>
      <c r="R31" s="5">
        <f t="shared" si="104"/>
        <v>17785.505679999995</v>
      </c>
      <c r="S31" s="5">
        <f t="shared" si="104"/>
        <v>18401.945200000002</v>
      </c>
      <c r="T31" s="5">
        <f t="shared" si="104"/>
        <v>18543.331200000004</v>
      </c>
      <c r="U31" s="5">
        <f t="shared" si="104"/>
        <v>18192.379251999999</v>
      </c>
      <c r="V31" s="5">
        <f t="shared" si="104"/>
        <v>19176.585663999995</v>
      </c>
      <c r="X31" s="4">
        <f>+X29-X30</f>
        <v>25795</v>
      </c>
      <c r="Y31" s="4">
        <f>+Y29-Y30</f>
        <v>16571</v>
      </c>
      <c r="Z31" s="4">
        <f>+Z29-Z30</f>
        <v>39240</v>
      </c>
      <c r="AA31" s="4">
        <f>+AA29-AA30</f>
        <v>44281</v>
      </c>
      <c r="AB31" s="4">
        <f t="shared" ref="AB31:AD31" si="105">+AB29-AB30</f>
        <v>61271</v>
      </c>
      <c r="AC31" s="4">
        <f t="shared" si="105"/>
        <v>72738</v>
      </c>
      <c r="AD31" s="4">
        <f t="shared" si="105"/>
        <v>72432.066600000035</v>
      </c>
      <c r="AE31" s="4">
        <f t="shared" ref="AE31" si="106">+AE29-AE30</f>
        <v>82586.518709100026</v>
      </c>
      <c r="AF31" s="4">
        <f t="shared" ref="AF31" si="107">+AF29-AF30</f>
        <v>92158.670297082368</v>
      </c>
      <c r="AG31" s="4">
        <f t="shared" ref="AG31" si="108">+AG29-AG30</f>
        <v>102720.97184689774</v>
      </c>
      <c r="AH31" s="4">
        <f t="shared" ref="AH31" si="109">+AH29-AH30</f>
        <v>114373.37140221837</v>
      </c>
      <c r="AI31" s="4">
        <f t="shared" ref="AI31" si="110">+AI29-AI30</f>
        <v>127225.83933503737</v>
      </c>
      <c r="AJ31" s="4">
        <f t="shared" ref="AJ31" si="111">+AJ29-AJ30</f>
        <v>141399.37140024576</v>
      </c>
      <c r="AK31" s="4">
        <f t="shared" ref="AK31" si="112">+AK29-AK30</f>
        <v>157027.09212028599</v>
      </c>
      <c r="AL31" s="4">
        <f>+AK31*(1+$AN$34)</f>
        <v>157027.09212028599</v>
      </c>
      <c r="AM31" s="4">
        <f t="shared" ref="AM31:CQ31" si="113">+AL31*(1+$AN$34)</f>
        <v>157027.09212028599</v>
      </c>
      <c r="AN31" s="4">
        <f t="shared" si="113"/>
        <v>157027.09212028599</v>
      </c>
      <c r="AO31" s="4">
        <f t="shared" si="113"/>
        <v>157027.09212028599</v>
      </c>
      <c r="AP31" s="4">
        <f t="shared" si="113"/>
        <v>157027.09212028599</v>
      </c>
      <c r="AQ31" s="4">
        <f t="shared" si="113"/>
        <v>157027.09212028599</v>
      </c>
      <c r="AR31" s="4">
        <f t="shared" si="113"/>
        <v>157027.09212028599</v>
      </c>
      <c r="AS31" s="4">
        <f t="shared" si="113"/>
        <v>157027.09212028599</v>
      </c>
      <c r="AT31" s="4">
        <f t="shared" si="113"/>
        <v>157027.09212028599</v>
      </c>
      <c r="AU31" s="4">
        <f t="shared" si="113"/>
        <v>157027.09212028599</v>
      </c>
      <c r="AV31" s="4">
        <f t="shared" si="113"/>
        <v>157027.09212028599</v>
      </c>
      <c r="AW31" s="4">
        <f t="shared" si="113"/>
        <v>157027.09212028599</v>
      </c>
      <c r="AX31" s="4">
        <f t="shared" si="113"/>
        <v>157027.09212028599</v>
      </c>
      <c r="AY31" s="4">
        <f t="shared" si="113"/>
        <v>157027.09212028599</v>
      </c>
      <c r="AZ31" s="4">
        <f t="shared" si="113"/>
        <v>157027.09212028599</v>
      </c>
      <c r="BA31" s="4">
        <f t="shared" si="113"/>
        <v>157027.09212028599</v>
      </c>
      <c r="BB31" s="4">
        <f t="shared" si="113"/>
        <v>157027.09212028599</v>
      </c>
      <c r="BC31" s="4">
        <f t="shared" si="113"/>
        <v>157027.09212028599</v>
      </c>
      <c r="BD31" s="4">
        <f t="shared" si="113"/>
        <v>157027.09212028599</v>
      </c>
      <c r="BE31" s="4">
        <f t="shared" si="113"/>
        <v>157027.09212028599</v>
      </c>
      <c r="BF31" s="4">
        <f t="shared" si="113"/>
        <v>157027.09212028599</v>
      </c>
      <c r="BG31" s="4">
        <f t="shared" si="113"/>
        <v>157027.09212028599</v>
      </c>
      <c r="BH31" s="4">
        <f t="shared" si="113"/>
        <v>157027.09212028599</v>
      </c>
      <c r="BI31" s="4">
        <f t="shared" si="113"/>
        <v>157027.09212028599</v>
      </c>
      <c r="BJ31" s="4">
        <f t="shared" si="113"/>
        <v>157027.09212028599</v>
      </c>
      <c r="BK31" s="4">
        <f t="shared" si="113"/>
        <v>157027.09212028599</v>
      </c>
      <c r="BL31" s="4">
        <f t="shared" si="113"/>
        <v>157027.09212028599</v>
      </c>
      <c r="BM31" s="4">
        <f t="shared" si="113"/>
        <v>157027.09212028599</v>
      </c>
      <c r="BN31" s="4">
        <f t="shared" si="113"/>
        <v>157027.09212028599</v>
      </c>
      <c r="BO31" s="4">
        <f t="shared" si="113"/>
        <v>157027.09212028599</v>
      </c>
      <c r="BP31" s="4">
        <f t="shared" si="113"/>
        <v>157027.09212028599</v>
      </c>
      <c r="BQ31" s="4">
        <f t="shared" si="113"/>
        <v>157027.09212028599</v>
      </c>
      <c r="BR31" s="4">
        <f t="shared" si="113"/>
        <v>157027.09212028599</v>
      </c>
      <c r="BS31" s="4">
        <f t="shared" si="113"/>
        <v>157027.09212028599</v>
      </c>
      <c r="BT31" s="4">
        <f t="shared" si="113"/>
        <v>157027.09212028599</v>
      </c>
      <c r="BU31" s="4">
        <f t="shared" si="113"/>
        <v>157027.09212028599</v>
      </c>
      <c r="BV31" s="4">
        <f t="shared" si="113"/>
        <v>157027.09212028599</v>
      </c>
      <c r="BW31" s="4">
        <f t="shared" si="113"/>
        <v>157027.09212028599</v>
      </c>
      <c r="BX31" s="4">
        <f t="shared" si="113"/>
        <v>157027.09212028599</v>
      </c>
      <c r="BY31" s="4">
        <f t="shared" si="113"/>
        <v>157027.09212028599</v>
      </c>
      <c r="BZ31" s="4">
        <f t="shared" si="113"/>
        <v>157027.09212028599</v>
      </c>
      <c r="CA31" s="4">
        <f t="shared" si="113"/>
        <v>157027.09212028599</v>
      </c>
      <c r="CB31" s="4">
        <f t="shared" si="113"/>
        <v>157027.09212028599</v>
      </c>
      <c r="CC31" s="4">
        <f t="shared" si="113"/>
        <v>157027.09212028599</v>
      </c>
      <c r="CD31" s="4">
        <f t="shared" si="113"/>
        <v>157027.09212028599</v>
      </c>
      <c r="CE31" s="4">
        <f t="shared" si="113"/>
        <v>157027.09212028599</v>
      </c>
      <c r="CF31" s="4">
        <f t="shared" si="113"/>
        <v>157027.09212028599</v>
      </c>
      <c r="CG31" s="4">
        <f t="shared" si="113"/>
        <v>157027.09212028599</v>
      </c>
      <c r="CH31" s="4">
        <f t="shared" si="113"/>
        <v>157027.09212028599</v>
      </c>
      <c r="CI31" s="4">
        <f t="shared" si="113"/>
        <v>157027.09212028599</v>
      </c>
      <c r="CJ31" s="4">
        <f t="shared" si="113"/>
        <v>157027.09212028599</v>
      </c>
      <c r="CK31" s="4">
        <f t="shared" si="113"/>
        <v>157027.09212028599</v>
      </c>
      <c r="CL31" s="4">
        <f t="shared" si="113"/>
        <v>157027.09212028599</v>
      </c>
      <c r="CM31" s="4">
        <f t="shared" si="113"/>
        <v>157027.09212028599</v>
      </c>
      <c r="CN31" s="4">
        <f t="shared" si="113"/>
        <v>157027.09212028599</v>
      </c>
      <c r="CO31" s="4">
        <f t="shared" si="113"/>
        <v>157027.09212028599</v>
      </c>
      <c r="CP31" s="4">
        <f t="shared" si="113"/>
        <v>157027.09212028599</v>
      </c>
      <c r="CQ31" s="4">
        <f t="shared" si="113"/>
        <v>157027.09212028599</v>
      </c>
    </row>
    <row r="32" spans="2:95" s="3" customFormat="1" x14ac:dyDescent="0.2">
      <c r="B32" s="6" t="s">
        <v>33</v>
      </c>
      <c r="C32" s="8"/>
      <c r="D32" s="8"/>
      <c r="E32" s="8"/>
      <c r="F32" s="8">
        <f t="shared" ref="F32" si="114">F31/F33</f>
        <v>1.4643137254901961</v>
      </c>
      <c r="G32" s="8">
        <f t="shared" ref="G32:L32" si="115">G31/G33</f>
        <v>1.8191698310855047</v>
      </c>
      <c r="H32" s="8">
        <f t="shared" si="115"/>
        <v>2.0303308823529411</v>
      </c>
      <c r="I32" s="8">
        <f t="shared" si="115"/>
        <v>2.0346189285244174</v>
      </c>
      <c r="J32" s="8">
        <f t="shared" si="115"/>
        <v>2.1709537000395724</v>
      </c>
      <c r="K32" s="8">
        <f t="shared" si="115"/>
        <v>2.7097925201532971</v>
      </c>
      <c r="L32" s="8">
        <f t="shared" si="115"/>
        <v>2.4837855724685638</v>
      </c>
      <c r="M32" s="8">
        <f>M31/M33</f>
        <v>2.2203344836740113</v>
      </c>
      <c r="N32" s="8">
        <f>N31/N33</f>
        <v>2.2302158273381294</v>
      </c>
      <c r="O32" s="8">
        <f>O31/O33</f>
        <v>2.3454909819639278</v>
      </c>
      <c r="P32" s="8">
        <f t="shared" ref="P32:V32" si="116">P31/P33</f>
        <v>2.1979124849458049</v>
      </c>
      <c r="Q32" s="8">
        <f t="shared" si="116"/>
        <v>2.2579135875819611</v>
      </c>
      <c r="R32" s="8">
        <f t="shared" si="116"/>
        <v>2.3799686444533648</v>
      </c>
      <c r="S32" s="8">
        <f t="shared" si="116"/>
        <v>2.4624575404790581</v>
      </c>
      <c r="T32" s="8">
        <f t="shared" si="116"/>
        <v>2.4813771176234449</v>
      </c>
      <c r="U32" s="8">
        <f t="shared" si="116"/>
        <v>2.4344144589856818</v>
      </c>
      <c r="V32" s="8">
        <f t="shared" si="116"/>
        <v>2.5661161065167932</v>
      </c>
      <c r="X32" s="11">
        <f>+X31/X33</f>
        <v>3.2935393258426968</v>
      </c>
      <c r="Y32" s="11">
        <f>+Y31/Y33</f>
        <v>2.126122658455222</v>
      </c>
      <c r="Z32" s="11">
        <f>+Z31/Z33</f>
        <v>5.0612666064749128</v>
      </c>
      <c r="AA32" s="11">
        <f>+AA31/AA33</f>
        <v>5.7635038396459715</v>
      </c>
      <c r="AB32" s="11">
        <f t="shared" ref="AB32:AD32" si="117">+AB31/AB33</f>
        <v>8.0537609674345241</v>
      </c>
      <c r="AC32" s="11">
        <f t="shared" si="117"/>
        <v>9.6463099263974534</v>
      </c>
      <c r="AD32" s="11">
        <f t="shared" si="117"/>
        <v>9.6886124398073878</v>
      </c>
      <c r="AE32" s="11">
        <f t="shared" ref="AE32" si="118">+AE31/AE33</f>
        <v>11.051320581975114</v>
      </c>
      <c r="AF32" s="11">
        <f t="shared" ref="AF32" si="119">+AF31/AF33</f>
        <v>12.332218693574518</v>
      </c>
      <c r="AG32" s="11">
        <f t="shared" ref="AG32" si="120">+AG31/AG33</f>
        <v>13.745613789227583</v>
      </c>
      <c r="AH32" s="11">
        <f t="shared" ref="AH32" si="121">+AH31/AH33</f>
        <v>15.304880423152465</v>
      </c>
      <c r="AI32" s="11">
        <f t="shared" ref="AI32" si="122">+AI31/AI33</f>
        <v>17.024734288108842</v>
      </c>
      <c r="AJ32" s="11">
        <f t="shared" ref="AJ32" si="123">+AJ31/AJ33</f>
        <v>18.921366439213937</v>
      </c>
      <c r="AK32" s="11">
        <f t="shared" ref="AK32" si="124">+AK31/AK33</f>
        <v>21.012590943434496</v>
      </c>
    </row>
    <row r="33" spans="2:40" s="4" customFormat="1" x14ac:dyDescent="0.2">
      <c r="B33" s="4" t="s">
        <v>32</v>
      </c>
      <c r="C33" s="5"/>
      <c r="D33" s="5"/>
      <c r="E33" s="5"/>
      <c r="F33" s="5">
        <v>7650</v>
      </c>
      <c r="G33" s="5">
        <v>7637</v>
      </c>
      <c r="H33" s="5">
        <v>7616</v>
      </c>
      <c r="I33" s="5">
        <v>7597</v>
      </c>
      <c r="J33" s="5">
        <v>7581</v>
      </c>
      <c r="K33" s="5">
        <v>7567</v>
      </c>
      <c r="L33" s="5">
        <v>7555</v>
      </c>
      <c r="M33" s="5">
        <v>7534</v>
      </c>
      <c r="N33" s="5">
        <v>7506</v>
      </c>
      <c r="O33" s="4">
        <v>7485</v>
      </c>
      <c r="P33" s="4">
        <v>7473</v>
      </c>
      <c r="Q33" s="4">
        <f t="shared" ref="Q33:R33" si="125">+P33</f>
        <v>7473</v>
      </c>
      <c r="R33" s="4">
        <f t="shared" si="125"/>
        <v>7473</v>
      </c>
      <c r="S33" s="4">
        <f>R33</f>
        <v>7473</v>
      </c>
      <c r="T33" s="4">
        <f t="shared" ref="T33:V33" si="126">S33</f>
        <v>7473</v>
      </c>
      <c r="U33" s="4">
        <f t="shared" si="126"/>
        <v>7473</v>
      </c>
      <c r="V33" s="4">
        <f t="shared" si="126"/>
        <v>7473</v>
      </c>
      <c r="X33" s="4">
        <v>7832</v>
      </c>
      <c r="Y33" s="4">
        <v>7794</v>
      </c>
      <c r="Z33" s="4">
        <v>7753</v>
      </c>
      <c r="AA33" s="5">
        <v>7683</v>
      </c>
      <c r="AB33" s="5">
        <f>AVERAGE(G33:J33)</f>
        <v>7607.75</v>
      </c>
      <c r="AC33" s="5">
        <f>AVERAGE(K33:N33)</f>
        <v>7540.5</v>
      </c>
      <c r="AD33" s="5">
        <f>AVERAGE(O33:R33)</f>
        <v>7476</v>
      </c>
      <c r="AE33" s="5">
        <f>AVERAGE(S33:V33)</f>
        <v>7473</v>
      </c>
      <c r="AF33" s="5">
        <f t="shared" ref="AF33:AK33" si="127">+AE33</f>
        <v>7473</v>
      </c>
      <c r="AG33" s="5">
        <f t="shared" si="127"/>
        <v>7473</v>
      </c>
      <c r="AH33" s="5">
        <f t="shared" si="127"/>
        <v>7473</v>
      </c>
      <c r="AI33" s="5">
        <f t="shared" si="127"/>
        <v>7473</v>
      </c>
      <c r="AJ33" s="5">
        <f t="shared" si="127"/>
        <v>7473</v>
      </c>
      <c r="AK33" s="5">
        <f t="shared" si="127"/>
        <v>7473</v>
      </c>
    </row>
    <row r="34" spans="2:40" x14ac:dyDescent="0.2">
      <c r="O34" s="2"/>
      <c r="AE34" s="2"/>
      <c r="AF34" s="2"/>
      <c r="AG34" s="2"/>
      <c r="AH34" s="2"/>
      <c r="AI34" s="2"/>
      <c r="AJ34" s="2"/>
      <c r="AK34" s="2"/>
      <c r="AM34" t="s">
        <v>98</v>
      </c>
      <c r="AN34" s="12">
        <v>0</v>
      </c>
    </row>
    <row r="35" spans="2:40" s="3" customFormat="1" x14ac:dyDescent="0.2">
      <c r="B35" s="6" t="s">
        <v>34</v>
      </c>
      <c r="C35" s="10"/>
      <c r="D35" s="10"/>
      <c r="E35" s="10"/>
      <c r="F35" s="10"/>
      <c r="G35" s="10"/>
      <c r="H35" s="10"/>
      <c r="I35" s="10"/>
      <c r="J35" s="10">
        <f t="shared" ref="J35:K35" si="128">J18/F18-1</f>
        <v>0.21347251071437956</v>
      </c>
      <c r="K35" s="10">
        <f t="shared" si="128"/>
        <v>0.21970716477364483</v>
      </c>
      <c r="L35" s="10">
        <f t="shared" ref="L35" si="129">L18/H18-1</f>
        <v>0.2008543040208004</v>
      </c>
      <c r="M35" s="10">
        <f>M18/I18-1</f>
        <v>0.18352275451973332</v>
      </c>
      <c r="N35" s="10">
        <f t="shared" ref="N35:O35" si="130">N18/J18-1</f>
        <v>0.12378661813139202</v>
      </c>
      <c r="O35" s="10">
        <f t="shared" si="130"/>
        <v>0.1060308493501334</v>
      </c>
      <c r="P35" s="10">
        <f t="shared" ref="P35" si="131">P18/L18-1</f>
        <v>1.9699195793380753E-2</v>
      </c>
      <c r="Q35" s="10">
        <f>Q18/M18-1</f>
        <v>3.3475891410048586E-2</v>
      </c>
      <c r="R35" s="10">
        <f>R18/N18-1</f>
        <v>5.922761014171396E-2</v>
      </c>
      <c r="S35" s="10">
        <f t="shared" ref="S35:V35" si="132">S18/O18-1</f>
        <v>5.0000000000000044E-2</v>
      </c>
      <c r="T35" s="10">
        <f t="shared" si="132"/>
        <v>5.0000000000000044E-2</v>
      </c>
      <c r="U35" s="10">
        <f t="shared" si="132"/>
        <v>5.0000000000000044E-2</v>
      </c>
      <c r="V35" s="10">
        <f t="shared" si="132"/>
        <v>5.0000000000000044E-2</v>
      </c>
      <c r="Y35" s="10">
        <f t="shared" ref="Y35:AD35" si="133">+Y18/X18-1</f>
        <v>0.14278613662486661</v>
      </c>
      <c r="Z35" s="10">
        <f t="shared" si="133"/>
        <v>0.14029539688292858</v>
      </c>
      <c r="AA35" s="10">
        <f t="shared" si="133"/>
        <v>0.13645574247276371</v>
      </c>
      <c r="AB35" s="10">
        <f t="shared" si="133"/>
        <v>0.17531727441177503</v>
      </c>
      <c r="AC35" s="10">
        <f t="shared" si="133"/>
        <v>0.17956070629670173</v>
      </c>
      <c r="AD35" s="10">
        <f t="shared" si="133"/>
        <v>5.2335905583295483E-2</v>
      </c>
      <c r="AE35" s="10">
        <f t="shared" ref="AE35:AK35" si="134">+AE18/AD18-1</f>
        <v>0.11062619556202757</v>
      </c>
      <c r="AF35" s="10">
        <f t="shared" si="134"/>
        <v>7.8699319121939171E-2</v>
      </c>
      <c r="AG35" s="10">
        <f t="shared" si="134"/>
        <v>7.9660966762951535E-2</v>
      </c>
      <c r="AH35" s="10">
        <f t="shared" si="134"/>
        <v>8.0596497531099986E-2</v>
      </c>
      <c r="AI35" s="10">
        <f t="shared" si="134"/>
        <v>8.1505022838192387E-2</v>
      </c>
      <c r="AJ35" s="10">
        <f t="shared" si="134"/>
        <v>8.2385817842371534E-2</v>
      </c>
      <c r="AK35" s="10">
        <f t="shared" si="134"/>
        <v>8.3238317314132448E-2</v>
      </c>
      <c r="AM35" s="3" t="s">
        <v>97</v>
      </c>
      <c r="AN35" s="13">
        <v>7.0000000000000007E-2</v>
      </c>
    </row>
    <row r="36" spans="2:40" s="3" customFormat="1" x14ac:dyDescent="0.2">
      <c r="B36" s="6" t="s">
        <v>104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>
        <v>0.16</v>
      </c>
      <c r="P36" s="18">
        <v>7.0000000000000007E-2</v>
      </c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M36" t="s">
        <v>99</v>
      </c>
      <c r="AN36" s="12">
        <v>0.01</v>
      </c>
    </row>
    <row r="37" spans="2:40" x14ac:dyDescent="0.2">
      <c r="B37" s="4" t="s">
        <v>22</v>
      </c>
      <c r="C37" s="9"/>
      <c r="D37" s="9"/>
      <c r="E37" s="9"/>
      <c r="F37" s="9">
        <f t="shared" ref="F37" si="135">F22/F18</f>
        <v>0.67557121447164303</v>
      </c>
      <c r="G37" s="9">
        <f t="shared" ref="G37:H37" si="136">G22/G18</f>
        <v>0.70388114334930285</v>
      </c>
      <c r="H37" s="9">
        <f t="shared" si="136"/>
        <v>0.67048936762930633</v>
      </c>
      <c r="I37" s="9">
        <f>I22/I18</f>
        <v>0.68721526878626582</v>
      </c>
      <c r="J37" s="9">
        <f t="shared" ref="J37:M37" si="137">J22/J18</f>
        <v>0.69684954064829263</v>
      </c>
      <c r="K37" s="9">
        <f t="shared" si="137"/>
        <v>0.6988768012004325</v>
      </c>
      <c r="L37" s="9">
        <f t="shared" si="137"/>
        <v>0.67213114754098358</v>
      </c>
      <c r="M37" s="9">
        <f t="shared" si="137"/>
        <v>0.68365072933549431</v>
      </c>
      <c r="N37" s="9">
        <f t="shared" ref="N37:O37" si="138">N22/N18</f>
        <v>0.68323532247180174</v>
      </c>
      <c r="O37" s="9">
        <f t="shared" si="138"/>
        <v>0.69171222217788597</v>
      </c>
      <c r="P37" s="9">
        <f>P22/P18</f>
        <v>0.66845507801391546</v>
      </c>
      <c r="Q37" s="9">
        <f t="shared" ref="Q37:R37" si="139">Q22/Q18</f>
        <v>0.68999999999999984</v>
      </c>
      <c r="R37" s="9">
        <f t="shared" si="139"/>
        <v>0.69</v>
      </c>
      <c r="S37" s="9">
        <f t="shared" ref="S37:V37" si="140">S22/S18</f>
        <v>0.69</v>
      </c>
      <c r="T37" s="9">
        <f t="shared" si="140"/>
        <v>0.69</v>
      </c>
      <c r="U37" s="9">
        <f t="shared" si="140"/>
        <v>0.69</v>
      </c>
      <c r="V37" s="9">
        <f t="shared" si="140"/>
        <v>0.69</v>
      </c>
      <c r="W37" s="9"/>
      <c r="X37" s="9">
        <f t="shared" ref="X37:Y37" si="141">X22/X18</f>
        <v>0.64522475691460168</v>
      </c>
      <c r="Y37" s="9">
        <f t="shared" si="141"/>
        <v>0.65247372236317502</v>
      </c>
      <c r="Z37" s="9">
        <f t="shared" ref="Z37:AD37" si="142">Z22/Z18</f>
        <v>0.65901957200638894</v>
      </c>
      <c r="AA37" s="9">
        <f t="shared" si="142"/>
        <v>0.67781001992797962</v>
      </c>
      <c r="AB37" s="9">
        <f t="shared" si="142"/>
        <v>0.68925800771024703</v>
      </c>
      <c r="AC37" s="9">
        <f t="shared" si="142"/>
        <v>0.68401674484289099</v>
      </c>
      <c r="AD37" s="9">
        <f t="shared" si="142"/>
        <v>0.68203674883046295</v>
      </c>
      <c r="AE37" s="9">
        <f t="shared" ref="AE37:AK37" si="143">AE22/AE18</f>
        <v>0.67</v>
      </c>
      <c r="AF37" s="9">
        <f t="shared" si="143"/>
        <v>0.67</v>
      </c>
      <c r="AG37" s="9">
        <f t="shared" si="143"/>
        <v>0.67</v>
      </c>
      <c r="AH37" s="9">
        <f t="shared" si="143"/>
        <v>0.67</v>
      </c>
      <c r="AI37" s="9">
        <f t="shared" si="143"/>
        <v>0.67</v>
      </c>
      <c r="AJ37" s="9">
        <f t="shared" si="143"/>
        <v>0.67</v>
      </c>
      <c r="AK37" s="9">
        <f t="shared" si="143"/>
        <v>0.67</v>
      </c>
      <c r="AM37" t="s">
        <v>100</v>
      </c>
      <c r="AN37" s="4">
        <f>NPV(AN35,AD31:CQ31)+Main!L5-Main!L6</f>
        <v>1977474.0879597785</v>
      </c>
    </row>
    <row r="38" spans="2:40" x14ac:dyDescent="0.2">
      <c r="B38" s="4" t="s">
        <v>89</v>
      </c>
      <c r="C38" s="9"/>
      <c r="D38" s="9"/>
      <c r="E38" s="9"/>
      <c r="F38" s="9">
        <f t="shared" ref="F38" si="144">+F30/F29</f>
        <v>0.16540008940545373</v>
      </c>
      <c r="G38" s="9">
        <f>+G30/G29</f>
        <v>0.13836516993301909</v>
      </c>
      <c r="H38" s="9">
        <f t="shared" ref="H38:O38" si="145">+H30/H29</f>
        <v>0.15673228990565524</v>
      </c>
      <c r="I38" s="9">
        <f t="shared" si="145"/>
        <v>0.10321420283128337</v>
      </c>
      <c r="J38" s="9">
        <f t="shared" si="145"/>
        <v>0.15186807523834064</v>
      </c>
      <c r="K38" s="9">
        <f t="shared" si="145"/>
        <v>9.2574546871954783E-4</v>
      </c>
      <c r="L38" s="9">
        <f t="shared" si="145"/>
        <v>0.16655562958027981</v>
      </c>
      <c r="M38" s="9">
        <f t="shared" si="145"/>
        <v>0.17147102526002972</v>
      </c>
      <c r="N38" s="9">
        <f t="shared" si="145"/>
        <v>0.18289647093278666</v>
      </c>
      <c r="O38" s="9">
        <f t="shared" si="145"/>
        <v>0.18616725384758021</v>
      </c>
      <c r="P38" s="9">
        <f>+P30/P29</f>
        <v>0.19243817296818919</v>
      </c>
      <c r="Q38" s="9">
        <f t="shared" ref="Q38:R38" si="146">+Q30/Q29</f>
        <v>0.19999999999999998</v>
      </c>
      <c r="R38" s="9">
        <f t="shared" si="146"/>
        <v>0.2</v>
      </c>
      <c r="S38" s="9">
        <f t="shared" ref="S38:V38" si="147">+S30/S29</f>
        <v>0.2</v>
      </c>
      <c r="T38" s="9">
        <f t="shared" si="147"/>
        <v>0.2</v>
      </c>
      <c r="U38" s="9">
        <f t="shared" si="147"/>
        <v>0.2</v>
      </c>
      <c r="V38" s="9">
        <f t="shared" si="147"/>
        <v>0.19999999999999998</v>
      </c>
      <c r="W38" s="9"/>
      <c r="X38" s="9">
        <f t="shared" ref="X38:Y38" si="148">+X30/X29</f>
        <v>0.14605886052901645</v>
      </c>
      <c r="Y38" s="9">
        <f t="shared" si="148"/>
        <v>0.5456763722103416</v>
      </c>
      <c r="Z38" s="9">
        <f t="shared" ref="Z38:AD38" si="149">+Z30/Z29</f>
        <v>0.10181285478850027</v>
      </c>
      <c r="AA38" s="9">
        <f t="shared" si="149"/>
        <v>0.16507655177615205</v>
      </c>
      <c r="AB38" s="9">
        <f t="shared" si="149"/>
        <v>0.13826615285083402</v>
      </c>
      <c r="AC38" s="9">
        <f t="shared" si="149"/>
        <v>0.13113383343685794</v>
      </c>
      <c r="AD38" s="9">
        <f t="shared" si="149"/>
        <v>0.15</v>
      </c>
      <c r="AE38" s="9">
        <f t="shared" ref="AE38:AK38" si="150">+AE30/AE29</f>
        <v>0.15</v>
      </c>
      <c r="AF38" s="9">
        <f t="shared" si="150"/>
        <v>0.15</v>
      </c>
      <c r="AG38" s="9">
        <f t="shared" si="150"/>
        <v>0.15</v>
      </c>
      <c r="AH38" s="9">
        <f t="shared" si="150"/>
        <v>0.15</v>
      </c>
      <c r="AI38" s="9">
        <f t="shared" si="150"/>
        <v>0.15</v>
      </c>
      <c r="AJ38" s="9">
        <f t="shared" si="150"/>
        <v>0.15</v>
      </c>
      <c r="AK38" s="9">
        <f t="shared" si="150"/>
        <v>0.15</v>
      </c>
      <c r="AM38" t="s">
        <v>105</v>
      </c>
      <c r="AN38" s="1">
        <f>+AN37/Main!L3</f>
        <v>264.61582871133123</v>
      </c>
    </row>
    <row r="39" spans="2:40" x14ac:dyDescent="0.2">
      <c r="B39" s="4" t="s">
        <v>159</v>
      </c>
      <c r="C39" s="9"/>
      <c r="D39" s="9"/>
      <c r="E39" s="9"/>
      <c r="F39" s="9">
        <f t="shared" ref="F39:I39" si="151">(F16-F19)/F16</f>
        <v>0.75918884664131814</v>
      </c>
      <c r="G39" s="9">
        <f t="shared" si="151"/>
        <v>0.77238499019173579</v>
      </c>
      <c r="H39" s="9">
        <f t="shared" si="151"/>
        <v>0.68869475847893113</v>
      </c>
      <c r="I39" s="9">
        <f t="shared" si="151"/>
        <v>0.74651810584958223</v>
      </c>
      <c r="J39" s="9">
        <f t="shared" ref="J39:L39" si="152">(J16-J19)/J16</f>
        <v>0.7736297391488014</v>
      </c>
      <c r="K39" s="9">
        <f t="shared" si="152"/>
        <v>0.77199206301485179</v>
      </c>
      <c r="L39" s="9">
        <f t="shared" si="152"/>
        <v>0.69531738774724483</v>
      </c>
      <c r="M39" s="9">
        <f t="shared" ref="M39:O39" si="153">(M16-M19)/M16</f>
        <v>0.73603593228146957</v>
      </c>
      <c r="N39" s="9">
        <f t="shared" si="153"/>
        <v>0.75735130318556476</v>
      </c>
      <c r="O39" s="9">
        <f t="shared" si="153"/>
        <v>0.72670097198399086</v>
      </c>
      <c r="P39" s="9">
        <f>(P16-P19)/P16</f>
        <v>0.65550644790216139</v>
      </c>
      <c r="Q39" s="9">
        <f t="shared" ref="Q39:V39" si="154">(Q16-Q19)/Q16</f>
        <v>0.75</v>
      </c>
      <c r="R39" s="9">
        <f t="shared" si="154"/>
        <v>0.75</v>
      </c>
      <c r="S39" s="9">
        <f t="shared" si="154"/>
        <v>0.75</v>
      </c>
      <c r="T39" s="9">
        <f t="shared" si="154"/>
        <v>0.75</v>
      </c>
      <c r="U39" s="9">
        <f t="shared" si="154"/>
        <v>0.75</v>
      </c>
      <c r="V39" s="9">
        <f t="shared" si="154"/>
        <v>0.75</v>
      </c>
      <c r="W39" s="9"/>
      <c r="X39" s="9">
        <f t="shared" ref="X39:AK39" si="155">(X16-X19)/X16</f>
        <v>0.76218833743398473</v>
      </c>
      <c r="Y39" s="9">
        <f t="shared" si="155"/>
        <v>0.76091911251686128</v>
      </c>
      <c r="Z39" s="9">
        <f t="shared" si="155"/>
        <v>0.75369689264254036</v>
      </c>
      <c r="AA39" s="9">
        <f t="shared" si="155"/>
        <v>0.76459781602269217</v>
      </c>
      <c r="AB39" s="9">
        <f t="shared" si="155"/>
        <v>0.74366153586402906</v>
      </c>
      <c r="AC39" s="9">
        <f t="shared" si="155"/>
        <v>0.73788703734257277</v>
      </c>
      <c r="AD39" s="9">
        <f t="shared" si="155"/>
        <v>0.7218449140448232</v>
      </c>
      <c r="AE39" s="9">
        <f t="shared" si="155"/>
        <v>0.75</v>
      </c>
      <c r="AF39" s="9">
        <f t="shared" si="155"/>
        <v>0.75</v>
      </c>
      <c r="AG39" s="9">
        <f t="shared" si="155"/>
        <v>0.75</v>
      </c>
      <c r="AH39" s="9">
        <f t="shared" si="155"/>
        <v>0.75</v>
      </c>
      <c r="AI39" s="9">
        <f t="shared" si="155"/>
        <v>0.75</v>
      </c>
      <c r="AJ39" s="9">
        <f t="shared" si="155"/>
        <v>0.75</v>
      </c>
      <c r="AK39" s="9">
        <f t="shared" si="155"/>
        <v>0.75</v>
      </c>
      <c r="AN39" s="1"/>
    </row>
    <row r="40" spans="2:40" x14ac:dyDescent="0.2">
      <c r="B40" s="4" t="s">
        <v>160</v>
      </c>
      <c r="C40" s="9"/>
      <c r="D40" s="9"/>
      <c r="E40" s="9"/>
      <c r="F40" s="9">
        <f t="shared" ref="F40:K40" si="156">(F17-F20)/F17</f>
        <v>0.59926581514633415</v>
      </c>
      <c r="G40" s="9">
        <f t="shared" si="156"/>
        <v>0.65317783710364852</v>
      </c>
      <c r="H40" s="9">
        <f t="shared" si="156"/>
        <v>0.65548780487804881</v>
      </c>
      <c r="I40" s="9">
        <f t="shared" si="156"/>
        <v>0.64692143518704948</v>
      </c>
      <c r="J40" s="9">
        <f t="shared" si="156"/>
        <v>0.64341882854413168</v>
      </c>
      <c r="K40" s="9">
        <f t="shared" si="156"/>
        <v>0.65648748518441047</v>
      </c>
      <c r="L40" s="9">
        <f t="shared" ref="L40:O40" si="157">(L17-L20)/L17</f>
        <v>0.65656402468577335</v>
      </c>
      <c r="M40" s="9">
        <f t="shared" si="157"/>
        <v>0.65521660311308372</v>
      </c>
      <c r="N40" s="9">
        <f t="shared" si="157"/>
        <v>0.64398832168450859</v>
      </c>
      <c r="O40" s="9">
        <f t="shared" si="157"/>
        <v>0.67569296995433525</v>
      </c>
      <c r="P40" s="9">
        <f>(P17-P20)/P17</f>
        <v>0.67435826662986476</v>
      </c>
      <c r="Q40" s="9">
        <f t="shared" ref="Q40:V40" si="158">(Q17-Q20)/Q17</f>
        <v>0.65</v>
      </c>
      <c r="R40" s="9">
        <f t="shared" si="158"/>
        <v>0.65</v>
      </c>
      <c r="S40" s="9">
        <f t="shared" si="158"/>
        <v>0.65</v>
      </c>
      <c r="T40" s="9">
        <f t="shared" si="158"/>
        <v>0.64999999999999991</v>
      </c>
      <c r="U40" s="9">
        <f t="shared" si="158"/>
        <v>0.65</v>
      </c>
      <c r="V40" s="9">
        <f t="shared" si="158"/>
        <v>0.65</v>
      </c>
      <c r="W40" s="9"/>
      <c r="X40" s="9">
        <f t="shared" ref="X40:AK40" si="159">(X17-X20)/X17</f>
        <v>0.41739926739926742</v>
      </c>
      <c r="Y40" s="9">
        <f t="shared" si="159"/>
        <v>0.4999672938970412</v>
      </c>
      <c r="Z40" s="9">
        <f t="shared" si="159"/>
        <v>0.55437146585471941</v>
      </c>
      <c r="AA40" s="9">
        <f t="shared" si="159"/>
        <v>0.59904766985888447</v>
      </c>
      <c r="AB40" s="9">
        <f t="shared" si="159"/>
        <v>0.64940111736450412</v>
      </c>
      <c r="AC40" s="9">
        <f t="shared" si="159"/>
        <v>0.65280632159186858</v>
      </c>
      <c r="AD40" s="9">
        <f t="shared" si="159"/>
        <v>0.66259643044189553</v>
      </c>
      <c r="AE40" s="9">
        <f t="shared" si="159"/>
        <v>0.65</v>
      </c>
      <c r="AF40" s="9">
        <f t="shared" si="159"/>
        <v>0.65</v>
      </c>
      <c r="AG40" s="9">
        <f t="shared" si="159"/>
        <v>0.65</v>
      </c>
      <c r="AH40" s="9">
        <f t="shared" si="159"/>
        <v>0.65</v>
      </c>
      <c r="AI40" s="9">
        <f t="shared" si="159"/>
        <v>0.65</v>
      </c>
      <c r="AJ40" s="9">
        <f t="shared" si="159"/>
        <v>0.65</v>
      </c>
      <c r="AK40" s="9">
        <f t="shared" si="159"/>
        <v>0.65</v>
      </c>
      <c r="AN40" s="1"/>
    </row>
    <row r="41" spans="2:40" x14ac:dyDescent="0.2">
      <c r="B41" s="4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N41" s="1"/>
    </row>
    <row r="43" spans="2:40" x14ac:dyDescent="0.2">
      <c r="B43" t="s">
        <v>82</v>
      </c>
      <c r="K43" s="5">
        <f t="shared" ref="K43:R43" si="160">+K44-K55</f>
        <v>83720</v>
      </c>
      <c r="L43" s="5">
        <f t="shared" si="160"/>
        <v>79105</v>
      </c>
      <c r="M43" s="5">
        <f t="shared" si="160"/>
        <v>61674</v>
      </c>
      <c r="N43" s="5">
        <f t="shared" si="160"/>
        <v>61867</v>
      </c>
      <c r="O43" s="5">
        <f t="shared" si="160"/>
        <v>65479</v>
      </c>
      <c r="P43" s="5">
        <f t="shared" si="160"/>
        <v>58489</v>
      </c>
      <c r="Q43" s="5">
        <f t="shared" si="160"/>
        <v>0</v>
      </c>
      <c r="R43" s="5">
        <f t="shared" si="160"/>
        <v>0</v>
      </c>
      <c r="S43" s="5"/>
      <c r="T43" s="5"/>
      <c r="U43" s="5"/>
      <c r="V43" s="5"/>
      <c r="AC43" s="5">
        <f>+N43</f>
        <v>61867</v>
      </c>
      <c r="AD43" s="5">
        <f>+AC43+AD31</f>
        <v>134299.06660000002</v>
      </c>
      <c r="AE43" s="5">
        <f t="shared" ref="AE43:AK43" si="161">+AD43+AE31</f>
        <v>216885.58530910005</v>
      </c>
      <c r="AF43" s="5">
        <f t="shared" si="161"/>
        <v>309044.25560618239</v>
      </c>
      <c r="AG43" s="5">
        <f t="shared" si="161"/>
        <v>411765.22745308012</v>
      </c>
      <c r="AH43" s="5">
        <f t="shared" si="161"/>
        <v>526138.59885529848</v>
      </c>
      <c r="AI43" s="5">
        <f t="shared" si="161"/>
        <v>653364.43819033587</v>
      </c>
      <c r="AJ43" s="5">
        <f t="shared" si="161"/>
        <v>794763.80959058157</v>
      </c>
      <c r="AK43" s="5">
        <f t="shared" si="161"/>
        <v>951790.90171086753</v>
      </c>
    </row>
    <row r="44" spans="2:40" s="4" customFormat="1" x14ac:dyDescent="0.2">
      <c r="B44" s="4" t="s">
        <v>3</v>
      </c>
      <c r="C44" s="5"/>
      <c r="D44" s="5"/>
      <c r="E44" s="5"/>
      <c r="F44" s="5"/>
      <c r="G44" s="5"/>
      <c r="H44" s="5"/>
      <c r="I44" s="5"/>
      <c r="J44" s="5"/>
      <c r="K44" s="5">
        <f>130615+6393</f>
        <v>137008</v>
      </c>
      <c r="L44" s="5">
        <f>125369+6994</f>
        <v>132363</v>
      </c>
      <c r="M44" s="5">
        <f>104693+6907</f>
        <v>111600</v>
      </c>
      <c r="N44" s="5">
        <f>104757+6891</f>
        <v>111648</v>
      </c>
      <c r="O44" s="4">
        <f>107262+6839</f>
        <v>114101</v>
      </c>
      <c r="P44" s="4">
        <f>99508+7097</f>
        <v>106605</v>
      </c>
      <c r="AA44" s="5"/>
      <c r="AB44" s="5"/>
      <c r="AC44" s="5"/>
      <c r="AD44" s="5"/>
    </row>
    <row r="45" spans="2:40" s="4" customFormat="1" x14ac:dyDescent="0.2">
      <c r="B45" s="4" t="s">
        <v>35</v>
      </c>
      <c r="C45" s="5"/>
      <c r="D45" s="5"/>
      <c r="E45" s="5"/>
      <c r="F45" s="5"/>
      <c r="G45" s="5"/>
      <c r="H45" s="5"/>
      <c r="I45" s="5"/>
      <c r="J45" s="5"/>
      <c r="K45" s="5">
        <v>27349</v>
      </c>
      <c r="L45" s="5">
        <v>33520</v>
      </c>
      <c r="M45" s="5">
        <v>32613</v>
      </c>
      <c r="N45" s="5">
        <v>44261</v>
      </c>
      <c r="O45" s="4">
        <v>31279</v>
      </c>
      <c r="P45" s="4">
        <v>35833</v>
      </c>
      <c r="AA45" s="5"/>
      <c r="AB45" s="5"/>
      <c r="AC45" s="5"/>
      <c r="AD45" s="5"/>
    </row>
    <row r="46" spans="2:40" s="4" customFormat="1" x14ac:dyDescent="0.2">
      <c r="B46" s="4" t="s">
        <v>36</v>
      </c>
      <c r="C46" s="5"/>
      <c r="D46" s="5"/>
      <c r="E46" s="5"/>
      <c r="F46" s="5"/>
      <c r="G46" s="5"/>
      <c r="H46" s="5"/>
      <c r="I46" s="5"/>
      <c r="J46" s="5"/>
      <c r="K46" s="5">
        <v>3411</v>
      </c>
      <c r="L46" s="5">
        <v>3019</v>
      </c>
      <c r="M46" s="5">
        <v>3296</v>
      </c>
      <c r="N46" s="5">
        <v>3742</v>
      </c>
      <c r="O46" s="4">
        <v>4268</v>
      </c>
      <c r="P46" s="4">
        <v>2980</v>
      </c>
      <c r="AA46" s="5"/>
      <c r="AB46" s="5"/>
      <c r="AC46" s="5"/>
      <c r="AD46" s="5"/>
    </row>
    <row r="47" spans="2:40" s="4" customFormat="1" x14ac:dyDescent="0.2">
      <c r="B47" s="4" t="s">
        <v>37</v>
      </c>
      <c r="C47" s="5"/>
      <c r="D47" s="5"/>
      <c r="E47" s="5"/>
      <c r="F47" s="5"/>
      <c r="G47" s="5"/>
      <c r="H47" s="5"/>
      <c r="I47" s="5"/>
      <c r="J47" s="5"/>
      <c r="K47" s="5">
        <v>12951</v>
      </c>
      <c r="L47" s="5">
        <v>12280</v>
      </c>
      <c r="M47" s="5">
        <v>13320</v>
      </c>
      <c r="N47" s="5">
        <v>16924</v>
      </c>
      <c r="O47" s="4">
        <v>18003</v>
      </c>
      <c r="P47" s="4">
        <v>19502</v>
      </c>
      <c r="AA47" s="5"/>
      <c r="AB47" s="5"/>
      <c r="AC47" s="5"/>
      <c r="AD47" s="5"/>
    </row>
    <row r="48" spans="2:40" s="4" customFormat="1" x14ac:dyDescent="0.2">
      <c r="B48" s="4" t="s">
        <v>38</v>
      </c>
      <c r="C48" s="5"/>
      <c r="D48" s="5"/>
      <c r="E48" s="5"/>
      <c r="F48" s="5"/>
      <c r="G48" s="5"/>
      <c r="H48" s="5"/>
      <c r="I48" s="5"/>
      <c r="J48" s="5"/>
      <c r="K48" s="5">
        <v>63772</v>
      </c>
      <c r="L48" s="5">
        <v>67214</v>
      </c>
      <c r="M48" s="5">
        <v>70298</v>
      </c>
      <c r="N48" s="5">
        <v>74398</v>
      </c>
      <c r="O48" s="4">
        <v>77037</v>
      </c>
      <c r="P48" s="4">
        <v>82755</v>
      </c>
      <c r="AA48" s="5"/>
      <c r="AB48" s="5"/>
      <c r="AC48" s="5"/>
      <c r="AD48" s="5"/>
    </row>
    <row r="49" spans="2:30" s="4" customFormat="1" x14ac:dyDescent="0.2">
      <c r="B49" s="4" t="s">
        <v>39</v>
      </c>
      <c r="C49" s="5"/>
      <c r="D49" s="5"/>
      <c r="E49" s="5"/>
      <c r="F49" s="5"/>
      <c r="G49" s="5"/>
      <c r="H49" s="5"/>
      <c r="I49" s="5"/>
      <c r="J49" s="5"/>
      <c r="K49" s="5">
        <v>11575</v>
      </c>
      <c r="L49" s="5">
        <v>12354</v>
      </c>
      <c r="M49" s="5">
        <v>12916</v>
      </c>
      <c r="N49" s="5">
        <v>13148</v>
      </c>
      <c r="O49" s="4">
        <v>13347</v>
      </c>
      <c r="P49" s="4">
        <v>13624</v>
      </c>
      <c r="AA49" s="5"/>
      <c r="AB49" s="5"/>
      <c r="AC49" s="5"/>
      <c r="AD49" s="5"/>
    </row>
    <row r="50" spans="2:30" s="4" customFormat="1" x14ac:dyDescent="0.2">
      <c r="B50" s="4" t="s">
        <v>40</v>
      </c>
      <c r="C50" s="5"/>
      <c r="D50" s="5"/>
      <c r="E50" s="5"/>
      <c r="F50" s="5"/>
      <c r="G50" s="5"/>
      <c r="H50" s="5"/>
      <c r="I50" s="5"/>
      <c r="J50" s="5"/>
      <c r="K50" s="5">
        <f>50455+7794</f>
        <v>58249</v>
      </c>
      <c r="L50" s="5">
        <f>50921+7462</f>
        <v>58383</v>
      </c>
      <c r="M50" s="5">
        <f>67371+11348</f>
        <v>78719</v>
      </c>
      <c r="N50" s="5">
        <f>67524+11298</f>
        <v>78822</v>
      </c>
      <c r="O50" s="4">
        <f>67459+10808</f>
        <v>78267</v>
      </c>
      <c r="P50" s="4">
        <f>67905+10354</f>
        <v>78259</v>
      </c>
      <c r="AA50" s="5"/>
      <c r="AB50" s="5"/>
      <c r="AC50" s="5"/>
      <c r="AD50" s="5"/>
    </row>
    <row r="51" spans="2:30" s="4" customFormat="1" x14ac:dyDescent="0.2">
      <c r="B51" s="4" t="s">
        <v>42</v>
      </c>
      <c r="C51" s="5"/>
      <c r="D51" s="5"/>
      <c r="E51" s="5"/>
      <c r="F51" s="5"/>
      <c r="G51" s="5"/>
      <c r="H51" s="5"/>
      <c r="I51" s="5"/>
      <c r="J51" s="5"/>
      <c r="K51" s="5">
        <v>21103</v>
      </c>
      <c r="L51" s="5">
        <v>21256</v>
      </c>
      <c r="M51" s="5">
        <v>21845</v>
      </c>
      <c r="N51" s="5">
        <v>21897</v>
      </c>
      <c r="O51" s="4">
        <v>23482</v>
      </c>
      <c r="P51" s="4">
        <v>24994</v>
      </c>
      <c r="AA51" s="5"/>
      <c r="AB51" s="5"/>
      <c r="AC51" s="5"/>
      <c r="AD51" s="5"/>
    </row>
    <row r="52" spans="2:30" s="6" customFormat="1" x14ac:dyDescent="0.2">
      <c r="B52" s="6" t="s">
        <v>41</v>
      </c>
      <c r="C52" s="7"/>
      <c r="D52" s="7"/>
      <c r="E52" s="7"/>
      <c r="F52" s="7"/>
      <c r="G52" s="7"/>
      <c r="H52" s="7"/>
      <c r="I52" s="7"/>
      <c r="J52" s="7"/>
      <c r="K52" s="7">
        <f t="shared" ref="K52" si="162">SUM(K44:K51)</f>
        <v>335418</v>
      </c>
      <c r="L52" s="7">
        <f t="shared" ref="L52" si="163">SUM(L44:L51)</f>
        <v>340389</v>
      </c>
      <c r="M52" s="7">
        <f t="shared" ref="M52:R52" si="164">SUM(M44:M51)</f>
        <v>344607</v>
      </c>
      <c r="N52" s="7">
        <f t="shared" si="164"/>
        <v>364840</v>
      </c>
      <c r="O52" s="7">
        <f t="shared" si="164"/>
        <v>359784</v>
      </c>
      <c r="P52" s="7">
        <f t="shared" si="164"/>
        <v>364552</v>
      </c>
      <c r="Q52" s="7">
        <f t="shared" si="164"/>
        <v>0</v>
      </c>
      <c r="R52" s="7">
        <f t="shared" si="164"/>
        <v>0</v>
      </c>
      <c r="S52" s="7"/>
      <c r="T52" s="7"/>
      <c r="U52" s="7"/>
      <c r="V52" s="7"/>
      <c r="AA52" s="7"/>
      <c r="AB52" s="7"/>
      <c r="AC52" s="7"/>
      <c r="AD52" s="7"/>
    </row>
    <row r="54" spans="2:30" s="4" customFormat="1" x14ac:dyDescent="0.2">
      <c r="B54" s="4" t="s">
        <v>43</v>
      </c>
      <c r="C54" s="5"/>
      <c r="D54" s="5"/>
      <c r="E54" s="5"/>
      <c r="F54" s="5"/>
      <c r="G54" s="5"/>
      <c r="H54" s="5"/>
      <c r="I54" s="5"/>
      <c r="J54" s="5"/>
      <c r="K54" s="5">
        <v>14832</v>
      </c>
      <c r="L54" s="5">
        <v>15314</v>
      </c>
      <c r="M54" s="5">
        <v>16085</v>
      </c>
      <c r="N54" s="5">
        <v>19000</v>
      </c>
      <c r="O54" s="4">
        <v>16609</v>
      </c>
      <c r="P54" s="4">
        <v>15354</v>
      </c>
      <c r="AA54" s="5"/>
      <c r="AB54" s="5"/>
      <c r="AC54" s="5"/>
      <c r="AD54" s="5"/>
    </row>
    <row r="55" spans="2:30" s="4" customFormat="1" x14ac:dyDescent="0.2">
      <c r="B55" s="4" t="s">
        <v>4</v>
      </c>
      <c r="C55" s="5"/>
      <c r="D55" s="5"/>
      <c r="E55" s="5"/>
      <c r="F55" s="5"/>
      <c r="G55" s="5"/>
      <c r="H55" s="5"/>
      <c r="I55" s="5"/>
      <c r="J55" s="5"/>
      <c r="K55" s="5">
        <f>3249+50039</f>
        <v>53288</v>
      </c>
      <c r="L55" s="5">
        <f>4998+48260</f>
        <v>53258</v>
      </c>
      <c r="M55" s="5">
        <f>1749+48177</f>
        <v>49926</v>
      </c>
      <c r="N55" s="5">
        <f>2749+47032</f>
        <v>49781</v>
      </c>
      <c r="O55" s="4">
        <f>3248+45374</f>
        <v>48622</v>
      </c>
      <c r="P55" s="4">
        <f>3997+44119</f>
        <v>48116</v>
      </c>
      <c r="AA55" s="5"/>
      <c r="AB55" s="5"/>
      <c r="AC55" s="5"/>
      <c r="AD55" s="5"/>
    </row>
    <row r="56" spans="2:30" s="4" customFormat="1" x14ac:dyDescent="0.2">
      <c r="B56" s="4" t="s">
        <v>45</v>
      </c>
      <c r="C56" s="5"/>
      <c r="D56" s="5"/>
      <c r="E56" s="5"/>
      <c r="F56" s="5"/>
      <c r="G56" s="5"/>
      <c r="H56" s="5"/>
      <c r="I56" s="5"/>
      <c r="J56" s="5"/>
      <c r="K56" s="5">
        <v>6894</v>
      </c>
      <c r="L56" s="5">
        <v>7782</v>
      </c>
      <c r="M56" s="5">
        <v>9067</v>
      </c>
      <c r="N56" s="5">
        <v>10661</v>
      </c>
      <c r="O56" s="4">
        <v>7405</v>
      </c>
      <c r="P56" s="4">
        <v>9030</v>
      </c>
      <c r="AA56" s="5"/>
      <c r="AB56" s="5"/>
      <c r="AC56" s="5"/>
      <c r="AD56" s="5"/>
    </row>
    <row r="57" spans="2:30" s="4" customFormat="1" x14ac:dyDescent="0.2">
      <c r="B57" s="4" t="s">
        <v>30</v>
      </c>
      <c r="C57" s="5"/>
      <c r="D57" s="5"/>
      <c r="E57" s="5"/>
      <c r="F57" s="5"/>
      <c r="G57" s="5"/>
      <c r="H57" s="5"/>
      <c r="I57" s="5"/>
      <c r="J57" s="5"/>
      <c r="K57" s="5">
        <f>6272+25715+212</f>
        <v>32199</v>
      </c>
      <c r="L57" s="5">
        <f>3731+26121+199</f>
        <v>30051</v>
      </c>
      <c r="M57" s="5">
        <f>4646+26483+304</f>
        <v>31433</v>
      </c>
      <c r="N57" s="5">
        <f>4067+26069+230</f>
        <v>30366</v>
      </c>
      <c r="O57" s="4">
        <f>6729+23712</f>
        <v>30441</v>
      </c>
      <c r="P57" s="4">
        <f>3553+289+24169</f>
        <v>28011</v>
      </c>
      <c r="AA57" s="5"/>
      <c r="AB57" s="5"/>
      <c r="AC57" s="5"/>
      <c r="AD57" s="5"/>
    </row>
    <row r="58" spans="2:30" s="4" customFormat="1" x14ac:dyDescent="0.2">
      <c r="B58" s="4" t="s">
        <v>44</v>
      </c>
      <c r="C58" s="5"/>
      <c r="D58" s="5"/>
      <c r="E58" s="5"/>
      <c r="F58" s="5"/>
      <c r="G58" s="5"/>
      <c r="H58" s="5"/>
      <c r="I58" s="5"/>
      <c r="J58" s="5"/>
      <c r="K58" s="5">
        <f>2550+38465</f>
        <v>41015</v>
      </c>
      <c r="L58" s="5">
        <f>2768+34001</f>
        <v>36769</v>
      </c>
      <c r="M58" s="5">
        <f>34027+2769</f>
        <v>36796</v>
      </c>
      <c r="N58" s="5">
        <f>45538+2870</f>
        <v>48408</v>
      </c>
      <c r="O58" s="4">
        <f>41340+2549+223</f>
        <v>44112</v>
      </c>
      <c r="P58" s="4">
        <f>2644+36982</f>
        <v>39626</v>
      </c>
      <c r="AA58" s="5"/>
      <c r="AB58" s="5"/>
      <c r="AC58" s="5"/>
      <c r="AD58" s="5"/>
    </row>
    <row r="59" spans="2:30" s="4" customFormat="1" x14ac:dyDescent="0.2">
      <c r="B59" s="4" t="s">
        <v>46</v>
      </c>
      <c r="C59" s="5"/>
      <c r="D59" s="5"/>
      <c r="E59" s="5"/>
      <c r="F59" s="5"/>
      <c r="G59" s="5"/>
      <c r="H59" s="5"/>
      <c r="I59" s="5"/>
      <c r="J59" s="5"/>
      <c r="K59" s="5">
        <v>10816</v>
      </c>
      <c r="L59" s="5">
        <v>11684</v>
      </c>
      <c r="M59" s="5">
        <v>11865</v>
      </c>
      <c r="N59" s="5">
        <v>13067</v>
      </c>
      <c r="O59" s="4">
        <v>12058</v>
      </c>
      <c r="P59" s="4">
        <v>12802</v>
      </c>
      <c r="AA59" s="5"/>
      <c r="AB59" s="5"/>
      <c r="AC59" s="5"/>
      <c r="AD59" s="5"/>
    </row>
    <row r="60" spans="2:30" s="4" customFormat="1" x14ac:dyDescent="0.2">
      <c r="B60" s="4" t="s">
        <v>39</v>
      </c>
      <c r="C60" s="5"/>
      <c r="D60" s="5"/>
      <c r="E60" s="5"/>
      <c r="F60" s="5"/>
      <c r="G60" s="5"/>
      <c r="H60" s="5"/>
      <c r="I60" s="5"/>
      <c r="J60" s="5"/>
      <c r="K60" s="5">
        <v>10050</v>
      </c>
      <c r="L60" s="5">
        <v>10774</v>
      </c>
      <c r="M60" s="5">
        <v>11357</v>
      </c>
      <c r="N60" s="5">
        <v>11489</v>
      </c>
      <c r="O60" s="4">
        <v>11660</v>
      </c>
      <c r="P60" s="4">
        <v>11998</v>
      </c>
      <c r="AA60" s="5"/>
      <c r="AB60" s="5"/>
      <c r="AC60" s="5"/>
      <c r="AD60" s="5"/>
    </row>
    <row r="61" spans="2:30" s="4" customFormat="1" x14ac:dyDescent="0.2">
      <c r="B61" s="4" t="s">
        <v>48</v>
      </c>
      <c r="C61" s="5"/>
      <c r="D61" s="5"/>
      <c r="E61" s="5"/>
      <c r="F61" s="5"/>
      <c r="G61" s="5"/>
      <c r="H61" s="5"/>
      <c r="I61" s="5"/>
      <c r="J61" s="5"/>
      <c r="K61" s="5">
        <v>14346</v>
      </c>
      <c r="L61" s="5">
        <v>14747</v>
      </c>
      <c r="M61" s="5">
        <v>15154</v>
      </c>
      <c r="N61" s="5">
        <v>15526</v>
      </c>
      <c r="O61" s="4">
        <v>15311</v>
      </c>
      <c r="P61" s="4">
        <v>16479</v>
      </c>
      <c r="AA61" s="5"/>
      <c r="AB61" s="5"/>
      <c r="AC61" s="5"/>
      <c r="AD61" s="5"/>
    </row>
    <row r="62" spans="2:30" s="4" customFormat="1" x14ac:dyDescent="0.2">
      <c r="B62" s="4" t="s">
        <v>47</v>
      </c>
      <c r="C62" s="5"/>
      <c r="D62" s="5"/>
      <c r="E62" s="5"/>
      <c r="F62" s="5"/>
      <c r="G62" s="5"/>
      <c r="H62" s="5"/>
      <c r="I62" s="5"/>
      <c r="J62" s="5"/>
      <c r="K62" s="5">
        <v>151978</v>
      </c>
      <c r="L62" s="5">
        <v>160010</v>
      </c>
      <c r="M62" s="5">
        <v>162924</v>
      </c>
      <c r="N62" s="5">
        <v>166542</v>
      </c>
      <c r="O62" s="4">
        <v>173566</v>
      </c>
      <c r="P62" s="4">
        <v>183136</v>
      </c>
      <c r="AA62" s="5"/>
      <c r="AB62" s="5"/>
      <c r="AC62" s="5"/>
      <c r="AD62" s="5"/>
    </row>
    <row r="63" spans="2:30" s="6" customFormat="1" x14ac:dyDescent="0.2">
      <c r="B63" s="6" t="s">
        <v>71</v>
      </c>
      <c r="C63" s="7"/>
      <c r="D63" s="7"/>
      <c r="E63" s="7"/>
      <c r="F63" s="7"/>
      <c r="G63" s="7"/>
      <c r="H63" s="7"/>
      <c r="I63" s="7"/>
      <c r="J63" s="7"/>
      <c r="K63" s="7">
        <f t="shared" ref="K63:L63" si="165">SUM(K54:K62)</f>
        <v>335418</v>
      </c>
      <c r="L63" s="7">
        <f t="shared" si="165"/>
        <v>340389</v>
      </c>
      <c r="M63" s="7">
        <f t="shared" ref="M63:R63" si="166">SUM(M54:M62)</f>
        <v>344607</v>
      </c>
      <c r="N63" s="7">
        <f t="shared" si="166"/>
        <v>364840</v>
      </c>
      <c r="O63" s="7">
        <f t="shared" si="166"/>
        <v>359784</v>
      </c>
      <c r="P63" s="7">
        <f t="shared" si="166"/>
        <v>364552</v>
      </c>
      <c r="Q63" s="7">
        <f t="shared" si="166"/>
        <v>0</v>
      </c>
      <c r="R63" s="7">
        <f t="shared" si="166"/>
        <v>0</v>
      </c>
      <c r="S63" s="7"/>
      <c r="T63" s="7"/>
      <c r="U63" s="7"/>
      <c r="V63" s="7"/>
      <c r="AA63" s="7"/>
      <c r="AB63" s="7"/>
      <c r="AC63" s="7"/>
      <c r="AD63" s="7"/>
    </row>
    <row r="65" spans="2:30" s="4" customFormat="1" x14ac:dyDescent="0.2">
      <c r="B65" s="4" t="s">
        <v>49</v>
      </c>
      <c r="C65" s="5"/>
      <c r="D65" s="5"/>
      <c r="E65" s="5"/>
      <c r="F65" s="5"/>
      <c r="G65" s="5"/>
      <c r="H65" s="5"/>
      <c r="I65" s="5"/>
      <c r="J65" s="5"/>
      <c r="K65" s="5">
        <f t="shared" ref="K65" si="167">K31</f>
        <v>20505</v>
      </c>
      <c r="L65" s="5">
        <f t="shared" ref="L65:R65" si="168">L31</f>
        <v>18765</v>
      </c>
      <c r="M65" s="5">
        <f t="shared" si="168"/>
        <v>16728</v>
      </c>
      <c r="N65" s="5">
        <f t="shared" si="168"/>
        <v>16740</v>
      </c>
      <c r="O65" s="5">
        <f t="shared" si="168"/>
        <v>17556</v>
      </c>
      <c r="P65" s="5">
        <f t="shared" si="168"/>
        <v>16425</v>
      </c>
      <c r="Q65" s="5">
        <f t="shared" si="168"/>
        <v>16873.388239999997</v>
      </c>
      <c r="R65" s="5">
        <f t="shared" si="168"/>
        <v>17785.505679999995</v>
      </c>
      <c r="S65" s="5"/>
      <c r="T65" s="5"/>
      <c r="U65" s="5"/>
      <c r="V65" s="5"/>
      <c r="AA65" s="5"/>
      <c r="AB65" s="5"/>
      <c r="AC65" s="5"/>
      <c r="AD65" s="5"/>
    </row>
    <row r="66" spans="2:30" s="4" customFormat="1" x14ac:dyDescent="0.2">
      <c r="B66" s="4" t="s">
        <v>50</v>
      </c>
      <c r="C66" s="5"/>
      <c r="D66" s="5"/>
      <c r="E66" s="5"/>
      <c r="F66" s="5"/>
      <c r="G66" s="5"/>
      <c r="H66" s="5"/>
      <c r="I66" s="5"/>
      <c r="J66" s="5"/>
      <c r="K66" s="5">
        <v>20505</v>
      </c>
      <c r="L66" s="5">
        <v>18765</v>
      </c>
      <c r="M66" s="5">
        <v>16728</v>
      </c>
      <c r="N66" s="5">
        <v>16740</v>
      </c>
      <c r="O66" s="4">
        <v>17556</v>
      </c>
      <c r="P66" s="4">
        <v>16425</v>
      </c>
      <c r="AA66" s="5"/>
      <c r="AB66" s="5"/>
      <c r="AC66" s="5"/>
      <c r="AD66" s="5"/>
    </row>
    <row r="67" spans="2:30" s="4" customFormat="1" x14ac:dyDescent="0.2">
      <c r="B67" s="4" t="s">
        <v>52</v>
      </c>
      <c r="C67" s="5"/>
      <c r="D67" s="5"/>
      <c r="E67" s="5"/>
      <c r="F67" s="5"/>
      <c r="G67" s="5"/>
      <c r="H67" s="5"/>
      <c r="I67" s="5"/>
      <c r="J67" s="5"/>
      <c r="K67" s="5">
        <v>3212</v>
      </c>
      <c r="L67" s="5">
        <v>3496</v>
      </c>
      <c r="M67" s="5">
        <v>3773</v>
      </c>
      <c r="N67" s="5">
        <v>3979</v>
      </c>
      <c r="O67" s="4">
        <v>2790</v>
      </c>
      <c r="P67" s="4">
        <v>3648</v>
      </c>
      <c r="AA67" s="5"/>
      <c r="AB67" s="5"/>
      <c r="AC67" s="5"/>
      <c r="AD67" s="5"/>
    </row>
    <row r="68" spans="2:30" s="4" customFormat="1" x14ac:dyDescent="0.2">
      <c r="B68" s="4" t="s">
        <v>53</v>
      </c>
      <c r="C68" s="5"/>
      <c r="D68" s="5"/>
      <c r="E68" s="5"/>
      <c r="F68" s="5"/>
      <c r="G68" s="5"/>
      <c r="H68" s="5"/>
      <c r="I68" s="5"/>
      <c r="J68" s="5"/>
      <c r="K68" s="5">
        <v>1702</v>
      </c>
      <c r="L68" s="5">
        <v>1897</v>
      </c>
      <c r="M68" s="5">
        <v>1906</v>
      </c>
      <c r="N68" s="5">
        <v>1997</v>
      </c>
      <c r="O68" s="4">
        <v>2192</v>
      </c>
      <c r="P68" s="4">
        <v>2538</v>
      </c>
      <c r="AA68" s="5"/>
      <c r="AB68" s="5"/>
      <c r="AC68" s="5"/>
      <c r="AD68" s="5"/>
    </row>
    <row r="69" spans="2:30" s="4" customFormat="1" x14ac:dyDescent="0.2">
      <c r="B69" s="4" t="s">
        <v>54</v>
      </c>
      <c r="C69" s="5"/>
      <c r="D69" s="5"/>
      <c r="E69" s="5"/>
      <c r="F69" s="5"/>
      <c r="G69" s="5"/>
      <c r="H69" s="5"/>
      <c r="I69" s="5"/>
      <c r="J69" s="5"/>
      <c r="K69" s="5">
        <v>-364</v>
      </c>
      <c r="L69" s="5">
        <v>-307</v>
      </c>
      <c r="M69" s="5">
        <v>105</v>
      </c>
      <c r="N69" s="5">
        <v>157</v>
      </c>
      <c r="O69" s="4">
        <v>-22</v>
      </c>
      <c r="P69" s="4">
        <v>214</v>
      </c>
      <c r="AA69" s="5"/>
      <c r="AB69" s="5"/>
      <c r="AC69" s="5"/>
      <c r="AD69" s="5"/>
    </row>
    <row r="70" spans="2:30" s="4" customFormat="1" x14ac:dyDescent="0.2">
      <c r="B70" s="4" t="s">
        <v>55</v>
      </c>
      <c r="C70" s="5"/>
      <c r="D70" s="5"/>
      <c r="E70" s="5"/>
      <c r="F70" s="5"/>
      <c r="G70" s="5"/>
      <c r="H70" s="5"/>
      <c r="I70" s="5"/>
      <c r="J70" s="5"/>
      <c r="K70" s="5">
        <v>-5970</v>
      </c>
      <c r="L70" s="5">
        <v>183</v>
      </c>
      <c r="M70" s="5">
        <v>-198</v>
      </c>
      <c r="N70" s="5">
        <v>283</v>
      </c>
      <c r="O70" s="4">
        <v>-1191</v>
      </c>
      <c r="P70" s="4">
        <v>-1305</v>
      </c>
      <c r="AA70" s="5"/>
      <c r="AB70" s="5"/>
      <c r="AC70" s="5"/>
      <c r="AD70" s="5"/>
    </row>
    <row r="71" spans="2:30" s="4" customFormat="1" x14ac:dyDescent="0.2">
      <c r="B71" s="4" t="s">
        <v>56</v>
      </c>
      <c r="C71" s="5"/>
      <c r="D71" s="5"/>
      <c r="E71" s="5"/>
      <c r="F71" s="5"/>
      <c r="G71" s="5"/>
      <c r="H71" s="5"/>
      <c r="I71" s="5"/>
      <c r="J71" s="5"/>
      <c r="K71" s="5">
        <f>10486-777+940-598-471-2885+2653-4143+250</f>
        <v>5455</v>
      </c>
      <c r="L71" s="5">
        <f>-5543+394+830-908+235-4343-2057+1745+93</f>
        <v>-9554</v>
      </c>
      <c r="M71" s="5">
        <f>857-279+91-724+520-209+1091+1287+438</f>
        <v>3072</v>
      </c>
      <c r="N71" s="5">
        <f>-12634-461-2570-575+2659+12546-991+3455+44</f>
        <v>1473</v>
      </c>
      <c r="O71" s="4">
        <f>11729-543-332-666-1567-3322+410-4024+188</f>
        <v>1873</v>
      </c>
      <c r="P71" s="4">
        <f>-3164+1305-392-65-2058-5186-2863+1819+257</f>
        <v>-10347</v>
      </c>
      <c r="AA71" s="5"/>
      <c r="AB71" s="5"/>
      <c r="AC71" s="5"/>
      <c r="AD71" s="5"/>
    </row>
    <row r="72" spans="2:30" s="4" customFormat="1" x14ac:dyDescent="0.2">
      <c r="B72" s="4" t="s">
        <v>51</v>
      </c>
      <c r="C72" s="5"/>
      <c r="D72" s="5"/>
      <c r="E72" s="5"/>
      <c r="F72" s="5"/>
      <c r="G72" s="5"/>
      <c r="H72" s="5"/>
      <c r="I72" s="5"/>
      <c r="J72" s="5"/>
      <c r="K72" s="5">
        <f t="shared" ref="K72" si="169">SUM(K66:K71)</f>
        <v>24540</v>
      </c>
      <c r="L72" s="5">
        <f t="shared" ref="L72" si="170">SUM(L66:L71)</f>
        <v>14480</v>
      </c>
      <c r="M72" s="5">
        <f t="shared" ref="M72:R72" si="171">SUM(M66:M71)</f>
        <v>25386</v>
      </c>
      <c r="N72" s="5">
        <f t="shared" si="171"/>
        <v>24629</v>
      </c>
      <c r="O72" s="5">
        <f t="shared" si="171"/>
        <v>23198</v>
      </c>
      <c r="P72" s="5">
        <f t="shared" si="171"/>
        <v>11173</v>
      </c>
      <c r="Q72" s="5">
        <f t="shared" si="171"/>
        <v>0</v>
      </c>
      <c r="R72" s="5">
        <f t="shared" si="171"/>
        <v>0</v>
      </c>
      <c r="S72" s="5"/>
      <c r="T72" s="5"/>
      <c r="U72" s="5"/>
      <c r="V72" s="5"/>
      <c r="AA72" s="5"/>
      <c r="AB72" s="5"/>
      <c r="AC72" s="5"/>
      <c r="AD72" s="5"/>
    </row>
    <row r="73" spans="2:30" s="4" customFormat="1" x14ac:dyDescent="0.2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AA73" s="5"/>
      <c r="AB73" s="5"/>
      <c r="AC73" s="5"/>
      <c r="AD73" s="5"/>
    </row>
    <row r="74" spans="2:30" s="4" customFormat="1" x14ac:dyDescent="0.2">
      <c r="B74" s="4" t="s">
        <v>58</v>
      </c>
      <c r="C74" s="5"/>
      <c r="D74" s="5"/>
      <c r="E74" s="5"/>
      <c r="F74" s="5"/>
      <c r="G74" s="5"/>
      <c r="H74" s="5"/>
      <c r="I74" s="5"/>
      <c r="J74" s="5"/>
      <c r="K74" s="5">
        <v>-5810</v>
      </c>
      <c r="L74" s="5">
        <v>-5865</v>
      </c>
      <c r="M74" s="5">
        <v>-5340</v>
      </c>
      <c r="N74" s="5">
        <v>-6871</v>
      </c>
      <c r="O74" s="4">
        <v>-6283</v>
      </c>
      <c r="P74" s="4">
        <v>-6274</v>
      </c>
      <c r="AA74" s="5"/>
      <c r="AB74" s="5"/>
      <c r="AC74" s="5"/>
      <c r="AD74" s="5"/>
    </row>
    <row r="75" spans="2:30" s="4" customFormat="1" x14ac:dyDescent="0.2">
      <c r="B75" s="4" t="s">
        <v>59</v>
      </c>
      <c r="C75" s="5"/>
      <c r="D75" s="5"/>
      <c r="E75" s="5"/>
      <c r="F75" s="5"/>
      <c r="G75" s="5"/>
      <c r="H75" s="5"/>
      <c r="I75" s="5"/>
      <c r="J75" s="5"/>
      <c r="K75" s="5">
        <v>-1206</v>
      </c>
      <c r="L75" s="5">
        <v>-850</v>
      </c>
      <c r="M75" s="5">
        <v>-18719</v>
      </c>
      <c r="N75" s="5">
        <v>-1263</v>
      </c>
      <c r="O75" s="4">
        <v>-349</v>
      </c>
      <c r="P75" s="4">
        <v>-679</v>
      </c>
      <c r="AA75" s="5"/>
      <c r="AB75" s="5"/>
      <c r="AC75" s="5"/>
      <c r="AD75" s="5"/>
    </row>
    <row r="76" spans="2:30" s="4" customFormat="1" x14ac:dyDescent="0.2">
      <c r="B76" s="4" t="s">
        <v>60</v>
      </c>
      <c r="C76" s="5"/>
      <c r="D76" s="5"/>
      <c r="E76" s="5"/>
      <c r="F76" s="5"/>
      <c r="G76" s="5"/>
      <c r="H76" s="5"/>
      <c r="I76" s="5"/>
      <c r="J76" s="5"/>
      <c r="K76" s="5">
        <f>-10309+8862+5630</f>
        <v>4183</v>
      </c>
      <c r="L76" s="5">
        <f>-2505+5253+2895</f>
        <v>5643</v>
      </c>
      <c r="M76" s="5">
        <f>-8723+1099+16693</f>
        <v>9069</v>
      </c>
      <c r="N76" s="5">
        <f>-4919+1237+3225</f>
        <v>-457</v>
      </c>
      <c r="O76" s="4">
        <f>-5013+6662+2711</f>
        <v>4360</v>
      </c>
      <c r="P76" s="4">
        <f>-11599+6928+4775</f>
        <v>104</v>
      </c>
      <c r="AA76" s="5"/>
      <c r="AB76" s="5"/>
      <c r="AC76" s="5"/>
      <c r="AD76" s="5"/>
    </row>
    <row r="77" spans="2:30" s="4" customFormat="1" x14ac:dyDescent="0.2">
      <c r="B77" s="4" t="s">
        <v>28</v>
      </c>
      <c r="C77" s="5"/>
      <c r="D77" s="5"/>
      <c r="E77" s="5"/>
      <c r="F77" s="5"/>
      <c r="G77" s="5"/>
      <c r="H77" s="5"/>
      <c r="I77" s="5"/>
      <c r="J77" s="5"/>
      <c r="K77" s="5">
        <v>-417</v>
      </c>
      <c r="L77" s="5">
        <v>-89</v>
      </c>
      <c r="M77" s="5">
        <v>-1181</v>
      </c>
      <c r="N77" s="5">
        <v>-1138</v>
      </c>
      <c r="O77" s="4">
        <v>-860</v>
      </c>
      <c r="P77" s="4">
        <v>-301</v>
      </c>
      <c r="AA77" s="5"/>
      <c r="AB77" s="5"/>
      <c r="AC77" s="5"/>
      <c r="AD77" s="5"/>
    </row>
    <row r="78" spans="2:30" s="4" customFormat="1" x14ac:dyDescent="0.2">
      <c r="B78" s="4" t="s">
        <v>57</v>
      </c>
      <c r="C78" s="5"/>
      <c r="D78" s="5"/>
      <c r="E78" s="5"/>
      <c r="F78" s="5"/>
      <c r="G78" s="5"/>
      <c r="H78" s="5"/>
      <c r="I78" s="5"/>
      <c r="J78" s="5"/>
      <c r="K78" s="5">
        <f t="shared" ref="K78:L78" si="172">SUM(K74:K77)</f>
        <v>-3250</v>
      </c>
      <c r="L78" s="5">
        <f t="shared" si="172"/>
        <v>-1161</v>
      </c>
      <c r="M78" s="5">
        <f>SUM(M74:M77)</f>
        <v>-16171</v>
      </c>
      <c r="N78" s="5">
        <f>SUM(N74:N77)</f>
        <v>-9729</v>
      </c>
      <c r="O78" s="5">
        <f>SUM(O74:O77)</f>
        <v>-3132</v>
      </c>
      <c r="P78" s="5">
        <f>SUM(P74:P77)</f>
        <v>-7150</v>
      </c>
      <c r="AA78" s="5"/>
      <c r="AB78" s="5"/>
      <c r="AC78" s="5"/>
      <c r="AD78" s="5"/>
    </row>
    <row r="80" spans="2:30" s="4" customFormat="1" x14ac:dyDescent="0.2">
      <c r="B80" s="4" t="s">
        <v>61</v>
      </c>
      <c r="C80" s="5"/>
      <c r="D80" s="5"/>
      <c r="E80" s="5"/>
      <c r="F80" s="5"/>
      <c r="G80" s="5"/>
      <c r="H80" s="5"/>
      <c r="I80" s="5"/>
      <c r="J80" s="5"/>
      <c r="K80" s="5">
        <v>0</v>
      </c>
      <c r="L80" s="5">
        <v>0</v>
      </c>
      <c r="M80" s="5">
        <v>0</v>
      </c>
      <c r="N80" s="5">
        <v>0</v>
      </c>
      <c r="O80" s="4">
        <v>0</v>
      </c>
      <c r="P80" s="4">
        <v>0</v>
      </c>
      <c r="AA80" s="5"/>
      <c r="AB80" s="5"/>
      <c r="AC80" s="5"/>
      <c r="AD80" s="5"/>
    </row>
    <row r="81" spans="2:30" s="4" customFormat="1" x14ac:dyDescent="0.2">
      <c r="B81" s="4" t="s">
        <v>62</v>
      </c>
      <c r="C81" s="5"/>
      <c r="D81" s="5"/>
      <c r="E81" s="5"/>
      <c r="F81" s="5"/>
      <c r="G81" s="5"/>
      <c r="H81" s="5"/>
      <c r="I81" s="5"/>
      <c r="J81" s="5"/>
      <c r="K81" s="5">
        <v>-4826</v>
      </c>
      <c r="L81" s="5">
        <v>0</v>
      </c>
      <c r="M81" s="5">
        <v>-4197</v>
      </c>
      <c r="N81" s="5">
        <v>0</v>
      </c>
      <c r="O81" s="4">
        <v>-1000</v>
      </c>
      <c r="P81" s="4">
        <v>-750</v>
      </c>
      <c r="AA81" s="5"/>
      <c r="AB81" s="5"/>
      <c r="AC81" s="5"/>
      <c r="AD81" s="5"/>
    </row>
    <row r="82" spans="2:30" s="4" customFormat="1" x14ac:dyDescent="0.2">
      <c r="B82" s="4" t="s">
        <v>63</v>
      </c>
      <c r="C82" s="5"/>
      <c r="D82" s="5"/>
      <c r="E82" s="5"/>
      <c r="F82" s="5"/>
      <c r="G82" s="5"/>
      <c r="H82" s="5"/>
      <c r="I82" s="5"/>
      <c r="J82" s="5"/>
      <c r="K82" s="5">
        <f>612-7684</f>
        <v>-7072</v>
      </c>
      <c r="L82" s="5">
        <f>291-7433</f>
        <v>-7142</v>
      </c>
      <c r="M82" s="5">
        <f>477-8822</f>
        <v>-8345</v>
      </c>
      <c r="N82" s="5">
        <f>-8757+461</f>
        <v>-8296</v>
      </c>
      <c r="O82" s="4">
        <f>575-5573</f>
        <v>-4998</v>
      </c>
      <c r="P82" s="4">
        <f>243-5459</f>
        <v>-5216</v>
      </c>
      <c r="AA82" s="5"/>
      <c r="AB82" s="5"/>
      <c r="AC82" s="5"/>
      <c r="AD82" s="5"/>
    </row>
    <row r="83" spans="2:30" s="4" customFormat="1" x14ac:dyDescent="0.2">
      <c r="B83" s="4" t="s">
        <v>64</v>
      </c>
      <c r="C83" s="5"/>
      <c r="D83" s="5"/>
      <c r="E83" s="5"/>
      <c r="F83" s="5"/>
      <c r="G83" s="5"/>
      <c r="H83" s="5"/>
      <c r="I83" s="5"/>
      <c r="J83" s="5"/>
      <c r="K83" s="5">
        <v>-4206</v>
      </c>
      <c r="L83" s="5">
        <v>-4652</v>
      </c>
      <c r="M83" s="5">
        <v>-4645</v>
      </c>
      <c r="N83" s="5">
        <v>-4632</v>
      </c>
      <c r="O83" s="4">
        <v>-4621</v>
      </c>
      <c r="P83" s="4">
        <v>-5066</v>
      </c>
      <c r="AA83" s="5"/>
      <c r="AB83" s="5"/>
      <c r="AC83" s="5"/>
      <c r="AD83" s="5"/>
    </row>
    <row r="84" spans="2:30" s="4" customFormat="1" x14ac:dyDescent="0.2">
      <c r="B84" s="4" t="s">
        <v>28</v>
      </c>
      <c r="C84" s="5"/>
      <c r="D84" s="5"/>
      <c r="E84" s="5"/>
      <c r="F84" s="5"/>
      <c r="G84" s="5"/>
      <c r="H84" s="5"/>
      <c r="I84" s="5"/>
      <c r="J84" s="5"/>
      <c r="K84" s="5">
        <v>-172</v>
      </c>
      <c r="L84" s="5">
        <v>-192</v>
      </c>
      <c r="M84" s="5">
        <v>-158</v>
      </c>
      <c r="N84" s="5">
        <v>-341</v>
      </c>
      <c r="O84" s="4">
        <v>-264</v>
      </c>
      <c r="P84" s="4">
        <v>-317</v>
      </c>
      <c r="AA84" s="5"/>
      <c r="AB84" s="5"/>
      <c r="AC84" s="5"/>
      <c r="AD84" s="5"/>
    </row>
    <row r="85" spans="2:30" s="4" customFormat="1" x14ac:dyDescent="0.2">
      <c r="B85" s="4" t="s">
        <v>65</v>
      </c>
      <c r="C85" s="5"/>
      <c r="D85" s="5"/>
      <c r="E85" s="5"/>
      <c r="F85" s="5"/>
      <c r="G85" s="5"/>
      <c r="H85" s="5"/>
      <c r="I85" s="5"/>
      <c r="J85" s="5"/>
      <c r="K85" s="5">
        <f t="shared" ref="K85" si="173">SUM(K80:K84)</f>
        <v>-16276</v>
      </c>
      <c r="L85" s="5">
        <f>SUM(L80:L84)</f>
        <v>-11986</v>
      </c>
      <c r="M85" s="5">
        <f>SUM(M80:M84)</f>
        <v>-17345</v>
      </c>
      <c r="N85" s="5">
        <f>SUM(N80:N84)</f>
        <v>-13269</v>
      </c>
      <c r="O85" s="5">
        <f>SUM(O80:O84)</f>
        <v>-10883</v>
      </c>
      <c r="P85" s="5">
        <f>SUM(P80:P84)</f>
        <v>-11349</v>
      </c>
      <c r="AA85" s="5"/>
      <c r="AB85" s="5"/>
      <c r="AC85" s="5"/>
      <c r="AD85" s="5"/>
    </row>
    <row r="86" spans="2:30" x14ac:dyDescent="0.2">
      <c r="B86" s="4" t="s">
        <v>66</v>
      </c>
      <c r="K86" s="2">
        <v>-73</v>
      </c>
      <c r="L86" s="2">
        <v>106</v>
      </c>
      <c r="M86" s="2">
        <v>24</v>
      </c>
      <c r="N86" s="2">
        <v>-198</v>
      </c>
      <c r="O86" s="4">
        <v>-230</v>
      </c>
      <c r="P86" s="4">
        <v>88</v>
      </c>
    </row>
    <row r="87" spans="2:30" x14ac:dyDescent="0.2">
      <c r="B87" s="4" t="s">
        <v>67</v>
      </c>
      <c r="K87" s="5">
        <f t="shared" ref="K87" si="174">K85+K86+K78+K72</f>
        <v>4941</v>
      </c>
      <c r="L87" s="5">
        <f>L85+L86+L78+L72</f>
        <v>1439</v>
      </c>
      <c r="M87" s="5">
        <f>M85+M86+M78+M72</f>
        <v>-8106</v>
      </c>
      <c r="N87" s="5">
        <f>N85+N86+N78+N72</f>
        <v>1433</v>
      </c>
      <c r="O87" s="5">
        <f>O85+O86+O78+O72</f>
        <v>8953</v>
      </c>
      <c r="P87" s="5">
        <f>P85+P86+P78+P72</f>
        <v>-7238</v>
      </c>
    </row>
    <row r="89" spans="2:30" x14ac:dyDescent="0.2">
      <c r="B89" s="4" t="s">
        <v>72</v>
      </c>
      <c r="K89" s="5">
        <f t="shared" ref="K89" si="175">K72+K74</f>
        <v>18730</v>
      </c>
      <c r="L89" s="5">
        <f>L72+L74</f>
        <v>8615</v>
      </c>
      <c r="M89" s="5">
        <f t="shared" ref="M89:N89" si="176">M72+M74</f>
        <v>20046</v>
      </c>
      <c r="N89" s="5">
        <f t="shared" si="176"/>
        <v>17758</v>
      </c>
      <c r="O89" s="5">
        <f>O72+O74</f>
        <v>16915</v>
      </c>
      <c r="P89" s="5">
        <f>P72+P74</f>
        <v>4899</v>
      </c>
    </row>
    <row r="90" spans="2:30" x14ac:dyDescent="0.2">
      <c r="B90" s="4" t="s">
        <v>103</v>
      </c>
      <c r="L90" s="5"/>
      <c r="N90" s="4">
        <f>SUM(K89:N89)</f>
        <v>65149</v>
      </c>
      <c r="O90" s="4">
        <f>SUM(L89:O89)</f>
        <v>63334</v>
      </c>
      <c r="P90" s="4">
        <f>SUM(M89:P89)</f>
        <v>59618</v>
      </c>
    </row>
  </sheetData>
  <hyperlinks>
    <hyperlink ref="A1" location="Main!A1" display="Main" xr:uid="{55B5032E-1DFB-40E9-9828-DF68BA8D1ADB}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2022-07-14T12:26:44Z</dcterms:created>
  <dcterms:modified xsi:type="dcterms:W3CDTF">2023-04-25T18:27:05Z</dcterms:modified>
</cp:coreProperties>
</file>