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DA8EA60-F138-4086-B56E-850A196E80E1}" xr6:coauthVersionLast="47" xr6:coauthVersionMax="47" xr10:uidLastSave="{00000000-0000-0000-0000-000000000000}"/>
  <bookViews>
    <workbookView xWindow="-23535" yWindow="1920" windowWidth="22185" windowHeight="1596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G427" i="1" l="1"/>
  <c r="J427" i="1"/>
  <c r="F427" i="1" s="1"/>
  <c r="G430" i="1"/>
  <c r="J430" i="1"/>
  <c r="F430" i="1" s="1"/>
  <c r="G425" i="1"/>
  <c r="J425" i="1"/>
  <c r="F425" i="1" s="1"/>
  <c r="J107" i="1"/>
  <c r="H427" i="1" l="1"/>
  <c r="H430" i="1"/>
  <c r="H425" i="1"/>
  <c r="G118" i="1"/>
  <c r="J118" i="1"/>
  <c r="F118" i="1" s="1"/>
  <c r="H118" i="1" l="1"/>
  <c r="G87" i="1"/>
  <c r="J87" i="1"/>
  <c r="F87" i="1" s="1"/>
  <c r="H87" i="1" l="1"/>
  <c r="J6" i="12"/>
  <c r="G431" i="1" l="1"/>
  <c r="J431" i="1"/>
  <c r="F431" i="1" s="1"/>
  <c r="H431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1" i="1"/>
  <c r="J251" i="1"/>
  <c r="F251" i="1" s="1"/>
  <c r="G107" i="1"/>
  <c r="F107" i="1"/>
  <c r="H107" i="1" l="1"/>
  <c r="H251" i="1"/>
  <c r="G100" i="1" l="1"/>
  <c r="J100" i="1"/>
  <c r="F100" i="1" s="1"/>
  <c r="H100" i="1" l="1"/>
  <c r="G245" i="1" l="1"/>
  <c r="J245" i="1"/>
  <c r="F245" i="1" s="1"/>
  <c r="H245" i="1" l="1"/>
  <c r="G99" i="1"/>
  <c r="J99" i="1"/>
  <c r="F99" i="1" s="1"/>
  <c r="H99" i="1" l="1"/>
  <c r="G96" i="1"/>
  <c r="J96" i="1"/>
  <c r="F96" i="1" s="1"/>
  <c r="H96" i="1" l="1"/>
  <c r="G109" i="1"/>
  <c r="J109" i="1"/>
  <c r="F10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6" i="1"/>
  <c r="J316" i="1"/>
  <c r="F316" i="1" s="1"/>
  <c r="H219" i="1" l="1"/>
  <c r="H316" i="1"/>
  <c r="G215" i="1"/>
  <c r="J215" i="1"/>
  <c r="F215" i="1" s="1"/>
  <c r="H215" i="1" l="1"/>
  <c r="G426" i="1"/>
  <c r="J426" i="1"/>
  <c r="F426" i="1" s="1"/>
  <c r="H426" i="1" l="1"/>
  <c r="G429" i="1"/>
  <c r="J429" i="1"/>
  <c r="F429" i="1" s="1"/>
  <c r="G317" i="1"/>
  <c r="J317" i="1"/>
  <c r="F317" i="1" s="1"/>
  <c r="G110" i="1"/>
  <c r="J110" i="1"/>
  <c r="F110" i="1" s="1"/>
  <c r="H110" i="1" l="1"/>
  <c r="H317" i="1"/>
  <c r="H429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19" i="1" l="1"/>
  <c r="F119" i="1"/>
  <c r="H119" i="1" l="1"/>
  <c r="G324" i="1" l="1"/>
  <c r="J324" i="1"/>
  <c r="F324" i="1" s="1"/>
  <c r="H324" i="1" l="1"/>
  <c r="G63" i="1"/>
  <c r="J63" i="1"/>
  <c r="F63" i="1" s="1"/>
  <c r="I116" i="1"/>
  <c r="K116" i="1"/>
  <c r="H63" i="1" l="1"/>
  <c r="G117" i="1"/>
  <c r="J117" i="1"/>
  <c r="F117" i="1" s="1"/>
  <c r="H109" i="1"/>
  <c r="H117" i="1" l="1"/>
  <c r="G120" i="1"/>
  <c r="J120" i="1"/>
  <c r="F120" i="1" s="1"/>
  <c r="G54" i="1"/>
  <c r="J54" i="1"/>
  <c r="F54" i="1" s="1"/>
  <c r="H120" i="1" l="1"/>
  <c r="H54" i="1"/>
  <c r="G227" i="1"/>
  <c r="J227" i="1"/>
  <c r="F227" i="1" s="1"/>
  <c r="H227" i="1" l="1"/>
  <c r="G322" i="1" l="1"/>
  <c r="J322" i="1"/>
  <c r="F322" i="1" s="1"/>
  <c r="G89" i="1"/>
  <c r="H322" i="1" l="1"/>
  <c r="J89" i="1"/>
  <c r="F89" i="1" s="1"/>
  <c r="H89" i="1" s="1"/>
  <c r="G212" i="1"/>
  <c r="J212" i="1"/>
  <c r="F212" i="1" s="1"/>
  <c r="H212" i="1" l="1"/>
  <c r="G319" i="1" l="1"/>
  <c r="J319" i="1"/>
  <c r="F319" i="1" s="1"/>
  <c r="G84" i="1"/>
  <c r="J84" i="1"/>
  <c r="F84" i="1" s="1"/>
  <c r="H319" i="1" l="1"/>
  <c r="H84" i="1"/>
  <c r="G214" i="1"/>
  <c r="J214" i="1"/>
  <c r="F214" i="1" s="1"/>
  <c r="H214" i="1" l="1"/>
  <c r="G321" i="1" l="1"/>
  <c r="J321" i="1"/>
  <c r="F321" i="1" s="1"/>
  <c r="H321" i="1" l="1"/>
  <c r="G101" i="1"/>
  <c r="J101" i="1"/>
  <c r="F101" i="1" s="1"/>
  <c r="H101" i="1" l="1"/>
  <c r="J121" i="1" l="1"/>
  <c r="F121" i="1" s="1"/>
  <c r="G121" i="1"/>
  <c r="H121" i="1" l="1"/>
  <c r="J103" i="1"/>
  <c r="F103" i="1" s="1"/>
  <c r="G103" i="1"/>
  <c r="G252" i="1"/>
  <c r="J252" i="1"/>
  <c r="F252" i="1" s="1"/>
  <c r="H103" i="1" l="1"/>
  <c r="H252" i="1"/>
  <c r="P5" i="1"/>
  <c r="O5" i="1"/>
  <c r="L5" i="1"/>
  <c r="M5" i="1" s="1"/>
  <c r="G80" i="1" l="1"/>
  <c r="J80" i="1"/>
  <c r="F80" i="1" s="1"/>
  <c r="H80" i="1" l="1"/>
  <c r="G223" i="1"/>
  <c r="J223" i="1"/>
  <c r="F223" i="1" s="1"/>
  <c r="G320" i="1"/>
  <c r="J320" i="1"/>
  <c r="F320" i="1" s="1"/>
  <c r="H223" i="1" l="1"/>
  <c r="H320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5" i="1"/>
  <c r="J115" i="1" l="1"/>
  <c r="F115" i="1" s="1"/>
  <c r="H115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10" i="1" l="1"/>
  <c r="J210" i="1"/>
  <c r="F210" i="1" s="1"/>
  <c r="H210" i="1" l="1"/>
  <c r="G21" i="1"/>
  <c r="G8" i="1" l="1"/>
  <c r="G16" i="1" l="1"/>
  <c r="I14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8" i="1" l="1"/>
  <c r="F428" i="1" s="1"/>
  <c r="G428" i="1"/>
  <c r="H428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59" i="1"/>
  <c r="J159" i="1"/>
  <c r="F159" i="1" s="1"/>
  <c r="G158" i="1"/>
  <c r="J158" i="1"/>
  <c r="F158" i="1" s="1"/>
  <c r="H159" i="1" l="1"/>
  <c r="H158" i="1"/>
  <c r="J112" i="1"/>
  <c r="F112" i="1" s="1"/>
  <c r="G112" i="1"/>
  <c r="F12" i="5" a="1"/>
  <c r="F12" i="5" s="1"/>
  <c r="G318" i="1"/>
  <c r="J318" i="1"/>
  <c r="F318" i="1" s="1"/>
  <c r="G323" i="1"/>
  <c r="J323" i="1"/>
  <c r="E323" i="1"/>
  <c r="H112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0" i="1"/>
  <c r="F160" i="1" s="1"/>
  <c r="G160" i="1"/>
  <c r="H160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1" i="1"/>
  <c r="G48" i="1" l="1"/>
  <c r="G47" i="1"/>
  <c r="J48" i="1"/>
  <c r="F48" i="1" s="1"/>
  <c r="J47" i="1"/>
  <c r="F47" i="1" s="1"/>
  <c r="G111" i="1"/>
  <c r="J111" i="1"/>
  <c r="F111" i="1" s="1"/>
  <c r="G66" i="1"/>
  <c r="J66" i="1"/>
  <c r="F66" i="1" s="1"/>
  <c r="G105" i="1"/>
  <c r="J105" i="1"/>
  <c r="F105" i="1" s="1"/>
  <c r="H111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4" i="1" l="1"/>
  <c r="J114" i="1"/>
  <c r="F114" i="1" s="1"/>
  <c r="H114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5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1" i="1" l="1"/>
  <c r="J11" i="1"/>
  <c r="F11" i="1" s="1"/>
  <c r="H11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B10" i="1" s="1"/>
  <c r="F46" i="1"/>
  <c r="H46" i="1" s="1"/>
  <c r="H65" i="1" l="1"/>
  <c r="J36" i="1"/>
  <c r="F36" i="1" s="1"/>
  <c r="G36" i="1"/>
  <c r="F29" i="1"/>
  <c r="H29" i="1" s="1"/>
  <c r="G14" i="1"/>
  <c r="J14" i="1"/>
  <c r="F14" i="1" s="1"/>
  <c r="G13" i="1"/>
  <c r="J13" i="1"/>
  <c r="F13" i="1" s="1"/>
  <c r="H36" i="1" l="1"/>
  <c r="H14" i="1"/>
  <c r="H13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3" i="1"/>
  <c r="F113" i="1" s="1"/>
  <c r="G113" i="1"/>
  <c r="G157" i="1"/>
  <c r="J157" i="1"/>
  <c r="F157" i="1" s="1"/>
  <c r="H217" i="1" l="1"/>
  <c r="H157" i="1"/>
  <c r="H113" i="1"/>
  <c r="J28" i="1"/>
  <c r="F28" i="1" s="1"/>
  <c r="H28" i="1" s="1"/>
  <c r="J27" i="1"/>
  <c r="F27" i="1" s="1"/>
  <c r="H27" i="1" s="1"/>
  <c r="J24" i="1"/>
  <c r="J25" i="1" s="1"/>
  <c r="G240" i="1" l="1"/>
  <c r="J240" i="1"/>
  <c r="F240" i="1" s="1"/>
  <c r="G93" i="1"/>
  <c r="J93" i="1"/>
  <c r="F93" i="1" s="1"/>
  <c r="H93" i="1" l="1"/>
  <c r="H240" i="1"/>
  <c r="J98" i="1"/>
  <c r="F98" i="1" s="1"/>
  <c r="H98" i="1" s="1"/>
  <c r="J59" i="1" l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0" i="1" l="1"/>
  <c r="G19" i="1" l="1"/>
  <c r="J19" i="1"/>
  <c r="F19" i="1" s="1"/>
  <c r="J10" i="1" l="1"/>
  <c r="F10" i="1" l="1"/>
  <c r="F25" i="1" l="1"/>
  <c r="F24" i="1"/>
  <c r="K25" i="1"/>
  <c r="K2" i="1" s="1"/>
  <c r="G20" i="1" l="1"/>
  <c r="F37" i="1"/>
  <c r="J20" i="1"/>
  <c r="F20" i="1" s="1"/>
  <c r="H20" i="1" l="1"/>
  <c r="G246" i="1"/>
  <c r="J246" i="1"/>
  <c r="F246" i="1" s="1"/>
  <c r="G86" i="1"/>
  <c r="J86" i="1"/>
  <c r="F86" i="1" s="1"/>
  <c r="H86" i="1" l="1"/>
  <c r="H24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2" i="1" l="1"/>
  <c r="J12" i="1" l="1"/>
  <c r="F12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2" i="1"/>
  <c r="G22" i="1"/>
  <c r="H211" i="1" l="1"/>
  <c r="H22" i="1"/>
  <c r="G242" i="1"/>
  <c r="F242" i="1"/>
  <c r="H37" i="1" l="1"/>
  <c r="H242" i="1"/>
  <c r="G90" i="1"/>
  <c r="H90" i="1" l="1"/>
  <c r="F7" i="1"/>
  <c r="G52" i="1" l="1"/>
  <c r="H52" i="1" l="1"/>
  <c r="G250" i="1"/>
  <c r="F250" i="1"/>
  <c r="G249" i="1"/>
  <c r="F249" i="1"/>
  <c r="G248" i="1"/>
  <c r="F248" i="1"/>
  <c r="G247" i="1"/>
  <c r="F247" i="1"/>
  <c r="G244" i="1"/>
  <c r="F244" i="1"/>
  <c r="G243" i="1"/>
  <c r="F243" i="1"/>
  <c r="G241" i="1"/>
  <c r="F241" i="1"/>
  <c r="G239" i="1"/>
  <c r="F239" i="1"/>
  <c r="H5" i="1"/>
  <c r="H7" i="1"/>
  <c r="F2" i="1" l="1"/>
  <c r="H249" i="1"/>
  <c r="H25" i="1"/>
  <c r="H10" i="1"/>
  <c r="H248" i="1"/>
  <c r="H250" i="1"/>
  <c r="H17" i="1"/>
  <c r="H243" i="1"/>
  <c r="H24" i="1"/>
  <c r="H244" i="1"/>
  <c r="H15" i="1"/>
  <c r="H239" i="1"/>
  <c r="H241" i="1"/>
  <c r="H12" i="1"/>
  <c r="H19" i="1"/>
  <c r="H247" i="1"/>
  <c r="H4" i="1" l="1"/>
  <c r="B3" i="5" l="1"/>
  <c r="B11" i="1" l="1"/>
  <c r="B12" i="1" s="1"/>
  <c r="B13" i="1" s="1"/>
  <c r="B14" i="1" s="1"/>
  <c r="B15" i="1" s="1"/>
  <c r="B16" i="1" l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2" i="1" s="1"/>
  <c r="B113" i="1" s="1"/>
  <c r="B114" i="1" s="1"/>
  <c r="B115" i="1" s="1"/>
  <c r="B116" i="1" s="1"/>
  <c r="B117" i="1" s="1"/>
  <c r="B111" i="1" l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18" i="1"/>
  <c r="B10" i="5" l="1"/>
  <c r="B138" i="1"/>
  <c r="B139" i="1" l="1"/>
  <c r="B140" i="1" s="1"/>
  <c r="B142" i="1" l="1"/>
  <c r="B143" i="1" s="1"/>
  <c r="B144" i="1" s="1"/>
  <c r="B141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8" i="1" s="1"/>
  <c r="B426" i="1" s="1"/>
  <c r="B429" i="1" s="1"/>
  <c r="B431" i="1" s="1"/>
  <c r="B432" i="1" s="1"/>
  <c r="B433" i="1" s="1"/>
  <c r="B434" i="1" s="1"/>
  <c r="B435" i="1" s="1"/>
  <c r="B436" i="1" s="1"/>
  <c r="B437" i="1" s="1"/>
  <c r="B438" i="1" s="1"/>
  <c r="B425" i="1" l="1"/>
  <c r="B430" i="1" s="1"/>
  <c r="B427" i="1"/>
  <c r="B1" i="1"/>
  <c r="A28" i="6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<sst xmlns="http://schemas.openxmlformats.org/spreadsheetml/2006/main" count="2329" uniqueCount="1617">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</sst>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theme" Target="theme/theme1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styles" Target="styles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2" Type="http://schemas.openxmlformats.org/officeDocument/2006/relationships/sharedStrings" Target="sharedStrings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sheetMetadata" Target="metadata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calcChain" Target="calcChain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 refreshError="1"/>
      <sheetData sheetId="1" refreshError="1"/>
      <sheetData sheetId="2" refreshError="1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3120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8"/>
  <sheetViews>
    <sheetView tabSelected="1" zoomScale="160" zoomScaleNormal="160" workbookViewId="0">
      <pane xSplit="3" ySplit="3" topLeftCell="D198" activePane="bottomRight" state="frozen"/>
      <selection pane="topRight" activeCell="C1" sqref="C1"/>
      <selection pane="bottomLeft" activeCell="A4" sqref="A4"/>
      <selection pane="bottomRight" activeCell="C210" sqref="C210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RANDBETWEEN(1,B240)</f>
        <v>187</v>
      </c>
    </row>
    <row r="2" spans="1:30" x14ac:dyDescent="0.2">
      <c r="F2" s="6">
        <f>SUM(F4:F453)-F5-F13-F10-F17-F24-F27-F47-F55</f>
        <v>5741383.6127859326</v>
      </c>
      <c r="K2" s="9">
        <f>MIN(K4:K91)</f>
        <v>45530</v>
      </c>
      <c r="Q2" s="57" t="s">
        <v>312</v>
      </c>
      <c r="R2" s="57"/>
      <c r="S2" s="57"/>
      <c r="T2" s="57"/>
      <c r="U2" s="57"/>
      <c r="V2" s="57"/>
      <c r="W2" s="57" t="s">
        <v>311</v>
      </c>
      <c r="X2" s="57"/>
      <c r="Y2" s="57"/>
      <c r="Z2" s="57"/>
      <c r="AA2" s="57"/>
      <c r="AB2" s="57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E7*[3]Main!$R$3</f>
        <v>390620.15999999997</v>
      </c>
      <c r="G7" s="6">
        <f>+[3]Main!$R$5-[3]Main!$R$6</f>
        <v>-16016</v>
      </c>
      <c r="H7" s="6">
        <f>F7-G7</f>
        <v>406636.16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29</v>
      </c>
      <c r="D10" s="1" t="s">
        <v>30</v>
      </c>
      <c r="E10" s="7">
        <v>117.76</v>
      </c>
      <c r="F10" s="6">
        <f>+E10*J10</f>
        <v>240936.96000000002</v>
      </c>
      <c r="G10" s="6">
        <f>+[6]Main!$K$6-[6]Main!$K$7</f>
        <v>-18800</v>
      </c>
      <c r="H10" s="6">
        <f t="shared" ref="H10:H15" si="1">F10-G10</f>
        <v>259736.96000000002</v>
      </c>
      <c r="I10" s="3" t="s">
        <v>1074</v>
      </c>
      <c r="J10" s="6">
        <f>+[6]Main!$K$4</f>
        <v>2046</v>
      </c>
      <c r="K10" s="9">
        <v>45578</v>
      </c>
    </row>
    <row r="11" spans="1:30" x14ac:dyDescent="0.2">
      <c r="A11"/>
      <c r="B11" s="1">
        <f>+B10</f>
        <v>6</v>
      </c>
      <c r="C11" s="5" t="s">
        <v>29</v>
      </c>
      <c r="D11" t="s">
        <v>422</v>
      </c>
      <c r="E11" s="21">
        <v>100.4</v>
      </c>
      <c r="F11" s="6">
        <f>+E11*J11/CHF</f>
        <v>241668.70588235298</v>
      </c>
      <c r="G11" s="6">
        <f>+[6]Main!$K$6-[6]Main!$K$7</f>
        <v>-18800</v>
      </c>
      <c r="H11" s="6">
        <f t="shared" si="1"/>
        <v>260468.70588235298</v>
      </c>
      <c r="I11" s="3" t="s">
        <v>1074</v>
      </c>
      <c r="J11" s="6">
        <f>+[6]Main!$K$4</f>
        <v>2046</v>
      </c>
      <c r="K11" s="9">
        <f>+K10</f>
        <v>45578</v>
      </c>
    </row>
    <row r="12" spans="1:30" x14ac:dyDescent="0.2">
      <c r="A12"/>
      <c r="B12" s="1">
        <f>+B11+1</f>
        <v>7</v>
      </c>
      <c r="C12" s="5" t="s">
        <v>21</v>
      </c>
      <c r="D12" s="1" t="s">
        <v>22</v>
      </c>
      <c r="E12" s="21">
        <v>282.89999999999998</v>
      </c>
      <c r="F12" s="6">
        <f>+J12*E12</f>
        <v>226434.00869999998</v>
      </c>
      <c r="G12" s="6">
        <f>+[7]Main!$J$5-[7]Main!$J$6</f>
        <v>-18699</v>
      </c>
      <c r="H12" s="6">
        <f t="shared" si="1"/>
        <v>245133.00869999998</v>
      </c>
      <c r="I12" s="3" t="s">
        <v>1117</v>
      </c>
      <c r="J12" s="6">
        <f>+[7]Main!$J$3</f>
        <v>800.40300000000002</v>
      </c>
      <c r="K12" s="9">
        <v>45618</v>
      </c>
      <c r="L12" s="9"/>
      <c r="M12" s="9"/>
      <c r="N12" s="9"/>
      <c r="O12" s="9"/>
      <c r="P12" s="9"/>
      <c r="AC12" s="1">
        <v>1896</v>
      </c>
    </row>
    <row r="13" spans="1:30" x14ac:dyDescent="0.2">
      <c r="A13"/>
      <c r="B13" s="1">
        <f>+B12+1</f>
        <v>8</v>
      </c>
      <c r="C13" s="5" t="s">
        <v>37</v>
      </c>
      <c r="D13" s="1" t="s">
        <v>38</v>
      </c>
      <c r="E13" s="7">
        <v>64</v>
      </c>
      <c r="F13" s="6">
        <f>+E13*J13*2</f>
        <v>399360</v>
      </c>
      <c r="G13" s="6">
        <f>+[8]Main!$K$5-[8]Main!$K$6</f>
        <v>-26324</v>
      </c>
      <c r="H13" s="6">
        <f>F13-G13</f>
        <v>425684</v>
      </c>
      <c r="I13" s="3" t="s">
        <v>1074</v>
      </c>
      <c r="J13" s="6">
        <f>+[8]Main!$K$3</f>
        <v>3120</v>
      </c>
      <c r="K13" s="9">
        <v>45608</v>
      </c>
    </row>
    <row r="14" spans="1:30" x14ac:dyDescent="0.2">
      <c r="A14"/>
      <c r="B14" s="1">
        <f>+B13</f>
        <v>8</v>
      </c>
      <c r="C14" s="5" t="s">
        <v>37</v>
      </c>
      <c r="D14" s="1" t="s">
        <v>417</v>
      </c>
      <c r="E14" s="16">
        <v>9900</v>
      </c>
      <c r="F14" s="6">
        <f>+E14*J14/100*GBP</f>
        <v>401544</v>
      </c>
      <c r="G14" s="6">
        <f>+[8]Main!$K$5-[8]Main!$K$6</f>
        <v>-26324</v>
      </c>
      <c r="H14" s="6">
        <f>F14-G14</f>
        <v>427868</v>
      </c>
      <c r="I14" s="3" t="str">
        <f>+I13</f>
        <v>Q224</v>
      </c>
      <c r="J14" s="6">
        <f>+[8]Main!$K$3</f>
        <v>3120</v>
      </c>
      <c r="K14" s="9">
        <v>45608</v>
      </c>
    </row>
    <row r="15" spans="1:30" x14ac:dyDescent="0.2">
      <c r="A15"/>
      <c r="B15" s="1">
        <f>+B14+1</f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25.11</v>
      </c>
      <c r="F16" s="6">
        <f>+J16*E16</f>
        <v>142290.71145</v>
      </c>
      <c r="G16" s="6">
        <f>+[11]Main!$K$5-[11]Main!$K$6</f>
        <v>-51202</v>
      </c>
      <c r="H16" s="6">
        <f>F16-G16</f>
        <v>193492.71145</v>
      </c>
      <c r="I16" s="3" t="s">
        <v>1074</v>
      </c>
      <c r="J16" s="6">
        <f>+[11]Main!$K$3</f>
        <v>5666.6949999999997</v>
      </c>
      <c r="K16" s="9">
        <v>45618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f>93.17/2</f>
        <v>46.585000000000001</v>
      </c>
      <c r="F17" s="6">
        <f>E17*[12]Main!$K$3*2*EUR</f>
        <v>129376.79370000001</v>
      </c>
      <c r="G17" s="6">
        <f>([13]Main!$K$5-[13]Main!$K$6)*EUR</f>
        <v>-16774.32</v>
      </c>
      <c r="H17" s="6">
        <f>F17-G17</f>
        <v>146151.11370000002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48.47</v>
      </c>
      <c r="F18" s="6">
        <f>+E18*J18*2</f>
        <v>121271.94</v>
      </c>
      <c r="G18" s="6">
        <f>([13]Main!$K$5-[13]Main!$K$6)*EUR</f>
        <v>-16774.32</v>
      </c>
      <c r="H18" s="6">
        <f>F18-G18</f>
        <v>138046.26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ref="B21:B22" si="2">+B20+1</f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45593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2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+[62]Main!$K$5-[62]Main!$K$6</f>
        <v>711</v>
      </c>
      <c r="H71" s="27">
        <f t="shared" ref="H71" si="8">+F71-G71</f>
        <v>7401</v>
      </c>
      <c r="I71" s="26" t="s">
        <v>1117</v>
      </c>
      <c r="J71" s="26">
        <f>+[62]Main!$K$3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2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+[63]Main!$L$5-[63]Main!$L$6</f>
        <v>309.9079999999999</v>
      </c>
      <c r="H72" s="6">
        <f>+F72-G72</f>
        <v>6974.3285536200001</v>
      </c>
      <c r="I72" s="9" t="s">
        <v>1074</v>
      </c>
      <c r="J72" s="6">
        <f>+[63]Main!$L$3</f>
        <v>146.21109100000001</v>
      </c>
      <c r="K72" s="9">
        <v>45539</v>
      </c>
      <c r="AC72" s="1">
        <v>1989</v>
      </c>
    </row>
    <row r="73" spans="1:30" x14ac:dyDescent="0.2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+[64]Main!$K$5-[64]Main!$K$6</f>
        <v>-1276</v>
      </c>
      <c r="H73" s="6">
        <f t="shared" ref="H73:H98" si="9">+F73-G73</f>
        <v>7018.3752022000008</v>
      </c>
      <c r="I73" s="3" t="s">
        <v>1074</v>
      </c>
      <c r="J73" s="6">
        <f>+[64]Main!$K$3</f>
        <v>221.74757500000001</v>
      </c>
      <c r="K73" s="9">
        <v>45541</v>
      </c>
    </row>
    <row r="74" spans="1:30" x14ac:dyDescent="0.2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([65]Main!$L$5-[65]Main!$L$6)/JPY</f>
        <v>2512.9707401032701</v>
      </c>
      <c r="H74" s="6">
        <f>+F74-G74</f>
        <v>6997.5919932874367</v>
      </c>
      <c r="I74" s="3" t="s">
        <v>1074</v>
      </c>
      <c r="J74" s="6">
        <f>+[65]Main!$L$3</f>
        <v>533.87796600000001</v>
      </c>
      <c r="K74" s="9">
        <v>45567</v>
      </c>
    </row>
    <row r="75" spans="1:30" x14ac:dyDescent="0.2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+[66]Main!$N$5-[66]Main!$N$6</f>
        <v>-3514.8</v>
      </c>
      <c r="H75" s="6">
        <f>+F75-G75</f>
        <v>6992.0290048199995</v>
      </c>
      <c r="I75" s="3" t="s">
        <v>1074</v>
      </c>
      <c r="J75" s="6">
        <f>+[66]Main!$N$3</f>
        <v>136.41541799999999</v>
      </c>
      <c r="K75" s="9">
        <v>45566</v>
      </c>
    </row>
    <row r="76" spans="1:30" x14ac:dyDescent="0.2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+[67]Main!$L$5-[67]Main!$L$6</f>
        <v>1024.6570000000002</v>
      </c>
      <c r="H76" s="6">
        <f>+F76-G76</f>
        <v>6594.9849617500004</v>
      </c>
      <c r="I76" s="3" t="s">
        <v>1074</v>
      </c>
      <c r="J76" s="6">
        <f>+[67]Main!$L$3</f>
        <v>105.66692500000001</v>
      </c>
      <c r="K76" s="9">
        <v>45545</v>
      </c>
    </row>
    <row r="77" spans="1:30" x14ac:dyDescent="0.2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+[68]Main!$K$5-[68]Main!$K$6</f>
        <v>707.18499999999995</v>
      </c>
      <c r="H77" s="6">
        <f>+F77-G77</f>
        <v>5961.7598810399995</v>
      </c>
      <c r="I77" s="3" t="s">
        <v>1074</v>
      </c>
      <c r="J77" s="6">
        <f>+[68]Main!$K$3</f>
        <v>117.659578</v>
      </c>
      <c r="K77" s="9">
        <v>45570</v>
      </c>
    </row>
    <row r="78" spans="1:30" x14ac:dyDescent="0.2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1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9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2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2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2">
      <c r="B89" s="1">
        <f t="shared" ref="B89:B132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2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2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2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2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2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2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2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2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2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2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2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2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2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2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2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5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2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2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2">
      <c r="B107" s="1">
        <f t="shared" si="12"/>
        <v>97</v>
      </c>
      <c r="C107" s="5" t="s">
        <v>1299</v>
      </c>
      <c r="D107" t="s">
        <v>1300</v>
      </c>
      <c r="E107" s="7">
        <v>11.71</v>
      </c>
      <c r="F107" s="6">
        <f>+E107*[98]Main!$K$3</f>
        <v>1861.7026400000002</v>
      </c>
      <c r="G107" s="6">
        <f>+[98]Main!$K$5-[98]Main!$K$6</f>
        <v>371.63900000000001</v>
      </c>
      <c r="H107" s="6">
        <f>+F107-G107</f>
        <v>1490.0636400000003</v>
      </c>
      <c r="I107" s="3" t="s">
        <v>1074</v>
      </c>
      <c r="J107" s="6">
        <f>+[98]Main!$K$3</f>
        <v>158.98400000000001</v>
      </c>
      <c r="K107" s="9">
        <v>45600</v>
      </c>
    </row>
    <row r="108" spans="1:29" x14ac:dyDescent="0.2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s="25" customFormat="1" x14ac:dyDescent="0.2">
      <c r="A109" s="25" t="s">
        <v>334</v>
      </c>
      <c r="B109" s="1">
        <f t="shared" si="12"/>
        <v>99</v>
      </c>
      <c r="C109" s="44" t="s">
        <v>663</v>
      </c>
      <c r="D109" s="25" t="s">
        <v>664</v>
      </c>
      <c r="E109" s="55">
        <v>42</v>
      </c>
      <c r="F109" s="30">
        <f>+E109*J109</f>
        <v>2402.253854</v>
      </c>
      <c r="G109" s="30">
        <f>+[100]Main!$N$5-[100]Main!$N$6</f>
        <v>927.11899999999991</v>
      </c>
      <c r="H109" s="30">
        <f>+F109-G109</f>
        <v>1475.1348540000001</v>
      </c>
      <c r="I109" s="28" t="s">
        <v>1074</v>
      </c>
      <c r="J109" s="30">
        <f>+[100]Main!$N$3</f>
        <v>57.196520333333332</v>
      </c>
      <c r="K109" s="38">
        <v>45572</v>
      </c>
      <c r="L109" s="26"/>
      <c r="M109" s="26"/>
      <c r="N109" s="26"/>
      <c r="O109" s="26"/>
      <c r="P109" s="2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9" x14ac:dyDescent="0.2">
      <c r="A110" t="s">
        <v>334</v>
      </c>
      <c r="B110" s="1">
        <f t="shared" si="12"/>
        <v>100</v>
      </c>
      <c r="C110" s="5" t="s">
        <v>293</v>
      </c>
      <c r="D110" s="1" t="s">
        <v>185</v>
      </c>
      <c r="E110" s="7">
        <v>7</v>
      </c>
      <c r="F110" s="6">
        <f>+E110*J110</f>
        <v>1444.6396159999999</v>
      </c>
      <c r="G110" s="6">
        <f>+[101]Main!$M$5-[101]Main!$M$6</f>
        <v>28.069999999999993</v>
      </c>
      <c r="H110" s="6">
        <f>+F110-G110</f>
        <v>1416.569616</v>
      </c>
      <c r="I110" s="3" t="s">
        <v>1044</v>
      </c>
      <c r="J110" s="6">
        <f>+[101]Main!$M$3</f>
        <v>206.37708799999999</v>
      </c>
      <c r="K110" s="9">
        <v>45567</v>
      </c>
    </row>
    <row r="111" spans="1:29" x14ac:dyDescent="0.2">
      <c r="A111" t="s">
        <v>334</v>
      </c>
      <c r="B111" s="1">
        <f>+B117+1</f>
        <v>106</v>
      </c>
      <c r="C111" s="5" t="s">
        <v>97</v>
      </c>
      <c r="D111" s="1" t="s">
        <v>98</v>
      </c>
      <c r="E111" s="3">
        <v>17.149999999999999</v>
      </c>
      <c r="F111" s="6">
        <f>+E111*J111</f>
        <v>1559.8953999999999</v>
      </c>
      <c r="G111" s="6">
        <f>+[102]Main!$K$5-[102]Main!$K$6</f>
        <v>278.82499999999999</v>
      </c>
      <c r="H111" s="6">
        <f>+F111-G111</f>
        <v>1281.0703999999998</v>
      </c>
      <c r="I111" s="3" t="s">
        <v>1074</v>
      </c>
      <c r="J111" s="6">
        <f>+[102]Main!$K$3</f>
        <v>90.956000000000003</v>
      </c>
      <c r="K111" s="9">
        <v>45573</v>
      </c>
    </row>
    <row r="112" spans="1:29" x14ac:dyDescent="0.2">
      <c r="A112" t="s">
        <v>334</v>
      </c>
      <c r="B112" s="1">
        <f>+B110+1</f>
        <v>101</v>
      </c>
      <c r="C112" s="5" t="s">
        <v>206</v>
      </c>
      <c r="D112" s="1" t="s">
        <v>207</v>
      </c>
      <c r="E112" s="7">
        <v>6.14</v>
      </c>
      <c r="F112" s="6">
        <f>E112*J112</f>
        <v>1487.0859512599998</v>
      </c>
      <c r="G112" s="6">
        <f>[103]Main!$K$5-[103]Main!$K$6</f>
        <v>442.37</v>
      </c>
      <c r="H112" s="6">
        <f>F112-G112</f>
        <v>1044.7159512599997</v>
      </c>
      <c r="I112" s="3" t="s">
        <v>1074</v>
      </c>
      <c r="J112" s="6">
        <f>[103]Main!$K$3</f>
        <v>242.19640899999999</v>
      </c>
      <c r="K112" s="9">
        <v>45572</v>
      </c>
    </row>
    <row r="113" spans="1:30" x14ac:dyDescent="0.2">
      <c r="A113" t="s">
        <v>334</v>
      </c>
      <c r="B113" s="1">
        <f t="shared" si="12"/>
        <v>102</v>
      </c>
      <c r="C113" s="5" t="s">
        <v>158</v>
      </c>
      <c r="D113" s="1" t="s">
        <v>159</v>
      </c>
      <c r="E113" s="7">
        <v>24.5</v>
      </c>
      <c r="F113" s="6">
        <f>+E113*J113</f>
        <v>2019.1826655000002</v>
      </c>
      <c r="G113" s="6">
        <f>+[104]Main!$K$5-[104]Main!$K$6</f>
        <v>1008.165</v>
      </c>
      <c r="H113" s="6">
        <f>+F113-G113</f>
        <v>1011.0176655000002</v>
      </c>
      <c r="I113" s="3" t="s">
        <v>1074</v>
      </c>
      <c r="J113" s="6">
        <f>+[104]Main!$K$3</f>
        <v>82.415619000000007</v>
      </c>
      <c r="K113" s="9">
        <v>45565</v>
      </c>
    </row>
    <row r="114" spans="1:30" x14ac:dyDescent="0.2">
      <c r="A114" t="s">
        <v>334</v>
      </c>
      <c r="B114" s="1">
        <f t="shared" si="12"/>
        <v>103</v>
      </c>
      <c r="C114" s="5" t="s">
        <v>145</v>
      </c>
      <c r="D114" s="1" t="s">
        <v>146</v>
      </c>
      <c r="E114" s="7">
        <v>20</v>
      </c>
      <c r="F114" s="6">
        <f>+E114*J114</f>
        <v>1929.5</v>
      </c>
      <c r="G114" s="6">
        <f>+[105]Main!$J$5-[105]Main!$J$6</f>
        <v>939.9</v>
      </c>
      <c r="H114" s="6">
        <f t="shared" ref="H114" si="17">+F114-G114</f>
        <v>989.6</v>
      </c>
      <c r="I114" s="3" t="s">
        <v>1044</v>
      </c>
      <c r="J114" s="6">
        <f>+[105]Main!$J$3</f>
        <v>96.474999999999994</v>
      </c>
      <c r="K114" s="9">
        <v>45565</v>
      </c>
    </row>
    <row r="115" spans="1:30" x14ac:dyDescent="0.2">
      <c r="A115" t="s">
        <v>334</v>
      </c>
      <c r="B115" s="1">
        <f t="shared" si="12"/>
        <v>104</v>
      </c>
      <c r="C115" s="5" t="s">
        <v>370</v>
      </c>
      <c r="D115" t="s">
        <v>371</v>
      </c>
      <c r="E115" s="19">
        <v>10.7</v>
      </c>
      <c r="F115" s="6">
        <f>+E115*J115/HKD</f>
        <v>1352.1643102179487</v>
      </c>
      <c r="G115" s="6">
        <f>([106]Main!$J$6-[106]Main!$J$7)/HKD</f>
        <v>376.08884615384613</v>
      </c>
      <c r="H115" s="6">
        <f t="shared" si="16"/>
        <v>976.07546406410256</v>
      </c>
      <c r="I115" s="3" t="s">
        <v>1117</v>
      </c>
      <c r="J115" s="6">
        <f>+[106]Main!$J$4</f>
        <v>985.68987100000004</v>
      </c>
      <c r="K115" s="9">
        <v>45543</v>
      </c>
      <c r="AD115" s="1">
        <v>2012</v>
      </c>
    </row>
    <row r="116" spans="1:30" x14ac:dyDescent="0.2">
      <c r="A116"/>
      <c r="B116" s="1">
        <f>+B115</f>
        <v>104</v>
      </c>
      <c r="C116" s="5" t="s">
        <v>370</v>
      </c>
      <c r="D116" t="s">
        <v>1187</v>
      </c>
      <c r="E116" s="7">
        <v>27.72</v>
      </c>
      <c r="F116" s="6"/>
      <c r="I116" s="3" t="str">
        <f>+I115</f>
        <v>Q423</v>
      </c>
      <c r="J116" s="6"/>
      <c r="K116" s="9">
        <f>+K115</f>
        <v>45543</v>
      </c>
    </row>
    <row r="117" spans="1:30" x14ac:dyDescent="0.2">
      <c r="A117" s="1" t="s">
        <v>334</v>
      </c>
      <c r="B117" s="1">
        <f t="shared" si="12"/>
        <v>105</v>
      </c>
      <c r="C117" s="5" t="s">
        <v>110</v>
      </c>
      <c r="D117" s="1" t="s">
        <v>111</v>
      </c>
      <c r="E117" s="7">
        <v>20.25</v>
      </c>
      <c r="F117" s="6">
        <f>+E117*J117</f>
        <v>1252.1289825000001</v>
      </c>
      <c r="G117" s="6">
        <f>+[107]Main!$O$5-[107]Main!$O$6</f>
        <v>637.79299999999989</v>
      </c>
      <c r="H117" s="6">
        <f>+F117-G117</f>
        <v>614.33598250000023</v>
      </c>
      <c r="I117" s="3" t="s">
        <v>1074</v>
      </c>
      <c r="J117" s="6">
        <f>+[107]Main!$O$3</f>
        <v>61.833530000000003</v>
      </c>
      <c r="K117" s="9">
        <v>45563</v>
      </c>
    </row>
    <row r="118" spans="1:30" x14ac:dyDescent="0.2">
      <c r="B118" s="1">
        <f t="shared" si="12"/>
        <v>106</v>
      </c>
      <c r="C118" s="5" t="s">
        <v>739</v>
      </c>
      <c r="D118" t="s">
        <v>740</v>
      </c>
      <c r="E118" s="3">
        <v>4.13</v>
      </c>
      <c r="F118" s="6">
        <f>+E118*J118</f>
        <v>918.92499999999995</v>
      </c>
      <c r="G118" s="6">
        <f>+[108]Main!$I$5-[108]Main!$I$6</f>
        <v>251.643</v>
      </c>
      <c r="H118" s="6">
        <f>+F118-G118</f>
        <v>667.28199999999993</v>
      </c>
      <c r="I118" s="3" t="s">
        <v>1074</v>
      </c>
      <c r="J118" s="6">
        <f>+[108]Main!$I$3</f>
        <v>222.5</v>
      </c>
      <c r="K118" s="9">
        <v>45593</v>
      </c>
    </row>
    <row r="119" spans="1:30" x14ac:dyDescent="0.2">
      <c r="A119" t="s">
        <v>334</v>
      </c>
      <c r="B119" s="1">
        <f>+B111+1</f>
        <v>107</v>
      </c>
      <c r="C119" s="5" t="s">
        <v>763</v>
      </c>
      <c r="D119" t="s">
        <v>764</v>
      </c>
      <c r="E119" s="7">
        <v>11.13</v>
      </c>
      <c r="F119" s="6">
        <f>+E119*J119</f>
        <v>760.17899999999997</v>
      </c>
      <c r="G119" s="6">
        <f>+[109]Main!$K$5-[109]Main!$K$6</f>
        <v>423.93200000000002</v>
      </c>
      <c r="H119" s="6">
        <f>+F119-G119</f>
        <v>336.24699999999996</v>
      </c>
      <c r="I119" s="3" t="s">
        <v>1074</v>
      </c>
      <c r="J119" s="6">
        <v>68.3</v>
      </c>
      <c r="K119" s="9">
        <v>45565</v>
      </c>
      <c r="AC119" s="1">
        <v>2015</v>
      </c>
    </row>
    <row r="120" spans="1:30" x14ac:dyDescent="0.2">
      <c r="A120"/>
      <c r="B120" s="1">
        <f t="shared" si="12"/>
        <v>108</v>
      </c>
      <c r="C120" s="5" t="s">
        <v>1161</v>
      </c>
      <c r="D120" t="s">
        <v>1162</v>
      </c>
      <c r="E120" s="3">
        <v>3.04</v>
      </c>
      <c r="F120" s="6">
        <f>+E120*J120</f>
        <v>757.70519216000002</v>
      </c>
      <c r="G120" s="6">
        <f>+[110]Main!$K$5-[110]Main!$K$6</f>
        <v>565.53499999999997</v>
      </c>
      <c r="H120" s="6">
        <f>+F120-G120</f>
        <v>192.17019216000006</v>
      </c>
      <c r="I120" s="3" t="s">
        <v>1074</v>
      </c>
      <c r="J120" s="6">
        <f>+[110]Main!$K$3</f>
        <v>249.24512899999999</v>
      </c>
      <c r="K120" s="9">
        <v>45505</v>
      </c>
      <c r="AC120" s="1">
        <v>2018</v>
      </c>
    </row>
    <row r="121" spans="1:30" x14ac:dyDescent="0.2">
      <c r="A121" t="s">
        <v>334</v>
      </c>
      <c r="B121" s="1">
        <f t="shared" si="12"/>
        <v>109</v>
      </c>
      <c r="C121" s="5" t="s">
        <v>156</v>
      </c>
      <c r="D121" s="1" t="s">
        <v>157</v>
      </c>
      <c r="E121" s="3">
        <v>2.38</v>
      </c>
      <c r="F121" s="6">
        <f>+E121*J121</f>
        <v>701.30396615999996</v>
      </c>
      <c r="G121" s="6">
        <f>+[111]Main!$L$5-[111]Main!$L$6</f>
        <v>851.52300000000002</v>
      </c>
      <c r="H121" s="6">
        <f>+F121-G121</f>
        <v>-150.21903384000007</v>
      </c>
      <c r="I121" s="3" t="s">
        <v>1074</v>
      </c>
      <c r="J121" s="6">
        <f>+[111]Main!$L$3</f>
        <v>294.66553199999998</v>
      </c>
      <c r="K121" s="9">
        <v>45536</v>
      </c>
    </row>
    <row r="122" spans="1:30" x14ac:dyDescent="0.2">
      <c r="B122" s="1">
        <f t="shared" si="12"/>
        <v>110</v>
      </c>
      <c r="C122" t="s">
        <v>731</v>
      </c>
      <c r="D122" t="s">
        <v>732</v>
      </c>
      <c r="E122" s="3">
        <v>50.49</v>
      </c>
      <c r="F122" s="6">
        <v>4000</v>
      </c>
    </row>
    <row r="123" spans="1:30" x14ac:dyDescent="0.2">
      <c r="B123" s="1">
        <f t="shared" si="12"/>
        <v>111</v>
      </c>
      <c r="C123" s="1" t="s">
        <v>498</v>
      </c>
      <c r="D123" s="1" t="s">
        <v>499</v>
      </c>
      <c r="E123" s="3">
        <v>12.37</v>
      </c>
      <c r="F123" s="6">
        <v>3700</v>
      </c>
    </row>
    <row r="124" spans="1:30" x14ac:dyDescent="0.2">
      <c r="A124" t="s">
        <v>334</v>
      </c>
      <c r="B124" s="1">
        <f t="shared" si="12"/>
        <v>112</v>
      </c>
      <c r="C124" s="1" t="s">
        <v>166</v>
      </c>
      <c r="D124" s="1" t="s">
        <v>167</v>
      </c>
      <c r="E124" s="3">
        <v>55.33</v>
      </c>
      <c r="F124" s="6">
        <v>3280</v>
      </c>
    </row>
    <row r="125" spans="1:30" x14ac:dyDescent="0.2">
      <c r="A125" t="s">
        <v>334</v>
      </c>
      <c r="B125" s="1">
        <f t="shared" si="12"/>
        <v>113</v>
      </c>
      <c r="C125" s="1" t="s">
        <v>154</v>
      </c>
      <c r="D125" s="1" t="s">
        <v>155</v>
      </c>
      <c r="E125" s="3">
        <v>29.49</v>
      </c>
      <c r="F125" s="6">
        <v>2880</v>
      </c>
    </row>
    <row r="126" spans="1:30" x14ac:dyDescent="0.2">
      <c r="A126" t="s">
        <v>334</v>
      </c>
      <c r="B126" s="1">
        <f t="shared" si="12"/>
        <v>114</v>
      </c>
      <c r="C126" s="5" t="s">
        <v>162</v>
      </c>
      <c r="D126" s="1" t="s">
        <v>163</v>
      </c>
      <c r="E126" s="7">
        <v>8.08</v>
      </c>
      <c r="F126" s="6">
        <v>2230</v>
      </c>
    </row>
    <row r="127" spans="1:30" x14ac:dyDescent="0.2">
      <c r="A127"/>
      <c r="B127" s="1">
        <f t="shared" si="12"/>
        <v>115</v>
      </c>
      <c r="C127" s="1" t="s">
        <v>522</v>
      </c>
      <c r="D127" t="s">
        <v>124</v>
      </c>
      <c r="E127" s="3">
        <v>18.91</v>
      </c>
      <c r="F127" s="6"/>
    </row>
    <row r="128" spans="1:30" x14ac:dyDescent="0.2">
      <c r="A128" t="s">
        <v>334</v>
      </c>
      <c r="B128" s="1">
        <f t="shared" si="12"/>
        <v>116</v>
      </c>
      <c r="C128" t="s">
        <v>716</v>
      </c>
      <c r="D128" t="s">
        <v>717</v>
      </c>
      <c r="E128" s="3">
        <v>4.0599999999999996</v>
      </c>
      <c r="F128" s="6">
        <v>2400</v>
      </c>
    </row>
    <row r="129" spans="1:6" x14ac:dyDescent="0.2">
      <c r="A129" t="s">
        <v>334</v>
      </c>
      <c r="B129" s="1">
        <f t="shared" si="12"/>
        <v>117</v>
      </c>
      <c r="C129" s="1" t="s">
        <v>173</v>
      </c>
      <c r="D129" s="1" t="s">
        <v>174</v>
      </c>
      <c r="E129" s="7">
        <v>20.010000000000002</v>
      </c>
      <c r="F129" s="6">
        <v>2150</v>
      </c>
    </row>
    <row r="130" spans="1:6" x14ac:dyDescent="0.2">
      <c r="A130" t="s">
        <v>334</v>
      </c>
      <c r="B130" s="1">
        <f t="shared" si="12"/>
        <v>118</v>
      </c>
      <c r="C130" s="1" t="s">
        <v>202</v>
      </c>
      <c r="D130" s="1" t="s">
        <v>203</v>
      </c>
      <c r="E130" s="7">
        <v>57.1</v>
      </c>
      <c r="F130" s="6">
        <v>2590</v>
      </c>
    </row>
    <row r="131" spans="1:6" x14ac:dyDescent="0.2">
      <c r="A131" t="s">
        <v>334</v>
      </c>
      <c r="B131" s="1">
        <f t="shared" si="12"/>
        <v>119</v>
      </c>
      <c r="C131" s="1" t="s">
        <v>179</v>
      </c>
      <c r="D131" s="1" t="s">
        <v>180</v>
      </c>
      <c r="E131" s="3">
        <v>48.73</v>
      </c>
      <c r="F131" s="6">
        <v>2540</v>
      </c>
    </row>
    <row r="132" spans="1:6" x14ac:dyDescent="0.2">
      <c r="A132" t="s">
        <v>334</v>
      </c>
      <c r="B132" s="1">
        <f t="shared" si="12"/>
        <v>120</v>
      </c>
      <c r="C132" s="1" t="s">
        <v>190</v>
      </c>
      <c r="D132" s="1" t="s">
        <v>191</v>
      </c>
      <c r="E132" s="3">
        <v>37.96</v>
      </c>
      <c r="F132" s="6">
        <v>2360</v>
      </c>
    </row>
    <row r="133" spans="1:6" x14ac:dyDescent="0.2">
      <c r="A133" t="s">
        <v>334</v>
      </c>
      <c r="B133" s="1">
        <f t="shared" ref="B133:B136" si="18">+B132+1</f>
        <v>121</v>
      </c>
      <c r="C133" s="1" t="s">
        <v>210</v>
      </c>
      <c r="D133" s="1" t="s">
        <v>211</v>
      </c>
      <c r="E133" s="3">
        <v>36.86</v>
      </c>
      <c r="F133" s="6">
        <v>1990</v>
      </c>
    </row>
    <row r="134" spans="1:6" x14ac:dyDescent="0.2">
      <c r="A134"/>
      <c r="B134" s="1">
        <f t="shared" si="18"/>
        <v>122</v>
      </c>
      <c r="C134" s="1" t="s">
        <v>198</v>
      </c>
      <c r="D134" s="1" t="s">
        <v>199</v>
      </c>
      <c r="E134" s="7">
        <v>76.78</v>
      </c>
      <c r="F134" s="6">
        <v>1970</v>
      </c>
    </row>
    <row r="135" spans="1:6" x14ac:dyDescent="0.2">
      <c r="A135"/>
      <c r="B135" s="1">
        <f t="shared" si="18"/>
        <v>123</v>
      </c>
      <c r="C135" t="s">
        <v>358</v>
      </c>
      <c r="D135" t="s">
        <v>359</v>
      </c>
    </row>
    <row r="136" spans="1:6" x14ac:dyDescent="0.2">
      <c r="A136"/>
      <c r="B136" s="1">
        <f t="shared" si="18"/>
        <v>124</v>
      </c>
      <c r="C136" t="s">
        <v>356</v>
      </c>
      <c r="D136" t="s">
        <v>357</v>
      </c>
    </row>
    <row r="137" spans="1:6" x14ac:dyDescent="0.2">
      <c r="B137" s="1">
        <f t="shared" ref="B137:B200" si="19">+B136+1</f>
        <v>125</v>
      </c>
      <c r="C137" t="s">
        <v>272</v>
      </c>
      <c r="D137" t="s">
        <v>273</v>
      </c>
    </row>
    <row r="138" spans="1:6" x14ac:dyDescent="0.2">
      <c r="B138" s="1">
        <f t="shared" si="19"/>
        <v>126</v>
      </c>
      <c r="C138" t="s">
        <v>1426</v>
      </c>
      <c r="D138" t="s">
        <v>1427</v>
      </c>
      <c r="E138" s="7">
        <v>2.1</v>
      </c>
    </row>
    <row r="139" spans="1:6" x14ac:dyDescent="0.2">
      <c r="B139" s="1">
        <f t="shared" si="19"/>
        <v>127</v>
      </c>
      <c r="C139" t="s">
        <v>1428</v>
      </c>
      <c r="D139" t="s">
        <v>1429</v>
      </c>
      <c r="E139" s="7"/>
    </row>
    <row r="140" spans="1:6" x14ac:dyDescent="0.2">
      <c r="B140" s="1">
        <f t="shared" si="19"/>
        <v>128</v>
      </c>
      <c r="C140" t="s">
        <v>269</v>
      </c>
      <c r="D140" t="s">
        <v>270</v>
      </c>
    </row>
    <row r="141" spans="1:6" x14ac:dyDescent="0.2">
      <c r="B141" s="1">
        <f t="shared" si="19"/>
        <v>129</v>
      </c>
      <c r="C141" s="5" t="s">
        <v>1430</v>
      </c>
      <c r="D141" t="s">
        <v>1431</v>
      </c>
      <c r="E141" s="7">
        <v>2.06</v>
      </c>
    </row>
    <row r="142" spans="1:6" x14ac:dyDescent="0.2">
      <c r="B142" s="1">
        <f>+B140+1</f>
        <v>129</v>
      </c>
      <c r="C142" t="s">
        <v>362</v>
      </c>
      <c r="D142" t="s">
        <v>363</v>
      </c>
    </row>
    <row r="143" spans="1:6" x14ac:dyDescent="0.2">
      <c r="A143"/>
      <c r="B143" s="1">
        <f t="shared" si="19"/>
        <v>130</v>
      </c>
      <c r="C143" t="s">
        <v>1060</v>
      </c>
      <c r="D143" t="s">
        <v>1061</v>
      </c>
    </row>
    <row r="144" spans="1:6" x14ac:dyDescent="0.2">
      <c r="A144"/>
      <c r="B144" s="1">
        <f t="shared" si="19"/>
        <v>131</v>
      </c>
      <c r="C144" t="s">
        <v>1058</v>
      </c>
      <c r="D144" t="s">
        <v>1059</v>
      </c>
      <c r="E144" s="7"/>
    </row>
    <row r="145" spans="1:29" x14ac:dyDescent="0.2">
      <c r="A145"/>
      <c r="B145" s="1">
        <f t="shared" si="19"/>
        <v>132</v>
      </c>
      <c r="C145" t="s">
        <v>1432</v>
      </c>
      <c r="D145"/>
      <c r="E145" s="7"/>
    </row>
    <row r="146" spans="1:29" x14ac:dyDescent="0.2">
      <c r="A146"/>
      <c r="B146" s="1">
        <f t="shared" si="19"/>
        <v>133</v>
      </c>
      <c r="C146" t="s">
        <v>597</v>
      </c>
      <c r="D146" t="s">
        <v>598</v>
      </c>
    </row>
    <row r="147" spans="1:29" x14ac:dyDescent="0.2">
      <c r="B147" s="1">
        <f t="shared" si="19"/>
        <v>134</v>
      </c>
      <c r="C147" s="1" t="s">
        <v>116</v>
      </c>
      <c r="D147" s="1" t="s">
        <v>117</v>
      </c>
      <c r="E147" s="3">
        <v>83.97</v>
      </c>
    </row>
    <row r="148" spans="1:29" x14ac:dyDescent="0.2">
      <c r="A148"/>
      <c r="B148" s="1">
        <f t="shared" si="19"/>
        <v>135</v>
      </c>
      <c r="C148" t="s">
        <v>1064</v>
      </c>
      <c r="D148" t="s">
        <v>1065</v>
      </c>
      <c r="F148" s="6"/>
    </row>
    <row r="149" spans="1:29" x14ac:dyDescent="0.2">
      <c r="A149"/>
      <c r="B149" s="1">
        <f t="shared" si="19"/>
        <v>136</v>
      </c>
      <c r="C149" t="s">
        <v>1120</v>
      </c>
      <c r="D149" t="s">
        <v>1121</v>
      </c>
      <c r="F149" s="6"/>
    </row>
    <row r="150" spans="1:29" x14ac:dyDescent="0.2">
      <c r="A150"/>
      <c r="B150" s="1">
        <f t="shared" si="19"/>
        <v>137</v>
      </c>
      <c r="C150" t="s">
        <v>1069</v>
      </c>
      <c r="F150" s="6"/>
    </row>
    <row r="151" spans="1:29" x14ac:dyDescent="0.2">
      <c r="A151"/>
      <c r="B151" s="1">
        <f t="shared" si="19"/>
        <v>138</v>
      </c>
      <c r="C151" t="s">
        <v>1070</v>
      </c>
      <c r="F151" s="6"/>
    </row>
    <row r="152" spans="1:29" x14ac:dyDescent="0.2">
      <c r="A152"/>
      <c r="B152" s="1">
        <f t="shared" si="19"/>
        <v>139</v>
      </c>
      <c r="C152" t="s">
        <v>336</v>
      </c>
      <c r="D152" t="s">
        <v>337</v>
      </c>
      <c r="F152" s="6"/>
    </row>
    <row r="153" spans="1:29" x14ac:dyDescent="0.2">
      <c r="A153"/>
      <c r="B153" s="1">
        <f t="shared" si="19"/>
        <v>140</v>
      </c>
      <c r="C153" t="s">
        <v>1068</v>
      </c>
      <c r="F153" s="6"/>
    </row>
    <row r="154" spans="1:29" x14ac:dyDescent="0.2">
      <c r="A154"/>
      <c r="B154" s="1">
        <f t="shared" si="19"/>
        <v>141</v>
      </c>
      <c r="C154" t="s">
        <v>1150</v>
      </c>
      <c r="D154" s="1" t="s">
        <v>1151</v>
      </c>
      <c r="F154" s="6"/>
    </row>
    <row r="155" spans="1:29" x14ac:dyDescent="0.2">
      <c r="A155" t="s">
        <v>334</v>
      </c>
      <c r="B155" s="1">
        <f t="shared" si="19"/>
        <v>142</v>
      </c>
      <c r="C155" t="s">
        <v>682</v>
      </c>
      <c r="D155" t="s">
        <v>683</v>
      </c>
    </row>
    <row r="156" spans="1:29" x14ac:dyDescent="0.2">
      <c r="A156"/>
      <c r="B156" s="1">
        <f t="shared" si="19"/>
        <v>143</v>
      </c>
      <c r="C156" t="s">
        <v>307</v>
      </c>
      <c r="D156" t="s">
        <v>308</v>
      </c>
      <c r="E156" s="3">
        <v>4.26</v>
      </c>
      <c r="F156" s="6"/>
      <c r="AC156" s="1">
        <v>2011</v>
      </c>
    </row>
    <row r="157" spans="1:29" x14ac:dyDescent="0.2">
      <c r="A157" t="s">
        <v>334</v>
      </c>
      <c r="B157" s="1">
        <f t="shared" si="19"/>
        <v>144</v>
      </c>
      <c r="C157" s="5" t="s">
        <v>375</v>
      </c>
      <c r="D157" t="s">
        <v>376</v>
      </c>
      <c r="E157" s="3">
        <v>32.26</v>
      </c>
      <c r="F157" s="6">
        <f>+E157*J157</f>
        <v>1873.2795513199999</v>
      </c>
      <c r="G157" s="6">
        <f>+[112]Main!$J$5-[112]Main!$J$6</f>
        <v>566.44900000000007</v>
      </c>
      <c r="H157" s="6">
        <f t="shared" ref="H157:H159" si="20">+F157-G157</f>
        <v>1306.8305513199998</v>
      </c>
      <c r="I157" s="3" t="s">
        <v>301</v>
      </c>
      <c r="J157" s="6">
        <f>+[112]Main!$J$3</f>
        <v>58.068182</v>
      </c>
      <c r="K157" s="9">
        <v>44824</v>
      </c>
    </row>
    <row r="158" spans="1:29" x14ac:dyDescent="0.2">
      <c r="A158" t="s">
        <v>334</v>
      </c>
      <c r="B158" s="1">
        <f t="shared" si="19"/>
        <v>145</v>
      </c>
      <c r="C158" s="5" t="s">
        <v>512</v>
      </c>
      <c r="D158" t="s">
        <v>513</v>
      </c>
      <c r="E158" s="3">
        <v>12.41</v>
      </c>
      <c r="F158" s="6">
        <f>E158*J158</f>
        <v>686.11028007999994</v>
      </c>
      <c r="G158" s="6">
        <f>[113]Main!$L$5-[113]Main!$L$6</f>
        <v>578</v>
      </c>
      <c r="H158" s="6">
        <f t="shared" si="20"/>
        <v>108.11028007999994</v>
      </c>
      <c r="I158" s="3" t="s">
        <v>649</v>
      </c>
      <c r="J158" s="6">
        <f>[113]Main!$L$3</f>
        <v>55.286887999999998</v>
      </c>
      <c r="K158" s="9">
        <v>45064</v>
      </c>
    </row>
    <row r="159" spans="1:29" x14ac:dyDescent="0.2">
      <c r="A159" t="s">
        <v>334</v>
      </c>
      <c r="B159" s="1">
        <f t="shared" si="19"/>
        <v>146</v>
      </c>
      <c r="C159" s="5" t="s">
        <v>782</v>
      </c>
      <c r="D159" t="s">
        <v>783</v>
      </c>
      <c r="E159" s="7">
        <v>3.06</v>
      </c>
      <c r="F159" s="6">
        <f>E159*J159</f>
        <v>205.55876502000001</v>
      </c>
      <c r="G159" s="6">
        <f>[114]Main!$O$5-[114]Main!$O$6</f>
        <v>345.67399999999998</v>
      </c>
      <c r="H159" s="6">
        <f t="shared" si="20"/>
        <v>-140.11523497999997</v>
      </c>
      <c r="I159" s="3" t="s">
        <v>649</v>
      </c>
      <c r="J159" s="6">
        <f>[114]Main!$O$3</f>
        <v>67.176067000000003</v>
      </c>
      <c r="K159" s="9">
        <v>45067</v>
      </c>
    </row>
    <row r="160" spans="1:29" x14ac:dyDescent="0.2">
      <c r="A160" t="s">
        <v>334</v>
      </c>
      <c r="B160" s="1">
        <f t="shared" si="19"/>
        <v>147</v>
      </c>
      <c r="C160" s="5" t="s">
        <v>181</v>
      </c>
      <c r="D160" s="1" t="s">
        <v>182</v>
      </c>
      <c r="E160" s="7">
        <v>7.28</v>
      </c>
      <c r="F160" s="6">
        <f>E160*J160</f>
        <v>434.74418623999998</v>
      </c>
      <c r="G160" s="6">
        <f>[115]Main!$K$5-[115]Main!$K$6</f>
        <v>1272.4940000000001</v>
      </c>
      <c r="H160" s="6">
        <f>F160-G160</f>
        <v>-837.74981376000017</v>
      </c>
      <c r="I160" s="3" t="s">
        <v>517</v>
      </c>
      <c r="J160" s="6">
        <f>[115]Main!$K$3</f>
        <v>59.717607999999998</v>
      </c>
      <c r="K160" s="9">
        <v>44999</v>
      </c>
    </row>
    <row r="161" spans="1:6" x14ac:dyDescent="0.2">
      <c r="A161"/>
      <c r="B161" s="1">
        <f t="shared" si="19"/>
        <v>148</v>
      </c>
      <c r="C161" s="5" t="s">
        <v>141</v>
      </c>
      <c r="D161" t="s">
        <v>1180</v>
      </c>
      <c r="E161" s="7">
        <v>5.91</v>
      </c>
      <c r="F161" s="6"/>
    </row>
    <row r="162" spans="1:6" x14ac:dyDescent="0.2">
      <c r="A162"/>
      <c r="B162" s="1">
        <f t="shared" si="19"/>
        <v>149</v>
      </c>
      <c r="C162" s="5" t="s">
        <v>141</v>
      </c>
      <c r="D162" t="s">
        <v>142</v>
      </c>
      <c r="E162" s="7">
        <v>3.32</v>
      </c>
      <c r="F162" s="6"/>
    </row>
    <row r="163" spans="1:6" x14ac:dyDescent="0.2">
      <c r="A163"/>
      <c r="B163" s="1">
        <f t="shared" si="19"/>
        <v>150</v>
      </c>
      <c r="C163" s="1" t="s">
        <v>216</v>
      </c>
      <c r="D163" s="1" t="s">
        <v>217</v>
      </c>
      <c r="E163" s="3">
        <v>18.309999999999999</v>
      </c>
      <c r="F163" s="6">
        <v>1930</v>
      </c>
    </row>
    <row r="164" spans="1:6" x14ac:dyDescent="0.2">
      <c r="A164"/>
      <c r="B164" s="1">
        <f t="shared" si="19"/>
        <v>151</v>
      </c>
      <c r="C164" t="s">
        <v>1182</v>
      </c>
      <c r="D164" t="s">
        <v>1183</v>
      </c>
      <c r="F164" s="6"/>
    </row>
    <row r="165" spans="1:6" x14ac:dyDescent="0.2">
      <c r="A165"/>
      <c r="B165" s="1">
        <f t="shared" si="19"/>
        <v>152</v>
      </c>
      <c r="C165" t="s">
        <v>1124</v>
      </c>
      <c r="D165" t="s">
        <v>1125</v>
      </c>
      <c r="F165" s="6"/>
    </row>
    <row r="166" spans="1:6" x14ac:dyDescent="0.2">
      <c r="B166" s="1">
        <f t="shared" si="19"/>
        <v>153</v>
      </c>
      <c r="C166" t="s">
        <v>1126</v>
      </c>
      <c r="D166" t="s">
        <v>1127</v>
      </c>
    </row>
    <row r="167" spans="1:6" x14ac:dyDescent="0.2">
      <c r="A167" t="s">
        <v>334</v>
      </c>
      <c r="B167" s="1">
        <f t="shared" si="19"/>
        <v>154</v>
      </c>
      <c r="C167" t="s">
        <v>694</v>
      </c>
      <c r="D167" t="s">
        <v>695</v>
      </c>
      <c r="F167" s="6"/>
    </row>
    <row r="168" spans="1:6" x14ac:dyDescent="0.2">
      <c r="A168" t="s">
        <v>334</v>
      </c>
      <c r="B168" s="1">
        <f t="shared" si="19"/>
        <v>155</v>
      </c>
      <c r="C168" s="1" t="s">
        <v>187</v>
      </c>
      <c r="D168" s="1" t="s">
        <v>188</v>
      </c>
      <c r="E168" s="7">
        <v>10.1</v>
      </c>
      <c r="F168" s="6">
        <v>1880</v>
      </c>
    </row>
    <row r="169" spans="1:6" x14ac:dyDescent="0.2">
      <c r="A169" t="s">
        <v>334</v>
      </c>
      <c r="B169" s="1">
        <f t="shared" si="19"/>
        <v>156</v>
      </c>
      <c r="C169" s="1" t="s">
        <v>784</v>
      </c>
      <c r="D169" s="1" t="s">
        <v>170</v>
      </c>
      <c r="E169" s="3">
        <v>38.67</v>
      </c>
      <c r="F169" s="6">
        <v>1770</v>
      </c>
    </row>
    <row r="170" spans="1:6" x14ac:dyDescent="0.2">
      <c r="A170" t="s">
        <v>334</v>
      </c>
      <c r="B170" s="1">
        <f t="shared" si="19"/>
        <v>157</v>
      </c>
      <c r="C170" t="s">
        <v>377</v>
      </c>
      <c r="D170" t="s">
        <v>378</v>
      </c>
      <c r="E170" s="7">
        <v>43.5</v>
      </c>
    </row>
    <row r="171" spans="1:6" x14ac:dyDescent="0.2">
      <c r="A171" t="s">
        <v>334</v>
      </c>
      <c r="B171" s="1">
        <f t="shared" si="19"/>
        <v>158</v>
      </c>
      <c r="C171" t="s">
        <v>692</v>
      </c>
      <c r="D171" t="s">
        <v>693</v>
      </c>
      <c r="E171" s="7"/>
    </row>
    <row r="172" spans="1:6" x14ac:dyDescent="0.2">
      <c r="A172"/>
      <c r="B172" s="1">
        <f t="shared" si="19"/>
        <v>159</v>
      </c>
      <c r="C172" s="5" t="s">
        <v>1072</v>
      </c>
      <c r="D172" t="s">
        <v>1073</v>
      </c>
      <c r="E172" s="7">
        <v>17</v>
      </c>
      <c r="F172" s="6"/>
    </row>
    <row r="173" spans="1:6" x14ac:dyDescent="0.2">
      <c r="A173" t="s">
        <v>334</v>
      </c>
      <c r="B173" s="1">
        <f t="shared" si="19"/>
        <v>160</v>
      </c>
      <c r="C173" t="s">
        <v>726</v>
      </c>
      <c r="F173" s="6"/>
    </row>
    <row r="174" spans="1:6" x14ac:dyDescent="0.2">
      <c r="A174" t="s">
        <v>334</v>
      </c>
      <c r="B174" s="1">
        <f t="shared" si="19"/>
        <v>161</v>
      </c>
      <c r="C174" s="1" t="s">
        <v>183</v>
      </c>
      <c r="D174" s="1" t="s">
        <v>184</v>
      </c>
      <c r="E174" s="3">
        <v>41.59</v>
      </c>
      <c r="F174" s="6">
        <v>1730</v>
      </c>
    </row>
    <row r="175" spans="1:6" x14ac:dyDescent="0.2">
      <c r="A175" t="s">
        <v>334</v>
      </c>
      <c r="B175" s="1">
        <f t="shared" si="19"/>
        <v>162</v>
      </c>
      <c r="C175" s="1" t="s">
        <v>177</v>
      </c>
      <c r="D175" s="1" t="s">
        <v>178</v>
      </c>
      <c r="E175" s="3">
        <v>22.22</v>
      </c>
      <c r="F175" s="6">
        <v>1720</v>
      </c>
    </row>
    <row r="176" spans="1:6" x14ac:dyDescent="0.2">
      <c r="A176" s="1" t="s">
        <v>334</v>
      </c>
      <c r="B176" s="1">
        <f t="shared" si="19"/>
        <v>163</v>
      </c>
      <c r="C176" s="25" t="s">
        <v>623</v>
      </c>
      <c r="D176" s="25" t="s">
        <v>624</v>
      </c>
      <c r="E176" s="26">
        <v>20.66</v>
      </c>
      <c r="F176" s="27">
        <v>1400</v>
      </c>
    </row>
    <row r="177" spans="1:28" x14ac:dyDescent="0.2">
      <c r="A177" t="s">
        <v>334</v>
      </c>
      <c r="B177" s="1">
        <f t="shared" si="19"/>
        <v>164</v>
      </c>
      <c r="C177" t="s">
        <v>765</v>
      </c>
      <c r="D177" t="s">
        <v>766</v>
      </c>
      <c r="E177" s="7"/>
      <c r="F177" s="6"/>
    </row>
    <row r="178" spans="1:28" x14ac:dyDescent="0.2">
      <c r="A178"/>
      <c r="B178" s="1">
        <f t="shared" si="19"/>
        <v>165</v>
      </c>
      <c r="C178" t="s">
        <v>780</v>
      </c>
      <c r="D178" t="s">
        <v>781</v>
      </c>
      <c r="E178" s="7"/>
      <c r="F178" s="6"/>
    </row>
    <row r="179" spans="1:28" x14ac:dyDescent="0.2">
      <c r="A179" t="s">
        <v>334</v>
      </c>
      <c r="B179" s="1">
        <f t="shared" si="19"/>
        <v>166</v>
      </c>
      <c r="C179" t="s">
        <v>779</v>
      </c>
      <c r="D179"/>
      <c r="E179" s="7"/>
      <c r="F179" s="6"/>
    </row>
    <row r="180" spans="1:28" x14ac:dyDescent="0.2">
      <c r="A180" t="s">
        <v>334</v>
      </c>
      <c r="B180" s="1">
        <f t="shared" si="19"/>
        <v>167</v>
      </c>
      <c r="C180" s="1" t="s">
        <v>160</v>
      </c>
      <c r="D180" s="1" t="s">
        <v>161</v>
      </c>
      <c r="E180" s="7">
        <v>5.75</v>
      </c>
      <c r="F180" s="6">
        <v>1100</v>
      </c>
    </row>
    <row r="181" spans="1:28" x14ac:dyDescent="0.2">
      <c r="A181" t="s">
        <v>334</v>
      </c>
      <c r="B181" s="1">
        <f t="shared" si="19"/>
        <v>168</v>
      </c>
      <c r="C181" t="s">
        <v>777</v>
      </c>
      <c r="D181" t="s">
        <v>778</v>
      </c>
      <c r="E181" s="7"/>
      <c r="F181" s="6"/>
    </row>
    <row r="182" spans="1:28" x14ac:dyDescent="0.2">
      <c r="A182" t="s">
        <v>334</v>
      </c>
      <c r="B182" s="1">
        <f t="shared" si="19"/>
        <v>169</v>
      </c>
      <c r="C182" t="s">
        <v>438</v>
      </c>
      <c r="D182" t="s">
        <v>439</v>
      </c>
      <c r="E182" s="3">
        <v>23.13</v>
      </c>
      <c r="F182" s="6">
        <v>1000</v>
      </c>
    </row>
    <row r="183" spans="1:28" x14ac:dyDescent="0.2">
      <c r="A183" s="1" t="s">
        <v>334</v>
      </c>
      <c r="B183" s="1">
        <f t="shared" si="19"/>
        <v>170</v>
      </c>
      <c r="C183" s="1" t="s">
        <v>104</v>
      </c>
      <c r="D183" s="1" t="s">
        <v>105</v>
      </c>
      <c r="E183" s="3">
        <v>24.78</v>
      </c>
    </row>
    <row r="184" spans="1:28" x14ac:dyDescent="0.2">
      <c r="A184" t="s">
        <v>334</v>
      </c>
      <c r="B184" s="1">
        <f t="shared" si="19"/>
        <v>171</v>
      </c>
      <c r="C184" s="1" t="s">
        <v>106</v>
      </c>
      <c r="D184" s="1" t="s">
        <v>107</v>
      </c>
      <c r="E184" s="3">
        <v>4.72</v>
      </c>
    </row>
    <row r="185" spans="1:28" x14ac:dyDescent="0.2">
      <c r="A185" t="s">
        <v>334</v>
      </c>
      <c r="B185" s="1">
        <f t="shared" si="19"/>
        <v>172</v>
      </c>
      <c r="C185" s="1" t="s">
        <v>108</v>
      </c>
      <c r="D185" s="1" t="s">
        <v>109</v>
      </c>
      <c r="E185" s="3">
        <v>24.53</v>
      </c>
    </row>
    <row r="186" spans="1:28" x14ac:dyDescent="0.2">
      <c r="A186" t="s">
        <v>334</v>
      </c>
      <c r="B186" s="1">
        <f t="shared" si="19"/>
        <v>173</v>
      </c>
      <c r="C186" t="s">
        <v>769</v>
      </c>
      <c r="D186" t="s">
        <v>770</v>
      </c>
      <c r="F186" s="6"/>
    </row>
    <row r="187" spans="1:28" x14ac:dyDescent="0.2">
      <c r="A187" t="s">
        <v>334</v>
      </c>
      <c r="B187" s="1">
        <f t="shared" si="19"/>
        <v>174</v>
      </c>
      <c r="C187" t="s">
        <v>767</v>
      </c>
      <c r="D187" t="s">
        <v>768</v>
      </c>
      <c r="F187" s="6"/>
    </row>
    <row r="188" spans="1:28" x14ac:dyDescent="0.2">
      <c r="A188" t="s">
        <v>334</v>
      </c>
      <c r="B188" s="1">
        <f t="shared" si="19"/>
        <v>175</v>
      </c>
      <c r="C188" s="1" t="s">
        <v>171</v>
      </c>
      <c r="D188" s="1" t="s">
        <v>172</v>
      </c>
      <c r="E188" s="7">
        <v>21.6</v>
      </c>
      <c r="F188" s="6">
        <v>991</v>
      </c>
    </row>
    <row r="189" spans="1:28" x14ac:dyDescent="0.2">
      <c r="A189" t="s">
        <v>334</v>
      </c>
      <c r="B189" s="1">
        <f t="shared" si="19"/>
        <v>176</v>
      </c>
      <c r="C189" t="s">
        <v>720</v>
      </c>
      <c r="D189" t="s">
        <v>721</v>
      </c>
      <c r="F189" s="6"/>
    </row>
    <row r="190" spans="1:28" x14ac:dyDescent="0.2">
      <c r="B190" s="1">
        <f t="shared" si="19"/>
        <v>177</v>
      </c>
      <c r="C190" s="1" t="s">
        <v>196</v>
      </c>
      <c r="D190" s="1" t="s">
        <v>197</v>
      </c>
      <c r="E190" s="3">
        <v>2.42</v>
      </c>
      <c r="F190" s="6">
        <v>823</v>
      </c>
    </row>
    <row r="191" spans="1:28" x14ac:dyDescent="0.2">
      <c r="A191" t="s">
        <v>334</v>
      </c>
      <c r="B191" s="1">
        <f t="shared" si="19"/>
        <v>178</v>
      </c>
      <c r="C191" t="s">
        <v>718</v>
      </c>
      <c r="D191" t="s">
        <v>719</v>
      </c>
      <c r="F191" s="6"/>
    </row>
    <row r="192" spans="1:28" s="25" customFormat="1" x14ac:dyDescent="0.2">
      <c r="B192" s="1">
        <f t="shared" si="19"/>
        <v>179</v>
      </c>
      <c r="C192" s="25" t="s">
        <v>1188</v>
      </c>
      <c r="D192" s="25" t="s">
        <v>1189</v>
      </c>
      <c r="E192" s="48">
        <v>28.76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6" x14ac:dyDescent="0.2">
      <c r="A193" t="s">
        <v>334</v>
      </c>
      <c r="B193" s="1">
        <f t="shared" si="19"/>
        <v>180</v>
      </c>
      <c r="C193" t="s">
        <v>798</v>
      </c>
      <c r="D193" t="s">
        <v>799</v>
      </c>
      <c r="F193" s="6"/>
    </row>
    <row r="194" spans="1:6" x14ac:dyDescent="0.2">
      <c r="A194" t="s">
        <v>334</v>
      </c>
      <c r="B194" s="1">
        <f t="shared" si="19"/>
        <v>181</v>
      </c>
      <c r="C194" t="s">
        <v>796</v>
      </c>
      <c r="D194" t="s">
        <v>797</v>
      </c>
      <c r="F194" s="6"/>
    </row>
    <row r="195" spans="1:6" x14ac:dyDescent="0.2">
      <c r="A195"/>
      <c r="B195" s="1">
        <f t="shared" si="19"/>
        <v>182</v>
      </c>
      <c r="C195" t="s">
        <v>1272</v>
      </c>
      <c r="D195" t="s">
        <v>1273</v>
      </c>
      <c r="E195" s="7">
        <v>3.5</v>
      </c>
      <c r="F195" s="6"/>
    </row>
    <row r="196" spans="1:6" x14ac:dyDescent="0.2">
      <c r="A196" t="s">
        <v>334</v>
      </c>
      <c r="B196" s="1">
        <f t="shared" si="19"/>
        <v>183</v>
      </c>
      <c r="C196" t="s">
        <v>794</v>
      </c>
      <c r="D196" t="s">
        <v>795</v>
      </c>
      <c r="F196" s="6"/>
    </row>
    <row r="197" spans="1:6" x14ac:dyDescent="0.2">
      <c r="A197" t="s">
        <v>334</v>
      </c>
      <c r="B197" s="1">
        <f t="shared" si="19"/>
        <v>184</v>
      </c>
      <c r="C197" t="s">
        <v>793</v>
      </c>
      <c r="D197" t="s">
        <v>792</v>
      </c>
      <c r="F197" s="6"/>
    </row>
    <row r="198" spans="1:6" x14ac:dyDescent="0.2">
      <c r="A198" t="s">
        <v>334</v>
      </c>
      <c r="B198" s="1">
        <f t="shared" si="19"/>
        <v>185</v>
      </c>
      <c r="C198" t="s">
        <v>790</v>
      </c>
      <c r="D198" t="s">
        <v>791</v>
      </c>
      <c r="F198" s="6"/>
    </row>
    <row r="199" spans="1:6" x14ac:dyDescent="0.2">
      <c r="A199" t="s">
        <v>334</v>
      </c>
      <c r="B199" s="1">
        <f t="shared" si="19"/>
        <v>186</v>
      </c>
      <c r="C199" t="s">
        <v>771</v>
      </c>
      <c r="D199" t="s">
        <v>772</v>
      </c>
      <c r="F199" s="6"/>
    </row>
    <row r="200" spans="1:6" x14ac:dyDescent="0.2">
      <c r="A200" t="s">
        <v>334</v>
      </c>
      <c r="B200" s="1">
        <f t="shared" si="19"/>
        <v>187</v>
      </c>
      <c r="C200" s="1" t="s">
        <v>194</v>
      </c>
      <c r="D200" s="1" t="s">
        <v>195</v>
      </c>
      <c r="E200" s="7">
        <v>5.7</v>
      </c>
      <c r="F200" s="6">
        <v>821</v>
      </c>
    </row>
    <row r="201" spans="1:6" x14ac:dyDescent="0.2">
      <c r="A201" t="s">
        <v>334</v>
      </c>
      <c r="B201" s="1">
        <f t="shared" ref="B201:B264" si="21">+B200+1</f>
        <v>188</v>
      </c>
      <c r="C201" t="s">
        <v>304</v>
      </c>
      <c r="D201" t="s">
        <v>305</v>
      </c>
      <c r="E201" s="3">
        <v>3.23</v>
      </c>
      <c r="F201" s="6">
        <v>630</v>
      </c>
    </row>
    <row r="202" spans="1:6" x14ac:dyDescent="0.2">
      <c r="A202" t="s">
        <v>334</v>
      </c>
      <c r="B202" s="1">
        <f t="shared" si="21"/>
        <v>189</v>
      </c>
      <c r="C202" t="s">
        <v>706</v>
      </c>
      <c r="D202" t="s">
        <v>707</v>
      </c>
      <c r="F202" s="6"/>
    </row>
    <row r="203" spans="1:6" x14ac:dyDescent="0.2">
      <c r="A203" t="s">
        <v>334</v>
      </c>
      <c r="B203" s="1">
        <f t="shared" si="21"/>
        <v>190</v>
      </c>
      <c r="C203" t="s">
        <v>704</v>
      </c>
      <c r="D203" t="s">
        <v>705</v>
      </c>
      <c r="F203" s="6"/>
    </row>
    <row r="204" spans="1:6" x14ac:dyDescent="0.2">
      <c r="A204" t="s">
        <v>334</v>
      </c>
      <c r="B204" s="1">
        <f t="shared" si="21"/>
        <v>191</v>
      </c>
      <c r="C204" s="1" t="s">
        <v>200</v>
      </c>
      <c r="D204" s="1" t="s">
        <v>201</v>
      </c>
      <c r="E204" s="3">
        <v>4.16</v>
      </c>
      <c r="F204" s="6">
        <v>590</v>
      </c>
    </row>
    <row r="205" spans="1:6" x14ac:dyDescent="0.2">
      <c r="A205" t="s">
        <v>334</v>
      </c>
      <c r="B205" s="1">
        <f t="shared" si="21"/>
        <v>192</v>
      </c>
      <c r="C205" t="s">
        <v>291</v>
      </c>
      <c r="D205" t="s">
        <v>292</v>
      </c>
      <c r="E205" s="3">
        <v>8.4499999999999993</v>
      </c>
      <c r="F205" s="6">
        <f>4406/HKD</f>
        <v>564.87179487179492</v>
      </c>
    </row>
    <row r="206" spans="1:6" x14ac:dyDescent="0.2">
      <c r="A206" t="s">
        <v>334</v>
      </c>
      <c r="B206" s="1">
        <f t="shared" si="21"/>
        <v>193</v>
      </c>
      <c r="C206" t="s">
        <v>727</v>
      </c>
      <c r="D206" t="s">
        <v>728</v>
      </c>
      <c r="F206" s="6"/>
    </row>
    <row r="207" spans="1:6" x14ac:dyDescent="0.2">
      <c r="B207" s="1">
        <f t="shared" si="21"/>
        <v>194</v>
      </c>
      <c r="C207" s="1" t="s">
        <v>143</v>
      </c>
      <c r="D207" s="1" t="s">
        <v>144</v>
      </c>
      <c r="E207" s="3">
        <v>2.37</v>
      </c>
      <c r="F207" s="6"/>
    </row>
    <row r="208" spans="1:6" x14ac:dyDescent="0.2">
      <c r="A208" t="s">
        <v>334</v>
      </c>
      <c r="B208" s="1">
        <f t="shared" si="21"/>
        <v>195</v>
      </c>
      <c r="C208" t="s">
        <v>510</v>
      </c>
      <c r="D208" t="s">
        <v>511</v>
      </c>
      <c r="E208" s="7">
        <v>3.19</v>
      </c>
      <c r="F208" s="6">
        <v>439</v>
      </c>
    </row>
    <row r="209" spans="1:29" x14ac:dyDescent="0.2">
      <c r="A209" t="s">
        <v>334</v>
      </c>
      <c r="B209" s="1">
        <f t="shared" si="21"/>
        <v>196</v>
      </c>
      <c r="C209" s="1" t="s">
        <v>208</v>
      </c>
      <c r="D209" s="1" t="s">
        <v>209</v>
      </c>
      <c r="E209" s="3">
        <v>10.98</v>
      </c>
      <c r="F209" s="6">
        <v>548</v>
      </c>
    </row>
    <row r="210" spans="1:29" x14ac:dyDescent="0.2">
      <c r="A210" s="25" t="s">
        <v>334</v>
      </c>
      <c r="B210" s="1">
        <f t="shared" si="21"/>
        <v>197</v>
      </c>
      <c r="C210" s="44" t="s">
        <v>773</v>
      </c>
      <c r="D210" s="25" t="s">
        <v>774</v>
      </c>
      <c r="E210" s="48">
        <v>32</v>
      </c>
      <c r="F210" s="27">
        <f>+E210*J210</f>
        <v>1535.237312</v>
      </c>
      <c r="G210" s="27">
        <f>+[116]Main!$J$5-[116]Main!$J$6</f>
        <v>149</v>
      </c>
      <c r="H210" s="27">
        <f t="shared" ref="H210:H217" si="22">+F210-G210</f>
        <v>1386.237312</v>
      </c>
      <c r="I210" s="26" t="s">
        <v>1074</v>
      </c>
      <c r="J210" s="27">
        <f>+[116]Main!$J$3</f>
        <v>47.976165999999999</v>
      </c>
      <c r="K210" s="45">
        <v>45531</v>
      </c>
    </row>
    <row r="211" spans="1:29" x14ac:dyDescent="0.2">
      <c r="A211" t="s">
        <v>334</v>
      </c>
      <c r="B211" s="1">
        <f t="shared" si="21"/>
        <v>198</v>
      </c>
      <c r="C211" s="5" t="s">
        <v>288</v>
      </c>
      <c r="D211" t="s">
        <v>289</v>
      </c>
      <c r="E211" s="3">
        <v>15.65</v>
      </c>
      <c r="F211" s="6">
        <f>E211*[117]Main!$L$3</f>
        <v>1253.1559559500001</v>
      </c>
      <c r="G211" s="6">
        <f>+[117]Main!$L$5-[117]Main!$L$6</f>
        <v>112.015</v>
      </c>
      <c r="H211" s="6">
        <f t="shared" si="22"/>
        <v>1141.14095595</v>
      </c>
      <c r="I211" s="3" t="s">
        <v>16</v>
      </c>
    </row>
    <row r="212" spans="1:29" x14ac:dyDescent="0.2">
      <c r="A212"/>
      <c r="B212" s="1">
        <f t="shared" si="21"/>
        <v>199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+[118]Main!$K$5-[118]Main!$K$6</f>
        <v>304.87299999999999</v>
      </c>
      <c r="H212" s="6">
        <f>+F212-G212</f>
        <v>1013.4317666899999</v>
      </c>
      <c r="I212" s="3" t="s">
        <v>1074</v>
      </c>
      <c r="J212" s="6">
        <f>+[118]Main!$K$3</f>
        <v>38.899521</v>
      </c>
      <c r="K212" s="9">
        <v>45558</v>
      </c>
    </row>
    <row r="213" spans="1:29" x14ac:dyDescent="0.2">
      <c r="A213" t="s">
        <v>334</v>
      </c>
      <c r="B213" s="1">
        <f t="shared" si="21"/>
        <v>200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+[119]Main!$K$5-[119]Main!$K$6</f>
        <v>449.76100000000002</v>
      </c>
      <c r="H213" s="6">
        <f t="shared" si="22"/>
        <v>905.63941124999997</v>
      </c>
      <c r="I213" s="3" t="s">
        <v>419</v>
      </c>
      <c r="J213" s="6">
        <f>+[119]Main!$K$3</f>
        <v>57.069490999999999</v>
      </c>
      <c r="K213" s="9">
        <v>44947</v>
      </c>
      <c r="AC213" s="1">
        <v>2015</v>
      </c>
    </row>
    <row r="214" spans="1:29" x14ac:dyDescent="0.2">
      <c r="A214" t="s">
        <v>334</v>
      </c>
      <c r="B214" s="1">
        <f t="shared" si="21"/>
        <v>201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+[120]Main!$K$5-[120]Main!$K$6</f>
        <v>361.86599999999999</v>
      </c>
      <c r="H214" s="6">
        <f t="shared" si="22"/>
        <v>896.61893903999999</v>
      </c>
      <c r="I214" s="3" t="s">
        <v>1074</v>
      </c>
      <c r="J214" s="6">
        <f>+[120]Main!$K$3</f>
        <v>87.760456000000005</v>
      </c>
      <c r="K214" s="9">
        <v>45555</v>
      </c>
    </row>
    <row r="215" spans="1:29" x14ac:dyDescent="0.2">
      <c r="B215" s="1">
        <f t="shared" si="21"/>
        <v>202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+[121]Main!$L$5-[121]Main!$L$6</f>
        <v>122.197</v>
      </c>
      <c r="H215" s="6">
        <f>+F215-G215</f>
        <v>841.36321369000007</v>
      </c>
      <c r="I215" s="3" t="s">
        <v>1074</v>
      </c>
      <c r="J215" s="6">
        <f>+[121]Main!$L$3</f>
        <v>114.846271</v>
      </c>
      <c r="K215" s="9">
        <v>45567</v>
      </c>
    </row>
    <row r="216" spans="1:29" x14ac:dyDescent="0.2">
      <c r="A216" t="s">
        <v>334</v>
      </c>
      <c r="B216" s="1">
        <f t="shared" si="21"/>
        <v>203</v>
      </c>
      <c r="C216" s="5" t="s">
        <v>298</v>
      </c>
      <c r="D216" t="s">
        <v>299</v>
      </c>
      <c r="E216" s="3">
        <v>11</v>
      </c>
      <c r="F216" s="6">
        <f>+E216*[122]Main!$L$3</f>
        <v>798.23003700000004</v>
      </c>
      <c r="G216" s="6">
        <f>+[122]Main!$L$5-[122]Main!$L$6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2">
      <c r="A217" t="s">
        <v>334</v>
      </c>
      <c r="B217" s="1">
        <f t="shared" si="21"/>
        <v>204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+[123]Main!$J$5-[123]Main!$J$6</f>
        <v>601.58999999999992</v>
      </c>
      <c r="H217" s="6">
        <f t="shared" si="22"/>
        <v>295.5923366400001</v>
      </c>
      <c r="I217" s="3" t="s">
        <v>16</v>
      </c>
      <c r="J217" s="6">
        <f>+[123]Main!$J$3</f>
        <v>121.89977399999999</v>
      </c>
      <c r="K217" s="9">
        <v>44827</v>
      </c>
    </row>
    <row r="218" spans="1:29" x14ac:dyDescent="0.2">
      <c r="A218"/>
      <c r="B218" s="1">
        <f t="shared" si="21"/>
        <v>205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+[124]Main!$K$5-[124]Main!$K$6</f>
        <v>62.650000000000006</v>
      </c>
      <c r="H218" s="6">
        <f>+F218-G218</f>
        <v>294.51781450999999</v>
      </c>
      <c r="I218" s="3" t="s">
        <v>1074</v>
      </c>
      <c r="J218" s="6">
        <f>+[124]Main!$K$3</f>
        <v>62.551281000000003</v>
      </c>
      <c r="K218" s="9">
        <v>45569</v>
      </c>
      <c r="AC218" s="1">
        <v>2014</v>
      </c>
    </row>
    <row r="219" spans="1:29" x14ac:dyDescent="0.2">
      <c r="A219"/>
      <c r="B219" s="1">
        <f t="shared" si="21"/>
        <v>206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+[125]Main!$K$5-[125]Main!$K$6</f>
        <v>157.43700000000001</v>
      </c>
      <c r="H219" s="6">
        <f>+F219-G219</f>
        <v>68.790258999999992</v>
      </c>
      <c r="I219" s="3" t="s">
        <v>1074</v>
      </c>
      <c r="J219" s="6">
        <f>+[125]Main!$K$3</f>
        <v>226.227259</v>
      </c>
      <c r="K219" s="9">
        <v>45569</v>
      </c>
    </row>
    <row r="220" spans="1:29" s="25" customFormat="1" x14ac:dyDescent="0.2">
      <c r="A220" s="25" t="s">
        <v>334</v>
      </c>
      <c r="B220" s="1">
        <f t="shared" si="21"/>
        <v>207</v>
      </c>
      <c r="C220" s="25" t="s">
        <v>302</v>
      </c>
      <c r="D220" s="25" t="s">
        <v>303</v>
      </c>
      <c r="E220" s="26">
        <v>12.42</v>
      </c>
      <c r="F220" s="27">
        <v>516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9" x14ac:dyDescent="0.2">
      <c r="A221" t="s">
        <v>334</v>
      </c>
      <c r="B221" s="1">
        <f t="shared" si="21"/>
        <v>208</v>
      </c>
      <c r="C221" t="s">
        <v>309</v>
      </c>
      <c r="D221" t="s">
        <v>310</v>
      </c>
      <c r="E221" s="3">
        <v>3.26</v>
      </c>
      <c r="F221" s="6">
        <v>272</v>
      </c>
    </row>
    <row r="222" spans="1:29" x14ac:dyDescent="0.2">
      <c r="A222" t="s">
        <v>334</v>
      </c>
      <c r="B222" s="1">
        <f t="shared" si="21"/>
        <v>209</v>
      </c>
      <c r="C222" s="1" t="s">
        <v>218</v>
      </c>
      <c r="D222" s="1" t="s">
        <v>219</v>
      </c>
      <c r="E222" s="3">
        <v>6.34</v>
      </c>
      <c r="F222" s="3">
        <v>547</v>
      </c>
    </row>
    <row r="223" spans="1:29" x14ac:dyDescent="0.2">
      <c r="A223" t="s">
        <v>334</v>
      </c>
      <c r="B223" s="1">
        <f t="shared" si="21"/>
        <v>210</v>
      </c>
      <c r="C223" s="5" t="s">
        <v>1169</v>
      </c>
      <c r="D223" t="s">
        <v>1170</v>
      </c>
      <c r="E223" s="3">
        <v>9.34</v>
      </c>
      <c r="F223" s="6">
        <f>+E223*J223</f>
        <v>289.28000241999996</v>
      </c>
      <c r="G223" s="6">
        <f>+[126]Main!$J$5-[126]Main!$J$6</f>
        <v>220.43200000000002</v>
      </c>
      <c r="H223" s="6">
        <f>+F223-G223</f>
        <v>68.848002419999943</v>
      </c>
      <c r="I223" s="3" t="s">
        <v>1074</v>
      </c>
      <c r="J223" s="6">
        <f>+[126]Main!$J$3</f>
        <v>30.972162999999998</v>
      </c>
      <c r="K223" s="9">
        <v>45548</v>
      </c>
      <c r="AC223" s="1">
        <v>2018</v>
      </c>
    </row>
    <row r="224" spans="1:29" x14ac:dyDescent="0.2">
      <c r="A224" t="s">
        <v>334</v>
      </c>
      <c r="B224" s="1">
        <f t="shared" si="21"/>
        <v>211</v>
      </c>
      <c r="C224" s="1" t="s">
        <v>220</v>
      </c>
      <c r="D224" s="1" t="s">
        <v>221</v>
      </c>
      <c r="E224" s="7">
        <v>31.39</v>
      </c>
      <c r="F224" s="3">
        <v>1020</v>
      </c>
    </row>
    <row r="225" spans="1:29" x14ac:dyDescent="0.2">
      <c r="A225" t="s">
        <v>334</v>
      </c>
      <c r="B225" s="1">
        <f t="shared" si="21"/>
        <v>212</v>
      </c>
      <c r="C225" t="s">
        <v>761</v>
      </c>
      <c r="D225" t="s">
        <v>762</v>
      </c>
      <c r="E225" s="7"/>
    </row>
    <row r="226" spans="1:29" x14ac:dyDescent="0.2">
      <c r="A226" t="s">
        <v>334</v>
      </c>
      <c r="B226" s="1">
        <f t="shared" si="21"/>
        <v>213</v>
      </c>
      <c r="C226" t="s">
        <v>759</v>
      </c>
      <c r="D226" t="s">
        <v>760</v>
      </c>
      <c r="E226" s="7"/>
    </row>
    <row r="227" spans="1:29" x14ac:dyDescent="0.2">
      <c r="A227"/>
      <c r="B227" s="1">
        <f t="shared" si="21"/>
        <v>214</v>
      </c>
      <c r="C227" s="5" t="s">
        <v>1184</v>
      </c>
      <c r="D227" t="s">
        <v>1185</v>
      </c>
      <c r="E227" s="7">
        <v>1.18</v>
      </c>
      <c r="F227" s="6">
        <f>+E227*J227</f>
        <v>94.614233720000001</v>
      </c>
      <c r="G227" s="6">
        <f>+[127]Main!$L$5-[127]Main!$L$6</f>
        <v>30.146999999999998</v>
      </c>
      <c r="H227" s="6">
        <f>+F227-G227</f>
        <v>64.467233719999996</v>
      </c>
      <c r="I227" s="3" t="s">
        <v>1074</v>
      </c>
      <c r="J227" s="6">
        <f>+[127]Main!$L$3</f>
        <v>80.181554000000006</v>
      </c>
      <c r="K227" s="9">
        <v>45562</v>
      </c>
    </row>
    <row r="228" spans="1:29" x14ac:dyDescent="0.2">
      <c r="A228" t="s">
        <v>334</v>
      </c>
      <c r="B228" s="1">
        <f t="shared" si="21"/>
        <v>215</v>
      </c>
      <c r="C228" t="s">
        <v>757</v>
      </c>
      <c r="D228" t="s">
        <v>758</v>
      </c>
      <c r="E228" s="7"/>
    </row>
    <row r="229" spans="1:29" x14ac:dyDescent="0.2">
      <c r="A229"/>
      <c r="B229" s="1">
        <f t="shared" si="21"/>
        <v>216</v>
      </c>
      <c r="C229" t="s">
        <v>1175</v>
      </c>
      <c r="D229" t="s">
        <v>1176</v>
      </c>
      <c r="E229" s="7">
        <v>5.43</v>
      </c>
    </row>
    <row r="230" spans="1:29" x14ac:dyDescent="0.2">
      <c r="A230" t="s">
        <v>334</v>
      </c>
      <c r="B230" s="1">
        <f t="shared" si="21"/>
        <v>217</v>
      </c>
      <c r="C230" t="s">
        <v>753</v>
      </c>
      <c r="D230" t="s">
        <v>754</v>
      </c>
      <c r="E230" s="7">
        <v>5.55</v>
      </c>
      <c r="F230" s="3">
        <v>270</v>
      </c>
    </row>
    <row r="231" spans="1:29" x14ac:dyDescent="0.2">
      <c r="A231"/>
      <c r="B231" s="1">
        <f t="shared" si="21"/>
        <v>218</v>
      </c>
      <c r="C231" t="s">
        <v>1302</v>
      </c>
      <c r="D231" t="s">
        <v>1303</v>
      </c>
      <c r="E231" s="7">
        <v>2.0499999999999998</v>
      </c>
      <c r="F231" s="3">
        <v>164</v>
      </c>
    </row>
    <row r="232" spans="1:29" x14ac:dyDescent="0.2">
      <c r="A232" t="s">
        <v>334</v>
      </c>
      <c r="B232" s="1">
        <f t="shared" si="21"/>
        <v>219</v>
      </c>
      <c r="C232" s="1" t="s">
        <v>222</v>
      </c>
      <c r="D232" s="1" t="s">
        <v>223</v>
      </c>
      <c r="E232" s="7">
        <v>5.9</v>
      </c>
      <c r="F232" s="6">
        <v>508</v>
      </c>
    </row>
    <row r="233" spans="1:29" x14ac:dyDescent="0.2">
      <c r="A233" t="s">
        <v>334</v>
      </c>
      <c r="B233" s="1">
        <f t="shared" si="21"/>
        <v>220</v>
      </c>
      <c r="C233" s="1" t="s">
        <v>226</v>
      </c>
      <c r="D233" s="1" t="s">
        <v>227</v>
      </c>
      <c r="E233" s="3">
        <v>10.31</v>
      </c>
      <c r="F233" s="6">
        <v>1240</v>
      </c>
    </row>
    <row r="234" spans="1:29" x14ac:dyDescent="0.2">
      <c r="A234" t="s">
        <v>334</v>
      </c>
      <c r="B234" s="1">
        <f t="shared" si="21"/>
        <v>221</v>
      </c>
      <c r="C234" t="s">
        <v>785</v>
      </c>
      <c r="D234" t="s">
        <v>786</v>
      </c>
      <c r="F234" s="6"/>
    </row>
    <row r="235" spans="1:29" x14ac:dyDescent="0.2">
      <c r="A235" t="s">
        <v>334</v>
      </c>
      <c r="B235" s="1">
        <f t="shared" si="21"/>
        <v>222</v>
      </c>
      <c r="C235" t="s">
        <v>714</v>
      </c>
      <c r="D235" t="s">
        <v>715</v>
      </c>
      <c r="F235" s="6"/>
    </row>
    <row r="236" spans="1:29" x14ac:dyDescent="0.2">
      <c r="A236" t="s">
        <v>334</v>
      </c>
      <c r="B236" s="1">
        <f t="shared" si="21"/>
        <v>223</v>
      </c>
      <c r="C236" t="s">
        <v>710</v>
      </c>
      <c r="D236" t="s">
        <v>711</v>
      </c>
    </row>
    <row r="237" spans="1:29" x14ac:dyDescent="0.2">
      <c r="A237" t="s">
        <v>334</v>
      </c>
      <c r="B237" s="1">
        <f t="shared" si="21"/>
        <v>224</v>
      </c>
      <c r="C237" s="1" t="s">
        <v>228</v>
      </c>
      <c r="D237" s="1" t="s">
        <v>229</v>
      </c>
      <c r="E237" s="7">
        <v>1.3</v>
      </c>
      <c r="F237" s="3">
        <v>107</v>
      </c>
    </row>
    <row r="238" spans="1:29" x14ac:dyDescent="0.2">
      <c r="A238" t="s">
        <v>334</v>
      </c>
      <c r="B238" s="1">
        <f t="shared" si="21"/>
        <v>225</v>
      </c>
      <c r="C238" s="1" t="s">
        <v>230</v>
      </c>
      <c r="D238" s="1" t="s">
        <v>231</v>
      </c>
      <c r="E238" s="3">
        <v>3.35</v>
      </c>
      <c r="F238" s="3">
        <v>457</v>
      </c>
    </row>
    <row r="239" spans="1:29" x14ac:dyDescent="0.2">
      <c r="A239" t="s">
        <v>334</v>
      </c>
      <c r="B239" s="1">
        <f t="shared" si="21"/>
        <v>226</v>
      </c>
      <c r="C239" s="5" t="s">
        <v>232</v>
      </c>
      <c r="D239" s="1" t="s">
        <v>233</v>
      </c>
      <c r="E239" s="3">
        <v>7.06</v>
      </c>
      <c r="F239" s="6">
        <f>E239*[128]Main!$J$3</f>
        <v>725.62786605999997</v>
      </c>
      <c r="G239" s="6">
        <f>[128]Main!$J$5-[128]Main!$J$6</f>
        <v>197.79600000000002</v>
      </c>
      <c r="H239" s="8">
        <f>+F239-G239</f>
        <v>527.83186605999992</v>
      </c>
      <c r="I239" s="3" t="s">
        <v>16</v>
      </c>
    </row>
    <row r="240" spans="1:29" x14ac:dyDescent="0.2">
      <c r="A240" t="s">
        <v>334</v>
      </c>
      <c r="B240" s="1">
        <f t="shared" si="21"/>
        <v>227</v>
      </c>
      <c r="C240" s="5" t="s">
        <v>351</v>
      </c>
      <c r="D240" s="1" t="s">
        <v>352</v>
      </c>
      <c r="E240" s="7">
        <v>0.6</v>
      </c>
      <c r="F240" s="6">
        <f>+E240*J240</f>
        <v>486.43225439999998</v>
      </c>
      <c r="G240" s="6">
        <f>+[129]Main!$K$5-[129]Main!$K$6</f>
        <v>-37.984000000000002</v>
      </c>
      <c r="H240" s="8">
        <f t="shared" ref="H240" si="23">+F240-G240</f>
        <v>524.41625439999996</v>
      </c>
      <c r="I240" s="3" t="s">
        <v>301</v>
      </c>
      <c r="J240" s="6">
        <f>+[129]Main!$K$3</f>
        <v>810.72042399999998</v>
      </c>
      <c r="K240" s="9">
        <v>44816</v>
      </c>
      <c r="AC240" s="1">
        <v>2002</v>
      </c>
    </row>
    <row r="241" spans="1:29" x14ac:dyDescent="0.2">
      <c r="A241" t="s">
        <v>334</v>
      </c>
      <c r="B241" s="1">
        <f t="shared" si="21"/>
        <v>228</v>
      </c>
      <c r="C241" s="5" t="s">
        <v>234</v>
      </c>
      <c r="D241" s="1" t="s">
        <v>235</v>
      </c>
      <c r="E241" s="3">
        <v>14.68</v>
      </c>
      <c r="F241" s="6">
        <f>E241*[130]Main!$L$3</f>
        <v>587.26396075999992</v>
      </c>
      <c r="G241" s="6">
        <f>[130]Main!$L$5-[130]Main!$L$6</f>
        <v>277.88299999999998</v>
      </c>
      <c r="H241" s="8">
        <f>+F241-G241</f>
        <v>309.38096075999994</v>
      </c>
      <c r="I241" s="3" t="s">
        <v>16</v>
      </c>
    </row>
    <row r="242" spans="1:29" x14ac:dyDescent="0.2">
      <c r="A242" t="s">
        <v>334</v>
      </c>
      <c r="B242" s="1">
        <f t="shared" si="21"/>
        <v>229</v>
      </c>
      <c r="C242" s="5" t="s">
        <v>236</v>
      </c>
      <c r="D242" s="1" t="s">
        <v>237</v>
      </c>
      <c r="E242" s="3">
        <v>4.8600000000000003</v>
      </c>
      <c r="F242" s="6">
        <f>E242*[131]Main!$J$3</f>
        <v>312.71415336000001</v>
      </c>
      <c r="G242" s="8">
        <f>+[131]Main!$J$5-[131]Main!$J$6</f>
        <v>92.317999999999998</v>
      </c>
      <c r="H242" s="8">
        <f>+F242-G242</f>
        <v>220.39615336000003</v>
      </c>
      <c r="I242" s="3" t="s">
        <v>16</v>
      </c>
    </row>
    <row r="243" spans="1:29" x14ac:dyDescent="0.2">
      <c r="A243" t="s">
        <v>334</v>
      </c>
      <c r="B243" s="1">
        <f t="shared" si="21"/>
        <v>230</v>
      </c>
      <c r="C243" s="5" t="s">
        <v>238</v>
      </c>
      <c r="D243" s="1" t="s">
        <v>239</v>
      </c>
      <c r="E243" s="7">
        <v>5.8</v>
      </c>
      <c r="F243" s="6">
        <f>E243*[132]Main!$M$3</f>
        <v>259.32193239999998</v>
      </c>
      <c r="G243" s="6">
        <f>[132]Main!$M$5-[132]Main!$M$6</f>
        <v>120.43700000000001</v>
      </c>
      <c r="H243" s="8">
        <f t="shared" ref="H243:H251" si="24">+F243-G243</f>
        <v>138.88493239999997</v>
      </c>
      <c r="I243" s="3" t="s">
        <v>16</v>
      </c>
    </row>
    <row r="244" spans="1:29" x14ac:dyDescent="0.2">
      <c r="B244" s="1">
        <f t="shared" si="21"/>
        <v>231</v>
      </c>
      <c r="C244" s="5" t="s">
        <v>240</v>
      </c>
      <c r="D244" s="1" t="s">
        <v>241</v>
      </c>
      <c r="E244" s="7">
        <v>0.7</v>
      </c>
      <c r="F244" s="6">
        <f>E244*[133]Main!$M$3</f>
        <v>128.9392503</v>
      </c>
      <c r="G244" s="6">
        <f>[133]Main!$M$5-[133]Main!$M$6</f>
        <v>-59.50200000000001</v>
      </c>
      <c r="H244" s="8">
        <f t="shared" si="24"/>
        <v>188.44125030000001</v>
      </c>
      <c r="I244" s="3" t="s">
        <v>16</v>
      </c>
    </row>
    <row r="245" spans="1:29" x14ac:dyDescent="0.2">
      <c r="B245" s="1">
        <f t="shared" si="21"/>
        <v>232</v>
      </c>
      <c r="C245" s="5" t="s">
        <v>995</v>
      </c>
      <c r="D245" t="s">
        <v>996</v>
      </c>
      <c r="E245" s="3">
        <v>1.91</v>
      </c>
      <c r="F245" s="6">
        <f>+E245*J245</f>
        <v>144.77073818</v>
      </c>
      <c r="G245" s="6">
        <f>+[134]Main!$K$5-[134]Main!$K$6</f>
        <v>78.481999999999999</v>
      </c>
      <c r="H245" s="6">
        <f>+F245-G245</f>
        <v>66.288738179999996</v>
      </c>
      <c r="I245" s="3" t="s">
        <v>1074</v>
      </c>
      <c r="J245" s="6">
        <f>+[134]Main!$K$3</f>
        <v>75.796198000000004</v>
      </c>
      <c r="K245" s="9">
        <v>45573</v>
      </c>
    </row>
    <row r="246" spans="1:29" x14ac:dyDescent="0.2">
      <c r="A246" t="s">
        <v>334</v>
      </c>
      <c r="B246" s="1">
        <f t="shared" si="21"/>
        <v>233</v>
      </c>
      <c r="C246" s="5" t="s">
        <v>321</v>
      </c>
      <c r="D246" t="s">
        <v>322</v>
      </c>
      <c r="E246" s="3">
        <v>3.23</v>
      </c>
      <c r="F246" s="6">
        <f>+E246*J246</f>
        <v>30.407559149999997</v>
      </c>
      <c r="G246" s="6">
        <f>+[135]Main!$N$5-[135]Main!$N$6</f>
        <v>-7.4640000000000004</v>
      </c>
      <c r="H246" s="6">
        <f>+F246-G246</f>
        <v>37.871559149999996</v>
      </c>
      <c r="I246" s="3" t="s">
        <v>301</v>
      </c>
      <c r="J246" s="6">
        <f>+[135]Main!$N$3</f>
        <v>9.4141049999999993</v>
      </c>
      <c r="K246" s="9">
        <v>44780</v>
      </c>
    </row>
    <row r="247" spans="1:29" x14ac:dyDescent="0.2">
      <c r="A247" t="s">
        <v>334</v>
      </c>
      <c r="B247" s="1">
        <f t="shared" si="21"/>
        <v>234</v>
      </c>
      <c r="C247" s="5" t="s">
        <v>242</v>
      </c>
      <c r="D247" s="1" t="s">
        <v>243</v>
      </c>
      <c r="E247" s="3">
        <v>1.98</v>
      </c>
      <c r="F247" s="6">
        <f>E247*[136]Main!$N$3</f>
        <v>39.757463459999997</v>
      </c>
      <c r="G247" s="6">
        <f>[136]Main!$N$5-[136]Main!$N$6</f>
        <v>15.942</v>
      </c>
      <c r="H247" s="8">
        <f t="shared" si="24"/>
        <v>23.815463459999997</v>
      </c>
      <c r="I247" s="3" t="s">
        <v>16</v>
      </c>
    </row>
    <row r="248" spans="1:29" x14ac:dyDescent="0.2">
      <c r="B248" s="1">
        <f t="shared" si="21"/>
        <v>235</v>
      </c>
      <c r="C248" s="5" t="s">
        <v>244</v>
      </c>
      <c r="D248" s="1" t="s">
        <v>245</v>
      </c>
      <c r="E248" s="3">
        <v>0.62</v>
      </c>
      <c r="F248" s="6">
        <f>E248*[137]Main!$L$3</f>
        <v>30.1881658</v>
      </c>
      <c r="G248" s="6">
        <f>[137]Main!$L$5-[137]Main!$L$6</f>
        <v>13.262999999999998</v>
      </c>
      <c r="H248" s="8">
        <f t="shared" si="24"/>
        <v>16.925165800000002</v>
      </c>
      <c r="I248" s="3" t="s">
        <v>16</v>
      </c>
    </row>
    <row r="249" spans="1:29" x14ac:dyDescent="0.2">
      <c r="B249" s="1">
        <f t="shared" si="21"/>
        <v>236</v>
      </c>
      <c r="C249" s="5" t="s">
        <v>246</v>
      </c>
      <c r="D249" s="1" t="s">
        <v>247</v>
      </c>
      <c r="E249" s="3">
        <v>6.12</v>
      </c>
      <c r="F249" s="6">
        <f>E249*[138]Main!$M$3</f>
        <v>125.46108324000001</v>
      </c>
      <c r="G249" s="6">
        <f>[138]Main!$M$5-[138]Main!$M$6</f>
        <v>131.17699999999999</v>
      </c>
      <c r="H249" s="8">
        <f t="shared" si="24"/>
        <v>-5.7159167599999847</v>
      </c>
      <c r="I249" s="3" t="s">
        <v>16</v>
      </c>
    </row>
    <row r="250" spans="1:29" x14ac:dyDescent="0.2">
      <c r="B250" s="1">
        <f t="shared" si="21"/>
        <v>237</v>
      </c>
      <c r="C250" s="5" t="s">
        <v>248</v>
      </c>
      <c r="D250" s="1" t="s">
        <v>249</v>
      </c>
      <c r="E250" s="3">
        <v>0.98</v>
      </c>
      <c r="F250" s="6">
        <f>E250*[139]Main!$M$3</f>
        <v>20.935517539999999</v>
      </c>
      <c r="G250" s="6">
        <f>[139]Main!$M$5-[139]Main!$M$6</f>
        <v>55.28</v>
      </c>
      <c r="H250" s="8">
        <f t="shared" si="24"/>
        <v>-34.344482460000002</v>
      </c>
      <c r="I250" s="3" t="s">
        <v>16</v>
      </c>
    </row>
    <row r="251" spans="1:29" x14ac:dyDescent="0.2">
      <c r="B251" s="1">
        <f t="shared" si="21"/>
        <v>238</v>
      </c>
      <c r="C251" s="5" t="s">
        <v>1309</v>
      </c>
      <c r="D251" t="s">
        <v>1190</v>
      </c>
      <c r="E251" s="7">
        <v>5</v>
      </c>
      <c r="F251" s="6">
        <f>+E251*J251</f>
        <v>596.75561000000005</v>
      </c>
      <c r="G251" s="6">
        <f>+[140]Main!$J$5-[140]Main!$J$6</f>
        <v>35.484999999999999</v>
      </c>
      <c r="H251" s="8">
        <f t="shared" si="24"/>
        <v>561.27061000000003</v>
      </c>
      <c r="I251" s="3" t="s">
        <v>1074</v>
      </c>
      <c r="J251" s="6">
        <f>+[140]Main!$J$3</f>
        <v>119.351122</v>
      </c>
    </row>
    <row r="252" spans="1:29" x14ac:dyDescent="0.2">
      <c r="B252" s="1">
        <f t="shared" si="21"/>
        <v>239</v>
      </c>
      <c r="C252" s="5" t="s">
        <v>545</v>
      </c>
      <c r="D252" t="s">
        <v>546</v>
      </c>
      <c r="E252" s="3">
        <v>0.94</v>
      </c>
      <c r="F252" s="6">
        <f>+E252*J252</f>
        <v>56.676359999999995</v>
      </c>
      <c r="G252" s="6">
        <f>+[141]Main!$K$5-[141]Main!$K$6</f>
        <v>136.64599999999999</v>
      </c>
      <c r="H252" s="6">
        <f>+F252-G252</f>
        <v>-79.969639999999998</v>
      </c>
      <c r="I252" s="3" t="s">
        <v>1074</v>
      </c>
      <c r="J252" s="6">
        <f>+[141]Main!$K$3</f>
        <v>60.293999999999997</v>
      </c>
      <c r="K252" s="9">
        <v>45550</v>
      </c>
      <c r="AC252" s="1">
        <v>2017</v>
      </c>
    </row>
    <row r="253" spans="1:29" x14ac:dyDescent="0.2">
      <c r="B253" s="1">
        <f t="shared" si="21"/>
        <v>240</v>
      </c>
      <c r="C253" s="1" t="s">
        <v>250</v>
      </c>
      <c r="D253" s="1" t="s">
        <v>251</v>
      </c>
      <c r="E253" s="3">
        <v>0.61</v>
      </c>
    </row>
    <row r="254" spans="1:29" x14ac:dyDescent="0.2">
      <c r="B254" s="1">
        <f t="shared" si="21"/>
        <v>241</v>
      </c>
      <c r="C254" s="1" t="s">
        <v>252</v>
      </c>
      <c r="D254" s="1" t="s">
        <v>253</v>
      </c>
      <c r="E254" s="3">
        <v>1.75</v>
      </c>
      <c r="F254" s="3">
        <v>96</v>
      </c>
    </row>
    <row r="255" spans="1:29" x14ac:dyDescent="0.2">
      <c r="B255" s="1">
        <f t="shared" si="21"/>
        <v>242</v>
      </c>
      <c r="C255" s="1" t="s">
        <v>348</v>
      </c>
      <c r="D255" t="s">
        <v>349</v>
      </c>
      <c r="E255" s="7">
        <v>0.96</v>
      </c>
      <c r="F255" s="3">
        <v>52</v>
      </c>
    </row>
    <row r="256" spans="1:29" x14ac:dyDescent="0.2">
      <c r="B256" s="1">
        <f t="shared" si="21"/>
        <v>243</v>
      </c>
      <c r="C256" s="1" t="s">
        <v>332</v>
      </c>
      <c r="D256" t="s">
        <v>333</v>
      </c>
      <c r="E256" s="7">
        <v>4.0999999999999996</v>
      </c>
      <c r="F256" s="3">
        <v>380</v>
      </c>
    </row>
    <row r="257" spans="1:6" x14ac:dyDescent="0.2">
      <c r="B257" s="1">
        <f t="shared" si="21"/>
        <v>244</v>
      </c>
      <c r="C257" t="s">
        <v>1310</v>
      </c>
      <c r="D257" t="s">
        <v>1311</v>
      </c>
      <c r="E257" s="7">
        <v>14.68</v>
      </c>
      <c r="F257" s="3">
        <v>396</v>
      </c>
    </row>
    <row r="258" spans="1:6" x14ac:dyDescent="0.2">
      <c r="B258" s="1">
        <f t="shared" si="21"/>
        <v>245</v>
      </c>
      <c r="C258" s="1" t="s">
        <v>379</v>
      </c>
      <c r="D258" s="1" t="s">
        <v>380</v>
      </c>
      <c r="E258" s="3">
        <v>25.85</v>
      </c>
    </row>
    <row r="259" spans="1:6" x14ac:dyDescent="0.2">
      <c r="B259" s="1">
        <f t="shared" si="21"/>
        <v>246</v>
      </c>
      <c r="C259" t="s">
        <v>385</v>
      </c>
      <c r="D259" t="s">
        <v>386</v>
      </c>
      <c r="E259" s="3">
        <v>9.26</v>
      </c>
      <c r="F259" s="3">
        <v>204</v>
      </c>
    </row>
    <row r="260" spans="1:6" x14ac:dyDescent="0.2">
      <c r="B260" s="1">
        <f t="shared" si="21"/>
        <v>247</v>
      </c>
      <c r="C260" s="25" t="s">
        <v>1355</v>
      </c>
      <c r="D260" t="s">
        <v>1356</v>
      </c>
      <c r="E260" s="3">
        <v>30.21</v>
      </c>
    </row>
    <row r="261" spans="1:6" x14ac:dyDescent="0.2">
      <c r="B261" s="1">
        <f t="shared" si="21"/>
        <v>248</v>
      </c>
      <c r="C261" t="s">
        <v>429</v>
      </c>
      <c r="D261" t="s">
        <v>430</v>
      </c>
      <c r="E261" s="7">
        <v>17.55</v>
      </c>
      <c r="F261" s="3">
        <v>593</v>
      </c>
    </row>
    <row r="262" spans="1:6" x14ac:dyDescent="0.2">
      <c r="B262" s="1">
        <f t="shared" si="21"/>
        <v>249</v>
      </c>
      <c r="C262" s="1" t="s">
        <v>395</v>
      </c>
      <c r="D262" s="1" t="s">
        <v>396</v>
      </c>
      <c r="E262" s="3">
        <v>4.09</v>
      </c>
      <c r="F262" s="3">
        <v>4</v>
      </c>
    </row>
    <row r="263" spans="1:6" x14ac:dyDescent="0.2">
      <c r="B263" s="1">
        <f t="shared" si="21"/>
        <v>250</v>
      </c>
      <c r="C263" t="s">
        <v>741</v>
      </c>
      <c r="D263" t="s">
        <v>742</v>
      </c>
      <c r="E263" s="7">
        <v>30.7</v>
      </c>
      <c r="F263" s="3">
        <v>1800</v>
      </c>
    </row>
    <row r="264" spans="1:6" x14ac:dyDescent="0.2">
      <c r="B264" s="1">
        <f t="shared" si="21"/>
        <v>251</v>
      </c>
      <c r="C264" t="s">
        <v>745</v>
      </c>
      <c r="D264" t="s">
        <v>746</v>
      </c>
    </row>
    <row r="265" spans="1:6" x14ac:dyDescent="0.2">
      <c r="B265" s="1">
        <f t="shared" ref="B265:B327" si="25">+B264+1</f>
        <v>252</v>
      </c>
      <c r="C265" t="s">
        <v>748</v>
      </c>
      <c r="D265" t="s">
        <v>749</v>
      </c>
    </row>
    <row r="266" spans="1:6" x14ac:dyDescent="0.2">
      <c r="A266"/>
      <c r="B266" s="1">
        <f t="shared" si="25"/>
        <v>253</v>
      </c>
      <c r="C266" t="s">
        <v>750</v>
      </c>
      <c r="D266" t="s">
        <v>751</v>
      </c>
      <c r="E266" s="3">
        <v>6.62</v>
      </c>
      <c r="F266" s="3">
        <v>1800</v>
      </c>
    </row>
    <row r="267" spans="1:6" x14ac:dyDescent="0.2">
      <c r="B267" s="1">
        <f t="shared" si="25"/>
        <v>254</v>
      </c>
      <c r="C267" t="s">
        <v>743</v>
      </c>
      <c r="D267" t="s">
        <v>744</v>
      </c>
    </row>
    <row r="268" spans="1:6" x14ac:dyDescent="0.2">
      <c r="B268" s="1">
        <f>+B118+1</f>
        <v>107</v>
      </c>
      <c r="C268" t="s">
        <v>423</v>
      </c>
      <c r="D268" t="s">
        <v>424</v>
      </c>
      <c r="E268" s="3">
        <v>20.32</v>
      </c>
    </row>
    <row r="269" spans="1:6" x14ac:dyDescent="0.2">
      <c r="B269" s="1">
        <f t="shared" si="25"/>
        <v>108</v>
      </c>
      <c r="C269" t="s">
        <v>504</v>
      </c>
      <c r="D269" t="s">
        <v>505</v>
      </c>
    </row>
    <row r="270" spans="1:6" x14ac:dyDescent="0.2">
      <c r="B270" s="1">
        <f t="shared" si="25"/>
        <v>109</v>
      </c>
      <c r="C270" t="s">
        <v>733</v>
      </c>
      <c r="D270" t="s">
        <v>734</v>
      </c>
    </row>
    <row r="271" spans="1:6" x14ac:dyDescent="0.2">
      <c r="B271" s="1">
        <f t="shared" si="25"/>
        <v>110</v>
      </c>
      <c r="C271" t="s">
        <v>729</v>
      </c>
      <c r="D271" t="s">
        <v>730</v>
      </c>
    </row>
    <row r="272" spans="1:6" x14ac:dyDescent="0.2">
      <c r="B272" s="1">
        <f t="shared" si="25"/>
        <v>111</v>
      </c>
      <c r="C272" s="1" t="s">
        <v>515</v>
      </c>
      <c r="D272" s="1" t="s">
        <v>516</v>
      </c>
    </row>
    <row r="273" spans="1:5" x14ac:dyDescent="0.2">
      <c r="B273" s="1">
        <f t="shared" si="25"/>
        <v>112</v>
      </c>
      <c r="C273" t="s">
        <v>520</v>
      </c>
      <c r="D273" t="s">
        <v>1301</v>
      </c>
      <c r="E273" s="3">
        <v>13.13</v>
      </c>
    </row>
    <row r="274" spans="1:5" x14ac:dyDescent="0.2">
      <c r="B274" s="1">
        <f t="shared" si="25"/>
        <v>113</v>
      </c>
      <c r="C274" s="1" t="s">
        <v>523</v>
      </c>
      <c r="D274" s="1" t="s">
        <v>524</v>
      </c>
      <c r="E274" s="3">
        <v>7.08</v>
      </c>
    </row>
    <row r="275" spans="1:5" x14ac:dyDescent="0.2">
      <c r="B275" s="1">
        <f t="shared" si="25"/>
        <v>114</v>
      </c>
      <c r="C275" t="s">
        <v>526</v>
      </c>
      <c r="D275" t="s">
        <v>525</v>
      </c>
      <c r="E275" s="7">
        <v>20.3</v>
      </c>
    </row>
    <row r="276" spans="1:5" x14ac:dyDescent="0.2">
      <c r="B276" s="1">
        <f t="shared" si="25"/>
        <v>115</v>
      </c>
      <c r="C276" t="s">
        <v>527</v>
      </c>
      <c r="D276" t="s">
        <v>528</v>
      </c>
      <c r="E276" s="3">
        <v>0.38</v>
      </c>
    </row>
    <row r="277" spans="1:5" x14ac:dyDescent="0.2">
      <c r="B277" s="1">
        <f t="shared" si="25"/>
        <v>116</v>
      </c>
      <c r="C277" t="s">
        <v>529</v>
      </c>
      <c r="D277" t="s">
        <v>530</v>
      </c>
      <c r="E277" s="3">
        <v>4.24</v>
      </c>
    </row>
    <row r="278" spans="1:5" x14ac:dyDescent="0.2">
      <c r="A278" s="1" t="s">
        <v>334</v>
      </c>
      <c r="B278" s="1">
        <f t="shared" si="25"/>
        <v>117</v>
      </c>
      <c r="C278" t="s">
        <v>531</v>
      </c>
      <c r="D278" t="s">
        <v>532</v>
      </c>
      <c r="E278" s="3">
        <v>13.74</v>
      </c>
    </row>
    <row r="279" spans="1:5" x14ac:dyDescent="0.2">
      <c r="B279" s="1">
        <f t="shared" si="25"/>
        <v>118</v>
      </c>
      <c r="C279" t="s">
        <v>533</v>
      </c>
      <c r="D279" t="s">
        <v>534</v>
      </c>
      <c r="E279" s="3">
        <v>4.3600000000000003</v>
      </c>
    </row>
    <row r="280" spans="1:5" x14ac:dyDescent="0.2">
      <c r="B280" s="1">
        <f t="shared" si="25"/>
        <v>119</v>
      </c>
      <c r="C280" t="s">
        <v>535</v>
      </c>
      <c r="D280" t="s">
        <v>536</v>
      </c>
      <c r="E280" s="3">
        <v>7.06</v>
      </c>
    </row>
    <row r="281" spans="1:5" x14ac:dyDescent="0.2">
      <c r="B281" s="1">
        <f t="shared" si="25"/>
        <v>120</v>
      </c>
      <c r="C281" t="s">
        <v>787</v>
      </c>
      <c r="D281" t="s">
        <v>788</v>
      </c>
    </row>
    <row r="282" spans="1:5" x14ac:dyDescent="0.2">
      <c r="A282" s="1" t="s">
        <v>334</v>
      </c>
      <c r="B282" s="1">
        <f t="shared" si="25"/>
        <v>121</v>
      </c>
      <c r="C282" t="s">
        <v>537</v>
      </c>
      <c r="D282" t="s">
        <v>538</v>
      </c>
      <c r="E282" s="3">
        <v>1.04</v>
      </c>
    </row>
    <row r="283" spans="1:5" x14ac:dyDescent="0.2">
      <c r="B283" s="1">
        <f t="shared" si="25"/>
        <v>122</v>
      </c>
      <c r="C283" s="34" t="s">
        <v>539</v>
      </c>
      <c r="D283" s="34" t="s">
        <v>540</v>
      </c>
    </row>
    <row r="284" spans="1:5" x14ac:dyDescent="0.2">
      <c r="B284" s="1">
        <f t="shared" si="25"/>
        <v>123</v>
      </c>
      <c r="C284" t="s">
        <v>541</v>
      </c>
      <c r="D284" t="s">
        <v>542</v>
      </c>
      <c r="E284" s="3">
        <v>2.97</v>
      </c>
    </row>
    <row r="285" spans="1:5" x14ac:dyDescent="0.2">
      <c r="B285" s="1">
        <f t="shared" si="25"/>
        <v>124</v>
      </c>
      <c r="C285" t="s">
        <v>543</v>
      </c>
      <c r="D285" t="s">
        <v>544</v>
      </c>
      <c r="E285" s="3">
        <v>3.28</v>
      </c>
    </row>
    <row r="286" spans="1:5" x14ac:dyDescent="0.2">
      <c r="B286" s="1">
        <f t="shared" si="25"/>
        <v>125</v>
      </c>
      <c r="C286" t="s">
        <v>547</v>
      </c>
      <c r="D286" t="s">
        <v>548</v>
      </c>
    </row>
    <row r="287" spans="1:5" x14ac:dyDescent="0.2">
      <c r="B287" s="1">
        <f t="shared" si="25"/>
        <v>126</v>
      </c>
      <c r="C287" t="s">
        <v>549</v>
      </c>
      <c r="D287" t="s">
        <v>550</v>
      </c>
      <c r="E287" s="3">
        <v>18.07</v>
      </c>
    </row>
    <row r="288" spans="1:5" x14ac:dyDescent="0.2">
      <c r="B288" s="1">
        <f t="shared" si="25"/>
        <v>127</v>
      </c>
      <c r="C288" t="s">
        <v>551</v>
      </c>
      <c r="D288" t="s">
        <v>552</v>
      </c>
      <c r="E288" s="3">
        <v>2.68</v>
      </c>
    </row>
    <row r="289" spans="1:5" x14ac:dyDescent="0.2">
      <c r="B289" s="1">
        <f t="shared" si="25"/>
        <v>128</v>
      </c>
      <c r="C289" t="s">
        <v>553</v>
      </c>
      <c r="D289" t="s">
        <v>554</v>
      </c>
      <c r="E289" s="7">
        <v>7</v>
      </c>
    </row>
    <row r="290" spans="1:5" x14ac:dyDescent="0.2">
      <c r="B290" s="1">
        <f t="shared" si="25"/>
        <v>129</v>
      </c>
      <c r="C290" t="s">
        <v>555</v>
      </c>
      <c r="D290" t="s">
        <v>556</v>
      </c>
      <c r="E290" s="3">
        <v>1.76</v>
      </c>
    </row>
    <row r="291" spans="1:5" x14ac:dyDescent="0.2">
      <c r="B291" s="1">
        <f t="shared" si="25"/>
        <v>130</v>
      </c>
      <c r="C291" t="s">
        <v>992</v>
      </c>
      <c r="D291" t="s">
        <v>993</v>
      </c>
    </row>
    <row r="292" spans="1:5" x14ac:dyDescent="0.2">
      <c r="B292" s="1">
        <f t="shared" si="25"/>
        <v>131</v>
      </c>
      <c r="C292" t="s">
        <v>557</v>
      </c>
      <c r="D292" t="s">
        <v>558</v>
      </c>
      <c r="E292" s="3">
        <v>0.61</v>
      </c>
    </row>
    <row r="293" spans="1:5" x14ac:dyDescent="0.2">
      <c r="B293" s="1">
        <f t="shared" si="25"/>
        <v>132</v>
      </c>
      <c r="C293" t="s">
        <v>559</v>
      </c>
      <c r="D293" t="s">
        <v>560</v>
      </c>
      <c r="E293" s="3">
        <v>0.68</v>
      </c>
    </row>
    <row r="294" spans="1:5" x14ac:dyDescent="0.2">
      <c r="B294" s="1">
        <f t="shared" si="25"/>
        <v>133</v>
      </c>
      <c r="C294" t="s">
        <v>561</v>
      </c>
      <c r="D294" t="s">
        <v>562</v>
      </c>
      <c r="E294" s="3">
        <v>11.86</v>
      </c>
    </row>
    <row r="295" spans="1:5" x14ac:dyDescent="0.2">
      <c r="B295" s="1">
        <f t="shared" si="25"/>
        <v>134</v>
      </c>
      <c r="C295" t="s">
        <v>563</v>
      </c>
      <c r="D295" t="s">
        <v>564</v>
      </c>
      <c r="E295" s="3">
        <v>1.86</v>
      </c>
    </row>
    <row r="296" spans="1:5" x14ac:dyDescent="0.2">
      <c r="B296" s="1">
        <f t="shared" si="25"/>
        <v>135</v>
      </c>
      <c r="C296" t="s">
        <v>565</v>
      </c>
      <c r="D296" t="s">
        <v>566</v>
      </c>
      <c r="E296" s="3">
        <v>1.87</v>
      </c>
    </row>
    <row r="297" spans="1:5" x14ac:dyDescent="0.2">
      <c r="B297" s="1">
        <f t="shared" si="25"/>
        <v>136</v>
      </c>
      <c r="C297" s="34" t="s">
        <v>567</v>
      </c>
      <c r="D297" s="34" t="s">
        <v>568</v>
      </c>
      <c r="E297"/>
    </row>
    <row r="298" spans="1:5" x14ac:dyDescent="0.2">
      <c r="B298" s="1">
        <f t="shared" si="25"/>
        <v>137</v>
      </c>
      <c r="C298" t="s">
        <v>570</v>
      </c>
      <c r="D298" t="s">
        <v>569</v>
      </c>
      <c r="E298" s="3">
        <v>7.46</v>
      </c>
    </row>
    <row r="299" spans="1:5" x14ac:dyDescent="0.2">
      <c r="B299" s="1">
        <f t="shared" si="25"/>
        <v>138</v>
      </c>
      <c r="C299" t="s">
        <v>802</v>
      </c>
      <c r="D299" t="s">
        <v>803</v>
      </c>
    </row>
    <row r="300" spans="1:5" x14ac:dyDescent="0.2">
      <c r="B300" s="1">
        <f t="shared" si="25"/>
        <v>139</v>
      </c>
      <c r="C300" t="s">
        <v>800</v>
      </c>
      <c r="D300" t="s">
        <v>801</v>
      </c>
      <c r="E300" s="3">
        <v>8.77</v>
      </c>
    </row>
    <row r="301" spans="1:5" x14ac:dyDescent="0.2">
      <c r="B301" s="1">
        <f t="shared" si="25"/>
        <v>140</v>
      </c>
      <c r="C301" t="s">
        <v>571</v>
      </c>
      <c r="D301" t="s">
        <v>572</v>
      </c>
      <c r="E301" s="3">
        <v>2.77</v>
      </c>
    </row>
    <row r="302" spans="1:5" x14ac:dyDescent="0.2">
      <c r="B302" s="1">
        <f t="shared" si="25"/>
        <v>141</v>
      </c>
      <c r="C302" t="s">
        <v>348</v>
      </c>
      <c r="D302" t="s">
        <v>349</v>
      </c>
      <c r="E302" s="3">
        <v>2.67</v>
      </c>
    </row>
    <row r="303" spans="1:5" x14ac:dyDescent="0.2">
      <c r="A303" s="1" t="s">
        <v>334</v>
      </c>
      <c r="B303" s="1">
        <f t="shared" si="25"/>
        <v>142</v>
      </c>
      <c r="C303" t="s">
        <v>980</v>
      </c>
      <c r="D303" t="s">
        <v>981</v>
      </c>
    </row>
    <row r="304" spans="1:5" x14ac:dyDescent="0.2">
      <c r="A304" s="1" t="s">
        <v>334</v>
      </c>
      <c r="B304" s="1">
        <f t="shared" si="25"/>
        <v>143</v>
      </c>
      <c r="C304" t="s">
        <v>978</v>
      </c>
      <c r="D304" t="s">
        <v>979</v>
      </c>
    </row>
    <row r="305" spans="1:29" x14ac:dyDescent="0.2">
      <c r="A305" t="s">
        <v>334</v>
      </c>
      <c r="B305" s="1">
        <f t="shared" si="25"/>
        <v>144</v>
      </c>
      <c r="C305" t="s">
        <v>984</v>
      </c>
      <c r="D305" t="s">
        <v>985</v>
      </c>
    </row>
    <row r="306" spans="1:29" x14ac:dyDescent="0.2">
      <c r="A306"/>
      <c r="B306" s="1">
        <f t="shared" si="25"/>
        <v>145</v>
      </c>
      <c r="C306" t="s">
        <v>986</v>
      </c>
      <c r="D306" t="s">
        <v>987</v>
      </c>
    </row>
    <row r="307" spans="1:29" x14ac:dyDescent="0.2">
      <c r="A307" t="s">
        <v>334</v>
      </c>
      <c r="B307" s="1">
        <f t="shared" si="25"/>
        <v>146</v>
      </c>
      <c r="C307" t="s">
        <v>988</v>
      </c>
      <c r="D307" t="s">
        <v>989</v>
      </c>
    </row>
    <row r="308" spans="1:29" x14ac:dyDescent="0.2">
      <c r="A308" t="s">
        <v>334</v>
      </c>
      <c r="B308" s="1">
        <f t="shared" si="25"/>
        <v>147</v>
      </c>
      <c r="C308" t="s">
        <v>990</v>
      </c>
      <c r="D308" t="s">
        <v>991</v>
      </c>
    </row>
    <row r="309" spans="1:29" x14ac:dyDescent="0.2">
      <c r="A309" t="s">
        <v>334</v>
      </c>
      <c r="B309" s="1">
        <f t="shared" si="25"/>
        <v>148</v>
      </c>
      <c r="C309" t="s">
        <v>982</v>
      </c>
      <c r="D309" t="s">
        <v>983</v>
      </c>
    </row>
    <row r="310" spans="1:29" x14ac:dyDescent="0.2">
      <c r="A310" s="1" t="s">
        <v>334</v>
      </c>
      <c r="B310" s="1">
        <f t="shared" si="25"/>
        <v>149</v>
      </c>
      <c r="C310" t="s">
        <v>976</v>
      </c>
      <c r="D310" t="s">
        <v>977</v>
      </c>
    </row>
    <row r="311" spans="1:29" x14ac:dyDescent="0.2">
      <c r="A311" s="1" t="s">
        <v>334</v>
      </c>
      <c r="B311" s="1">
        <f t="shared" si="25"/>
        <v>150</v>
      </c>
      <c r="C311" t="s">
        <v>573</v>
      </c>
      <c r="D311" t="s">
        <v>574</v>
      </c>
      <c r="E311" s="7">
        <v>2.2000000000000002</v>
      </c>
    </row>
    <row r="312" spans="1:29" x14ac:dyDescent="0.2">
      <c r="A312" s="1" t="s">
        <v>334</v>
      </c>
      <c r="B312" s="1">
        <f t="shared" si="25"/>
        <v>151</v>
      </c>
      <c r="C312" t="s">
        <v>577</v>
      </c>
      <c r="D312" t="s">
        <v>578</v>
      </c>
      <c r="E312" s="3">
        <v>0.92</v>
      </c>
    </row>
    <row r="313" spans="1:29" x14ac:dyDescent="0.2">
      <c r="A313" s="1" t="s">
        <v>334</v>
      </c>
      <c r="B313" s="1">
        <f t="shared" si="25"/>
        <v>152</v>
      </c>
      <c r="C313" t="s">
        <v>579</v>
      </c>
      <c r="D313" t="s">
        <v>580</v>
      </c>
      <c r="E313" s="3">
        <v>2.94</v>
      </c>
    </row>
    <row r="314" spans="1:29" x14ac:dyDescent="0.2">
      <c r="A314" s="1" t="s">
        <v>334</v>
      </c>
      <c r="B314" s="1">
        <f t="shared" si="25"/>
        <v>153</v>
      </c>
      <c r="C314" t="s">
        <v>581</v>
      </c>
      <c r="D314" t="s">
        <v>582</v>
      </c>
      <c r="E314" s="3">
        <v>5.88</v>
      </c>
    </row>
    <row r="315" spans="1:29" x14ac:dyDescent="0.2">
      <c r="A315" s="1" t="s">
        <v>334</v>
      </c>
      <c r="B315" s="1">
        <f t="shared" si="25"/>
        <v>154</v>
      </c>
      <c r="C315" t="s">
        <v>583</v>
      </c>
      <c r="D315" t="s">
        <v>584</v>
      </c>
      <c r="E315" s="7">
        <v>3.46</v>
      </c>
    </row>
    <row r="316" spans="1:29" x14ac:dyDescent="0.2">
      <c r="A316" t="s">
        <v>334</v>
      </c>
      <c r="B316" s="1">
        <f t="shared" si="25"/>
        <v>155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+[142]Main!$M$5-[142]Main!$M$6</f>
        <v>99.997</v>
      </c>
      <c r="H316" s="6">
        <f>+F316-G316</f>
        <v>488.73748214000005</v>
      </c>
      <c r="I316" s="3" t="s">
        <v>1074</v>
      </c>
      <c r="J316" s="6">
        <f>+[142]Main!$M$3</f>
        <v>44.567334000000002</v>
      </c>
      <c r="K316" s="9">
        <v>45568</v>
      </c>
    </row>
    <row r="317" spans="1:29" x14ac:dyDescent="0.2">
      <c r="A317" t="s">
        <v>334</v>
      </c>
      <c r="B317" s="1">
        <f t="shared" si="25"/>
        <v>156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+[143]Main!$K$5-[143]Main!$K$6</f>
        <v>174.27199999999999</v>
      </c>
      <c r="H317" s="6">
        <f>+F317-G317</f>
        <v>317.95222608</v>
      </c>
      <c r="I317" s="3" t="s">
        <v>1074</v>
      </c>
      <c r="J317" s="6">
        <f>+[143]Main!$K$3</f>
        <v>43.215471999999998</v>
      </c>
      <c r="K317" s="9">
        <v>45567</v>
      </c>
    </row>
    <row r="318" spans="1:29" x14ac:dyDescent="0.2">
      <c r="A318" s="1" t="s">
        <v>334</v>
      </c>
      <c r="B318" s="1">
        <f t="shared" si="25"/>
        <v>157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[144]Main!$M$5-[144]Main!$M$6</f>
        <v>236.422</v>
      </c>
      <c r="H318" s="6">
        <f>F318-G318</f>
        <v>416.95678099999998</v>
      </c>
      <c r="I318" s="9">
        <v>45063</v>
      </c>
      <c r="J318" s="6">
        <f>[144]Main!$M$3</f>
        <v>19.799357000000001</v>
      </c>
      <c r="AC318" s="1">
        <v>2017</v>
      </c>
    </row>
    <row r="319" spans="1:29" x14ac:dyDescent="0.2">
      <c r="A319"/>
      <c r="B319" s="1">
        <f t="shared" si="25"/>
        <v>158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+[145]Main!$K$5-[145]Main!$K$6</f>
        <v>280.24800000000005</v>
      </c>
      <c r="H319" s="6">
        <f>+F319-G319</f>
        <v>196.5992511</v>
      </c>
      <c r="I319" s="3" t="s">
        <v>1074</v>
      </c>
      <c r="J319" s="6">
        <f>+[145]Main!$K$3</f>
        <v>53.518210000000003</v>
      </c>
      <c r="K319" s="9">
        <v>45557</v>
      </c>
    </row>
    <row r="320" spans="1:29" x14ac:dyDescent="0.2">
      <c r="A320" s="1" t="s">
        <v>334</v>
      </c>
      <c r="B320" s="1">
        <f t="shared" si="25"/>
        <v>159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+[146]Main!$J$5-[146]Main!$J$6</f>
        <v>69.49499999999999</v>
      </c>
      <c r="H320" s="6">
        <f>+F320-G320</f>
        <v>172.96200277999998</v>
      </c>
      <c r="I320" s="3" t="s">
        <v>1074</v>
      </c>
      <c r="J320" s="6">
        <f>+[146]Main!$J$3</f>
        <v>72.591916999999995</v>
      </c>
      <c r="K320" s="9">
        <v>45548</v>
      </c>
    </row>
    <row r="321" spans="1:29" x14ac:dyDescent="0.2">
      <c r="A321"/>
      <c r="B321" s="1">
        <f t="shared" si="25"/>
        <v>160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+[147]Main!$K$5-[147]Main!$K$6</f>
        <v>29.36</v>
      </c>
      <c r="H321" s="6">
        <f>+F321-G321</f>
        <v>66.314332159999992</v>
      </c>
      <c r="I321" s="3" t="s">
        <v>1074</v>
      </c>
      <c r="J321" s="6">
        <f>+[147]Main!$K$3</f>
        <v>74.745571999999996</v>
      </c>
      <c r="K321" s="9">
        <v>45554</v>
      </c>
    </row>
    <row r="322" spans="1:29" x14ac:dyDescent="0.2">
      <c r="A322"/>
      <c r="B322" s="1">
        <f t="shared" si="25"/>
        <v>161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+[148]Main!$L$5-[148]Main!$L$6</f>
        <v>33.298999999999999</v>
      </c>
      <c r="H322" s="6">
        <f>+F322-G322</f>
        <v>-3.1882702000000016</v>
      </c>
      <c r="I322" s="3" t="s">
        <v>1074</v>
      </c>
      <c r="J322" s="6">
        <f>+[148]Main!$L$3</f>
        <v>35.424388</v>
      </c>
      <c r="K322" s="9">
        <v>45558</v>
      </c>
    </row>
    <row r="323" spans="1:29" x14ac:dyDescent="0.2">
      <c r="B323" s="1">
        <f t="shared" si="25"/>
        <v>162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[149]Main!$K$5-[149]Main!$K$6</f>
        <v>54.983000000000004</v>
      </c>
      <c r="H323" s="6">
        <f>F323-G323</f>
        <v>-42.469815400000002</v>
      </c>
      <c r="I323" s="9">
        <v>45063</v>
      </c>
      <c r="J323" s="6">
        <f>[149]Main!$K$3</f>
        <v>35.751956</v>
      </c>
    </row>
    <row r="324" spans="1:29" x14ac:dyDescent="0.2">
      <c r="A324"/>
      <c r="B324" s="1">
        <f t="shared" si="25"/>
        <v>163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+[150]Main!$K$5-[150]Main!$K$6</f>
        <v>426.65000000000003</v>
      </c>
      <c r="H324" s="6">
        <f>+F324-G324</f>
        <v>-99.962968980000085</v>
      </c>
      <c r="I324" s="3" t="s">
        <v>1074</v>
      </c>
      <c r="J324" s="6">
        <f>+[150]Main!$K$3</f>
        <v>70.558753999999993</v>
      </c>
      <c r="K324" s="9">
        <v>45564</v>
      </c>
      <c r="AC324" s="1">
        <v>2015</v>
      </c>
    </row>
    <row r="325" spans="1:29" x14ac:dyDescent="0.2">
      <c r="A325" s="1" t="s">
        <v>334</v>
      </c>
      <c r="B325" s="1">
        <f t="shared" si="25"/>
        <v>164</v>
      </c>
      <c r="C325" s="1" t="s">
        <v>589</v>
      </c>
      <c r="D325" s="1" t="s">
        <v>590</v>
      </c>
    </row>
    <row r="326" spans="1:29" x14ac:dyDescent="0.2">
      <c r="B326" s="1">
        <f t="shared" si="25"/>
        <v>165</v>
      </c>
      <c r="C326" t="s">
        <v>591</v>
      </c>
      <c r="D326" t="s">
        <v>592</v>
      </c>
    </row>
    <row r="327" spans="1:29" x14ac:dyDescent="0.2">
      <c r="A327" s="1" t="s">
        <v>334</v>
      </c>
      <c r="B327" s="1">
        <f t="shared" si="25"/>
        <v>166</v>
      </c>
      <c r="C327" t="s">
        <v>593</v>
      </c>
      <c r="D327" t="s">
        <v>594</v>
      </c>
    </row>
    <row r="328" spans="1:29" x14ac:dyDescent="0.2">
      <c r="A328" s="1" t="s">
        <v>334</v>
      </c>
      <c r="B328" s="1">
        <f t="shared" ref="B328:B391" si="26">+B327+1</f>
        <v>167</v>
      </c>
      <c r="C328" s="1" t="s">
        <v>449</v>
      </c>
      <c r="D328" s="1" t="s">
        <v>662</v>
      </c>
    </row>
    <row r="329" spans="1:29" x14ac:dyDescent="0.2">
      <c r="B329" s="1">
        <f t="shared" si="26"/>
        <v>168</v>
      </c>
      <c r="C329" t="s">
        <v>1173</v>
      </c>
      <c r="D329" t="s">
        <v>1174</v>
      </c>
    </row>
    <row r="330" spans="1:29" x14ac:dyDescent="0.2">
      <c r="A330" s="1" t="s">
        <v>334</v>
      </c>
      <c r="B330" s="1">
        <f t="shared" si="26"/>
        <v>169</v>
      </c>
      <c r="C330" t="s">
        <v>775</v>
      </c>
      <c r="D330" t="s">
        <v>776</v>
      </c>
    </row>
    <row r="331" spans="1:29" x14ac:dyDescent="0.2">
      <c r="A331" s="1" t="s">
        <v>334</v>
      </c>
      <c r="B331" s="1">
        <f t="shared" si="26"/>
        <v>170</v>
      </c>
      <c r="C331" t="s">
        <v>665</v>
      </c>
      <c r="D331" t="s">
        <v>666</v>
      </c>
    </row>
    <row r="332" spans="1:29" x14ac:dyDescent="0.2">
      <c r="A332" t="s">
        <v>334</v>
      </c>
      <c r="B332" s="1">
        <f t="shared" si="26"/>
        <v>171</v>
      </c>
      <c r="C332" t="s">
        <v>667</v>
      </c>
      <c r="D332" t="s">
        <v>668</v>
      </c>
    </row>
    <row r="333" spans="1:29" x14ac:dyDescent="0.2">
      <c r="A333" t="s">
        <v>334</v>
      </c>
      <c r="B333" s="1">
        <f t="shared" si="26"/>
        <v>172</v>
      </c>
      <c r="C333" t="s">
        <v>669</v>
      </c>
      <c r="D333" t="s">
        <v>670</v>
      </c>
    </row>
    <row r="334" spans="1:29" x14ac:dyDescent="0.2">
      <c r="B334" s="1">
        <f t="shared" si="26"/>
        <v>173</v>
      </c>
      <c r="C334" t="s">
        <v>671</v>
      </c>
      <c r="D334" t="s">
        <v>672</v>
      </c>
    </row>
    <row r="335" spans="1:29" x14ac:dyDescent="0.2">
      <c r="A335" s="1" t="s">
        <v>334</v>
      </c>
      <c r="B335" s="1">
        <f t="shared" si="26"/>
        <v>174</v>
      </c>
      <c r="C335" t="s">
        <v>808</v>
      </c>
      <c r="D335" t="s">
        <v>809</v>
      </c>
    </row>
    <row r="336" spans="1:29" x14ac:dyDescent="0.2">
      <c r="A336" s="1" t="s">
        <v>334</v>
      </c>
      <c r="B336" s="1">
        <f t="shared" si="26"/>
        <v>175</v>
      </c>
      <c r="C336" t="s">
        <v>812</v>
      </c>
      <c r="D336" t="s">
        <v>813</v>
      </c>
    </row>
    <row r="337" spans="1:4" x14ac:dyDescent="0.2">
      <c r="A337" t="s">
        <v>334</v>
      </c>
      <c r="B337" s="1">
        <f t="shared" si="26"/>
        <v>176</v>
      </c>
      <c r="C337" t="s">
        <v>818</v>
      </c>
      <c r="D337" t="s">
        <v>819</v>
      </c>
    </row>
    <row r="338" spans="1:4" x14ac:dyDescent="0.2">
      <c r="A338" t="s">
        <v>334</v>
      </c>
      <c r="B338" s="1">
        <f t="shared" si="26"/>
        <v>177</v>
      </c>
      <c r="C338" t="s">
        <v>822</v>
      </c>
      <c r="D338" t="s">
        <v>823</v>
      </c>
    </row>
    <row r="339" spans="1:4" x14ac:dyDescent="0.2">
      <c r="A339" t="s">
        <v>334</v>
      </c>
      <c r="B339" s="1">
        <f t="shared" si="26"/>
        <v>178</v>
      </c>
      <c r="C339" t="s">
        <v>820</v>
      </c>
      <c r="D339" t="s">
        <v>821</v>
      </c>
    </row>
    <row r="340" spans="1:4" x14ac:dyDescent="0.2">
      <c r="A340" t="s">
        <v>334</v>
      </c>
      <c r="B340" s="1">
        <f t="shared" si="26"/>
        <v>179</v>
      </c>
      <c r="C340" t="s">
        <v>816</v>
      </c>
      <c r="D340" t="s">
        <v>817</v>
      </c>
    </row>
    <row r="341" spans="1:4" x14ac:dyDescent="0.2">
      <c r="A341" t="s">
        <v>334</v>
      </c>
      <c r="B341" s="1">
        <f t="shared" si="26"/>
        <v>180</v>
      </c>
      <c r="C341" t="s">
        <v>814</v>
      </c>
      <c r="D341" t="s">
        <v>815</v>
      </c>
    </row>
    <row r="342" spans="1:4" x14ac:dyDescent="0.2">
      <c r="A342" s="1" t="s">
        <v>334</v>
      </c>
      <c r="B342" s="1">
        <f t="shared" si="26"/>
        <v>181</v>
      </c>
      <c r="C342" t="s">
        <v>810</v>
      </c>
      <c r="D342" t="s">
        <v>811</v>
      </c>
    </row>
    <row r="343" spans="1:4" x14ac:dyDescent="0.2">
      <c r="A343" s="1" t="s">
        <v>334</v>
      </c>
      <c r="B343" s="1">
        <f t="shared" si="26"/>
        <v>182</v>
      </c>
      <c r="C343" t="s">
        <v>804</v>
      </c>
      <c r="D343" t="s">
        <v>805</v>
      </c>
    </row>
    <row r="344" spans="1:4" x14ac:dyDescent="0.2">
      <c r="A344" s="1" t="s">
        <v>334</v>
      </c>
      <c r="B344" s="1">
        <f t="shared" si="26"/>
        <v>183</v>
      </c>
      <c r="C344" t="s">
        <v>673</v>
      </c>
      <c r="D344" t="s">
        <v>674</v>
      </c>
    </row>
    <row r="345" spans="1:4" x14ac:dyDescent="0.2">
      <c r="A345" s="1" t="s">
        <v>334</v>
      </c>
      <c r="B345" s="1">
        <f t="shared" si="26"/>
        <v>184</v>
      </c>
      <c r="C345" t="s">
        <v>737</v>
      </c>
      <c r="D345" t="s">
        <v>738</v>
      </c>
    </row>
    <row r="346" spans="1:4" x14ac:dyDescent="0.2">
      <c r="A346" s="1" t="s">
        <v>334</v>
      </c>
      <c r="B346" s="1">
        <f t="shared" si="26"/>
        <v>185</v>
      </c>
      <c r="C346" t="s">
        <v>735</v>
      </c>
      <c r="D346" t="s">
        <v>736</v>
      </c>
    </row>
    <row r="347" spans="1:4" x14ac:dyDescent="0.2">
      <c r="A347" s="1" t="s">
        <v>334</v>
      </c>
      <c r="B347" s="1">
        <f t="shared" si="26"/>
        <v>186</v>
      </c>
      <c r="C347" t="s">
        <v>675</v>
      </c>
      <c r="D347" t="s">
        <v>676</v>
      </c>
    </row>
    <row r="348" spans="1:4" x14ac:dyDescent="0.2">
      <c r="A348" t="s">
        <v>334</v>
      </c>
      <c r="B348" s="1">
        <f t="shared" si="26"/>
        <v>187</v>
      </c>
      <c r="C348" t="s">
        <v>722</v>
      </c>
      <c r="D348" t="s">
        <v>723</v>
      </c>
    </row>
    <row r="349" spans="1:4" x14ac:dyDescent="0.2">
      <c r="A349" s="1" t="s">
        <v>334</v>
      </c>
      <c r="B349" s="1">
        <f t="shared" si="26"/>
        <v>188</v>
      </c>
      <c r="C349" t="s">
        <v>677</v>
      </c>
      <c r="D349" t="s">
        <v>678</v>
      </c>
    </row>
    <row r="350" spans="1:4" x14ac:dyDescent="0.2">
      <c r="A350" s="1" t="s">
        <v>334</v>
      </c>
      <c r="B350" s="1">
        <f t="shared" si="26"/>
        <v>189</v>
      </c>
      <c r="C350" s="1" t="s">
        <v>696</v>
      </c>
      <c r="D350" s="1" t="s">
        <v>697</v>
      </c>
    </row>
    <row r="351" spans="1:4" x14ac:dyDescent="0.2">
      <c r="A351" t="s">
        <v>334</v>
      </c>
      <c r="B351" s="1">
        <f t="shared" si="26"/>
        <v>190</v>
      </c>
      <c r="C351" t="s">
        <v>700</v>
      </c>
      <c r="D351" t="s">
        <v>701</v>
      </c>
    </row>
    <row r="352" spans="1:4" x14ac:dyDescent="0.2">
      <c r="A352" t="s">
        <v>334</v>
      </c>
      <c r="B352" s="1">
        <f t="shared" si="26"/>
        <v>191</v>
      </c>
      <c r="C352" t="s">
        <v>702</v>
      </c>
      <c r="D352" t="s">
        <v>703</v>
      </c>
    </row>
    <row r="353" spans="1:5" x14ac:dyDescent="0.2">
      <c r="A353" t="s">
        <v>334</v>
      </c>
      <c r="B353" s="1">
        <f t="shared" si="26"/>
        <v>192</v>
      </c>
      <c r="C353" t="s">
        <v>824</v>
      </c>
      <c r="D353" t="s">
        <v>825</v>
      </c>
    </row>
    <row r="354" spans="1:5" x14ac:dyDescent="0.2">
      <c r="A354" t="s">
        <v>334</v>
      </c>
      <c r="B354" s="1">
        <f t="shared" si="26"/>
        <v>193</v>
      </c>
      <c r="C354" t="s">
        <v>828</v>
      </c>
      <c r="D354" t="s">
        <v>829</v>
      </c>
    </row>
    <row r="355" spans="1:5" x14ac:dyDescent="0.2">
      <c r="A355" t="s">
        <v>334</v>
      </c>
      <c r="B355" s="1">
        <f t="shared" si="26"/>
        <v>194</v>
      </c>
      <c r="C355" t="s">
        <v>830</v>
      </c>
      <c r="D355" t="s">
        <v>831</v>
      </c>
    </row>
    <row r="356" spans="1:5" x14ac:dyDescent="0.2">
      <c r="A356"/>
      <c r="B356" s="1">
        <f t="shared" si="26"/>
        <v>195</v>
      </c>
      <c r="C356" t="s">
        <v>832</v>
      </c>
      <c r="D356" t="s">
        <v>833</v>
      </c>
    </row>
    <row r="357" spans="1:5" x14ac:dyDescent="0.2">
      <c r="A357" t="s">
        <v>334</v>
      </c>
      <c r="B357" s="1">
        <f t="shared" si="26"/>
        <v>196</v>
      </c>
      <c r="C357" s="5" t="s">
        <v>834</v>
      </c>
      <c r="D357" t="s">
        <v>835</v>
      </c>
      <c r="E357" s="3">
        <v>1.73</v>
      </c>
    </row>
    <row r="358" spans="1:5" x14ac:dyDescent="0.2">
      <c r="A358" t="s">
        <v>334</v>
      </c>
      <c r="B358" s="1">
        <f t="shared" si="26"/>
        <v>197</v>
      </c>
      <c r="C358" t="s">
        <v>836</v>
      </c>
      <c r="D358" t="s">
        <v>837</v>
      </c>
    </row>
    <row r="359" spans="1:5" x14ac:dyDescent="0.2">
      <c r="A359" t="s">
        <v>334</v>
      </c>
      <c r="B359" s="1">
        <f t="shared" si="26"/>
        <v>198</v>
      </c>
      <c r="C359" t="s">
        <v>838</v>
      </c>
      <c r="D359" t="s">
        <v>839</v>
      </c>
    </row>
    <row r="360" spans="1:5" x14ac:dyDescent="0.2">
      <c r="A360"/>
      <c r="B360" s="1">
        <f t="shared" si="26"/>
        <v>199</v>
      </c>
      <c r="C360" t="s">
        <v>840</v>
      </c>
      <c r="D360" t="s">
        <v>841</v>
      </c>
    </row>
    <row r="361" spans="1:5" x14ac:dyDescent="0.2">
      <c r="A361"/>
      <c r="B361" s="1">
        <f t="shared" si="26"/>
        <v>200</v>
      </c>
      <c r="C361" t="s">
        <v>842</v>
      </c>
      <c r="D361" t="s">
        <v>843</v>
      </c>
    </row>
    <row r="362" spans="1:5" x14ac:dyDescent="0.2">
      <c r="A362" t="s">
        <v>334</v>
      </c>
      <c r="B362" s="1">
        <f t="shared" si="26"/>
        <v>201</v>
      </c>
      <c r="C362" t="s">
        <v>844</v>
      </c>
      <c r="D362" t="s">
        <v>845</v>
      </c>
    </row>
    <row r="363" spans="1:5" x14ac:dyDescent="0.2">
      <c r="A363" t="s">
        <v>334</v>
      </c>
      <c r="B363" s="1">
        <f t="shared" si="26"/>
        <v>202</v>
      </c>
      <c r="C363" t="s">
        <v>846</v>
      </c>
      <c r="D363" t="s">
        <v>847</v>
      </c>
    </row>
    <row r="364" spans="1:5" x14ac:dyDescent="0.2">
      <c r="A364" t="s">
        <v>334</v>
      </c>
      <c r="B364" s="1">
        <f t="shared" si="26"/>
        <v>203</v>
      </c>
      <c r="C364" t="s">
        <v>848</v>
      </c>
      <c r="D364" t="s">
        <v>849</v>
      </c>
    </row>
    <row r="365" spans="1:5" x14ac:dyDescent="0.2">
      <c r="A365" t="s">
        <v>334</v>
      </c>
      <c r="B365" s="1">
        <f t="shared" si="26"/>
        <v>204</v>
      </c>
      <c r="C365" s="5" t="s">
        <v>852</v>
      </c>
      <c r="D365" t="s">
        <v>853</v>
      </c>
      <c r="E365" s="3">
        <v>0.32</v>
      </c>
    </row>
    <row r="366" spans="1:5" x14ac:dyDescent="0.2">
      <c r="A366" t="s">
        <v>334</v>
      </c>
      <c r="B366" s="1">
        <f t="shared" si="26"/>
        <v>205</v>
      </c>
      <c r="C366" t="s">
        <v>854</v>
      </c>
      <c r="D366" t="s">
        <v>855</v>
      </c>
      <c r="E366" s="3">
        <v>14.25</v>
      </c>
    </row>
    <row r="367" spans="1:5" x14ac:dyDescent="0.2">
      <c r="A367"/>
      <c r="B367" s="1">
        <f t="shared" si="26"/>
        <v>206</v>
      </c>
      <c r="C367" t="s">
        <v>856</v>
      </c>
      <c r="D367" t="s">
        <v>857</v>
      </c>
    </row>
    <row r="368" spans="1:5" x14ac:dyDescent="0.2">
      <c r="A368" t="s">
        <v>334</v>
      </c>
      <c r="B368" s="1">
        <f t="shared" si="26"/>
        <v>207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6"/>
        <v>208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6"/>
        <v>209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6"/>
        <v>210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6"/>
        <v>211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6"/>
        <v>212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6"/>
        <v>213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6"/>
        <v>214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6"/>
        <v>215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6"/>
        <v>216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6"/>
        <v>217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6"/>
        <v>218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6"/>
        <v>219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6"/>
        <v>220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6"/>
        <v>221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6"/>
        <v>222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6"/>
        <v>223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6"/>
        <v>224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6"/>
        <v>225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6"/>
        <v>226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6"/>
        <v>227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6"/>
        <v>228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6"/>
        <v>229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6"/>
        <v>230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ref="B392:B438" si="27">+B391+1</f>
        <v>231</v>
      </c>
      <c r="C392" t="s">
        <v>910</v>
      </c>
      <c r="D392" t="s">
        <v>911</v>
      </c>
    </row>
    <row r="393" spans="1:5" x14ac:dyDescent="0.2">
      <c r="A393"/>
      <c r="B393" s="1">
        <f t="shared" si="27"/>
        <v>232</v>
      </c>
      <c r="C393" t="s">
        <v>912</v>
      </c>
      <c r="D393" t="s">
        <v>913</v>
      </c>
    </row>
    <row r="394" spans="1:5" x14ac:dyDescent="0.2">
      <c r="A394"/>
      <c r="B394" s="1">
        <f t="shared" si="27"/>
        <v>233</v>
      </c>
      <c r="C394" t="s">
        <v>914</v>
      </c>
      <c r="D394" t="s">
        <v>915</v>
      </c>
    </row>
    <row r="395" spans="1:5" x14ac:dyDescent="0.2">
      <c r="A395"/>
      <c r="B395" s="1">
        <f t="shared" si="27"/>
        <v>234</v>
      </c>
      <c r="C395" t="s">
        <v>916</v>
      </c>
      <c r="D395" t="s">
        <v>917</v>
      </c>
    </row>
    <row r="396" spans="1:5" x14ac:dyDescent="0.2">
      <c r="A396"/>
      <c r="B396" s="1">
        <f t="shared" si="27"/>
        <v>235</v>
      </c>
      <c r="C396" t="s">
        <v>918</v>
      </c>
      <c r="D396" t="s">
        <v>919</v>
      </c>
    </row>
    <row r="397" spans="1:5" x14ac:dyDescent="0.2">
      <c r="A397"/>
      <c r="B397" s="1">
        <f t="shared" si="27"/>
        <v>236</v>
      </c>
      <c r="C397" t="s">
        <v>920</v>
      </c>
      <c r="D397" t="s">
        <v>921</v>
      </c>
    </row>
    <row r="398" spans="1:5" x14ac:dyDescent="0.2">
      <c r="A398"/>
      <c r="B398" s="1">
        <f t="shared" si="27"/>
        <v>237</v>
      </c>
      <c r="C398" t="s">
        <v>922</v>
      </c>
      <c r="D398" t="s">
        <v>923</v>
      </c>
    </row>
    <row r="399" spans="1:5" x14ac:dyDescent="0.2">
      <c r="A399"/>
      <c r="B399" s="1">
        <f t="shared" si="27"/>
        <v>238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 t="shared" si="27"/>
        <v>239</v>
      </c>
      <c r="C400" t="s">
        <v>924</v>
      </c>
      <c r="D400" t="s">
        <v>925</v>
      </c>
    </row>
    <row r="401" spans="1:5" x14ac:dyDescent="0.2">
      <c r="A401"/>
      <c r="B401" s="1">
        <f t="shared" si="27"/>
        <v>240</v>
      </c>
      <c r="C401" t="s">
        <v>926</v>
      </c>
      <c r="D401" t="s">
        <v>927</v>
      </c>
    </row>
    <row r="402" spans="1:5" x14ac:dyDescent="0.2">
      <c r="A402"/>
      <c r="B402" s="1">
        <f t="shared" si="27"/>
        <v>241</v>
      </c>
      <c r="C402" t="s">
        <v>928</v>
      </c>
      <c r="D402" t="s">
        <v>929</v>
      </c>
    </row>
    <row r="403" spans="1:5" x14ac:dyDescent="0.2">
      <c r="A403"/>
      <c r="B403" s="1">
        <f t="shared" si="27"/>
        <v>242</v>
      </c>
      <c r="C403" t="s">
        <v>930</v>
      </c>
      <c r="D403" t="s">
        <v>931</v>
      </c>
    </row>
    <row r="404" spans="1:5" x14ac:dyDescent="0.2">
      <c r="A404"/>
      <c r="B404" s="1">
        <f t="shared" si="27"/>
        <v>243</v>
      </c>
      <c r="C404" t="s">
        <v>932</v>
      </c>
      <c r="D404" t="s">
        <v>935</v>
      </c>
    </row>
    <row r="405" spans="1:5" x14ac:dyDescent="0.2">
      <c r="A405"/>
      <c r="B405" s="1">
        <f t="shared" si="27"/>
        <v>244</v>
      </c>
      <c r="C405" t="s">
        <v>933</v>
      </c>
      <c r="D405" t="s">
        <v>934</v>
      </c>
    </row>
    <row r="406" spans="1:5" x14ac:dyDescent="0.2">
      <c r="A406"/>
      <c r="B406" s="1">
        <f t="shared" si="27"/>
        <v>245</v>
      </c>
      <c r="C406" t="s">
        <v>938</v>
      </c>
      <c r="D406" t="s">
        <v>939</v>
      </c>
    </row>
    <row r="407" spans="1:5" x14ac:dyDescent="0.2">
      <c r="A407"/>
      <c r="B407" s="1">
        <f t="shared" si="27"/>
        <v>246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7"/>
        <v>247</v>
      </c>
      <c r="C408" t="s">
        <v>942</v>
      </c>
      <c r="D408" t="s">
        <v>943</v>
      </c>
    </row>
    <row r="409" spans="1:5" x14ac:dyDescent="0.2">
      <c r="A409"/>
      <c r="B409" s="1">
        <f t="shared" si="27"/>
        <v>248</v>
      </c>
      <c r="C409" t="s">
        <v>944</v>
      </c>
      <c r="D409" t="s">
        <v>945</v>
      </c>
    </row>
    <row r="410" spans="1:5" x14ac:dyDescent="0.2">
      <c r="A410"/>
      <c r="B410" s="1">
        <f t="shared" si="27"/>
        <v>249</v>
      </c>
      <c r="C410" t="s">
        <v>946</v>
      </c>
      <c r="D410" t="s">
        <v>947</v>
      </c>
    </row>
    <row r="411" spans="1:5" x14ac:dyDescent="0.2">
      <c r="A411"/>
      <c r="B411" s="1">
        <f t="shared" si="27"/>
        <v>250</v>
      </c>
      <c r="C411" t="s">
        <v>948</v>
      </c>
      <c r="D411" t="s">
        <v>949</v>
      </c>
    </row>
    <row r="412" spans="1:5" x14ac:dyDescent="0.2">
      <c r="A412"/>
      <c r="B412" s="1">
        <f t="shared" si="27"/>
        <v>251</v>
      </c>
      <c r="C412" t="s">
        <v>950</v>
      </c>
      <c r="D412" t="s">
        <v>951</v>
      </c>
    </row>
    <row r="413" spans="1:5" x14ac:dyDescent="0.2">
      <c r="A413"/>
      <c r="B413" s="1">
        <f t="shared" si="27"/>
        <v>252</v>
      </c>
      <c r="C413" t="s">
        <v>954</v>
      </c>
      <c r="D413" t="s">
        <v>955</v>
      </c>
    </row>
    <row r="414" spans="1:5" x14ac:dyDescent="0.2">
      <c r="A414"/>
      <c r="B414" s="1">
        <f t="shared" si="27"/>
        <v>253</v>
      </c>
      <c r="C414" t="s">
        <v>956</v>
      </c>
      <c r="D414" t="s">
        <v>957</v>
      </c>
    </row>
    <row r="415" spans="1:5" x14ac:dyDescent="0.2">
      <c r="A415"/>
      <c r="B415" s="1">
        <f t="shared" si="27"/>
        <v>254</v>
      </c>
      <c r="C415" t="s">
        <v>958</v>
      </c>
      <c r="D415" t="s">
        <v>959</v>
      </c>
    </row>
    <row r="416" spans="1:5" x14ac:dyDescent="0.2">
      <c r="A416"/>
      <c r="B416" s="1">
        <f t="shared" si="27"/>
        <v>255</v>
      </c>
      <c r="C416" t="s">
        <v>960</v>
      </c>
      <c r="D416" t="s">
        <v>961</v>
      </c>
    </row>
    <row r="417" spans="1:11" x14ac:dyDescent="0.2">
      <c r="A417"/>
      <c r="B417" s="1">
        <f t="shared" si="27"/>
        <v>256</v>
      </c>
      <c r="C417" t="s">
        <v>962</v>
      </c>
      <c r="D417" t="s">
        <v>963</v>
      </c>
    </row>
    <row r="418" spans="1:11" x14ac:dyDescent="0.2">
      <c r="A418"/>
      <c r="B418" s="1">
        <f t="shared" si="27"/>
        <v>257</v>
      </c>
      <c r="C418" t="s">
        <v>964</v>
      </c>
      <c r="D418" t="s">
        <v>965</v>
      </c>
    </row>
    <row r="419" spans="1:11" x14ac:dyDescent="0.2">
      <c r="A419"/>
      <c r="B419" s="1">
        <f t="shared" si="27"/>
        <v>258</v>
      </c>
      <c r="C419" t="s">
        <v>966</v>
      </c>
      <c r="D419" t="s">
        <v>967</v>
      </c>
    </row>
    <row r="420" spans="1:11" x14ac:dyDescent="0.2">
      <c r="A420"/>
      <c r="B420" s="1">
        <f t="shared" si="27"/>
        <v>259</v>
      </c>
      <c r="C420" t="s">
        <v>968</v>
      </c>
      <c r="D420" t="s">
        <v>969</v>
      </c>
    </row>
    <row r="421" spans="1:11" x14ac:dyDescent="0.2">
      <c r="A421"/>
      <c r="B421" s="1">
        <f t="shared" si="27"/>
        <v>260</v>
      </c>
      <c r="C421" t="s">
        <v>970</v>
      </c>
      <c r="D421" t="s">
        <v>971</v>
      </c>
    </row>
    <row r="422" spans="1:11" x14ac:dyDescent="0.2">
      <c r="A422"/>
      <c r="B422" s="1">
        <f t="shared" si="27"/>
        <v>261</v>
      </c>
      <c r="C422" t="s">
        <v>972</v>
      </c>
      <c r="D422" t="s">
        <v>973</v>
      </c>
    </row>
    <row r="423" spans="1:11" x14ac:dyDescent="0.2">
      <c r="A423"/>
      <c r="B423" s="1">
        <f t="shared" si="27"/>
        <v>262</v>
      </c>
      <c r="C423" t="s">
        <v>974</v>
      </c>
      <c r="D423" t="s">
        <v>975</v>
      </c>
    </row>
    <row r="424" spans="1:11" x14ac:dyDescent="0.2">
      <c r="B424" s="1">
        <f t="shared" si="27"/>
        <v>263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>+B438+1</f>
        <v>275</v>
      </c>
      <c r="C425" s="5" t="s">
        <v>1611</v>
      </c>
      <c r="D425" t="s">
        <v>1612</v>
      </c>
      <c r="E425" s="7">
        <v>42.9</v>
      </c>
      <c r="F425" s="6">
        <f t="shared" ref="F425:F431" si="28">+E425*J425</f>
        <v>518.07807479999997</v>
      </c>
      <c r="G425" s="6">
        <f>+[151]Main!$K$5-[151]Main!$K$6</f>
        <v>89.078000000000003</v>
      </c>
      <c r="H425" s="6">
        <f t="shared" ref="H425:H431" si="29">+F425-G425</f>
        <v>429.00007479999999</v>
      </c>
      <c r="I425" s="3" t="s">
        <v>1280</v>
      </c>
      <c r="J425" s="6">
        <f>+[151]Main!$K$3</f>
        <v>12.076411999999999</v>
      </c>
      <c r="K425" s="9">
        <v>45608</v>
      </c>
    </row>
    <row r="426" spans="1:11" x14ac:dyDescent="0.2">
      <c r="B426" s="1">
        <f>+B428+1</f>
        <v>265</v>
      </c>
      <c r="C426" s="41" t="s">
        <v>1130</v>
      </c>
      <c r="D426" s="1" t="s">
        <v>1131</v>
      </c>
      <c r="E426" s="7">
        <v>10.54</v>
      </c>
      <c r="F426" s="6">
        <f t="shared" si="28"/>
        <v>295.11496187999995</v>
      </c>
      <c r="G426" s="6">
        <f>+[152]Main!$K$5-[152]Main!$K$6</f>
        <v>15.414999999999999</v>
      </c>
      <c r="H426" s="6">
        <f t="shared" si="29"/>
        <v>279.69996187999993</v>
      </c>
      <c r="I426" s="3" t="s">
        <v>1074</v>
      </c>
      <c r="J426" s="6">
        <f>+[152]Main!$K$3</f>
        <v>27.999521999999999</v>
      </c>
      <c r="K426" s="9">
        <v>45474</v>
      </c>
    </row>
    <row r="427" spans="1:11" x14ac:dyDescent="0.2">
      <c r="B427" s="1">
        <f>+B438+1</f>
        <v>275</v>
      </c>
      <c r="C427" s="5" t="s">
        <v>1615</v>
      </c>
      <c r="D427" t="s">
        <v>1616</v>
      </c>
      <c r="E427" s="3">
        <v>1.53</v>
      </c>
      <c r="F427" s="6">
        <f t="shared" si="28"/>
        <v>192.47591862000002</v>
      </c>
      <c r="G427" s="6">
        <f>+[153]Main!$L$5-[153]Main!$L$6</f>
        <v>74.8</v>
      </c>
      <c r="H427" s="6">
        <f t="shared" si="29"/>
        <v>117.67591862000002</v>
      </c>
      <c r="I427" s="3" t="s">
        <v>1280</v>
      </c>
      <c r="J427" s="6">
        <f>+[153]Main!$L$3</f>
        <v>125.801254</v>
      </c>
      <c r="K427" s="9">
        <v>45608</v>
      </c>
    </row>
    <row r="428" spans="1:11" x14ac:dyDescent="0.2">
      <c r="B428" s="1">
        <f>+B424+1</f>
        <v>264</v>
      </c>
      <c r="C428" s="5" t="s">
        <v>1099</v>
      </c>
      <c r="D428" t="s">
        <v>1100</v>
      </c>
      <c r="E428" s="7">
        <v>5</v>
      </c>
      <c r="F428" s="6">
        <f t="shared" si="28"/>
        <v>216.57198499999998</v>
      </c>
      <c r="G428" s="6">
        <f>+[154]Main!$J$5-[154]Main!$J$6</f>
        <v>104.35299999999999</v>
      </c>
      <c r="H428" s="6">
        <f t="shared" si="29"/>
        <v>112.21898499999999</v>
      </c>
      <c r="I428" s="3" t="s">
        <v>1074</v>
      </c>
      <c r="J428" s="6">
        <f>+[154]Main!$J$3</f>
        <v>43.314397</v>
      </c>
      <c r="K428" s="9">
        <v>45525</v>
      </c>
    </row>
    <row r="429" spans="1:11" x14ac:dyDescent="0.2">
      <c r="B429" s="1">
        <f>+B426+1</f>
        <v>266</v>
      </c>
      <c r="C429" s="5" t="s">
        <v>1163</v>
      </c>
      <c r="D429" t="s">
        <v>1164</v>
      </c>
      <c r="E429" s="7">
        <v>3.6</v>
      </c>
      <c r="F429" s="6">
        <f t="shared" si="28"/>
        <v>132.55131599999999</v>
      </c>
      <c r="G429" s="6">
        <f>+[155]Main!$L$5-[155]Main!$L$6</f>
        <v>33.507724000000003</v>
      </c>
      <c r="H429" s="6">
        <f t="shared" si="29"/>
        <v>99.04359199999999</v>
      </c>
      <c r="I429" s="3" t="s">
        <v>1074</v>
      </c>
      <c r="J429" s="6">
        <f>+[155]Main!$L$3</f>
        <v>36.819809999999997</v>
      </c>
      <c r="K429" s="9">
        <v>45567</v>
      </c>
    </row>
    <row r="430" spans="1:11" x14ac:dyDescent="0.2">
      <c r="B430" s="1">
        <f>+B425+1</f>
        <v>276</v>
      </c>
      <c r="C430" s="5" t="s">
        <v>1613</v>
      </c>
      <c r="D430" t="s">
        <v>1614</v>
      </c>
      <c r="E430" s="7">
        <v>13.15</v>
      </c>
      <c r="F430" s="6">
        <f t="shared" si="28"/>
        <v>319.37594360000003</v>
      </c>
      <c r="G430" s="6">
        <f>+[156]Main!$K$5-[156]Main!$K$6</f>
        <v>225.55599999999998</v>
      </c>
      <c r="H430" s="6">
        <f t="shared" si="29"/>
        <v>93.819943600000045</v>
      </c>
      <c r="I430" s="3" t="s">
        <v>1280</v>
      </c>
      <c r="J430" s="6">
        <f>+[156]Main!$K$3</f>
        <v>24.287144000000001</v>
      </c>
      <c r="K430" s="9">
        <v>45608</v>
      </c>
    </row>
    <row r="431" spans="1:11" x14ac:dyDescent="0.2">
      <c r="B431" s="1">
        <f>+B429+1</f>
        <v>267</v>
      </c>
      <c r="C431" s="5" t="s">
        <v>1437</v>
      </c>
      <c r="D431" s="1" t="s">
        <v>1438</v>
      </c>
      <c r="E431" s="3">
        <v>0.19</v>
      </c>
      <c r="F431" s="6">
        <f t="shared" si="28"/>
        <v>4.1807902100000005</v>
      </c>
      <c r="G431" s="6">
        <f>+[157]Main!$P$5-[157]Main!$P$6</f>
        <v>-4.3319999999999999</v>
      </c>
      <c r="H431" s="6">
        <f t="shared" si="29"/>
        <v>8.5127902100000004</v>
      </c>
      <c r="I431" s="3" t="s">
        <v>1074</v>
      </c>
      <c r="J431" s="6">
        <f>+[157]Main!$P$3</f>
        <v>22.004159000000001</v>
      </c>
      <c r="K431" s="9">
        <v>45587</v>
      </c>
    </row>
    <row r="432" spans="1:11" x14ac:dyDescent="0.2">
      <c r="B432" s="1">
        <f t="shared" si="27"/>
        <v>268</v>
      </c>
      <c r="C432" s="1" t="s">
        <v>1193</v>
      </c>
      <c r="D432" s="1" t="s">
        <v>1194</v>
      </c>
      <c r="E432" s="3">
        <v>0.28999999999999998</v>
      </c>
    </row>
    <row r="433" spans="2:5" x14ac:dyDescent="0.2">
      <c r="B433" s="1">
        <f t="shared" si="27"/>
        <v>269</v>
      </c>
      <c r="C433" s="1" t="s">
        <v>1275</v>
      </c>
      <c r="D433" t="s">
        <v>1276</v>
      </c>
    </row>
    <row r="434" spans="2:5" x14ac:dyDescent="0.2">
      <c r="B434" s="1">
        <f t="shared" si="27"/>
        <v>270</v>
      </c>
      <c r="C434" s="1" t="s">
        <v>1304</v>
      </c>
      <c r="D434" s="1" t="s">
        <v>1305</v>
      </c>
    </row>
    <row r="435" spans="2:5" x14ac:dyDescent="0.2">
      <c r="B435" s="1">
        <f t="shared" si="27"/>
        <v>271</v>
      </c>
      <c r="C435" t="s">
        <v>1306</v>
      </c>
      <c r="D435" t="s">
        <v>1307</v>
      </c>
    </row>
    <row r="436" spans="2:5" x14ac:dyDescent="0.2">
      <c r="B436" s="1">
        <f t="shared" si="27"/>
        <v>272</v>
      </c>
      <c r="C436" s="1" t="s">
        <v>1357</v>
      </c>
    </row>
    <row r="437" spans="2:5" x14ac:dyDescent="0.2">
      <c r="B437" s="1">
        <f t="shared" si="27"/>
        <v>273</v>
      </c>
      <c r="C437" s="5" t="s">
        <v>1442</v>
      </c>
      <c r="D437" s="1" t="s">
        <v>1443</v>
      </c>
      <c r="E437" s="7">
        <v>30</v>
      </c>
    </row>
    <row r="438" spans="2:5" x14ac:dyDescent="0.2">
      <c r="B438" s="1">
        <f t="shared" si="27"/>
        <v>274</v>
      </c>
      <c r="C438" t="s">
        <v>1505</v>
      </c>
    </row>
  </sheetData>
  <sortState xmlns:xlrd2="http://schemas.microsoft.com/office/spreadsheetml/2017/richdata2" ref="A161:AC209">
    <sortCondition descending="1" ref="F161:F20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2" r:id="rId4" xr:uid="{686D20FF-3704-45CC-8366-56508FB00F00}"/>
    <hyperlink ref="C10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2" r:id="rId18" xr:uid="{14A63DAF-63A6-4B91-A2AF-AE28EA251457}"/>
    <hyperlink ref="C247" r:id="rId19" xr:uid="{4ACA7C7F-E42A-4687-A776-AB8065DB40FF}"/>
    <hyperlink ref="C241" r:id="rId20" xr:uid="{B3421391-7EC0-4253-8F62-5ED45A5BFA02}"/>
    <hyperlink ref="C248" r:id="rId21" xr:uid="{F6A45FC7-B73C-4143-9CAB-B3ADA19B5FD7}"/>
    <hyperlink ref="C243" r:id="rId22" xr:uid="{BBD267CB-7407-4913-9D05-6A6AA380019F}"/>
    <hyperlink ref="C250" r:id="rId23" xr:uid="{85368858-6D0F-4ABE-975C-AE5530342445}"/>
    <hyperlink ref="C239" r:id="rId24" xr:uid="{8B5BC1F5-14D4-45A0-B224-31FAF227EAF3}"/>
    <hyperlink ref="C249" r:id="rId25" xr:uid="{D5FB3BFE-F0A8-4C09-90A1-9F506EF0ADE4}"/>
    <hyperlink ref="C244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1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6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0" r:id="rId41" xr:uid="{6A576FDB-A573-4A00-8381-4BECF13B35A1}"/>
    <hyperlink ref="C25" r:id="rId42" xr:uid="{994E2867-C411-41E7-8332-43A0B3B0CC2B}"/>
    <hyperlink ref="C157" r:id="rId43" xr:uid="{51C9506E-5D60-43F8-BADA-7F72A25DAFF6}"/>
    <hyperlink ref="C113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4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1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4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1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0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2" r:id="rId86" xr:uid="{D181F941-FF02-423B-9F90-890B434046DD}"/>
    <hyperlink ref="C158" r:id="rId87" xr:uid="{1924D31B-B6B9-4CB2-936E-0F68E40FA2F5}"/>
    <hyperlink ref="C159" r:id="rId88" xr:uid="{8E97DA51-E6CD-4B11-B6F8-BD0A3CC93541}"/>
    <hyperlink ref="C94" r:id="rId89" xr:uid="{BACD6400-1341-654E-A5B2-576C65F8052B}"/>
    <hyperlink ref="C357" r:id="rId90" xr:uid="{C4CF7488-CAF7-4516-AB24-0FC50F0916A3}"/>
    <hyperlink ref="C97" r:id="rId91" xr:uid="{2B6C4E35-2657-4D1A-8D80-C54F892964F4}"/>
    <hyperlink ref="C13" r:id="rId92" xr:uid="{D4CC8F9A-CC3B-EE41-860B-629E01D90BFD}"/>
    <hyperlink ref="C428" r:id="rId93" xr:uid="{C4EB2FD5-19C2-4B46-A645-6A4B58B3BF48}"/>
    <hyperlink ref="C18" r:id="rId94" xr:uid="{29212F29-BB24-1048-9B2F-FC0168C49234}"/>
    <hyperlink ref="C210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5" r:id="rId106" xr:uid="{75D04E08-C11D-42F6-A0B8-9E185A6BA249}"/>
    <hyperlink ref="C116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0" r:id="rId112" xr:uid="{500E1EB4-5BFA-41DA-B498-9CADDCBC3BD8}"/>
    <hyperlink ref="C223" r:id="rId113" xr:uid="{DA843767-B487-45EC-B6B6-4CAF3C575C50}"/>
    <hyperlink ref="C80" r:id="rId114" xr:uid="{5DA9C2AA-A278-4FF3-A2FD-E53617E5E8B8}"/>
    <hyperlink ref="C252" r:id="rId115" xr:uid="{91A036B5-0E03-4930-B738-BF1C076ACF18}"/>
    <hyperlink ref="C103" r:id="rId116" xr:uid="{8068ED1A-3B17-4C79-9022-B1BEE306CC58}"/>
    <hyperlink ref="C101" r:id="rId117" xr:uid="{DEB94AB7-6F89-44AE-9C77-B3E2D1E51B70}"/>
    <hyperlink ref="C321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2" r:id="rId123" xr:uid="{C2EF7A04-6E03-432E-AE39-F9FC0944E6B7}"/>
    <hyperlink ref="C89" r:id="rId124" xr:uid="{4A53B476-D8D4-4433-B5B3-B626DD5ECAA5}"/>
    <hyperlink ref="C322" r:id="rId125" xr:uid="{0E69FC1D-F608-42EA-B683-C53C409C70F7}"/>
    <hyperlink ref="C161" r:id="rId126" xr:uid="{058DC54B-6F58-47B5-B00D-CB85499F0661}"/>
    <hyperlink ref="C162" r:id="rId127" xr:uid="{E3F91124-A68C-481A-9F88-5F0B403E12FC}"/>
    <hyperlink ref="C227" r:id="rId128" xr:uid="{879666A1-6AD0-495B-B29D-1523E9F3BF37}"/>
    <hyperlink ref="C54" r:id="rId129" xr:uid="{3E4416C1-24BA-4833-B8A9-810255675E01}"/>
    <hyperlink ref="C120" r:id="rId130" xr:uid="{CEEF1ECE-36B3-482E-AA72-8B9DAE4D2730}"/>
    <hyperlink ref="C117" r:id="rId131" xr:uid="{80739158-DB58-4D0E-8015-4407904D5E4C}"/>
    <hyperlink ref="C63" r:id="rId132" xr:uid="{FAC64BC1-A38C-4704-8DED-7AC1F6D784BD}"/>
    <hyperlink ref="C324" r:id="rId133" xr:uid="{B8FF6BDF-ECF2-42BA-996C-B33320BF3BB8}"/>
    <hyperlink ref="C119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0" r:id="rId139" xr:uid="{7A0C9405-40F2-4CD9-999B-9032EC028C8E}"/>
    <hyperlink ref="C317" r:id="rId140" xr:uid="{F79A5FA4-445D-4428-8347-8E6CA8EBA325}"/>
    <hyperlink ref="C429" r:id="rId141" xr:uid="{C5162717-DEF1-45A6-BAF5-F5909C72945C}"/>
    <hyperlink ref="C215" r:id="rId142" xr:uid="{DCA25E80-5EA2-4E2F-B5AD-7E00734C912A}"/>
    <hyperlink ref="C316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09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5" r:id="rId153" xr:uid="{909F79D0-EDBD-44C4-8C45-548124C5C81A}"/>
    <hyperlink ref="C172" r:id="rId154" xr:uid="{0A7AB162-5181-4ECD-BE39-067356A9A255}"/>
    <hyperlink ref="C100" r:id="rId155" xr:uid="{A780315D-7EE1-43B1-808B-CA1A9B40DACC}"/>
    <hyperlink ref="C107" r:id="rId156" xr:uid="{6EE007AF-F0B0-4EED-9CDD-3FC2319822A5}"/>
    <hyperlink ref="C251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6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1" r:id="rId166" xr:uid="{5BE55498-D8ED-41C4-A33E-57BE28B07449}"/>
    <hyperlink ref="C431" r:id="rId167" xr:uid="{2B1AAFD9-D8D6-4616-841E-10108CC8192B}"/>
    <hyperlink ref="C437" r:id="rId168" xr:uid="{D4B5A9D9-65BB-430A-A731-1152EA8D5DED}"/>
    <hyperlink ref="C87" r:id="rId169" xr:uid="{67670CCE-8D41-4404-8F2B-F79243E31585}"/>
    <hyperlink ref="C118" r:id="rId170" xr:uid="{C904B992-93FD-497A-93CC-2FE800E3CDD4}"/>
    <hyperlink ref="C425" r:id="rId171" xr:uid="{B24388CE-B704-4189-8171-2A7C078385AA}"/>
    <hyperlink ref="C430" r:id="rId172" xr:uid="{107ACC16-1AF2-463F-97B2-B3329D313681}"/>
    <hyperlink ref="C427" r:id="rId173" xr:uid="{C40615BB-48F8-4AB1-92A6-E4710DC43430}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5703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">
      <c r="A5" s="28">
        <v>3</v>
      </c>
      <c r="B5" t="s">
        <v>1393</v>
      </c>
      <c r="C5" t="s">
        <v>1394</v>
      </c>
      <c r="D5" t="s">
        <v>1385</v>
      </c>
      <c r="E5">
        <v>2</v>
      </c>
      <c r="F5" t="s">
        <v>1395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 t="shared" ref="A6:A26" si="15">+A5+1</f>
        <v>4</v>
      </c>
      <c r="B6" t="s">
        <v>1425</v>
      </c>
      <c r="C6" t="s">
        <v>15</v>
      </c>
      <c r="D6" t="s">
        <v>1386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 t="shared" si="15"/>
        <v>5</v>
      </c>
      <c r="B7" t="s">
        <v>1378</v>
      </c>
      <c r="C7" t="s">
        <v>24</v>
      </c>
      <c r="D7" t="s">
        <v>1434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">
      <c r="A8">
        <f t="shared" si="15"/>
        <v>6</v>
      </c>
      <c r="B8" t="s">
        <v>1433</v>
      </c>
      <c r="C8" t="s">
        <v>24</v>
      </c>
      <c r="D8" t="s">
        <v>1434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1435</v>
      </c>
      <c r="Q8" s="30" t="s">
        <v>1436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2">
      <c r="A9">
        <f t="shared" si="15"/>
        <v>7</v>
      </c>
      <c r="B9" t="s">
        <v>654</v>
      </c>
      <c r="C9" t="s">
        <v>28</v>
      </c>
      <c r="D9" t="s">
        <v>1384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">
      <c r="A10">
        <f t="shared" si="15"/>
        <v>8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9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10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11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12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13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14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15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16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17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18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19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">
      <c r="A22">
        <f t="shared" si="15"/>
        <v>20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">
      <c r="A23">
        <f t="shared" si="15"/>
        <v>21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">
      <c r="A24">
        <f t="shared" si="15"/>
        <v>22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">
      <c r="A25">
        <f t="shared" si="15"/>
        <v>23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24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2">
      <c r="A27">
        <f t="shared" ref="A27" si="95">+A26+1</f>
        <v>25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26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27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26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28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29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30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31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31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32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32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33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47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Main!B135+1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([158]Main!$J$5-[158]Main!$J$6)/HKD</f>
        <v>991.71512820512828</v>
      </c>
      <c r="G76" s="6">
        <f>+E76-F76</f>
        <v>23523.572694544873</v>
      </c>
      <c r="H76" s="3" t="s">
        <v>301</v>
      </c>
      <c r="I76" s="6">
        <f>+[158]Main!$J$3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2024-11-23T01:59:06Z</dcterms:modified>
</cp:coreProperties>
</file>